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joao\Documents\PhD\Ana_Data_Correlation\CorrelationProject\Dahs_test\"/>
    </mc:Choice>
  </mc:AlternateContent>
  <xr:revisionPtr revIDLastSave="0" documentId="13_ncr:1_{51301A65-CB0E-4CAA-98E8-3A80CED3CB90}" xr6:coauthVersionLast="40" xr6:coauthVersionMax="40" xr10:uidLastSave="{00000000-0000-0000-0000-000000000000}"/>
  <bookViews>
    <workbookView xWindow="0" yWindow="0" windowWidth="15345" windowHeight="4860" tabRatio="400" activeTab="1" xr2:uid="{00000000-000D-0000-FFFF-FFFF00000000}"/>
  </bookViews>
  <sheets>
    <sheet name="Base de dados" sheetId="1" r:id="rId1"/>
    <sheet name="Sheet2" sheetId="2" r:id="rId2"/>
  </sheets>
  <definedNames>
    <definedName name="_xlnm._FilterDatabase" localSheetId="0">'Base de dados'!$A$1:$XEQ$355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355" i="2" l="1"/>
  <c r="V354" i="2"/>
  <c r="V353" i="2"/>
  <c r="V351" i="2"/>
  <c r="V350" i="2"/>
  <c r="V348" i="2"/>
  <c r="V347" i="2"/>
  <c r="V346" i="2"/>
  <c r="V345" i="2"/>
  <c r="V344" i="2"/>
  <c r="V343" i="2"/>
  <c r="V342" i="2"/>
  <c r="V341" i="2"/>
  <c r="V340" i="2"/>
  <c r="V339" i="2"/>
  <c r="V338" i="2"/>
  <c r="V337" i="2"/>
  <c r="V336" i="2"/>
  <c r="V335" i="2"/>
  <c r="V334" i="2"/>
  <c r="V333" i="2"/>
  <c r="V332" i="2"/>
  <c r="V331" i="2"/>
  <c r="V330" i="2"/>
  <c r="V329" i="2"/>
  <c r="V328" i="2"/>
  <c r="V327" i="2"/>
  <c r="V326" i="2"/>
  <c r="V325" i="2"/>
  <c r="V324" i="2"/>
  <c r="V323" i="2"/>
  <c r="V322" i="2"/>
  <c r="V321" i="2"/>
  <c r="V320" i="2"/>
  <c r="V319" i="2"/>
  <c r="V318" i="2"/>
  <c r="V317" i="2"/>
  <c r="V316" i="2"/>
  <c r="V315" i="2"/>
  <c r="V314" i="2"/>
  <c r="V313" i="2"/>
  <c r="V312" i="2"/>
  <c r="V311" i="2"/>
  <c r="V310" i="2"/>
  <c r="V309" i="2"/>
  <c r="V308" i="2"/>
  <c r="V307" i="2"/>
  <c r="V306" i="2"/>
  <c r="V305" i="2"/>
  <c r="V304" i="2"/>
  <c r="V303" i="2"/>
  <c r="V302" i="2"/>
  <c r="V301" i="2"/>
  <c r="V300" i="2"/>
  <c r="V299" i="2"/>
  <c r="V298" i="2"/>
  <c r="V297" i="2"/>
  <c r="V296" i="2"/>
  <c r="V295" i="2"/>
  <c r="V294" i="2"/>
  <c r="V293" i="2"/>
  <c r="V292" i="2"/>
  <c r="V291" i="2"/>
  <c r="V290" i="2"/>
  <c r="V289" i="2"/>
  <c r="V288" i="2"/>
  <c r="V287" i="2"/>
  <c r="V286" i="2"/>
  <c r="V285" i="2"/>
  <c r="V284" i="2"/>
  <c r="V283" i="2"/>
  <c r="V282" i="2"/>
  <c r="V281" i="2"/>
  <c r="V280" i="2"/>
  <c r="V279" i="2"/>
  <c r="V278" i="2"/>
  <c r="V277" i="2"/>
  <c r="V276" i="2"/>
  <c r="V275" i="2"/>
  <c r="V274" i="2"/>
  <c r="V273" i="2"/>
  <c r="V272" i="2"/>
  <c r="V271" i="2"/>
  <c r="V270" i="2"/>
  <c r="V269" i="2"/>
  <c r="V268" i="2"/>
  <c r="V267" i="2"/>
  <c r="V266" i="2"/>
  <c r="V265" i="2"/>
  <c r="V264" i="2"/>
  <c r="V263" i="2"/>
  <c r="V262" i="2"/>
  <c r="V261" i="2"/>
  <c r="V260" i="2"/>
  <c r="V259" i="2"/>
  <c r="V258" i="2"/>
  <c r="V257" i="2"/>
  <c r="V256" i="2"/>
  <c r="V255" i="2"/>
  <c r="V254" i="2"/>
  <c r="V253" i="2"/>
  <c r="V252" i="2"/>
  <c r="V251" i="2"/>
  <c r="V250" i="2"/>
  <c r="V249" i="2"/>
  <c r="V248" i="2"/>
  <c r="V247" i="2"/>
  <c r="V246" i="2"/>
  <c r="V245" i="2"/>
  <c r="V244" i="2"/>
  <c r="V243" i="2"/>
  <c r="V242" i="2"/>
  <c r="V241" i="2"/>
  <c r="V240" i="2"/>
  <c r="V239" i="2"/>
  <c r="V238" i="2"/>
  <c r="V237" i="2"/>
  <c r="V236" i="2"/>
  <c r="V235" i="2"/>
  <c r="V234" i="2"/>
  <c r="V233" i="2"/>
  <c r="V232" i="2"/>
  <c r="V231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2" i="2"/>
  <c r="V161" i="2"/>
  <c r="V160" i="2"/>
  <c r="V159" i="2"/>
  <c r="V158" i="2"/>
  <c r="V157" i="2"/>
  <c r="V155" i="2"/>
  <c r="V154" i="2"/>
  <c r="V153" i="2"/>
  <c r="V152" i="2"/>
  <c r="V151" i="2"/>
  <c r="V150" i="2"/>
  <c r="V149" i="2"/>
  <c r="V148" i="2"/>
  <c r="V146" i="2"/>
  <c r="V145" i="2"/>
  <c r="V144" i="2"/>
  <c r="V143" i="2"/>
  <c r="V142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6" i="2"/>
  <c r="V5" i="2"/>
  <c r="V4" i="2"/>
  <c r="V3" i="2"/>
  <c r="V2" i="2"/>
  <c r="ADU355" i="1"/>
  <c r="ACI355" i="1"/>
  <c r="ACH355" i="1"/>
  <c r="ZD355" i="1"/>
  <c r="XV355" i="1"/>
  <c r="XR355" i="1"/>
  <c r="XQ355" i="1"/>
  <c r="WS355" i="1"/>
  <c r="UM355" i="1"/>
  <c r="TA355" i="1"/>
  <c r="PV355" i="1"/>
  <c r="NG355" i="1"/>
  <c r="LE355" i="1"/>
  <c r="GQ355" i="1"/>
  <c r="GN355" i="1"/>
  <c r="FF355" i="1"/>
  <c r="FB355" i="1"/>
  <c r="N355" i="1"/>
  <c r="G355" i="1"/>
  <c r="F355" i="1"/>
  <c r="ZD354" i="1"/>
  <c r="XR354" i="1"/>
  <c r="XQ354" i="1"/>
  <c r="UM354" i="1"/>
  <c r="TE354" i="1"/>
  <c r="TA354" i="1"/>
  <c r="SZ354" i="1"/>
  <c r="SB354" i="1"/>
  <c r="PV354" i="1"/>
  <c r="OJ354" i="1"/>
  <c r="LE354" i="1"/>
  <c r="GQ354" i="1"/>
  <c r="GN354" i="1"/>
  <c r="FF354" i="1"/>
  <c r="FB354" i="1"/>
  <c r="N354" i="1"/>
  <c r="G354" i="1"/>
  <c r="F354" i="1"/>
  <c r="ALQ353" i="1"/>
  <c r="ALP353" i="1"/>
  <c r="AIL353" i="1"/>
  <c r="AGZ353" i="1"/>
  <c r="AGY353" i="1"/>
  <c r="ADU353" i="1"/>
  <c r="ACM353" i="1"/>
  <c r="ACI353" i="1"/>
  <c r="ACH353" i="1"/>
  <c r="ABJ353" i="1"/>
  <c r="ZD353" i="1"/>
  <c r="XR353" i="1"/>
  <c r="UM353" i="1"/>
  <c r="RX353" i="1"/>
  <c r="PV353" i="1"/>
  <c r="LE353" i="1"/>
  <c r="KE353" i="1"/>
  <c r="JW353" i="1"/>
  <c r="GQ353" i="1"/>
  <c r="GN353" i="1"/>
  <c r="FF353" i="1"/>
  <c r="FB353" i="1"/>
  <c r="N353" i="1"/>
  <c r="G353" i="1"/>
  <c r="F353" i="1"/>
  <c r="ALQ352" i="1"/>
  <c r="ALP352" i="1"/>
  <c r="AIL352" i="1"/>
  <c r="AGZ352" i="1"/>
  <c r="AGY352" i="1"/>
  <c r="ADU352" i="1"/>
  <c r="ACM352" i="1"/>
  <c r="ACI352" i="1"/>
  <c r="ACH352" i="1"/>
  <c r="ABJ352" i="1"/>
  <c r="ZD352" i="1"/>
  <c r="XR352" i="1"/>
  <c r="UM352" i="1"/>
  <c r="RX352" i="1"/>
  <c r="PV352" i="1"/>
  <c r="LE352" i="1"/>
  <c r="KE352" i="1"/>
  <c r="JW352" i="1"/>
  <c r="GQ352" i="1"/>
  <c r="GN352" i="1"/>
  <c r="FF352" i="1"/>
  <c r="FB352" i="1"/>
  <c r="N352" i="1"/>
  <c r="G352" i="1"/>
  <c r="F352" i="1"/>
  <c r="ALQ351" i="1"/>
  <c r="ALP351" i="1"/>
  <c r="AIL351" i="1"/>
  <c r="AGZ351" i="1"/>
  <c r="AGY351" i="1"/>
  <c r="ADU351" i="1"/>
  <c r="ACM351" i="1"/>
  <c r="ACI351" i="1"/>
  <c r="ACH351" i="1"/>
  <c r="ABJ351" i="1"/>
  <c r="ZD351" i="1"/>
  <c r="XR351" i="1"/>
  <c r="UM351" i="1"/>
  <c r="RX351" i="1"/>
  <c r="PV351" i="1"/>
  <c r="LE351" i="1"/>
  <c r="KE351" i="1"/>
  <c r="JW351" i="1"/>
  <c r="GQ351" i="1"/>
  <c r="GN351" i="1"/>
  <c r="FF351" i="1"/>
  <c r="FB351" i="1"/>
  <c r="N351" i="1"/>
  <c r="G351" i="1"/>
  <c r="F351" i="1"/>
  <c r="ALQ350" i="1"/>
  <c r="ALP350" i="1"/>
  <c r="AIL350" i="1"/>
  <c r="AGZ350" i="1"/>
  <c r="AGY350" i="1"/>
  <c r="ADU350" i="1"/>
  <c r="ACM350" i="1"/>
  <c r="ACI350" i="1"/>
  <c r="ACH350" i="1"/>
  <c r="ABJ350" i="1"/>
  <c r="ZD350" i="1"/>
  <c r="XR350" i="1"/>
  <c r="UM350" i="1"/>
  <c r="RX350" i="1"/>
  <c r="PV350" i="1"/>
  <c r="LE350" i="1"/>
  <c r="KE350" i="1"/>
  <c r="JW350" i="1"/>
  <c r="GQ350" i="1"/>
  <c r="GN350" i="1"/>
  <c r="FF350" i="1"/>
  <c r="FB350" i="1"/>
  <c r="N350" i="1"/>
  <c r="G350" i="1"/>
  <c r="F350" i="1"/>
  <c r="ADU349" i="1"/>
  <c r="ACI349" i="1"/>
  <c r="ACH349" i="1"/>
  <c r="ZD349" i="1"/>
  <c r="XR349" i="1"/>
  <c r="XQ349" i="1"/>
  <c r="UM349" i="1"/>
  <c r="TE349" i="1"/>
  <c r="TA349" i="1"/>
  <c r="SZ349" i="1"/>
  <c r="SB349" i="1"/>
  <c r="PV349" i="1"/>
  <c r="OJ349" i="1"/>
  <c r="LE349" i="1"/>
  <c r="IP349" i="1"/>
  <c r="GQ349" i="1"/>
  <c r="GN349" i="1"/>
  <c r="FF349" i="1"/>
  <c r="FB349" i="1"/>
  <c r="N349" i="1"/>
  <c r="G349" i="1"/>
  <c r="F349" i="1"/>
  <c r="ZD348" i="1"/>
  <c r="XR348" i="1"/>
  <c r="XQ348" i="1"/>
  <c r="UM348" i="1"/>
  <c r="TE348" i="1"/>
  <c r="TA348" i="1"/>
  <c r="SZ348" i="1"/>
  <c r="SB348" i="1"/>
  <c r="PV348" i="1"/>
  <c r="OJ348" i="1"/>
  <c r="LE348" i="1"/>
  <c r="GN348" i="1"/>
  <c r="FN348" i="1"/>
  <c r="FF348" i="1"/>
  <c r="N348" i="1"/>
  <c r="G348" i="1"/>
  <c r="F348" i="1"/>
  <c r="ZD347" i="1"/>
  <c r="XR347" i="1"/>
  <c r="XQ347" i="1"/>
  <c r="UM347" i="1"/>
  <c r="TA347" i="1"/>
  <c r="PV347" i="1"/>
  <c r="NG347" i="1"/>
  <c r="LE347" i="1"/>
  <c r="GN347" i="1"/>
  <c r="FN347" i="1"/>
  <c r="FF347" i="1"/>
  <c r="N347" i="1"/>
  <c r="G347" i="1"/>
  <c r="F347" i="1"/>
  <c r="ALQ346" i="1"/>
  <c r="ALP346" i="1"/>
  <c r="AIL346" i="1"/>
  <c r="AGZ346" i="1"/>
  <c r="AGY346" i="1"/>
  <c r="ADU346" i="1"/>
  <c r="ACM346" i="1"/>
  <c r="ACI346" i="1"/>
  <c r="ACH346" i="1"/>
  <c r="ABJ346" i="1"/>
  <c r="ZD346" i="1"/>
  <c r="XR346" i="1"/>
  <c r="UM346" i="1"/>
  <c r="RX346" i="1"/>
  <c r="PV346" i="1"/>
  <c r="LE346" i="1"/>
  <c r="KE346" i="1"/>
  <c r="JW346" i="1"/>
  <c r="GQ346" i="1"/>
  <c r="GN346" i="1"/>
  <c r="FF346" i="1"/>
  <c r="FB346" i="1"/>
  <c r="N346" i="1"/>
  <c r="G346" i="1"/>
  <c r="F346" i="1"/>
  <c r="TA345" i="1"/>
  <c r="SB345" i="1"/>
  <c r="RX345" i="1"/>
  <c r="PV345" i="1"/>
  <c r="OJ345" i="1"/>
  <c r="JS345" i="1"/>
  <c r="IP345" i="1"/>
  <c r="GN345" i="1"/>
  <c r="DY345" i="1"/>
  <c r="N345" i="1"/>
  <c r="G345" i="1"/>
  <c r="F345" i="1"/>
  <c r="N344" i="1"/>
  <c r="G344" i="1"/>
  <c r="F344" i="1"/>
  <c r="AIL343" i="1"/>
  <c r="ADU343" i="1"/>
  <c r="ZD343" i="1"/>
  <c r="UM343" i="1"/>
  <c r="PV343" i="1"/>
  <c r="LE343" i="1"/>
  <c r="JW343" i="1"/>
  <c r="GN343" i="1"/>
  <c r="FB343" i="1"/>
  <c r="N343" i="1"/>
  <c r="G343" i="1"/>
  <c r="F343" i="1"/>
  <c r="AIL342" i="1"/>
  <c r="ADU342" i="1"/>
  <c r="ABF342" i="1"/>
  <c r="ZD342" i="1"/>
  <c r="UM342" i="1"/>
  <c r="PV342" i="1"/>
  <c r="LE342" i="1"/>
  <c r="JW342" i="1"/>
  <c r="GN342" i="1"/>
  <c r="FB342" i="1"/>
  <c r="N342" i="1"/>
  <c r="G342" i="1"/>
  <c r="F342" i="1"/>
  <c r="AKN341" i="1"/>
  <c r="AIL341" i="1"/>
  <c r="ADU341" i="1"/>
  <c r="ZD341" i="1"/>
  <c r="UM341" i="1"/>
  <c r="TE341" i="1"/>
  <c r="PV341" i="1"/>
  <c r="OJ341" i="1"/>
  <c r="LE341" i="1"/>
  <c r="IP341" i="1"/>
  <c r="N341" i="1"/>
  <c r="G341" i="1"/>
  <c r="F341" i="1"/>
  <c r="AKN340" i="1"/>
  <c r="AIL340" i="1"/>
  <c r="ADX340" i="1"/>
  <c r="ADU340" i="1"/>
  <c r="ABF340" i="1"/>
  <c r="ZG340" i="1"/>
  <c r="ZD340" i="1"/>
  <c r="UM340" i="1"/>
  <c r="TA340" i="1"/>
  <c r="LE340" i="1"/>
  <c r="EC340" i="1"/>
  <c r="EB340" i="1"/>
  <c r="N340" i="1"/>
  <c r="G340" i="1"/>
  <c r="F340" i="1"/>
  <c r="AKN339" i="1"/>
  <c r="AIL339" i="1"/>
  <c r="AFW339" i="1"/>
  <c r="ADU339" i="1"/>
  <c r="ABF339" i="1"/>
  <c r="ZD339" i="1"/>
  <c r="UP339" i="1"/>
  <c r="UM339" i="1"/>
  <c r="RX339" i="1"/>
  <c r="PY339" i="1"/>
  <c r="PV339" i="1"/>
  <c r="LE339" i="1"/>
  <c r="EC339" i="1"/>
  <c r="EB339" i="1"/>
  <c r="N339" i="1"/>
  <c r="G339" i="1"/>
  <c r="F339" i="1"/>
  <c r="AKN338" i="1"/>
  <c r="AIL338" i="1"/>
  <c r="ADX338" i="1"/>
  <c r="ADU338" i="1"/>
  <c r="ABF338" i="1"/>
  <c r="ZG338" i="1"/>
  <c r="ZD338" i="1"/>
  <c r="UM338" i="1"/>
  <c r="TA338" i="1"/>
  <c r="LE338" i="1"/>
  <c r="EC338" i="1"/>
  <c r="EB338" i="1"/>
  <c r="N338" i="1"/>
  <c r="G338" i="1"/>
  <c r="F338" i="1"/>
  <c r="AKN337" i="1"/>
  <c r="AIL337" i="1"/>
  <c r="ADX337" i="1"/>
  <c r="ADU337" i="1"/>
  <c r="ABF337" i="1"/>
  <c r="ZG337" i="1"/>
  <c r="ZD337" i="1"/>
  <c r="UM337" i="1"/>
  <c r="TA337" i="1"/>
  <c r="LE337" i="1"/>
  <c r="EC337" i="1"/>
  <c r="EB337" i="1"/>
  <c r="N337" i="1"/>
  <c r="G337" i="1"/>
  <c r="F337" i="1"/>
  <c r="AKN336" i="1"/>
  <c r="AIL336" i="1"/>
  <c r="ADX336" i="1"/>
  <c r="ADU336" i="1"/>
  <c r="ABF336" i="1"/>
  <c r="ZG336" i="1"/>
  <c r="ZD336" i="1"/>
  <c r="UM336" i="1"/>
  <c r="TA336" i="1"/>
  <c r="LE336" i="1"/>
  <c r="EC336" i="1"/>
  <c r="EB336" i="1"/>
  <c r="N336" i="1"/>
  <c r="G336" i="1"/>
  <c r="F336" i="1"/>
  <c r="AKN335" i="1"/>
  <c r="AIL335" i="1"/>
  <c r="ADX335" i="1"/>
  <c r="ADU335" i="1"/>
  <c r="ABF335" i="1"/>
  <c r="ZG335" i="1"/>
  <c r="ZD335" i="1"/>
  <c r="UM335" i="1"/>
  <c r="TA335" i="1"/>
  <c r="LE335" i="1"/>
  <c r="EC335" i="1"/>
  <c r="EB335" i="1"/>
  <c r="N335" i="1"/>
  <c r="G335" i="1"/>
  <c r="F335" i="1"/>
  <c r="AKN334" i="1"/>
  <c r="AIL334" i="1"/>
  <c r="ADX334" i="1"/>
  <c r="ADU334" i="1"/>
  <c r="ABF334" i="1"/>
  <c r="ZG334" i="1"/>
  <c r="ZD334" i="1"/>
  <c r="UM334" i="1"/>
  <c r="TA334" i="1"/>
  <c r="LE334" i="1"/>
  <c r="EC334" i="1"/>
  <c r="EB334" i="1"/>
  <c r="N334" i="1"/>
  <c r="G334" i="1"/>
  <c r="F334" i="1"/>
  <c r="ADU333" i="1"/>
  <c r="ABF333" i="1"/>
  <c r="ZD333" i="1"/>
  <c r="WO333" i="1"/>
  <c r="UM333" i="1"/>
  <c r="RX333" i="1"/>
  <c r="PV333" i="1"/>
  <c r="NG333" i="1"/>
  <c r="LE333" i="1"/>
  <c r="GQ333" i="1"/>
  <c r="GN333" i="1"/>
  <c r="DY333" i="1"/>
  <c r="N333" i="1"/>
  <c r="G333" i="1"/>
  <c r="F333" i="1"/>
  <c r="AKN332" i="1"/>
  <c r="AIL332" i="1"/>
  <c r="ADX332" i="1"/>
  <c r="ADU332" i="1"/>
  <c r="ABF332" i="1"/>
  <c r="ZG332" i="1"/>
  <c r="ZD332" i="1"/>
  <c r="UM332" i="1"/>
  <c r="TA332" i="1"/>
  <c r="LE332" i="1"/>
  <c r="EC332" i="1"/>
  <c r="EB332" i="1"/>
  <c r="N332" i="1"/>
  <c r="G332" i="1"/>
  <c r="F332" i="1"/>
  <c r="AKN331" i="1"/>
  <c r="AIL331" i="1"/>
  <c r="ADX331" i="1"/>
  <c r="ADU331" i="1"/>
  <c r="ABF331" i="1"/>
  <c r="ZG331" i="1"/>
  <c r="ZD331" i="1"/>
  <c r="UM331" i="1"/>
  <c r="TA331" i="1"/>
  <c r="LE331" i="1"/>
  <c r="EC331" i="1"/>
  <c r="EB331" i="1"/>
  <c r="N331" i="1"/>
  <c r="G331" i="1"/>
  <c r="F331" i="1"/>
  <c r="AKN330" i="1"/>
  <c r="AIL330" i="1"/>
  <c r="ADX330" i="1"/>
  <c r="ADU330" i="1"/>
  <c r="ABF330" i="1"/>
  <c r="ZG330" i="1"/>
  <c r="ZD330" i="1"/>
  <c r="UM330" i="1"/>
  <c r="TA330" i="1"/>
  <c r="LE330" i="1"/>
  <c r="EC330" i="1"/>
  <c r="EB330" i="1"/>
  <c r="N330" i="1"/>
  <c r="G330" i="1"/>
  <c r="F330" i="1"/>
  <c r="AGZ329" i="1"/>
  <c r="ADU329" i="1"/>
  <c r="ACI329" i="1"/>
  <c r="ABF329" i="1"/>
  <c r="ZG329" i="1"/>
  <c r="ZD329" i="1"/>
  <c r="SB329" i="1"/>
  <c r="PV329" i="1"/>
  <c r="LE329" i="1"/>
  <c r="IX329" i="1"/>
  <c r="IP329" i="1"/>
  <c r="IO329" i="1"/>
  <c r="GN329" i="1"/>
  <c r="N329" i="1"/>
  <c r="G329" i="1"/>
  <c r="F329" i="1"/>
  <c r="AKR328" i="1"/>
  <c r="AKN328" i="1"/>
  <c r="AIL328" i="1"/>
  <c r="ABF328" i="1"/>
  <c r="WO328" i="1"/>
  <c r="PV328" i="1"/>
  <c r="IP328" i="1"/>
  <c r="N328" i="1"/>
  <c r="G328" i="1"/>
  <c r="F328" i="1"/>
  <c r="AKR327" i="1"/>
  <c r="AKN327" i="1"/>
  <c r="AIL327" i="1"/>
  <c r="ABF327" i="1"/>
  <c r="WO327" i="1"/>
  <c r="PV327" i="1"/>
  <c r="IP327" i="1"/>
  <c r="N327" i="1"/>
  <c r="G327" i="1"/>
  <c r="F327" i="1"/>
  <c r="AKR326" i="1"/>
  <c r="AKN326" i="1"/>
  <c r="AIL326" i="1"/>
  <c r="ABF326" i="1"/>
  <c r="WO326" i="1"/>
  <c r="PV326" i="1"/>
  <c r="IP326" i="1"/>
  <c r="N326" i="1"/>
  <c r="G326" i="1"/>
  <c r="F326" i="1"/>
  <c r="ALU325" i="1"/>
  <c r="ALQ325" i="1"/>
  <c r="AGA325" i="1"/>
  <c r="AFW325" i="1"/>
  <c r="ADU325" i="1"/>
  <c r="WO325" i="1"/>
  <c r="RX325" i="1"/>
  <c r="LE325" i="1"/>
  <c r="N325" i="1"/>
  <c r="G325" i="1"/>
  <c r="F325" i="1"/>
  <c r="ZD324" i="1"/>
  <c r="RX324" i="1"/>
  <c r="NG324" i="1"/>
  <c r="GN324" i="1"/>
  <c r="N324" i="1"/>
  <c r="G324" i="1"/>
  <c r="F324" i="1"/>
  <c r="AFW323" i="1"/>
  <c r="ADX323" i="1"/>
  <c r="ADU323" i="1"/>
  <c r="ABF323" i="1"/>
  <c r="XV323" i="1"/>
  <c r="XR323" i="1"/>
  <c r="UM323" i="1"/>
  <c r="NG323" i="1"/>
  <c r="IP323" i="1"/>
  <c r="N323" i="1"/>
  <c r="G323" i="1"/>
  <c r="F323" i="1"/>
  <c r="AKN322" i="1"/>
  <c r="ADX322" i="1"/>
  <c r="ADU322" i="1"/>
  <c r="ACM322" i="1"/>
  <c r="ACI322" i="1"/>
  <c r="UM322" i="1"/>
  <c r="TA322" i="1"/>
  <c r="RX322" i="1"/>
  <c r="PY322" i="1"/>
  <c r="PV322" i="1"/>
  <c r="NG322" i="1"/>
  <c r="LE322" i="1"/>
  <c r="DY322" i="1"/>
  <c r="N322" i="1"/>
  <c r="G322" i="1"/>
  <c r="F322" i="1"/>
  <c r="UP321" i="1"/>
  <c r="UM321" i="1"/>
  <c r="PV321" i="1"/>
  <c r="OJ321" i="1"/>
  <c r="NG321" i="1"/>
  <c r="LH321" i="1"/>
  <c r="LE321" i="1"/>
  <c r="GN321" i="1"/>
  <c r="N321" i="1"/>
  <c r="G321" i="1"/>
  <c r="F321" i="1"/>
  <c r="AIL320" i="1"/>
  <c r="ADX320" i="1"/>
  <c r="ADU320" i="1"/>
  <c r="UM320" i="1"/>
  <c r="TA320" i="1"/>
  <c r="RX320" i="1"/>
  <c r="PY320" i="1"/>
  <c r="PV320" i="1"/>
  <c r="LE320" i="1"/>
  <c r="GN320" i="1"/>
  <c r="N320" i="1"/>
  <c r="G320" i="1"/>
  <c r="F320" i="1"/>
  <c r="AGZ319" i="1"/>
  <c r="ADU319" i="1"/>
  <c r="ACI319" i="1"/>
  <c r="ABF319" i="1"/>
  <c r="ZG319" i="1"/>
  <c r="ZD319" i="1"/>
  <c r="SB319" i="1"/>
  <c r="PV319" i="1"/>
  <c r="NO319" i="1"/>
  <c r="NG319" i="1"/>
  <c r="NF319" i="1"/>
  <c r="LE319" i="1"/>
  <c r="GN319" i="1"/>
  <c r="N319" i="1"/>
  <c r="G319" i="1"/>
  <c r="F319" i="1"/>
  <c r="AGZ318" i="1"/>
  <c r="ADU318" i="1"/>
  <c r="ACI318" i="1"/>
  <c r="ABF318" i="1"/>
  <c r="ZG318" i="1"/>
  <c r="ZD318" i="1"/>
  <c r="SB318" i="1"/>
  <c r="PV318" i="1"/>
  <c r="LE318" i="1"/>
  <c r="IX318" i="1"/>
  <c r="IP318" i="1"/>
  <c r="IO318" i="1"/>
  <c r="GN318" i="1"/>
  <c r="N318" i="1"/>
  <c r="G318" i="1"/>
  <c r="F318" i="1"/>
  <c r="XR317" i="1"/>
  <c r="UM317" i="1"/>
  <c r="TA317" i="1"/>
  <c r="RX317" i="1"/>
  <c r="NK317" i="1"/>
  <c r="LE317" i="1"/>
  <c r="GN317" i="1"/>
  <c r="N317" i="1"/>
  <c r="G317" i="1"/>
  <c r="F317" i="1"/>
  <c r="AIL316" i="1"/>
  <c r="ADX316" i="1"/>
  <c r="ADU316" i="1"/>
  <c r="UM316" i="1"/>
  <c r="TA316" i="1"/>
  <c r="RX316" i="1"/>
  <c r="PY316" i="1"/>
  <c r="PV316" i="1"/>
  <c r="IT316" i="1"/>
  <c r="GN316" i="1"/>
  <c r="EG316" i="1"/>
  <c r="DY316" i="1"/>
  <c r="DX316" i="1"/>
  <c r="N316" i="1"/>
  <c r="G316" i="1"/>
  <c r="F316" i="1"/>
  <c r="ZG315" i="1"/>
  <c r="ZD315" i="1"/>
  <c r="UM315" i="1"/>
  <c r="PV315" i="1"/>
  <c r="LE315" i="1"/>
  <c r="IX315" i="1"/>
  <c r="IP315" i="1"/>
  <c r="IO315" i="1"/>
  <c r="GN315" i="1"/>
  <c r="N315" i="1"/>
  <c r="G315" i="1"/>
  <c r="F315" i="1"/>
  <c r="AIL314" i="1"/>
  <c r="ADU314" i="1"/>
  <c r="ZG314" i="1"/>
  <c r="ZD314" i="1"/>
  <c r="PV314" i="1"/>
  <c r="OJ314" i="1"/>
  <c r="NG314" i="1"/>
  <c r="IT314" i="1"/>
  <c r="GN314" i="1"/>
  <c r="N314" i="1"/>
  <c r="G314" i="1"/>
  <c r="F314" i="1"/>
  <c r="PV313" i="1"/>
  <c r="OJ313" i="1"/>
  <c r="NG313" i="1"/>
  <c r="IT313" i="1"/>
  <c r="GN313" i="1"/>
  <c r="N313" i="1"/>
  <c r="G313" i="1"/>
  <c r="F313" i="1"/>
  <c r="ZD312" i="1"/>
  <c r="PV312" i="1"/>
  <c r="OJ312" i="1"/>
  <c r="NG312" i="1"/>
  <c r="IT312" i="1"/>
  <c r="GN312" i="1"/>
  <c r="N312" i="1"/>
  <c r="G312" i="1"/>
  <c r="F312" i="1"/>
  <c r="AIO311" i="1"/>
  <c r="AIL311" i="1"/>
  <c r="XR311" i="1"/>
  <c r="UM311" i="1"/>
  <c r="TA311" i="1"/>
  <c r="RX311" i="1"/>
  <c r="PY311" i="1"/>
  <c r="PV311" i="1"/>
  <c r="IT311" i="1"/>
  <c r="GN311" i="1"/>
  <c r="N311" i="1"/>
  <c r="G311" i="1"/>
  <c r="F311" i="1"/>
  <c r="ADX310" i="1"/>
  <c r="ADU310" i="1"/>
  <c r="UM310" i="1"/>
  <c r="TA310" i="1"/>
  <c r="RX310" i="1"/>
  <c r="PV310" i="1"/>
  <c r="LE310" i="1"/>
  <c r="IX310" i="1"/>
  <c r="IP310" i="1"/>
  <c r="IO310" i="1"/>
  <c r="GN310" i="1"/>
  <c r="N310" i="1"/>
  <c r="G310" i="1"/>
  <c r="F310" i="1"/>
  <c r="AKR309" i="1"/>
  <c r="AKQ309" i="1"/>
  <c r="AIL309" i="1"/>
  <c r="AGA309" i="1"/>
  <c r="AFW309" i="1"/>
  <c r="ADX309" i="1"/>
  <c r="ADU309" i="1"/>
  <c r="ACI309" i="1"/>
  <c r="ZD309" i="1"/>
  <c r="WW309" i="1"/>
  <c r="WS309" i="1"/>
  <c r="WO309" i="1"/>
  <c r="UP309" i="1"/>
  <c r="ON309" i="1"/>
  <c r="OJ309" i="1"/>
  <c r="NO309" i="1"/>
  <c r="LE309" i="1"/>
  <c r="IP309" i="1"/>
  <c r="GN309" i="1"/>
  <c r="N309" i="1"/>
  <c r="G309" i="1"/>
  <c r="F309" i="1"/>
  <c r="AIL308" i="1"/>
  <c r="ADU308" i="1"/>
  <c r="ACQ308" i="1"/>
  <c r="ACP308" i="1"/>
  <c r="ZG308" i="1"/>
  <c r="ZD308" i="1"/>
  <c r="XZ308" i="1"/>
  <c r="XY308" i="1"/>
  <c r="ON308" i="1"/>
  <c r="OJ308" i="1"/>
  <c r="JW308" i="1"/>
  <c r="JV308" i="1"/>
  <c r="JS308" i="1"/>
  <c r="JR308" i="1"/>
  <c r="N308" i="1"/>
  <c r="G308" i="1"/>
  <c r="F308" i="1"/>
  <c r="AMC307" i="1"/>
  <c r="AIL307" i="1"/>
  <c r="ADU307" i="1"/>
  <c r="ZD307" i="1"/>
  <c r="UM307" i="1"/>
  <c r="PY307" i="1"/>
  <c r="PV307" i="1"/>
  <c r="OR307" i="1"/>
  <c r="OQ307" i="1"/>
  <c r="JW307" i="1"/>
  <c r="JS307" i="1"/>
  <c r="FF307" i="1"/>
  <c r="FE307" i="1"/>
  <c r="FB307" i="1"/>
  <c r="FA307" i="1"/>
  <c r="N307" i="1"/>
  <c r="G307" i="1"/>
  <c r="F307" i="1"/>
  <c r="AIL306" i="1"/>
  <c r="ADU306" i="1"/>
  <c r="ZD306" i="1"/>
  <c r="UM306" i="1"/>
  <c r="TI306" i="1"/>
  <c r="TH306" i="1"/>
  <c r="ON306" i="1"/>
  <c r="OJ306" i="1"/>
  <c r="JW306" i="1"/>
  <c r="JV306" i="1"/>
  <c r="JS306" i="1"/>
  <c r="JR306" i="1"/>
  <c r="N306" i="1"/>
  <c r="G306" i="1"/>
  <c r="F306" i="1"/>
  <c r="ZD305" i="1"/>
  <c r="UM305" i="1"/>
  <c r="JW305" i="1"/>
  <c r="JS305" i="1"/>
  <c r="FF305" i="1"/>
  <c r="FE305" i="1"/>
  <c r="FB305" i="1"/>
  <c r="FA305" i="1"/>
  <c r="N305" i="1"/>
  <c r="G305" i="1"/>
  <c r="F305" i="1"/>
  <c r="ADU304" i="1"/>
  <c r="ZD304" i="1"/>
  <c r="UP304" i="1"/>
  <c r="UM304" i="1"/>
  <c r="TI304" i="1"/>
  <c r="TH304" i="1"/>
  <c r="ON304" i="1"/>
  <c r="OJ304" i="1"/>
  <c r="JW304" i="1"/>
  <c r="JV304" i="1"/>
  <c r="JS304" i="1"/>
  <c r="JR304" i="1"/>
  <c r="N304" i="1"/>
  <c r="G304" i="1"/>
  <c r="F304" i="1"/>
  <c r="ADU303" i="1"/>
  <c r="ZD303" i="1"/>
  <c r="UM303" i="1"/>
  <c r="TI303" i="1"/>
  <c r="TH303" i="1"/>
  <c r="JW303" i="1"/>
  <c r="JS303" i="1"/>
  <c r="FF303" i="1"/>
  <c r="FE303" i="1"/>
  <c r="FB303" i="1"/>
  <c r="FA303" i="1"/>
  <c r="N303" i="1"/>
  <c r="G303" i="1"/>
  <c r="F303" i="1"/>
  <c r="AIL302" i="1"/>
  <c r="ADU302" i="1"/>
  <c r="ZD302" i="1"/>
  <c r="UM302" i="1"/>
  <c r="PY302" i="1"/>
  <c r="PV302" i="1"/>
  <c r="OR302" i="1"/>
  <c r="OQ302" i="1"/>
  <c r="JW302" i="1"/>
  <c r="JS302" i="1"/>
  <c r="FF302" i="1"/>
  <c r="FE302" i="1"/>
  <c r="FB302" i="1"/>
  <c r="FA302" i="1"/>
  <c r="N302" i="1"/>
  <c r="G302" i="1"/>
  <c r="F302" i="1"/>
  <c r="AIL301" i="1"/>
  <c r="ADU301" i="1"/>
  <c r="ZD301" i="1"/>
  <c r="XZ301" i="1"/>
  <c r="XY301" i="1"/>
  <c r="UP301" i="1"/>
  <c r="UM301" i="1"/>
  <c r="TI301" i="1"/>
  <c r="TH301" i="1"/>
  <c r="ON301" i="1"/>
  <c r="OJ301" i="1"/>
  <c r="JW301" i="1"/>
  <c r="JV301" i="1"/>
  <c r="JS301" i="1"/>
  <c r="JR301" i="1"/>
  <c r="N301" i="1"/>
  <c r="G301" i="1"/>
  <c r="F301" i="1"/>
  <c r="AIL300" i="1"/>
  <c r="ADU300" i="1"/>
  <c r="ACQ300" i="1"/>
  <c r="ACP300" i="1"/>
  <c r="ZG300" i="1"/>
  <c r="ZD300" i="1"/>
  <c r="XZ300" i="1"/>
  <c r="XY300" i="1"/>
  <c r="ON300" i="1"/>
  <c r="OJ300" i="1"/>
  <c r="JW300" i="1"/>
  <c r="JV300" i="1"/>
  <c r="JS300" i="1"/>
  <c r="JR300" i="1"/>
  <c r="N300" i="1"/>
  <c r="G300" i="1"/>
  <c r="F300" i="1"/>
  <c r="AIL299" i="1"/>
  <c r="ADU299" i="1"/>
  <c r="ZD299" i="1"/>
  <c r="XZ299" i="1"/>
  <c r="XY299" i="1"/>
  <c r="UP299" i="1"/>
  <c r="UM299" i="1"/>
  <c r="TI299" i="1"/>
  <c r="TH299" i="1"/>
  <c r="JW299" i="1"/>
  <c r="JS299" i="1"/>
  <c r="FF299" i="1"/>
  <c r="FE299" i="1"/>
  <c r="FB299" i="1"/>
  <c r="FA299" i="1"/>
  <c r="N299" i="1"/>
  <c r="G299" i="1"/>
  <c r="F299" i="1"/>
  <c r="AIL298" i="1"/>
  <c r="ADU298" i="1"/>
  <c r="ZD298" i="1"/>
  <c r="UM298" i="1"/>
  <c r="TI298" i="1"/>
  <c r="TH298" i="1"/>
  <c r="PY298" i="1"/>
  <c r="PV298" i="1"/>
  <c r="OR298" i="1"/>
  <c r="OQ298" i="1"/>
  <c r="JW298" i="1"/>
  <c r="JS298" i="1"/>
  <c r="FF298" i="1"/>
  <c r="FE298" i="1"/>
  <c r="FB298" i="1"/>
  <c r="FA298" i="1"/>
  <c r="N298" i="1"/>
  <c r="G298" i="1"/>
  <c r="F298" i="1"/>
  <c r="ALY297" i="1"/>
  <c r="AIO297" i="1"/>
  <c r="AIL297" i="1"/>
  <c r="ADU297" i="1"/>
  <c r="ABV297" i="1"/>
  <c r="ABN297" i="1"/>
  <c r="ABF297" i="1"/>
  <c r="ZD297" i="1"/>
  <c r="UM297" i="1"/>
  <c r="SB297" i="1"/>
  <c r="RX297" i="1"/>
  <c r="PY297" i="1"/>
  <c r="PV297" i="1"/>
  <c r="NG297" i="1"/>
  <c r="LH297" i="1"/>
  <c r="LE297" i="1"/>
  <c r="KA297" i="1"/>
  <c r="JW297" i="1"/>
  <c r="GN297" i="1"/>
  <c r="FN297" i="1"/>
  <c r="FJ297" i="1"/>
  <c r="FF297" i="1"/>
  <c r="N297" i="1"/>
  <c r="G297" i="1"/>
  <c r="F297" i="1"/>
  <c r="ALY296" i="1"/>
  <c r="AIO296" i="1"/>
  <c r="AIL296" i="1"/>
  <c r="ADU296" i="1"/>
  <c r="ABV296" i="1"/>
  <c r="ABN296" i="1"/>
  <c r="ABF296" i="1"/>
  <c r="ZD296" i="1"/>
  <c r="UM296" i="1"/>
  <c r="SB296" i="1"/>
  <c r="RX296" i="1"/>
  <c r="PY296" i="1"/>
  <c r="PV296" i="1"/>
  <c r="NG296" i="1"/>
  <c r="LH296" i="1"/>
  <c r="LE296" i="1"/>
  <c r="KA296" i="1"/>
  <c r="JW296" i="1"/>
  <c r="GN296" i="1"/>
  <c r="FN296" i="1"/>
  <c r="FJ296" i="1"/>
  <c r="FF296" i="1"/>
  <c r="N296" i="1"/>
  <c r="G296" i="1"/>
  <c r="F296" i="1"/>
  <c r="AIL295" i="1"/>
  <c r="AGM295" i="1"/>
  <c r="AGE295" i="1"/>
  <c r="AFW295" i="1"/>
  <c r="ADU295" i="1"/>
  <c r="ZD295" i="1"/>
  <c r="WS295" i="1"/>
  <c r="WO295" i="1"/>
  <c r="UP295" i="1"/>
  <c r="UM295" i="1"/>
  <c r="RX295" i="1"/>
  <c r="PY295" i="1"/>
  <c r="PV295" i="1"/>
  <c r="OR295" i="1"/>
  <c r="ON295" i="1"/>
  <c r="LH295" i="1"/>
  <c r="LE295" i="1"/>
  <c r="KA295" i="1"/>
  <c r="JW295" i="1"/>
  <c r="GN295" i="1"/>
  <c r="FN295" i="1"/>
  <c r="FJ295" i="1"/>
  <c r="FF295" i="1"/>
  <c r="N295" i="1"/>
  <c r="G295" i="1"/>
  <c r="F295" i="1"/>
  <c r="AIL294" i="1"/>
  <c r="ADX294" i="1"/>
  <c r="ADU294" i="1"/>
  <c r="ACQ294" i="1"/>
  <c r="ZG294" i="1"/>
  <c r="ZD294" i="1"/>
  <c r="UM294" i="1"/>
  <c r="SN294" i="1"/>
  <c r="SF294" i="1"/>
  <c r="RX294" i="1"/>
  <c r="PV294" i="1"/>
  <c r="LE294" i="1"/>
  <c r="IT294" i="1"/>
  <c r="IP294" i="1"/>
  <c r="GN294" i="1"/>
  <c r="FN294" i="1"/>
  <c r="FJ294" i="1"/>
  <c r="FF294" i="1"/>
  <c r="N294" i="1"/>
  <c r="G294" i="1"/>
  <c r="F294" i="1"/>
  <c r="AIO293" i="1"/>
  <c r="AIL293" i="1"/>
  <c r="AHH293" i="1"/>
  <c r="ADX293" i="1"/>
  <c r="ADU293" i="1"/>
  <c r="ZD293" i="1"/>
  <c r="XE293" i="1"/>
  <c r="WW293" i="1"/>
  <c r="WO293" i="1"/>
  <c r="UM293" i="1"/>
  <c r="PV293" i="1"/>
  <c r="NK293" i="1"/>
  <c r="NG293" i="1"/>
  <c r="LH293" i="1"/>
  <c r="LE293" i="1"/>
  <c r="IP293" i="1"/>
  <c r="GN293" i="1"/>
  <c r="FN293" i="1"/>
  <c r="FJ293" i="1"/>
  <c r="FF293" i="1"/>
  <c r="N293" i="1"/>
  <c r="G293" i="1"/>
  <c r="F293" i="1"/>
  <c r="ALY292" i="1"/>
  <c r="AIO292" i="1"/>
  <c r="AIL292" i="1"/>
  <c r="ADU292" i="1"/>
  <c r="ABV292" i="1"/>
  <c r="ABN292" i="1"/>
  <c r="ABF292" i="1"/>
  <c r="ZD292" i="1"/>
  <c r="UM292" i="1"/>
  <c r="SB292" i="1"/>
  <c r="RX292" i="1"/>
  <c r="PY292" i="1"/>
  <c r="PV292" i="1"/>
  <c r="NG292" i="1"/>
  <c r="LH292" i="1"/>
  <c r="LE292" i="1"/>
  <c r="KA292" i="1"/>
  <c r="JW292" i="1"/>
  <c r="GN292" i="1"/>
  <c r="FN292" i="1"/>
  <c r="FJ292" i="1"/>
  <c r="FF292" i="1"/>
  <c r="N292" i="1"/>
  <c r="G292" i="1"/>
  <c r="F292" i="1"/>
  <c r="ALY291" i="1"/>
  <c r="AIO291" i="1"/>
  <c r="AIL291" i="1"/>
  <c r="ADU291" i="1"/>
  <c r="ABV291" i="1"/>
  <c r="ABN291" i="1"/>
  <c r="ABF291" i="1"/>
  <c r="ZD291" i="1"/>
  <c r="UM291" i="1"/>
  <c r="SB291" i="1"/>
  <c r="RX291" i="1"/>
  <c r="PY291" i="1"/>
  <c r="PV291" i="1"/>
  <c r="NG291" i="1"/>
  <c r="LH291" i="1"/>
  <c r="LE291" i="1"/>
  <c r="KA291" i="1"/>
  <c r="JW291" i="1"/>
  <c r="GN291" i="1"/>
  <c r="FN291" i="1"/>
  <c r="FJ291" i="1"/>
  <c r="FF291" i="1"/>
  <c r="N291" i="1"/>
  <c r="G291" i="1"/>
  <c r="F291" i="1"/>
  <c r="AIO290" i="1"/>
  <c r="AIL290" i="1"/>
  <c r="AHH290" i="1"/>
  <c r="ADX290" i="1"/>
  <c r="ADU290" i="1"/>
  <c r="ZD290" i="1"/>
  <c r="XE290" i="1"/>
  <c r="WW290" i="1"/>
  <c r="WO290" i="1"/>
  <c r="UM290" i="1"/>
  <c r="PV290" i="1"/>
  <c r="NK290" i="1"/>
  <c r="NG290" i="1"/>
  <c r="LH290" i="1"/>
  <c r="LE290" i="1"/>
  <c r="IP290" i="1"/>
  <c r="GN290" i="1"/>
  <c r="FN290" i="1"/>
  <c r="FJ290" i="1"/>
  <c r="FF290" i="1"/>
  <c r="N290" i="1"/>
  <c r="G290" i="1"/>
  <c r="F290" i="1"/>
  <c r="AIL289" i="1"/>
  <c r="AGM289" i="1"/>
  <c r="AGE289" i="1"/>
  <c r="AFW289" i="1"/>
  <c r="ADU289" i="1"/>
  <c r="ZD289" i="1"/>
  <c r="WS289" i="1"/>
  <c r="WO289" i="1"/>
  <c r="UP289" i="1"/>
  <c r="UM289" i="1"/>
  <c r="RX289" i="1"/>
  <c r="PY289" i="1"/>
  <c r="PV289" i="1"/>
  <c r="OR289" i="1"/>
  <c r="ON289" i="1"/>
  <c r="LH289" i="1"/>
  <c r="LE289" i="1"/>
  <c r="KA289" i="1"/>
  <c r="JW289" i="1"/>
  <c r="GN289" i="1"/>
  <c r="FN289" i="1"/>
  <c r="FJ289" i="1"/>
  <c r="FF289" i="1"/>
  <c r="N289" i="1"/>
  <c r="G289" i="1"/>
  <c r="F289" i="1"/>
  <c r="AIL288" i="1"/>
  <c r="AGM288" i="1"/>
  <c r="AGE288" i="1"/>
  <c r="AFW288" i="1"/>
  <c r="ADU288" i="1"/>
  <c r="ZD288" i="1"/>
  <c r="WS288" i="1"/>
  <c r="WO288" i="1"/>
  <c r="UP288" i="1"/>
  <c r="UM288" i="1"/>
  <c r="RX288" i="1"/>
  <c r="PY288" i="1"/>
  <c r="PV288" i="1"/>
  <c r="OR288" i="1"/>
  <c r="ON288" i="1"/>
  <c r="LH288" i="1"/>
  <c r="LE288" i="1"/>
  <c r="KA288" i="1"/>
  <c r="JW288" i="1"/>
  <c r="GN288" i="1"/>
  <c r="FN288" i="1"/>
  <c r="FJ288" i="1"/>
  <c r="FF288" i="1"/>
  <c r="N288" i="1"/>
  <c r="G288" i="1"/>
  <c r="F288" i="1"/>
  <c r="AIL287" i="1"/>
  <c r="ADU287" i="1"/>
  <c r="ZD287" i="1"/>
  <c r="XZ287" i="1"/>
  <c r="XY287" i="1"/>
  <c r="UP287" i="1"/>
  <c r="UM287" i="1"/>
  <c r="TI287" i="1"/>
  <c r="TH287" i="1"/>
  <c r="JW287" i="1"/>
  <c r="JS287" i="1"/>
  <c r="FF287" i="1"/>
  <c r="FE287" i="1"/>
  <c r="FB287" i="1"/>
  <c r="FA287" i="1"/>
  <c r="N287" i="1"/>
  <c r="G287" i="1"/>
  <c r="F287" i="1"/>
  <c r="AIL286" i="1"/>
  <c r="ADU286" i="1"/>
  <c r="ZD286" i="1"/>
  <c r="XZ286" i="1"/>
  <c r="XY286" i="1"/>
  <c r="UP286" i="1"/>
  <c r="UM286" i="1"/>
  <c r="TI286" i="1"/>
  <c r="TH286" i="1"/>
  <c r="JW286" i="1"/>
  <c r="JS286" i="1"/>
  <c r="FF286" i="1"/>
  <c r="FE286" i="1"/>
  <c r="FB286" i="1"/>
  <c r="FA286" i="1"/>
  <c r="N286" i="1"/>
  <c r="G286" i="1"/>
  <c r="F286" i="1"/>
  <c r="AIL285" i="1"/>
  <c r="ADU285" i="1"/>
  <c r="ZD285" i="1"/>
  <c r="XZ285" i="1"/>
  <c r="XY285" i="1"/>
  <c r="UP285" i="1"/>
  <c r="UM285" i="1"/>
  <c r="TI285" i="1"/>
  <c r="TH285" i="1"/>
  <c r="JW285" i="1"/>
  <c r="JS285" i="1"/>
  <c r="FF285" i="1"/>
  <c r="FE285" i="1"/>
  <c r="FB285" i="1"/>
  <c r="FA285" i="1"/>
  <c r="N285" i="1"/>
  <c r="G285" i="1"/>
  <c r="F285" i="1"/>
  <c r="AIL284" i="1"/>
  <c r="ADU284" i="1"/>
  <c r="ZD284" i="1"/>
  <c r="XZ284" i="1"/>
  <c r="XY284" i="1"/>
  <c r="UP284" i="1"/>
  <c r="UM284" i="1"/>
  <c r="TI284" i="1"/>
  <c r="TH284" i="1"/>
  <c r="JW284" i="1"/>
  <c r="JS284" i="1"/>
  <c r="FF284" i="1"/>
  <c r="FE284" i="1"/>
  <c r="FB284" i="1"/>
  <c r="FA284" i="1"/>
  <c r="N284" i="1"/>
  <c r="G284" i="1"/>
  <c r="F284" i="1"/>
  <c r="AIL283" i="1"/>
  <c r="ADU283" i="1"/>
  <c r="ACQ283" i="1"/>
  <c r="ACP283" i="1"/>
  <c r="ZG283" i="1"/>
  <c r="ZD283" i="1"/>
  <c r="XZ283" i="1"/>
  <c r="XY283" i="1"/>
  <c r="ON283" i="1"/>
  <c r="OJ283" i="1"/>
  <c r="JW283" i="1"/>
  <c r="JV283" i="1"/>
  <c r="JS283" i="1"/>
  <c r="JR283" i="1"/>
  <c r="N283" i="1"/>
  <c r="G283" i="1"/>
  <c r="F283" i="1"/>
  <c r="AIL282" i="1"/>
  <c r="ADU282" i="1"/>
  <c r="ZD282" i="1"/>
  <c r="UM282" i="1"/>
  <c r="TI282" i="1"/>
  <c r="TH282" i="1"/>
  <c r="JW282" i="1"/>
  <c r="JS282" i="1"/>
  <c r="FF282" i="1"/>
  <c r="FE282" i="1"/>
  <c r="FB282" i="1"/>
  <c r="FA282" i="1"/>
  <c r="N282" i="1"/>
  <c r="G282" i="1"/>
  <c r="F282" i="1"/>
  <c r="AIL281" i="1"/>
  <c r="ADU281" i="1"/>
  <c r="ZD281" i="1"/>
  <c r="XZ281" i="1"/>
  <c r="XY281" i="1"/>
  <c r="UP281" i="1"/>
  <c r="UM281" i="1"/>
  <c r="TI281" i="1"/>
  <c r="TH281" i="1"/>
  <c r="JW281" i="1"/>
  <c r="JS281" i="1"/>
  <c r="FF281" i="1"/>
  <c r="FE281" i="1"/>
  <c r="FB281" i="1"/>
  <c r="FA281" i="1"/>
  <c r="N281" i="1"/>
  <c r="G281" i="1"/>
  <c r="F281" i="1"/>
  <c r="AIL280" i="1"/>
  <c r="ADU280" i="1"/>
  <c r="ZD280" i="1"/>
  <c r="UM280" i="1"/>
  <c r="TI280" i="1"/>
  <c r="TH280" i="1"/>
  <c r="JW280" i="1"/>
  <c r="JS280" i="1"/>
  <c r="FF280" i="1"/>
  <c r="FE280" i="1"/>
  <c r="FB280" i="1"/>
  <c r="FA280" i="1"/>
  <c r="N280" i="1"/>
  <c r="G280" i="1"/>
  <c r="F280" i="1"/>
  <c r="AIL279" i="1"/>
  <c r="ADU279" i="1"/>
  <c r="ZD279" i="1"/>
  <c r="XZ279" i="1"/>
  <c r="XY279" i="1"/>
  <c r="UP279" i="1"/>
  <c r="UM279" i="1"/>
  <c r="TI279" i="1"/>
  <c r="TH279" i="1"/>
  <c r="JW279" i="1"/>
  <c r="JS279" i="1"/>
  <c r="FF279" i="1"/>
  <c r="FE279" i="1"/>
  <c r="FB279" i="1"/>
  <c r="FA279" i="1"/>
  <c r="N279" i="1"/>
  <c r="G279" i="1"/>
  <c r="F279" i="1"/>
  <c r="AIL278" i="1"/>
  <c r="ADU278" i="1"/>
  <c r="ZD278" i="1"/>
  <c r="XZ278" i="1"/>
  <c r="XY278" i="1"/>
  <c r="UP278" i="1"/>
  <c r="UM278" i="1"/>
  <c r="TI278" i="1"/>
  <c r="TH278" i="1"/>
  <c r="JW278" i="1"/>
  <c r="JS278" i="1"/>
  <c r="FF278" i="1"/>
  <c r="FE278" i="1"/>
  <c r="FB278" i="1"/>
  <c r="FA278" i="1"/>
  <c r="N278" i="1"/>
  <c r="G278" i="1"/>
  <c r="F278" i="1"/>
  <c r="AKN277" i="1"/>
  <c r="AIL277" i="1"/>
  <c r="AFW277" i="1"/>
  <c r="RX277" i="1"/>
  <c r="IT277" i="1"/>
  <c r="N277" i="1"/>
  <c r="G277" i="1"/>
  <c r="F277" i="1"/>
  <c r="AKN276" i="1"/>
  <c r="AIL276" i="1"/>
  <c r="AFW276" i="1"/>
  <c r="RX276" i="1"/>
  <c r="IT276" i="1"/>
  <c r="N276" i="1"/>
  <c r="G276" i="1"/>
  <c r="F276" i="1"/>
  <c r="AKN275" i="1"/>
  <c r="AIL275" i="1"/>
  <c r="AFW275" i="1"/>
  <c r="RX275" i="1"/>
  <c r="IT275" i="1"/>
  <c r="N275" i="1"/>
  <c r="G275" i="1"/>
  <c r="F275" i="1"/>
  <c r="AKN274" i="1"/>
  <c r="AIL274" i="1"/>
  <c r="AFW274" i="1"/>
  <c r="RX274" i="1"/>
  <c r="IT274" i="1"/>
  <c r="N274" i="1"/>
  <c r="G274" i="1"/>
  <c r="F274" i="1"/>
  <c r="AIL273" i="1"/>
  <c r="AFW273" i="1"/>
  <c r="RX273" i="1"/>
  <c r="IT273" i="1"/>
  <c r="N273" i="1"/>
  <c r="G273" i="1"/>
  <c r="F273" i="1"/>
  <c r="AIL272" i="1"/>
  <c r="AFW272" i="1"/>
  <c r="ADU272" i="1"/>
  <c r="ZD272" i="1"/>
  <c r="WS272" i="1"/>
  <c r="WO272" i="1"/>
  <c r="UM272" i="1"/>
  <c r="SF272" i="1"/>
  <c r="PV272" i="1"/>
  <c r="OJ272" i="1"/>
  <c r="NK272" i="1"/>
  <c r="NG272" i="1"/>
  <c r="IP272" i="1"/>
  <c r="FB272" i="1"/>
  <c r="N272" i="1"/>
  <c r="G272" i="1"/>
  <c r="F272" i="1"/>
  <c r="XR271" i="1"/>
  <c r="WO271" i="1"/>
  <c r="UP271" i="1"/>
  <c r="UM271" i="1"/>
  <c r="SB271" i="1"/>
  <c r="PV271" i="1"/>
  <c r="OJ271" i="1"/>
  <c r="LE271" i="1"/>
  <c r="IT271" i="1"/>
  <c r="IP271" i="1"/>
  <c r="DY271" i="1"/>
  <c r="DX271" i="1"/>
  <c r="N271" i="1"/>
  <c r="G271" i="1"/>
  <c r="F271" i="1"/>
  <c r="XR270" i="1"/>
  <c r="WO270" i="1"/>
  <c r="UP270" i="1"/>
  <c r="UM270" i="1"/>
  <c r="SB270" i="1"/>
  <c r="PV270" i="1"/>
  <c r="OJ270" i="1"/>
  <c r="LE270" i="1"/>
  <c r="IT270" i="1"/>
  <c r="IP270" i="1"/>
  <c r="DY270" i="1"/>
  <c r="DX270" i="1"/>
  <c r="N270" i="1"/>
  <c r="G270" i="1"/>
  <c r="F270" i="1"/>
  <c r="XR269" i="1"/>
  <c r="WO269" i="1"/>
  <c r="UP269" i="1"/>
  <c r="UM269" i="1"/>
  <c r="SB269" i="1"/>
  <c r="PV269" i="1"/>
  <c r="OJ269" i="1"/>
  <c r="LE269" i="1"/>
  <c r="IT269" i="1"/>
  <c r="IP269" i="1"/>
  <c r="DY269" i="1"/>
  <c r="DX269" i="1"/>
  <c r="N269" i="1"/>
  <c r="G269" i="1"/>
  <c r="F269" i="1"/>
  <c r="PV268" i="1"/>
  <c r="OJ268" i="1"/>
  <c r="LE268" i="1"/>
  <c r="JS268" i="1"/>
  <c r="GN268" i="1"/>
  <c r="N268" i="1"/>
  <c r="G268" i="1"/>
  <c r="F268" i="1"/>
  <c r="ACI267" i="1"/>
  <c r="ABF267" i="1"/>
  <c r="ABE267" i="1"/>
  <c r="XR267" i="1"/>
  <c r="XQ267" i="1"/>
  <c r="UM267" i="1"/>
  <c r="ON267" i="1"/>
  <c r="OJ267" i="1"/>
  <c r="JW267" i="1"/>
  <c r="JS267" i="1"/>
  <c r="GN267" i="1"/>
  <c r="DY267" i="1"/>
  <c r="N267" i="1"/>
  <c r="G267" i="1"/>
  <c r="F267" i="1"/>
  <c r="AIL266" i="1"/>
  <c r="ADU266" i="1"/>
  <c r="ACI266" i="1"/>
  <c r="ZD266" i="1"/>
  <c r="XR266" i="1"/>
  <c r="UM266" i="1"/>
  <c r="ON266" i="1"/>
  <c r="OJ266" i="1"/>
  <c r="JW266" i="1"/>
  <c r="JS266" i="1"/>
  <c r="GN266" i="1"/>
  <c r="DY266" i="1"/>
  <c r="N266" i="1"/>
  <c r="G266" i="1"/>
  <c r="F266" i="1"/>
  <c r="AIL265" i="1"/>
  <c r="ADU265" i="1"/>
  <c r="ACI265" i="1"/>
  <c r="ZD265" i="1"/>
  <c r="XR265" i="1"/>
  <c r="UM265" i="1"/>
  <c r="ON265" i="1"/>
  <c r="OJ265" i="1"/>
  <c r="JW265" i="1"/>
  <c r="JS265" i="1"/>
  <c r="GN265" i="1"/>
  <c r="DY265" i="1"/>
  <c r="N265" i="1"/>
  <c r="G265" i="1"/>
  <c r="F265" i="1"/>
  <c r="ALQ264" i="1"/>
  <c r="ALP264" i="1"/>
  <c r="AIL264" i="1"/>
  <c r="ADU264" i="1"/>
  <c r="ZD264" i="1"/>
  <c r="XR264" i="1"/>
  <c r="UM264" i="1"/>
  <c r="TA264" i="1"/>
  <c r="ON264" i="1"/>
  <c r="OJ264" i="1"/>
  <c r="JW264" i="1"/>
  <c r="JS264" i="1"/>
  <c r="GN264" i="1"/>
  <c r="DY264" i="1"/>
  <c r="N264" i="1"/>
  <c r="G264" i="1"/>
  <c r="F264" i="1"/>
  <c r="AIL263" i="1"/>
  <c r="ADU263" i="1"/>
  <c r="ACI263" i="1"/>
  <c r="ZD263" i="1"/>
  <c r="XR263" i="1"/>
  <c r="UM263" i="1"/>
  <c r="ON263" i="1"/>
  <c r="OJ263" i="1"/>
  <c r="JW263" i="1"/>
  <c r="JS263" i="1"/>
  <c r="GN263" i="1"/>
  <c r="DY263" i="1"/>
  <c r="N263" i="1"/>
  <c r="G263" i="1"/>
  <c r="F263" i="1"/>
  <c r="AIL262" i="1"/>
  <c r="ADU262" i="1"/>
  <c r="ACI262" i="1"/>
  <c r="ZD262" i="1"/>
  <c r="XR262" i="1"/>
  <c r="UM262" i="1"/>
  <c r="ON262" i="1"/>
  <c r="OJ262" i="1"/>
  <c r="JW262" i="1"/>
  <c r="JS262" i="1"/>
  <c r="GN262" i="1"/>
  <c r="DY262" i="1"/>
  <c r="N262" i="1"/>
  <c r="G262" i="1"/>
  <c r="F262" i="1"/>
  <c r="AIL261" i="1"/>
  <c r="AGZ261" i="1"/>
  <c r="AGY261" i="1"/>
  <c r="ADU261" i="1"/>
  <c r="ACM261" i="1"/>
  <c r="ACI261" i="1"/>
  <c r="ACH261" i="1"/>
  <c r="ABJ261" i="1"/>
  <c r="ZD261" i="1"/>
  <c r="XR261" i="1"/>
  <c r="UM261" i="1"/>
  <c r="RX261" i="1"/>
  <c r="PV261" i="1"/>
  <c r="LE261" i="1"/>
  <c r="KE261" i="1"/>
  <c r="JW261" i="1"/>
  <c r="GQ261" i="1"/>
  <c r="GN261" i="1"/>
  <c r="FF261" i="1"/>
  <c r="FB261" i="1"/>
  <c r="N261" i="1"/>
  <c r="G261" i="1"/>
  <c r="F261" i="1"/>
  <c r="AIL260" i="1"/>
  <c r="AGZ260" i="1"/>
  <c r="AGY260" i="1"/>
  <c r="ADU260" i="1"/>
  <c r="ACM260" i="1"/>
  <c r="ACI260" i="1"/>
  <c r="ACH260" i="1"/>
  <c r="ABJ260" i="1"/>
  <c r="ZD260" i="1"/>
  <c r="XR260" i="1"/>
  <c r="UM260" i="1"/>
  <c r="RX260" i="1"/>
  <c r="PV260" i="1"/>
  <c r="LE260" i="1"/>
  <c r="KE260" i="1"/>
  <c r="JW260" i="1"/>
  <c r="GQ260" i="1"/>
  <c r="GN260" i="1"/>
  <c r="FF260" i="1"/>
  <c r="FB260" i="1"/>
  <c r="N260" i="1"/>
  <c r="G260" i="1"/>
  <c r="F260" i="1"/>
  <c r="AIL259" i="1"/>
  <c r="AGZ259" i="1"/>
  <c r="AGY259" i="1"/>
  <c r="ADU259" i="1"/>
  <c r="ACM259" i="1"/>
  <c r="ACI259" i="1"/>
  <c r="ACH259" i="1"/>
  <c r="ABJ259" i="1"/>
  <c r="ZD259" i="1"/>
  <c r="XR259" i="1"/>
  <c r="UM259" i="1"/>
  <c r="RX259" i="1"/>
  <c r="PV259" i="1"/>
  <c r="LE259" i="1"/>
  <c r="KE259" i="1"/>
  <c r="JW259" i="1"/>
  <c r="GQ259" i="1"/>
  <c r="GN259" i="1"/>
  <c r="FF259" i="1"/>
  <c r="FB259" i="1"/>
  <c r="N259" i="1"/>
  <c r="G259" i="1"/>
  <c r="F259" i="1"/>
  <c r="AIL258" i="1"/>
  <c r="AGZ258" i="1"/>
  <c r="AGY258" i="1"/>
  <c r="ADU258" i="1"/>
  <c r="ACM258" i="1"/>
  <c r="ACI258" i="1"/>
  <c r="ACH258" i="1"/>
  <c r="ABJ258" i="1"/>
  <c r="ZD258" i="1"/>
  <c r="XR258" i="1"/>
  <c r="UM258" i="1"/>
  <c r="RX258" i="1"/>
  <c r="PV258" i="1"/>
  <c r="LE258" i="1"/>
  <c r="KE258" i="1"/>
  <c r="JW258" i="1"/>
  <c r="GQ258" i="1"/>
  <c r="GN258" i="1"/>
  <c r="FF258" i="1"/>
  <c r="FB258" i="1"/>
  <c r="N258" i="1"/>
  <c r="G258" i="1"/>
  <c r="F258" i="1"/>
  <c r="ALQ257" i="1"/>
  <c r="ALP257" i="1"/>
  <c r="AIL257" i="1"/>
  <c r="AGZ257" i="1"/>
  <c r="AGY257" i="1"/>
  <c r="ADU257" i="1"/>
  <c r="ACM257" i="1"/>
  <c r="ACI257" i="1"/>
  <c r="ACH257" i="1"/>
  <c r="ABJ257" i="1"/>
  <c r="ZD257" i="1"/>
  <c r="XR257" i="1"/>
  <c r="UM257" i="1"/>
  <c r="RX257" i="1"/>
  <c r="PV257" i="1"/>
  <c r="LE257" i="1"/>
  <c r="KE257" i="1"/>
  <c r="JW257" i="1"/>
  <c r="GQ257" i="1"/>
  <c r="GN257" i="1"/>
  <c r="FF257" i="1"/>
  <c r="FB257" i="1"/>
  <c r="N257" i="1"/>
  <c r="G257" i="1"/>
  <c r="F257" i="1"/>
  <c r="ALQ256" i="1"/>
  <c r="ALP256" i="1"/>
  <c r="AIL256" i="1"/>
  <c r="AGZ256" i="1"/>
  <c r="AGY256" i="1"/>
  <c r="ADU256" i="1"/>
  <c r="ACM256" i="1"/>
  <c r="ACI256" i="1"/>
  <c r="ACH256" i="1"/>
  <c r="ABJ256" i="1"/>
  <c r="ZD256" i="1"/>
  <c r="XR256" i="1"/>
  <c r="UM256" i="1"/>
  <c r="RX256" i="1"/>
  <c r="PV256" i="1"/>
  <c r="LE256" i="1"/>
  <c r="KE256" i="1"/>
  <c r="JW256" i="1"/>
  <c r="GQ256" i="1"/>
  <c r="GN256" i="1"/>
  <c r="FF256" i="1"/>
  <c r="FB256" i="1"/>
  <c r="N256" i="1"/>
  <c r="G256" i="1"/>
  <c r="F256" i="1"/>
  <c r="ALQ255" i="1"/>
  <c r="ALP255" i="1"/>
  <c r="AIL255" i="1"/>
  <c r="AGZ255" i="1"/>
  <c r="AGY255" i="1"/>
  <c r="ADU255" i="1"/>
  <c r="ACM255" i="1"/>
  <c r="ACI255" i="1"/>
  <c r="ACH255" i="1"/>
  <c r="ABJ255" i="1"/>
  <c r="ZD255" i="1"/>
  <c r="XR255" i="1"/>
  <c r="UM255" i="1"/>
  <c r="RX255" i="1"/>
  <c r="PV255" i="1"/>
  <c r="LE255" i="1"/>
  <c r="KE255" i="1"/>
  <c r="JW255" i="1"/>
  <c r="GQ255" i="1"/>
  <c r="GN255" i="1"/>
  <c r="FF255" i="1"/>
  <c r="FB255" i="1"/>
  <c r="N255" i="1"/>
  <c r="G255" i="1"/>
  <c r="F255" i="1"/>
  <c r="AKN254" i="1"/>
  <c r="AGA254" i="1"/>
  <c r="AFW254" i="1"/>
  <c r="ADU254" i="1"/>
  <c r="WO254" i="1"/>
  <c r="RX254" i="1"/>
  <c r="LE254" i="1"/>
  <c r="DY254" i="1"/>
  <c r="N254" i="1"/>
  <c r="G254" i="1"/>
  <c r="F254" i="1"/>
  <c r="AHD253" i="1"/>
  <c r="AGZ253" i="1"/>
  <c r="ABJ253" i="1"/>
  <c r="ABF253" i="1"/>
  <c r="ZD253" i="1"/>
  <c r="WS253" i="1"/>
  <c r="WO253" i="1"/>
  <c r="UM253" i="1"/>
  <c r="NG253" i="1"/>
  <c r="LE253" i="1"/>
  <c r="DY253" i="1"/>
  <c r="N253" i="1"/>
  <c r="G253" i="1"/>
  <c r="F253" i="1"/>
  <c r="AKN252" i="1"/>
  <c r="AIL252" i="1"/>
  <c r="ADX252" i="1"/>
  <c r="ADU252" i="1"/>
  <c r="ABF252" i="1"/>
  <c r="ZG252" i="1"/>
  <c r="ZD252" i="1"/>
  <c r="UM252" i="1"/>
  <c r="TA252" i="1"/>
  <c r="LE252" i="1"/>
  <c r="EC252" i="1"/>
  <c r="EB252" i="1"/>
  <c r="N252" i="1"/>
  <c r="G252" i="1"/>
  <c r="F252" i="1"/>
  <c r="AKN251" i="1"/>
  <c r="AIL251" i="1"/>
  <c r="ADX251" i="1"/>
  <c r="ADU251" i="1"/>
  <c r="ABF251" i="1"/>
  <c r="ZG251" i="1"/>
  <c r="ZD251" i="1"/>
  <c r="UM251" i="1"/>
  <c r="TA251" i="1"/>
  <c r="LE251" i="1"/>
  <c r="EC251" i="1"/>
  <c r="EB251" i="1"/>
  <c r="N251" i="1"/>
  <c r="G251" i="1"/>
  <c r="F251" i="1"/>
  <c r="AGI250" i="1"/>
  <c r="ABF250" i="1"/>
  <c r="ZD250" i="1"/>
  <c r="PV250" i="1"/>
  <c r="LE250" i="1"/>
  <c r="EK250" i="1"/>
  <c r="EG250" i="1"/>
  <c r="EC250" i="1"/>
  <c r="DY250" i="1"/>
  <c r="N250" i="1"/>
  <c r="G250" i="1"/>
  <c r="F250" i="1"/>
  <c r="AGI249" i="1"/>
  <c r="ABF249" i="1"/>
  <c r="ZD249" i="1"/>
  <c r="PV249" i="1"/>
  <c r="LE249" i="1"/>
  <c r="EK249" i="1"/>
  <c r="EG249" i="1"/>
  <c r="EC249" i="1"/>
  <c r="DY249" i="1"/>
  <c r="N249" i="1"/>
  <c r="G249" i="1"/>
  <c r="F249" i="1"/>
  <c r="AGI248" i="1"/>
  <c r="ABF248" i="1"/>
  <c r="ZD248" i="1"/>
  <c r="PV248" i="1"/>
  <c r="LE248" i="1"/>
  <c r="EK248" i="1"/>
  <c r="EG248" i="1"/>
  <c r="EC248" i="1"/>
  <c r="DY248" i="1"/>
  <c r="N248" i="1"/>
  <c r="G248" i="1"/>
  <c r="F248" i="1"/>
  <c r="AGI247" i="1"/>
  <c r="ABF247" i="1"/>
  <c r="ZD247" i="1"/>
  <c r="PV247" i="1"/>
  <c r="LE247" i="1"/>
  <c r="EK247" i="1"/>
  <c r="EG247" i="1"/>
  <c r="EC247" i="1"/>
  <c r="DY247" i="1"/>
  <c r="N247" i="1"/>
  <c r="G247" i="1"/>
  <c r="F247" i="1"/>
  <c r="AGI246" i="1"/>
  <c r="ABF246" i="1"/>
  <c r="ZD246" i="1"/>
  <c r="PV246" i="1"/>
  <c r="LE246" i="1"/>
  <c r="EK246" i="1"/>
  <c r="EG246" i="1"/>
  <c r="EC246" i="1"/>
  <c r="DY246" i="1"/>
  <c r="N246" i="1"/>
  <c r="G246" i="1"/>
  <c r="F246" i="1"/>
  <c r="AKR245" i="1"/>
  <c r="AKN245" i="1"/>
  <c r="AFW245" i="1"/>
  <c r="ADU245" i="1"/>
  <c r="ZD245" i="1"/>
  <c r="WS245" i="1"/>
  <c r="UM245" i="1"/>
  <c r="QD245" i="1"/>
  <c r="LM245" i="1"/>
  <c r="LE245" i="1"/>
  <c r="IP245" i="1"/>
  <c r="GV245" i="1"/>
  <c r="GN245" i="1"/>
  <c r="DY245" i="1"/>
  <c r="N245" i="1"/>
  <c r="G245" i="1"/>
  <c r="F245" i="1"/>
  <c r="AKR244" i="1"/>
  <c r="AKN244" i="1"/>
  <c r="AFW244" i="1"/>
  <c r="ADU244" i="1"/>
  <c r="ZD244" i="1"/>
  <c r="WS244" i="1"/>
  <c r="UM244" i="1"/>
  <c r="QD244" i="1"/>
  <c r="LM244" i="1"/>
  <c r="LE244" i="1"/>
  <c r="IP244" i="1"/>
  <c r="GV244" i="1"/>
  <c r="GN244" i="1"/>
  <c r="DY244" i="1"/>
  <c r="N244" i="1"/>
  <c r="G244" i="1"/>
  <c r="F244" i="1"/>
  <c r="AKR243" i="1"/>
  <c r="AKN243" i="1"/>
  <c r="AFW243" i="1"/>
  <c r="ADU243" i="1"/>
  <c r="ZD243" i="1"/>
  <c r="WS243" i="1"/>
  <c r="UM243" i="1"/>
  <c r="QD243" i="1"/>
  <c r="LM243" i="1"/>
  <c r="LE243" i="1"/>
  <c r="IP243" i="1"/>
  <c r="GV243" i="1"/>
  <c r="GN243" i="1"/>
  <c r="DY243" i="1"/>
  <c r="N243" i="1"/>
  <c r="G243" i="1"/>
  <c r="F243" i="1"/>
  <c r="AKR242" i="1"/>
  <c r="AKN242" i="1"/>
  <c r="AFW242" i="1"/>
  <c r="ADU242" i="1"/>
  <c r="ZD242" i="1"/>
  <c r="WS242" i="1"/>
  <c r="UM242" i="1"/>
  <c r="QD242" i="1"/>
  <c r="LM242" i="1"/>
  <c r="LE242" i="1"/>
  <c r="IP242" i="1"/>
  <c r="GV242" i="1"/>
  <c r="GN242" i="1"/>
  <c r="DY242" i="1"/>
  <c r="N242" i="1"/>
  <c r="G242" i="1"/>
  <c r="F242" i="1"/>
  <c r="LM241" i="1"/>
  <c r="IP241" i="1"/>
  <c r="GV241" i="1"/>
  <c r="DY241" i="1"/>
  <c r="N241" i="1"/>
  <c r="G241" i="1"/>
  <c r="F241" i="1"/>
  <c r="AHD240" i="1"/>
  <c r="AGZ240" i="1"/>
  <c r="ADU240" i="1"/>
  <c r="ABJ240" i="1"/>
  <c r="ABF240" i="1"/>
  <c r="ZD240" i="1"/>
  <c r="RX240" i="1"/>
  <c r="LE240" i="1"/>
  <c r="DY240" i="1"/>
  <c r="N240" i="1"/>
  <c r="G240" i="1"/>
  <c r="F240" i="1"/>
  <c r="XR239" i="1"/>
  <c r="WO239" i="1"/>
  <c r="UP239" i="1"/>
  <c r="UM239" i="1"/>
  <c r="SB239" i="1"/>
  <c r="PV239" i="1"/>
  <c r="OJ239" i="1"/>
  <c r="LE239" i="1"/>
  <c r="IT239" i="1"/>
  <c r="IP239" i="1"/>
  <c r="DY239" i="1"/>
  <c r="DX239" i="1"/>
  <c r="N239" i="1"/>
  <c r="G239" i="1"/>
  <c r="F239" i="1"/>
  <c r="XR238" i="1"/>
  <c r="WO238" i="1"/>
  <c r="UP238" i="1"/>
  <c r="UM238" i="1"/>
  <c r="SB238" i="1"/>
  <c r="PV238" i="1"/>
  <c r="OJ238" i="1"/>
  <c r="LE238" i="1"/>
  <c r="IT238" i="1"/>
  <c r="IP238" i="1"/>
  <c r="DY238" i="1"/>
  <c r="DX238" i="1"/>
  <c r="N238" i="1"/>
  <c r="G238" i="1"/>
  <c r="F238" i="1"/>
  <c r="XR237" i="1"/>
  <c r="WO237" i="1"/>
  <c r="UP237" i="1"/>
  <c r="UM237" i="1"/>
  <c r="SB237" i="1"/>
  <c r="PV237" i="1"/>
  <c r="OJ237" i="1"/>
  <c r="LE237" i="1"/>
  <c r="IT237" i="1"/>
  <c r="IP237" i="1"/>
  <c r="DY237" i="1"/>
  <c r="DX237" i="1"/>
  <c r="N237" i="1"/>
  <c r="G237" i="1"/>
  <c r="F237" i="1"/>
  <c r="XR236" i="1"/>
  <c r="WO236" i="1"/>
  <c r="UP236" i="1"/>
  <c r="UM236" i="1"/>
  <c r="SB236" i="1"/>
  <c r="PV236" i="1"/>
  <c r="OJ236" i="1"/>
  <c r="LE236" i="1"/>
  <c r="IT236" i="1"/>
  <c r="IP236" i="1"/>
  <c r="DY236" i="1"/>
  <c r="DX236" i="1"/>
  <c r="N236" i="1"/>
  <c r="G236" i="1"/>
  <c r="F236" i="1"/>
  <c r="XR235" i="1"/>
  <c r="WO235" i="1"/>
  <c r="UP235" i="1"/>
  <c r="UM235" i="1"/>
  <c r="SB235" i="1"/>
  <c r="PV235" i="1"/>
  <c r="OJ235" i="1"/>
  <c r="LE235" i="1"/>
  <c r="IT235" i="1"/>
  <c r="IP235" i="1"/>
  <c r="DY235" i="1"/>
  <c r="DX235" i="1"/>
  <c r="N235" i="1"/>
  <c r="G235" i="1"/>
  <c r="F235" i="1"/>
  <c r="XR234" i="1"/>
  <c r="WO234" i="1"/>
  <c r="UP234" i="1"/>
  <c r="UM234" i="1"/>
  <c r="SB234" i="1"/>
  <c r="PV234" i="1"/>
  <c r="OJ234" i="1"/>
  <c r="LE234" i="1"/>
  <c r="IT234" i="1"/>
  <c r="IP234" i="1"/>
  <c r="DY234" i="1"/>
  <c r="DX234" i="1"/>
  <c r="N234" i="1"/>
  <c r="G234" i="1"/>
  <c r="F234" i="1"/>
  <c r="AKN233" i="1"/>
  <c r="ADX233" i="1"/>
  <c r="ADU233" i="1"/>
  <c r="ACM233" i="1"/>
  <c r="ACI233" i="1"/>
  <c r="UM233" i="1"/>
  <c r="TA233" i="1"/>
  <c r="RX233" i="1"/>
  <c r="PY233" i="1"/>
  <c r="PV233" i="1"/>
  <c r="NG233" i="1"/>
  <c r="LE233" i="1"/>
  <c r="DY233" i="1"/>
  <c r="N233" i="1"/>
  <c r="G233" i="1"/>
  <c r="F233" i="1"/>
  <c r="AKN232" i="1"/>
  <c r="ADX232" i="1"/>
  <c r="ADU232" i="1"/>
  <c r="ACM232" i="1"/>
  <c r="ACI232" i="1"/>
  <c r="UM232" i="1"/>
  <c r="TA232" i="1"/>
  <c r="RX232" i="1"/>
  <c r="PY232" i="1"/>
  <c r="PV232" i="1"/>
  <c r="NG232" i="1"/>
  <c r="LE232" i="1"/>
  <c r="DY232" i="1"/>
  <c r="N232" i="1"/>
  <c r="G232" i="1"/>
  <c r="F232" i="1"/>
  <c r="PY231" i="1"/>
  <c r="PV231" i="1"/>
  <c r="ON231" i="1"/>
  <c r="OJ231" i="1"/>
  <c r="LE231" i="1"/>
  <c r="JS231" i="1"/>
  <c r="IP231" i="1"/>
  <c r="DY231" i="1"/>
  <c r="N231" i="1"/>
  <c r="G231" i="1"/>
  <c r="F231" i="1"/>
  <c r="AKN230" i="1"/>
  <c r="ADX230" i="1"/>
  <c r="ADU230" i="1"/>
  <c r="ACM230" i="1"/>
  <c r="ACI230" i="1"/>
  <c r="UM230" i="1"/>
  <c r="TA230" i="1"/>
  <c r="RX230" i="1"/>
  <c r="PY230" i="1"/>
  <c r="PV230" i="1"/>
  <c r="NG230" i="1"/>
  <c r="LE230" i="1"/>
  <c r="DY230" i="1"/>
  <c r="N230" i="1"/>
  <c r="G230" i="1"/>
  <c r="F230" i="1"/>
  <c r="ADX229" i="1"/>
  <c r="ADU229" i="1"/>
  <c r="ACM229" i="1"/>
  <c r="ACI229" i="1"/>
  <c r="UM229" i="1"/>
  <c r="TA229" i="1"/>
  <c r="RX229" i="1"/>
  <c r="PY229" i="1"/>
  <c r="PV229" i="1"/>
  <c r="NG229" i="1"/>
  <c r="LE229" i="1"/>
  <c r="DY229" i="1"/>
  <c r="N229" i="1"/>
  <c r="G229" i="1"/>
  <c r="F229" i="1"/>
  <c r="ADX228" i="1"/>
  <c r="ADU228" i="1"/>
  <c r="ABF228" i="1"/>
  <c r="UP228" i="1"/>
  <c r="UM228" i="1"/>
  <c r="RX228" i="1"/>
  <c r="PY228" i="1"/>
  <c r="PV228" i="1"/>
  <c r="ON228" i="1"/>
  <c r="OJ228" i="1"/>
  <c r="GN228" i="1"/>
  <c r="N228" i="1"/>
  <c r="G228" i="1"/>
  <c r="F228" i="1"/>
  <c r="SF227" i="1"/>
  <c r="SB227" i="1"/>
  <c r="NG227" i="1"/>
  <c r="IT227" i="1"/>
  <c r="IS227" i="1"/>
  <c r="GN227" i="1"/>
  <c r="EC227" i="1"/>
  <c r="DY227" i="1"/>
  <c r="N227" i="1"/>
  <c r="G227" i="1"/>
  <c r="F227" i="1"/>
  <c r="AKR226" i="1"/>
  <c r="AKQ226" i="1"/>
  <c r="AIL226" i="1"/>
  <c r="AGA226" i="1"/>
  <c r="AFW226" i="1"/>
  <c r="ADX226" i="1"/>
  <c r="ADU226" i="1"/>
  <c r="ACI226" i="1"/>
  <c r="ZD226" i="1"/>
  <c r="WW226" i="1"/>
  <c r="WS226" i="1"/>
  <c r="WO226" i="1"/>
  <c r="UP226" i="1"/>
  <c r="ON226" i="1"/>
  <c r="OJ226" i="1"/>
  <c r="NO226" i="1"/>
  <c r="LE226" i="1"/>
  <c r="IP226" i="1"/>
  <c r="GN226" i="1"/>
  <c r="N226" i="1"/>
  <c r="G226" i="1"/>
  <c r="F226" i="1"/>
  <c r="SB225" i="1"/>
  <c r="SA225" i="1"/>
  <c r="PV225" i="1"/>
  <c r="NK225" i="1"/>
  <c r="NG225" i="1"/>
  <c r="LH225" i="1"/>
  <c r="LE225" i="1"/>
  <c r="JS225" i="1"/>
  <c r="GQ225" i="1"/>
  <c r="N225" i="1"/>
  <c r="G225" i="1"/>
  <c r="F225" i="1"/>
  <c r="AKV224" i="1"/>
  <c r="AKR224" i="1"/>
  <c r="AFW224" i="1"/>
  <c r="ABJ224" i="1"/>
  <c r="ABI224" i="1"/>
  <c r="ZD224" i="1"/>
  <c r="WS224" i="1"/>
  <c r="WO224" i="1"/>
  <c r="UM224" i="1"/>
  <c r="SF224" i="1"/>
  <c r="SB224" i="1"/>
  <c r="RX224" i="1"/>
  <c r="PY224" i="1"/>
  <c r="JW224" i="1"/>
  <c r="JS224" i="1"/>
  <c r="IX224" i="1"/>
  <c r="GN224" i="1"/>
  <c r="DY224" i="1"/>
  <c r="N224" i="1"/>
  <c r="G224" i="1"/>
  <c r="F224" i="1"/>
  <c r="SF223" i="1"/>
  <c r="SB223" i="1"/>
  <c r="PV223" i="1"/>
  <c r="NK223" i="1"/>
  <c r="NG223" i="1"/>
  <c r="LE223" i="1"/>
  <c r="IX223" i="1"/>
  <c r="IT223" i="1"/>
  <c r="IP223" i="1"/>
  <c r="GQ223" i="1"/>
  <c r="N223" i="1"/>
  <c r="G223" i="1"/>
  <c r="F223" i="1"/>
  <c r="AKV222" i="1"/>
  <c r="AKR222" i="1"/>
  <c r="AFW222" i="1"/>
  <c r="ABJ222" i="1"/>
  <c r="ABI222" i="1"/>
  <c r="ZD222" i="1"/>
  <c r="WS222" i="1"/>
  <c r="WO222" i="1"/>
  <c r="UP222" i="1"/>
  <c r="UM222" i="1"/>
  <c r="TA222" i="1"/>
  <c r="PV222" i="1"/>
  <c r="NO222" i="1"/>
  <c r="NK222" i="1"/>
  <c r="NG222" i="1"/>
  <c r="LH222" i="1"/>
  <c r="FF222" i="1"/>
  <c r="FB222" i="1"/>
  <c r="EG222" i="1"/>
  <c r="N222" i="1"/>
  <c r="G222" i="1"/>
  <c r="F222" i="1"/>
  <c r="AKR221" i="1"/>
  <c r="AKQ221" i="1"/>
  <c r="AIL221" i="1"/>
  <c r="AGA221" i="1"/>
  <c r="AFW221" i="1"/>
  <c r="ADX221" i="1"/>
  <c r="ADU221" i="1"/>
  <c r="ACI221" i="1"/>
  <c r="ZD221" i="1"/>
  <c r="WW221" i="1"/>
  <c r="WS221" i="1"/>
  <c r="WO221" i="1"/>
  <c r="UP221" i="1"/>
  <c r="ON221" i="1"/>
  <c r="OJ221" i="1"/>
  <c r="NO221" i="1"/>
  <c r="LE221" i="1"/>
  <c r="IP221" i="1"/>
  <c r="GN221" i="1"/>
  <c r="N221" i="1"/>
  <c r="G221" i="1"/>
  <c r="F221" i="1"/>
  <c r="AGE220" i="1"/>
  <c r="AGA220" i="1"/>
  <c r="ABF220" i="1"/>
  <c r="WS220" i="1"/>
  <c r="WR220" i="1"/>
  <c r="SB220" i="1"/>
  <c r="SA220" i="1"/>
  <c r="PY220" i="1"/>
  <c r="JW220" i="1"/>
  <c r="JS220" i="1"/>
  <c r="IX220" i="1"/>
  <c r="GN220" i="1"/>
  <c r="DY220" i="1"/>
  <c r="N220" i="1"/>
  <c r="G220" i="1"/>
  <c r="F220" i="1"/>
  <c r="ABN219" i="1"/>
  <c r="ABJ219" i="1"/>
  <c r="WO219" i="1"/>
  <c r="SB219" i="1"/>
  <c r="SA219" i="1"/>
  <c r="PV219" i="1"/>
  <c r="NK219" i="1"/>
  <c r="NG219" i="1"/>
  <c r="LH219" i="1"/>
  <c r="GN219" i="1"/>
  <c r="N219" i="1"/>
  <c r="G219" i="1"/>
  <c r="F219" i="1"/>
  <c r="SF218" i="1"/>
  <c r="SB218" i="1"/>
  <c r="NG218" i="1"/>
  <c r="LH218" i="1"/>
  <c r="LE218" i="1"/>
  <c r="JS218" i="1"/>
  <c r="GQ218" i="1"/>
  <c r="N218" i="1"/>
  <c r="G218" i="1"/>
  <c r="F218" i="1"/>
  <c r="AFW217" i="1"/>
  <c r="ABJ217" i="1"/>
  <c r="ABI217" i="1"/>
  <c r="ZG217" i="1"/>
  <c r="ZD217" i="1"/>
  <c r="XR217" i="1"/>
  <c r="UP217" i="1"/>
  <c r="ON217" i="1"/>
  <c r="OJ217" i="1"/>
  <c r="NO217" i="1"/>
  <c r="LE217" i="1"/>
  <c r="IP217" i="1"/>
  <c r="GN217" i="1"/>
  <c r="N217" i="1"/>
  <c r="G217" i="1"/>
  <c r="F217" i="1"/>
  <c r="AIL216" i="1"/>
  <c r="AGA216" i="1"/>
  <c r="AFW216" i="1"/>
  <c r="ADX216" i="1"/>
  <c r="ADU216" i="1"/>
  <c r="ACI216" i="1"/>
  <c r="ZD216" i="1"/>
  <c r="WW216" i="1"/>
  <c r="WS216" i="1"/>
  <c r="WO216" i="1"/>
  <c r="UP216" i="1"/>
  <c r="ON216" i="1"/>
  <c r="OJ216" i="1"/>
  <c r="NO216" i="1"/>
  <c r="LE216" i="1"/>
  <c r="IP216" i="1"/>
  <c r="GN216" i="1"/>
  <c r="N216" i="1"/>
  <c r="G216" i="1"/>
  <c r="F216" i="1"/>
  <c r="WW215" i="1"/>
  <c r="WS215" i="1"/>
  <c r="RX215" i="1"/>
  <c r="NK215" i="1"/>
  <c r="NJ215" i="1"/>
  <c r="LH215" i="1"/>
  <c r="LE215" i="1"/>
  <c r="JS215" i="1"/>
  <c r="GQ215" i="1"/>
  <c r="N215" i="1"/>
  <c r="G215" i="1"/>
  <c r="F215" i="1"/>
  <c r="AGE214" i="1"/>
  <c r="AGA214" i="1"/>
  <c r="ABF214" i="1"/>
  <c r="WS214" i="1"/>
  <c r="WR214" i="1"/>
  <c r="UP214" i="1"/>
  <c r="ON214" i="1"/>
  <c r="OJ214" i="1"/>
  <c r="NO214" i="1"/>
  <c r="LE214" i="1"/>
  <c r="IP214" i="1"/>
  <c r="GN214" i="1"/>
  <c r="N214" i="1"/>
  <c r="G214" i="1"/>
  <c r="F214" i="1"/>
  <c r="AKR213" i="1"/>
  <c r="AKN213" i="1"/>
  <c r="AIL213" i="1"/>
  <c r="ABF213" i="1"/>
  <c r="WO213" i="1"/>
  <c r="PV213" i="1"/>
  <c r="IP213" i="1"/>
  <c r="N213" i="1"/>
  <c r="G213" i="1"/>
  <c r="F213" i="1"/>
  <c r="TA212" i="1"/>
  <c r="SB212" i="1"/>
  <c r="RX212" i="1"/>
  <c r="PV212" i="1"/>
  <c r="OJ212" i="1"/>
  <c r="JS212" i="1"/>
  <c r="IP212" i="1"/>
  <c r="GN212" i="1"/>
  <c r="DY212" i="1"/>
  <c r="N212" i="1"/>
  <c r="G212" i="1"/>
  <c r="F212" i="1"/>
  <c r="TA211" i="1"/>
  <c r="SB211" i="1"/>
  <c r="RX211" i="1"/>
  <c r="PV211" i="1"/>
  <c r="OJ211" i="1"/>
  <c r="JS211" i="1"/>
  <c r="IP211" i="1"/>
  <c r="GN211" i="1"/>
  <c r="DY211" i="1"/>
  <c r="N211" i="1"/>
  <c r="G211" i="1"/>
  <c r="F211" i="1"/>
  <c r="TA210" i="1"/>
  <c r="SB210" i="1"/>
  <c r="RX210" i="1"/>
  <c r="PV210" i="1"/>
  <c r="OJ210" i="1"/>
  <c r="JS210" i="1"/>
  <c r="IP210" i="1"/>
  <c r="GN210" i="1"/>
  <c r="DY210" i="1"/>
  <c r="N210" i="1"/>
  <c r="G210" i="1"/>
  <c r="F210" i="1"/>
  <c r="TA209" i="1"/>
  <c r="SB209" i="1"/>
  <c r="RX209" i="1"/>
  <c r="PV209" i="1"/>
  <c r="OJ209" i="1"/>
  <c r="JS209" i="1"/>
  <c r="IP209" i="1"/>
  <c r="GN209" i="1"/>
  <c r="DY209" i="1"/>
  <c r="N209" i="1"/>
  <c r="G209" i="1"/>
  <c r="F209" i="1"/>
  <c r="TA208" i="1"/>
  <c r="SB208" i="1"/>
  <c r="RX208" i="1"/>
  <c r="PV208" i="1"/>
  <c r="OJ208" i="1"/>
  <c r="JS208" i="1"/>
  <c r="IP208" i="1"/>
  <c r="GN208" i="1"/>
  <c r="DY208" i="1"/>
  <c r="N208" i="1"/>
  <c r="G208" i="1"/>
  <c r="F208" i="1"/>
  <c r="TA207" i="1"/>
  <c r="SB207" i="1"/>
  <c r="RX207" i="1"/>
  <c r="PV207" i="1"/>
  <c r="OJ207" i="1"/>
  <c r="JS207" i="1"/>
  <c r="IP207" i="1"/>
  <c r="GN207" i="1"/>
  <c r="DY207" i="1"/>
  <c r="N207" i="1"/>
  <c r="G207" i="1"/>
  <c r="F207" i="1"/>
  <c r="TA206" i="1"/>
  <c r="SB206" i="1"/>
  <c r="RX206" i="1"/>
  <c r="PV206" i="1"/>
  <c r="OJ206" i="1"/>
  <c r="JS206" i="1"/>
  <c r="IP206" i="1"/>
  <c r="GN206" i="1"/>
  <c r="DY206" i="1"/>
  <c r="N206" i="1"/>
  <c r="G206" i="1"/>
  <c r="F206" i="1"/>
  <c r="TA205" i="1"/>
  <c r="SB205" i="1"/>
  <c r="RX205" i="1"/>
  <c r="PV205" i="1"/>
  <c r="OJ205" i="1"/>
  <c r="JS205" i="1"/>
  <c r="IP205" i="1"/>
  <c r="GN205" i="1"/>
  <c r="DY205" i="1"/>
  <c r="N205" i="1"/>
  <c r="G205" i="1"/>
  <c r="F205" i="1"/>
  <c r="AIL204" i="1"/>
  <c r="ADU204" i="1"/>
  <c r="ZD204" i="1"/>
  <c r="WO204" i="1"/>
  <c r="UM204" i="1"/>
  <c r="PV204" i="1"/>
  <c r="ON204" i="1"/>
  <c r="LE204" i="1"/>
  <c r="IP204" i="1"/>
  <c r="N204" i="1"/>
  <c r="G204" i="1"/>
  <c r="F204" i="1"/>
  <c r="TA203" i="1"/>
  <c r="SB203" i="1"/>
  <c r="RX203" i="1"/>
  <c r="PV203" i="1"/>
  <c r="OJ203" i="1"/>
  <c r="JS203" i="1"/>
  <c r="IP203" i="1"/>
  <c r="GN203" i="1"/>
  <c r="DY203" i="1"/>
  <c r="N203" i="1"/>
  <c r="G203" i="1"/>
  <c r="F203" i="1"/>
  <c r="TA202" i="1"/>
  <c r="SB202" i="1"/>
  <c r="RX202" i="1"/>
  <c r="PV202" i="1"/>
  <c r="OJ202" i="1"/>
  <c r="JS202" i="1"/>
  <c r="IP202" i="1"/>
  <c r="GN202" i="1"/>
  <c r="DY202" i="1"/>
  <c r="N202" i="1"/>
  <c r="G202" i="1"/>
  <c r="F202" i="1"/>
  <c r="AIL201" i="1"/>
  <c r="ADU201" i="1"/>
  <c r="ZD201" i="1"/>
  <c r="UM201" i="1"/>
  <c r="TE201" i="1"/>
  <c r="PV201" i="1"/>
  <c r="OJ201" i="1"/>
  <c r="LE201" i="1"/>
  <c r="IP201" i="1"/>
  <c r="N201" i="1"/>
  <c r="G201" i="1"/>
  <c r="F201" i="1"/>
  <c r="AIL200" i="1"/>
  <c r="ADU200" i="1"/>
  <c r="ABF200" i="1"/>
  <c r="ZD200" i="1"/>
  <c r="UM200" i="1"/>
  <c r="PV200" i="1"/>
  <c r="LE200" i="1"/>
  <c r="JW200" i="1"/>
  <c r="GN200" i="1"/>
  <c r="FB200" i="1"/>
  <c r="N200" i="1"/>
  <c r="G200" i="1"/>
  <c r="F200" i="1"/>
  <c r="UM199" i="1"/>
  <c r="LE199" i="1"/>
  <c r="JS199" i="1"/>
  <c r="IP199" i="1"/>
  <c r="GN199" i="1"/>
  <c r="N199" i="1"/>
  <c r="G199" i="1"/>
  <c r="F199" i="1"/>
  <c r="AIL198" i="1"/>
  <c r="ADU198" i="1"/>
  <c r="ABF198" i="1"/>
  <c r="ZD198" i="1"/>
  <c r="UM198" i="1"/>
  <c r="PV198" i="1"/>
  <c r="LE198" i="1"/>
  <c r="JW198" i="1"/>
  <c r="GN198" i="1"/>
  <c r="FB198" i="1"/>
  <c r="N198" i="1"/>
  <c r="G198" i="1"/>
  <c r="F198" i="1"/>
  <c r="ADU197" i="1"/>
  <c r="ZD197" i="1"/>
  <c r="UM197" i="1"/>
  <c r="PV197" i="1"/>
  <c r="LE197" i="1"/>
  <c r="IP197" i="1"/>
  <c r="GN197" i="1"/>
  <c r="DY197" i="1"/>
  <c r="N197" i="1"/>
  <c r="G197" i="1"/>
  <c r="F197" i="1"/>
  <c r="AIL196" i="1"/>
  <c r="AFW196" i="1"/>
  <c r="ADU196" i="1"/>
  <c r="ZD196" i="1"/>
  <c r="UM196" i="1"/>
  <c r="PV196" i="1"/>
  <c r="OJ196" i="1"/>
  <c r="LE196" i="1"/>
  <c r="IP196" i="1"/>
  <c r="N196" i="1"/>
  <c r="G196" i="1"/>
  <c r="F196" i="1"/>
  <c r="ALQ195" i="1"/>
  <c r="AKN195" i="1"/>
  <c r="ADU195" i="1"/>
  <c r="ZD195" i="1"/>
  <c r="XE195" i="1"/>
  <c r="WW195" i="1"/>
  <c r="WO195" i="1"/>
  <c r="UM195" i="1"/>
  <c r="PV195" i="1"/>
  <c r="NK195" i="1"/>
  <c r="NG195" i="1"/>
  <c r="LH195" i="1"/>
  <c r="LE195" i="1"/>
  <c r="KA195" i="1"/>
  <c r="JW195" i="1"/>
  <c r="GN195" i="1"/>
  <c r="FN195" i="1"/>
  <c r="FJ195" i="1"/>
  <c r="FF195" i="1"/>
  <c r="N195" i="1"/>
  <c r="G195" i="1"/>
  <c r="F195" i="1"/>
  <c r="WO194" i="1"/>
  <c r="PV194" i="1"/>
  <c r="JS194" i="1"/>
  <c r="IP194" i="1"/>
  <c r="N194" i="1"/>
  <c r="G194" i="1"/>
  <c r="F194" i="1"/>
  <c r="AIO193" i="1"/>
  <c r="AIL193" i="1"/>
  <c r="AHH193" i="1"/>
  <c r="ADX193" i="1"/>
  <c r="ADU193" i="1"/>
  <c r="ZD193" i="1"/>
  <c r="UM193" i="1"/>
  <c r="SB193" i="1"/>
  <c r="RX193" i="1"/>
  <c r="PY193" i="1"/>
  <c r="PV193" i="1"/>
  <c r="NG193" i="1"/>
  <c r="LH193" i="1"/>
  <c r="LE193" i="1"/>
  <c r="KA193" i="1"/>
  <c r="JW193" i="1"/>
  <c r="GN193" i="1"/>
  <c r="FN193" i="1"/>
  <c r="FJ193" i="1"/>
  <c r="FF193" i="1"/>
  <c r="N193" i="1"/>
  <c r="G193" i="1"/>
  <c r="F193" i="1"/>
  <c r="ADU192" i="1"/>
  <c r="ACI192" i="1"/>
  <c r="ZD192" i="1"/>
  <c r="UP192" i="1"/>
  <c r="UM192" i="1"/>
  <c r="PY192" i="1"/>
  <c r="PV192" i="1"/>
  <c r="NG192" i="1"/>
  <c r="LH192" i="1"/>
  <c r="LE192" i="1"/>
  <c r="KA192" i="1"/>
  <c r="JW192" i="1"/>
  <c r="GN192" i="1"/>
  <c r="FN192" i="1"/>
  <c r="FJ192" i="1"/>
  <c r="FF192" i="1"/>
  <c r="N192" i="1"/>
  <c r="G192" i="1"/>
  <c r="F192" i="1"/>
  <c r="AIO191" i="1"/>
  <c r="ADU191" i="1"/>
  <c r="ZD191" i="1"/>
  <c r="UM191" i="1"/>
  <c r="PY191" i="1"/>
  <c r="PV191" i="1"/>
  <c r="LE191" i="1"/>
  <c r="GN191" i="1"/>
  <c r="N191" i="1"/>
  <c r="G191" i="1"/>
  <c r="F191" i="1"/>
  <c r="AIL190" i="1"/>
  <c r="ADU190" i="1"/>
  <c r="ZG190" i="1"/>
  <c r="UM190" i="1"/>
  <c r="PV190" i="1"/>
  <c r="LE190" i="1"/>
  <c r="GN190" i="1"/>
  <c r="N190" i="1"/>
  <c r="G190" i="1"/>
  <c r="F190" i="1"/>
  <c r="ADU189" i="1"/>
  <c r="ABF189" i="1"/>
  <c r="ZD189" i="1"/>
  <c r="UM189" i="1"/>
  <c r="PV189" i="1"/>
  <c r="LE189" i="1"/>
  <c r="GQ189" i="1"/>
  <c r="GN189" i="1"/>
  <c r="N189" i="1"/>
  <c r="G189" i="1"/>
  <c r="F189" i="1"/>
  <c r="AKN188" i="1"/>
  <c r="AGA188" i="1"/>
  <c r="AFW188" i="1"/>
  <c r="ADU188" i="1"/>
  <c r="ABN188" i="1"/>
  <c r="ABJ188" i="1"/>
  <c r="ABF188" i="1"/>
  <c r="ZG188" i="1"/>
  <c r="ZD188" i="1"/>
  <c r="WS188" i="1"/>
  <c r="WO188" i="1"/>
  <c r="UM188" i="1"/>
  <c r="RX188" i="1"/>
  <c r="PV188" i="1"/>
  <c r="NG188" i="1"/>
  <c r="FB188" i="1"/>
  <c r="N188" i="1"/>
  <c r="G188" i="1"/>
  <c r="F188" i="1"/>
  <c r="AKN187" i="1"/>
  <c r="AGA187" i="1"/>
  <c r="AFW187" i="1"/>
  <c r="ADU187" i="1"/>
  <c r="ABN187" i="1"/>
  <c r="ABJ187" i="1"/>
  <c r="ABF187" i="1"/>
  <c r="ZG187" i="1"/>
  <c r="ZD187" i="1"/>
  <c r="WS187" i="1"/>
  <c r="WO187" i="1"/>
  <c r="UM187" i="1"/>
  <c r="RX187" i="1"/>
  <c r="PV187" i="1"/>
  <c r="NG187" i="1"/>
  <c r="FB187" i="1"/>
  <c r="N187" i="1"/>
  <c r="G187" i="1"/>
  <c r="F187" i="1"/>
  <c r="AKN186" i="1"/>
  <c r="AIL186" i="1"/>
  <c r="AFW186" i="1"/>
  <c r="ABJ186" i="1"/>
  <c r="ABF186" i="1"/>
  <c r="ZD186" i="1"/>
  <c r="WW186" i="1"/>
  <c r="WS186" i="1"/>
  <c r="WO186" i="1"/>
  <c r="UP186" i="1"/>
  <c r="UM186" i="1"/>
  <c r="SB186" i="1"/>
  <c r="RX186" i="1"/>
  <c r="PV186" i="1"/>
  <c r="NG186" i="1"/>
  <c r="LE186" i="1"/>
  <c r="IP186" i="1"/>
  <c r="N186" i="1"/>
  <c r="G186" i="1"/>
  <c r="F186" i="1"/>
  <c r="AKN185" i="1"/>
  <c r="AIL185" i="1"/>
  <c r="AFW185" i="1"/>
  <c r="ABJ185" i="1"/>
  <c r="ABF185" i="1"/>
  <c r="ZD185" i="1"/>
  <c r="WW185" i="1"/>
  <c r="WS185" i="1"/>
  <c r="WO185" i="1"/>
  <c r="UP185" i="1"/>
  <c r="UM185" i="1"/>
  <c r="SB185" i="1"/>
  <c r="RX185" i="1"/>
  <c r="PV185" i="1"/>
  <c r="NG185" i="1"/>
  <c r="LE185" i="1"/>
  <c r="IP185" i="1"/>
  <c r="N185" i="1"/>
  <c r="G185" i="1"/>
  <c r="F185" i="1"/>
  <c r="AKN184" i="1"/>
  <c r="AGA184" i="1"/>
  <c r="AFW184" i="1"/>
  <c r="ADU184" i="1"/>
  <c r="ABN184" i="1"/>
  <c r="ABJ184" i="1"/>
  <c r="ABF184" i="1"/>
  <c r="ZG184" i="1"/>
  <c r="ZD184" i="1"/>
  <c r="WS184" i="1"/>
  <c r="WO184" i="1"/>
  <c r="UM184" i="1"/>
  <c r="RX184" i="1"/>
  <c r="PV184" i="1"/>
  <c r="NG184" i="1"/>
  <c r="FB184" i="1"/>
  <c r="N184" i="1"/>
  <c r="G184" i="1"/>
  <c r="F184" i="1"/>
  <c r="AKN183" i="1"/>
  <c r="AGA183" i="1"/>
  <c r="AFW183" i="1"/>
  <c r="ADU183" i="1"/>
  <c r="ABN183" i="1"/>
  <c r="ABJ183" i="1"/>
  <c r="ABF183" i="1"/>
  <c r="ZG183" i="1"/>
  <c r="ZD183" i="1"/>
  <c r="WS183" i="1"/>
  <c r="WO183" i="1"/>
  <c r="UM183" i="1"/>
  <c r="RX183" i="1"/>
  <c r="PV183" i="1"/>
  <c r="NG183" i="1"/>
  <c r="FB183" i="1"/>
  <c r="N183" i="1"/>
  <c r="G183" i="1"/>
  <c r="F183" i="1"/>
  <c r="AKN182" i="1"/>
  <c r="AGA182" i="1"/>
  <c r="AFW182" i="1"/>
  <c r="ADU182" i="1"/>
  <c r="ABN182" i="1"/>
  <c r="ABJ182" i="1"/>
  <c r="ABF182" i="1"/>
  <c r="ZG182" i="1"/>
  <c r="ZD182" i="1"/>
  <c r="WS182" i="1"/>
  <c r="WO182" i="1"/>
  <c r="UM182" i="1"/>
  <c r="RX182" i="1"/>
  <c r="PV182" i="1"/>
  <c r="NG182" i="1"/>
  <c r="FB182" i="1"/>
  <c r="N182" i="1"/>
  <c r="G182" i="1"/>
  <c r="F182" i="1"/>
  <c r="AKN181" i="1"/>
  <c r="AIL181" i="1"/>
  <c r="AFW181" i="1"/>
  <c r="ABJ181" i="1"/>
  <c r="ABF181" i="1"/>
  <c r="ZD181" i="1"/>
  <c r="WW181" i="1"/>
  <c r="WS181" i="1"/>
  <c r="WO181" i="1"/>
  <c r="UP181" i="1"/>
  <c r="UM181" i="1"/>
  <c r="SB181" i="1"/>
  <c r="RX181" i="1"/>
  <c r="PV181" i="1"/>
  <c r="NG181" i="1"/>
  <c r="LE181" i="1"/>
  <c r="IP181" i="1"/>
  <c r="N181" i="1"/>
  <c r="G181" i="1"/>
  <c r="F181" i="1"/>
  <c r="ALU180" i="1"/>
  <c r="ALQ180" i="1"/>
  <c r="AIL180" i="1"/>
  <c r="AFW180" i="1"/>
  <c r="ADU180" i="1"/>
  <c r="ABF180" i="1"/>
  <c r="WS180" i="1"/>
  <c r="WO180" i="1"/>
  <c r="UM180" i="1"/>
  <c r="SF180" i="1"/>
  <c r="SB180" i="1"/>
  <c r="RX180" i="1"/>
  <c r="PY180" i="1"/>
  <c r="PV180" i="1"/>
  <c r="NK180" i="1"/>
  <c r="NG180" i="1"/>
  <c r="LE180" i="1"/>
  <c r="IP180" i="1"/>
  <c r="FB180" i="1"/>
  <c r="N180" i="1"/>
  <c r="G180" i="1"/>
  <c r="F180" i="1"/>
  <c r="AKN179" i="1"/>
  <c r="AGA179" i="1"/>
  <c r="AFW179" i="1"/>
  <c r="ADU179" i="1"/>
  <c r="ABN179" i="1"/>
  <c r="ABJ179" i="1"/>
  <c r="ABF179" i="1"/>
  <c r="ZG179" i="1"/>
  <c r="ZD179" i="1"/>
  <c r="WS179" i="1"/>
  <c r="WO179" i="1"/>
  <c r="UM179" i="1"/>
  <c r="RX179" i="1"/>
  <c r="PV179" i="1"/>
  <c r="NG179" i="1"/>
  <c r="FB179" i="1"/>
  <c r="N179" i="1"/>
  <c r="G179" i="1"/>
  <c r="F179" i="1"/>
  <c r="WO178" i="1"/>
  <c r="TA178" i="1"/>
  <c r="RX178" i="1"/>
  <c r="PY178" i="1"/>
  <c r="PV178" i="1"/>
  <c r="NG178" i="1"/>
  <c r="LH178" i="1"/>
  <c r="LE178" i="1"/>
  <c r="JS178" i="1"/>
  <c r="N178" i="1"/>
  <c r="G178" i="1"/>
  <c r="F178" i="1"/>
  <c r="WO177" i="1"/>
  <c r="PV177" i="1"/>
  <c r="JS177" i="1"/>
  <c r="IP177" i="1"/>
  <c r="N177" i="1"/>
  <c r="G177" i="1"/>
  <c r="F177" i="1"/>
  <c r="WO176" i="1"/>
  <c r="TA176" i="1"/>
  <c r="RX176" i="1"/>
  <c r="PY176" i="1"/>
  <c r="PV176" i="1"/>
  <c r="NG176" i="1"/>
  <c r="LH176" i="1"/>
  <c r="LE176" i="1"/>
  <c r="JS176" i="1"/>
  <c r="N176" i="1"/>
  <c r="G176" i="1"/>
  <c r="F176" i="1"/>
  <c r="AKN175" i="1"/>
  <c r="ADX175" i="1"/>
  <c r="ADU175" i="1"/>
  <c r="ACM175" i="1"/>
  <c r="ACI175" i="1"/>
  <c r="UM175" i="1"/>
  <c r="TA175" i="1"/>
  <c r="RX175" i="1"/>
  <c r="PY175" i="1"/>
  <c r="PV175" i="1"/>
  <c r="NG175" i="1"/>
  <c r="LE175" i="1"/>
  <c r="DY175" i="1"/>
  <c r="N175" i="1"/>
  <c r="G175" i="1"/>
  <c r="F175" i="1"/>
  <c r="UP174" i="1"/>
  <c r="UM174" i="1"/>
  <c r="RX174" i="1"/>
  <c r="LH174" i="1"/>
  <c r="LE174" i="1"/>
  <c r="JW174" i="1"/>
  <c r="JS174" i="1"/>
  <c r="N174" i="1"/>
  <c r="G174" i="1"/>
  <c r="F174" i="1"/>
  <c r="AKN173" i="1"/>
  <c r="ADX173" i="1"/>
  <c r="ADU173" i="1"/>
  <c r="ACM173" i="1"/>
  <c r="ACI173" i="1"/>
  <c r="UM173" i="1"/>
  <c r="TA173" i="1"/>
  <c r="RX173" i="1"/>
  <c r="PY173" i="1"/>
  <c r="PV173" i="1"/>
  <c r="NG173" i="1"/>
  <c r="LE173" i="1"/>
  <c r="DY173" i="1"/>
  <c r="N173" i="1"/>
  <c r="G173" i="1"/>
  <c r="F173" i="1"/>
  <c r="UP172" i="1"/>
  <c r="UM172" i="1"/>
  <c r="RX172" i="1"/>
  <c r="LH172" i="1"/>
  <c r="LE172" i="1"/>
  <c r="JW172" i="1"/>
  <c r="JS172" i="1"/>
  <c r="GN172" i="1"/>
  <c r="FB172" i="1"/>
  <c r="DY172" i="1"/>
  <c r="N172" i="1"/>
  <c r="G172" i="1"/>
  <c r="F172" i="1"/>
  <c r="LE171" i="1"/>
  <c r="JS171" i="1"/>
  <c r="IP171" i="1"/>
  <c r="DY171" i="1"/>
  <c r="N171" i="1"/>
  <c r="G171" i="1"/>
  <c r="F171" i="1"/>
  <c r="AIL170" i="1"/>
  <c r="AFW170" i="1"/>
  <c r="ADU170" i="1"/>
  <c r="ZD170" i="1"/>
  <c r="WS170" i="1"/>
  <c r="WO170" i="1"/>
  <c r="UM170" i="1"/>
  <c r="SF170" i="1"/>
  <c r="PV170" i="1"/>
  <c r="OJ170" i="1"/>
  <c r="NK170" i="1"/>
  <c r="NG170" i="1"/>
  <c r="IP170" i="1"/>
  <c r="FB170" i="1"/>
  <c r="N170" i="1"/>
  <c r="G170" i="1"/>
  <c r="F170" i="1"/>
  <c r="OJ169" i="1"/>
  <c r="LE169" i="1"/>
  <c r="GN169" i="1"/>
  <c r="N169" i="1"/>
  <c r="G169" i="1"/>
  <c r="F169" i="1"/>
  <c r="N168" i="1"/>
  <c r="G168" i="1"/>
  <c r="F168" i="1"/>
  <c r="N167" i="1"/>
  <c r="G167" i="1"/>
  <c r="F167" i="1"/>
  <c r="AIO166" i="1"/>
  <c r="ADU166" i="1"/>
  <c r="ZD166" i="1"/>
  <c r="UM166" i="1"/>
  <c r="PY166" i="1"/>
  <c r="PV166" i="1"/>
  <c r="LE166" i="1"/>
  <c r="GN166" i="1"/>
  <c r="N166" i="1"/>
  <c r="G166" i="1"/>
  <c r="F166" i="1"/>
  <c r="AIL165" i="1"/>
  <c r="ADU165" i="1"/>
  <c r="ABF165" i="1"/>
  <c r="ZD165" i="1"/>
  <c r="UM165" i="1"/>
  <c r="SB165" i="1"/>
  <c r="RX165" i="1"/>
  <c r="PV165" i="1"/>
  <c r="NO165" i="1"/>
  <c r="LE165" i="1"/>
  <c r="JS165" i="1"/>
  <c r="IT165" i="1"/>
  <c r="IP165" i="1"/>
  <c r="DY165" i="1"/>
  <c r="N165" i="1"/>
  <c r="G165" i="1"/>
  <c r="F165" i="1"/>
  <c r="AGZ164" i="1"/>
  <c r="ADU164" i="1"/>
  <c r="ACI164" i="1"/>
  <c r="ABF164" i="1"/>
  <c r="ZG164" i="1"/>
  <c r="ZD164" i="1"/>
  <c r="SB164" i="1"/>
  <c r="PV164" i="1"/>
  <c r="LE164" i="1"/>
  <c r="IX164" i="1"/>
  <c r="IP164" i="1"/>
  <c r="IO164" i="1"/>
  <c r="GN164" i="1"/>
  <c r="N164" i="1"/>
  <c r="G164" i="1"/>
  <c r="F164" i="1"/>
  <c r="ZG163" i="1"/>
  <c r="ZD163" i="1"/>
  <c r="TA163" i="1"/>
  <c r="PV163" i="1"/>
  <c r="OJ163" i="1"/>
  <c r="NG163" i="1"/>
  <c r="LE163" i="1"/>
  <c r="GN163" i="1"/>
  <c r="N163" i="1"/>
  <c r="G163" i="1"/>
  <c r="F163" i="1"/>
  <c r="PV162" i="1"/>
  <c r="OJ162" i="1"/>
  <c r="NG162" i="1"/>
  <c r="LE162" i="1"/>
  <c r="EC162" i="1"/>
  <c r="N162" i="1"/>
  <c r="G162" i="1"/>
  <c r="F162" i="1"/>
  <c r="AGZ161" i="1"/>
  <c r="ADU161" i="1"/>
  <c r="ACI161" i="1"/>
  <c r="ABF161" i="1"/>
  <c r="ZG161" i="1"/>
  <c r="ZD161" i="1"/>
  <c r="SB161" i="1"/>
  <c r="PV161" i="1"/>
  <c r="LE161" i="1"/>
  <c r="IX161" i="1"/>
  <c r="IP161" i="1"/>
  <c r="IO161" i="1"/>
  <c r="GN161" i="1"/>
  <c r="N161" i="1"/>
  <c r="G161" i="1"/>
  <c r="F161" i="1"/>
  <c r="AGZ160" i="1"/>
  <c r="ADU160" i="1"/>
  <c r="ACI160" i="1"/>
  <c r="ABF160" i="1"/>
  <c r="ZG160" i="1"/>
  <c r="ZD160" i="1"/>
  <c r="SB160" i="1"/>
  <c r="PV160" i="1"/>
  <c r="LE160" i="1"/>
  <c r="IX160" i="1"/>
  <c r="IP160" i="1"/>
  <c r="IO160" i="1"/>
  <c r="GN160" i="1"/>
  <c r="N160" i="1"/>
  <c r="G160" i="1"/>
  <c r="F160" i="1"/>
  <c r="AGZ159" i="1"/>
  <c r="ADU159" i="1"/>
  <c r="ACI159" i="1"/>
  <c r="ABF159" i="1"/>
  <c r="ZG159" i="1"/>
  <c r="ZD159" i="1"/>
  <c r="SB159" i="1"/>
  <c r="PV159" i="1"/>
  <c r="LE159" i="1"/>
  <c r="IX159" i="1"/>
  <c r="IP159" i="1"/>
  <c r="IO159" i="1"/>
  <c r="GN159" i="1"/>
  <c r="N159" i="1"/>
  <c r="G159" i="1"/>
  <c r="F159" i="1"/>
  <c r="AIO158" i="1"/>
  <c r="AIL158" i="1"/>
  <c r="ACI158" i="1"/>
  <c r="ZD158" i="1"/>
  <c r="XR158" i="1"/>
  <c r="WO158" i="1"/>
  <c r="UP158" i="1"/>
  <c r="UM158" i="1"/>
  <c r="NK158" i="1"/>
  <c r="LE158" i="1"/>
  <c r="IX158" i="1"/>
  <c r="IP158" i="1"/>
  <c r="IO158" i="1"/>
  <c r="GN158" i="1"/>
  <c r="N158" i="1"/>
  <c r="G158" i="1"/>
  <c r="F158" i="1"/>
  <c r="AGZ157" i="1"/>
  <c r="ADU157" i="1"/>
  <c r="ACI157" i="1"/>
  <c r="ABF157" i="1"/>
  <c r="ZG157" i="1"/>
  <c r="ZD157" i="1"/>
  <c r="SB157" i="1"/>
  <c r="PV157" i="1"/>
  <c r="LE157" i="1"/>
  <c r="IX157" i="1"/>
  <c r="IP157" i="1"/>
  <c r="IO157" i="1"/>
  <c r="GN157" i="1"/>
  <c r="N157" i="1"/>
  <c r="G157" i="1"/>
  <c r="F157" i="1"/>
  <c r="AGA156" i="1"/>
  <c r="AFW156" i="1"/>
  <c r="ZD156" i="1"/>
  <c r="UM156" i="1"/>
  <c r="PV156" i="1"/>
  <c r="LE156" i="1"/>
  <c r="DY156" i="1"/>
  <c r="N156" i="1"/>
  <c r="G156" i="1"/>
  <c r="F156" i="1"/>
  <c r="AIL155" i="1"/>
  <c r="ADU155" i="1"/>
  <c r="ZD155" i="1"/>
  <c r="UM155" i="1"/>
  <c r="NG155" i="1"/>
  <c r="N155" i="1"/>
  <c r="G155" i="1"/>
  <c r="F155" i="1"/>
  <c r="ADU154" i="1"/>
  <c r="ZD154" i="1"/>
  <c r="UM154" i="1"/>
  <c r="PV154" i="1"/>
  <c r="IP154" i="1"/>
  <c r="N154" i="1"/>
  <c r="G154" i="1"/>
  <c r="F154" i="1"/>
  <c r="AIL153" i="1"/>
  <c r="ADU153" i="1"/>
  <c r="ZD153" i="1"/>
  <c r="UM153" i="1"/>
  <c r="NG153" i="1"/>
  <c r="N153" i="1"/>
  <c r="G153" i="1"/>
  <c r="F153" i="1"/>
  <c r="AIL152" i="1"/>
  <c r="ADU152" i="1"/>
  <c r="ZD152" i="1"/>
  <c r="UM152" i="1"/>
  <c r="NG152" i="1"/>
  <c r="N152" i="1"/>
  <c r="G152" i="1"/>
  <c r="F152" i="1"/>
  <c r="ADU151" i="1"/>
  <c r="ZD151" i="1"/>
  <c r="TE151" i="1"/>
  <c r="TA151" i="1"/>
  <c r="PV151" i="1"/>
  <c r="OJ151" i="1"/>
  <c r="JW151" i="1"/>
  <c r="JS151" i="1"/>
  <c r="GN151" i="1"/>
  <c r="FB151" i="1"/>
  <c r="N151" i="1"/>
  <c r="G151" i="1"/>
  <c r="F151" i="1"/>
  <c r="AHD150" i="1"/>
  <c r="AGZ150" i="1"/>
  <c r="ADU150" i="1"/>
  <c r="ACI150" i="1"/>
  <c r="XV150" i="1"/>
  <c r="XR150" i="1"/>
  <c r="UM150" i="1"/>
  <c r="TA150" i="1"/>
  <c r="PY150" i="1"/>
  <c r="PV150" i="1"/>
  <c r="NG150" i="1"/>
  <c r="LE150" i="1"/>
  <c r="IT150" i="1"/>
  <c r="IP150" i="1"/>
  <c r="EG150" i="1"/>
  <c r="DY150" i="1"/>
  <c r="N150" i="1"/>
  <c r="G150" i="1"/>
  <c r="F150" i="1"/>
  <c r="AKN149" i="1"/>
  <c r="AIL149" i="1"/>
  <c r="ADU149" i="1"/>
  <c r="ZD149" i="1"/>
  <c r="UM149" i="1"/>
  <c r="TE149" i="1"/>
  <c r="PV149" i="1"/>
  <c r="OJ149" i="1"/>
  <c r="LE149" i="1"/>
  <c r="IP149" i="1"/>
  <c r="N149" i="1"/>
  <c r="G149" i="1"/>
  <c r="F149" i="1"/>
  <c r="ZD148" i="1"/>
  <c r="UM148" i="1"/>
  <c r="PV148" i="1"/>
  <c r="LE148" i="1"/>
  <c r="IP148" i="1"/>
  <c r="N148" i="1"/>
  <c r="G148" i="1"/>
  <c r="F148" i="1"/>
  <c r="AIL147" i="1"/>
  <c r="ADU147" i="1"/>
  <c r="ABF147" i="1"/>
  <c r="ZD147" i="1"/>
  <c r="UM147" i="1"/>
  <c r="PV147" i="1"/>
  <c r="LE147" i="1"/>
  <c r="JW147" i="1"/>
  <c r="GN147" i="1"/>
  <c r="FB147" i="1"/>
  <c r="N147" i="1"/>
  <c r="G147" i="1"/>
  <c r="F147" i="1"/>
  <c r="ZD146" i="1"/>
  <c r="UM146" i="1"/>
  <c r="PV146" i="1"/>
  <c r="NG146" i="1"/>
  <c r="LE146" i="1"/>
  <c r="GN146" i="1"/>
  <c r="N146" i="1"/>
  <c r="G146" i="1"/>
  <c r="F146" i="1"/>
  <c r="AHD145" i="1"/>
  <c r="AGZ145" i="1"/>
  <c r="ADU145" i="1"/>
  <c r="ACI145" i="1"/>
  <c r="XV145" i="1"/>
  <c r="XR145" i="1"/>
  <c r="UM145" i="1"/>
  <c r="TA145" i="1"/>
  <c r="PY145" i="1"/>
  <c r="PV145" i="1"/>
  <c r="NG145" i="1"/>
  <c r="LE145" i="1"/>
  <c r="IT145" i="1"/>
  <c r="IP145" i="1"/>
  <c r="EG145" i="1"/>
  <c r="DY145" i="1"/>
  <c r="N145" i="1"/>
  <c r="G145" i="1"/>
  <c r="F145" i="1"/>
  <c r="AIL144" i="1"/>
  <c r="ACM144" i="1"/>
  <c r="ACI144" i="1"/>
  <c r="ZD144" i="1"/>
  <c r="XR144" i="1"/>
  <c r="UM144" i="1"/>
  <c r="TA144" i="1"/>
  <c r="PY144" i="1"/>
  <c r="PV144" i="1"/>
  <c r="NG144" i="1"/>
  <c r="LE144" i="1"/>
  <c r="IT144" i="1"/>
  <c r="IP144" i="1"/>
  <c r="EG144" i="1"/>
  <c r="DY144" i="1"/>
  <c r="N144" i="1"/>
  <c r="G144" i="1"/>
  <c r="F144" i="1"/>
  <c r="AHD143" i="1"/>
  <c r="AGZ143" i="1"/>
  <c r="ADU143" i="1"/>
  <c r="ACI143" i="1"/>
  <c r="XV143" i="1"/>
  <c r="XR143" i="1"/>
  <c r="UM143" i="1"/>
  <c r="TA143" i="1"/>
  <c r="PY143" i="1"/>
  <c r="PV143" i="1"/>
  <c r="NG143" i="1"/>
  <c r="LE143" i="1"/>
  <c r="IT143" i="1"/>
  <c r="IP143" i="1"/>
  <c r="EG143" i="1"/>
  <c r="DY143" i="1"/>
  <c r="N143" i="1"/>
  <c r="G143" i="1"/>
  <c r="F143" i="1"/>
  <c r="AHD142" i="1"/>
  <c r="AGZ142" i="1"/>
  <c r="ADU142" i="1"/>
  <c r="ACI142" i="1"/>
  <c r="XV142" i="1"/>
  <c r="XR142" i="1"/>
  <c r="UM142" i="1"/>
  <c r="TA142" i="1"/>
  <c r="PY142" i="1"/>
  <c r="PV142" i="1"/>
  <c r="NG142" i="1"/>
  <c r="LE142" i="1"/>
  <c r="IT142" i="1"/>
  <c r="IP142" i="1"/>
  <c r="EG142" i="1"/>
  <c r="DY142" i="1"/>
  <c r="N142" i="1"/>
  <c r="G142" i="1"/>
  <c r="F142" i="1"/>
  <c r="ADU141" i="1"/>
  <c r="XV141" i="1"/>
  <c r="XR141" i="1"/>
  <c r="UM141" i="1"/>
  <c r="TA141" i="1"/>
  <c r="ON141" i="1"/>
  <c r="OJ141" i="1"/>
  <c r="LE141" i="1"/>
  <c r="JS141" i="1"/>
  <c r="EG141" i="1"/>
  <c r="DY141" i="1"/>
  <c r="N141" i="1"/>
  <c r="G141" i="1"/>
  <c r="F141" i="1"/>
  <c r="AIL140" i="1"/>
  <c r="ADX140" i="1"/>
  <c r="ZD140" i="1"/>
  <c r="UM140" i="1"/>
  <c r="PY140" i="1"/>
  <c r="PV140" i="1"/>
  <c r="LE140" i="1"/>
  <c r="GN140" i="1"/>
  <c r="N140" i="1"/>
  <c r="G140" i="1"/>
  <c r="F140" i="1"/>
  <c r="AIL139" i="1"/>
  <c r="ADU139" i="1"/>
  <c r="ZG139" i="1"/>
  <c r="UM139" i="1"/>
  <c r="PV139" i="1"/>
  <c r="LE139" i="1"/>
  <c r="GN139" i="1"/>
  <c r="N139" i="1"/>
  <c r="G139" i="1"/>
  <c r="F139" i="1"/>
  <c r="TA138" i="1"/>
  <c r="SB138" i="1"/>
  <c r="RX138" i="1"/>
  <c r="PV138" i="1"/>
  <c r="OJ138" i="1"/>
  <c r="JS138" i="1"/>
  <c r="IP138" i="1"/>
  <c r="GN138" i="1"/>
  <c r="DY138" i="1"/>
  <c r="N138" i="1"/>
  <c r="G138" i="1"/>
  <c r="F138" i="1"/>
  <c r="TA137" i="1"/>
  <c r="SB137" i="1"/>
  <c r="RX137" i="1"/>
  <c r="PV137" i="1"/>
  <c r="OJ137" i="1"/>
  <c r="JS137" i="1"/>
  <c r="IP137" i="1"/>
  <c r="GN137" i="1"/>
  <c r="DY137" i="1"/>
  <c r="N137" i="1"/>
  <c r="G137" i="1"/>
  <c r="F137" i="1"/>
  <c r="TA136" i="1"/>
  <c r="SB136" i="1"/>
  <c r="RX136" i="1"/>
  <c r="PV136" i="1"/>
  <c r="OJ136" i="1"/>
  <c r="JS136" i="1"/>
  <c r="IP136" i="1"/>
  <c r="GN136" i="1"/>
  <c r="DY136" i="1"/>
  <c r="N136" i="1"/>
  <c r="G136" i="1"/>
  <c r="F136" i="1"/>
  <c r="TA135" i="1"/>
  <c r="SB135" i="1"/>
  <c r="RX135" i="1"/>
  <c r="PV135" i="1"/>
  <c r="OJ135" i="1"/>
  <c r="JS135" i="1"/>
  <c r="IP135" i="1"/>
  <c r="GN135" i="1"/>
  <c r="DY135" i="1"/>
  <c r="N135" i="1"/>
  <c r="G135" i="1"/>
  <c r="F135" i="1"/>
  <c r="TA134" i="1"/>
  <c r="SB134" i="1"/>
  <c r="RX134" i="1"/>
  <c r="PV134" i="1"/>
  <c r="OJ134" i="1"/>
  <c r="JS134" i="1"/>
  <c r="IP134" i="1"/>
  <c r="GN134" i="1"/>
  <c r="DY134" i="1"/>
  <c r="N134" i="1"/>
  <c r="G134" i="1"/>
  <c r="F134" i="1"/>
  <c r="TA133" i="1"/>
  <c r="SB133" i="1"/>
  <c r="RX133" i="1"/>
  <c r="PV133" i="1"/>
  <c r="OJ133" i="1"/>
  <c r="JS133" i="1"/>
  <c r="IP133" i="1"/>
  <c r="GN133" i="1"/>
  <c r="DY133" i="1"/>
  <c r="N133" i="1"/>
  <c r="G133" i="1"/>
  <c r="F133" i="1"/>
  <c r="TA132" i="1"/>
  <c r="SB132" i="1"/>
  <c r="RX132" i="1"/>
  <c r="PV132" i="1"/>
  <c r="OJ132" i="1"/>
  <c r="JS132" i="1"/>
  <c r="IP132" i="1"/>
  <c r="GN132" i="1"/>
  <c r="DY132" i="1"/>
  <c r="N132" i="1"/>
  <c r="G132" i="1"/>
  <c r="F132" i="1"/>
  <c r="TA131" i="1"/>
  <c r="SB131" i="1"/>
  <c r="RX131" i="1"/>
  <c r="PV131" i="1"/>
  <c r="OJ131" i="1"/>
  <c r="JS131" i="1"/>
  <c r="IP131" i="1"/>
  <c r="GN131" i="1"/>
  <c r="DY131" i="1"/>
  <c r="N131" i="1"/>
  <c r="G131" i="1"/>
  <c r="F131" i="1"/>
  <c r="AIT130" i="1"/>
  <c r="AEC130" i="1"/>
  <c r="QD130" i="1"/>
  <c r="NG130" i="1"/>
  <c r="LM130" i="1"/>
  <c r="IP130" i="1"/>
  <c r="GV130" i="1"/>
  <c r="N130" i="1"/>
  <c r="G130" i="1"/>
  <c r="F130" i="1"/>
  <c r="AIT129" i="1"/>
  <c r="AEC129" i="1"/>
  <c r="QD129" i="1"/>
  <c r="NG129" i="1"/>
  <c r="LM129" i="1"/>
  <c r="IP129" i="1"/>
  <c r="GV129" i="1"/>
  <c r="N129" i="1"/>
  <c r="G129" i="1"/>
  <c r="F129" i="1"/>
  <c r="QD128" i="1"/>
  <c r="NG128" i="1"/>
  <c r="LM128" i="1"/>
  <c r="IP128" i="1"/>
  <c r="GV128" i="1"/>
  <c r="N128" i="1"/>
  <c r="G128" i="1"/>
  <c r="F128" i="1"/>
  <c r="AEC127" i="1"/>
  <c r="QD127" i="1"/>
  <c r="NG127" i="1"/>
  <c r="LM127" i="1"/>
  <c r="IP127" i="1"/>
  <c r="GV127" i="1"/>
  <c r="N127" i="1"/>
  <c r="G127" i="1"/>
  <c r="F127" i="1"/>
  <c r="AEC126" i="1"/>
  <c r="QD126" i="1"/>
  <c r="NG126" i="1"/>
  <c r="LM126" i="1"/>
  <c r="IP126" i="1"/>
  <c r="GV126" i="1"/>
  <c r="N126" i="1"/>
  <c r="G126" i="1"/>
  <c r="F126" i="1"/>
  <c r="GV125" i="1"/>
  <c r="N125" i="1"/>
  <c r="G125" i="1"/>
  <c r="F125" i="1"/>
  <c r="XR124" i="1"/>
  <c r="WO124" i="1"/>
  <c r="UP124" i="1"/>
  <c r="UM124" i="1"/>
  <c r="SB124" i="1"/>
  <c r="PV124" i="1"/>
  <c r="OJ124" i="1"/>
  <c r="LE124" i="1"/>
  <c r="IT124" i="1"/>
  <c r="IP124" i="1"/>
  <c r="DY124" i="1"/>
  <c r="DX124" i="1"/>
  <c r="N124" i="1"/>
  <c r="G124" i="1"/>
  <c r="F124" i="1"/>
  <c r="XR123" i="1"/>
  <c r="WO123" i="1"/>
  <c r="UP123" i="1"/>
  <c r="UM123" i="1"/>
  <c r="SB123" i="1"/>
  <c r="PV123" i="1"/>
  <c r="OJ123" i="1"/>
  <c r="LE123" i="1"/>
  <c r="IT123" i="1"/>
  <c r="IP123" i="1"/>
  <c r="DY123" i="1"/>
  <c r="DX123" i="1"/>
  <c r="N123" i="1"/>
  <c r="G123" i="1"/>
  <c r="F123" i="1"/>
  <c r="XR122" i="1"/>
  <c r="WO122" i="1"/>
  <c r="UP122" i="1"/>
  <c r="UM122" i="1"/>
  <c r="SB122" i="1"/>
  <c r="PV122" i="1"/>
  <c r="OJ122" i="1"/>
  <c r="LE122" i="1"/>
  <c r="IT122" i="1"/>
  <c r="IP122" i="1"/>
  <c r="DY122" i="1"/>
  <c r="DX122" i="1"/>
  <c r="N122" i="1"/>
  <c r="G122" i="1"/>
  <c r="F122" i="1"/>
  <c r="XR121" i="1"/>
  <c r="WO121" i="1"/>
  <c r="UP121" i="1"/>
  <c r="UM121" i="1"/>
  <c r="SB121" i="1"/>
  <c r="PV121" i="1"/>
  <c r="OJ121" i="1"/>
  <c r="LE121" i="1"/>
  <c r="IT121" i="1"/>
  <c r="IP121" i="1"/>
  <c r="DY121" i="1"/>
  <c r="DX121" i="1"/>
  <c r="N121" i="1"/>
  <c r="G121" i="1"/>
  <c r="F121" i="1"/>
  <c r="XR120" i="1"/>
  <c r="WO120" i="1"/>
  <c r="UP120" i="1"/>
  <c r="UM120" i="1"/>
  <c r="SB120" i="1"/>
  <c r="PV120" i="1"/>
  <c r="OJ120" i="1"/>
  <c r="LE120" i="1"/>
  <c r="IT120" i="1"/>
  <c r="IP120" i="1"/>
  <c r="DY120" i="1"/>
  <c r="DX120" i="1"/>
  <c r="N120" i="1"/>
  <c r="G120" i="1"/>
  <c r="F120" i="1"/>
  <c r="TA119" i="1"/>
  <c r="RX119" i="1"/>
  <c r="PY119" i="1"/>
  <c r="PV119" i="1"/>
  <c r="NK119" i="1"/>
  <c r="LE119" i="1"/>
  <c r="JS119" i="1"/>
  <c r="GN119" i="1"/>
  <c r="EC119" i="1"/>
  <c r="DY119" i="1"/>
  <c r="N119" i="1"/>
  <c r="G119" i="1"/>
  <c r="F119" i="1"/>
  <c r="TA118" i="1"/>
  <c r="SB118" i="1"/>
  <c r="RX118" i="1"/>
  <c r="PV118" i="1"/>
  <c r="OJ118" i="1"/>
  <c r="JS118" i="1"/>
  <c r="IP118" i="1"/>
  <c r="GN118" i="1"/>
  <c r="DY118" i="1"/>
  <c r="N118" i="1"/>
  <c r="G118" i="1"/>
  <c r="F118" i="1"/>
  <c r="N117" i="1"/>
  <c r="G117" i="1"/>
  <c r="F117" i="1"/>
  <c r="N116" i="1"/>
  <c r="G116" i="1"/>
  <c r="F116" i="1"/>
  <c r="N115" i="1"/>
  <c r="G115" i="1"/>
  <c r="F115" i="1"/>
  <c r="N114" i="1"/>
  <c r="G114" i="1"/>
  <c r="F114" i="1"/>
  <c r="N113" i="1"/>
  <c r="G113" i="1"/>
  <c r="F113" i="1"/>
  <c r="N112" i="1"/>
  <c r="G112" i="1"/>
  <c r="F112" i="1"/>
  <c r="AKN111" i="1"/>
  <c r="AIL111" i="1"/>
  <c r="AFW111" i="1"/>
  <c r="ADU111" i="1"/>
  <c r="ABF111" i="1"/>
  <c r="ZD111" i="1"/>
  <c r="WO111" i="1"/>
  <c r="UM111" i="1"/>
  <c r="PY111" i="1"/>
  <c r="PV111" i="1"/>
  <c r="NG111" i="1"/>
  <c r="LH111" i="1"/>
  <c r="LE111" i="1"/>
  <c r="GN111" i="1"/>
  <c r="N111" i="1"/>
  <c r="G111" i="1"/>
  <c r="F111" i="1"/>
  <c r="AKN110" i="1"/>
  <c r="AIL110" i="1"/>
  <c r="ADX110" i="1"/>
  <c r="ADU110" i="1"/>
  <c r="ABF110" i="1"/>
  <c r="ZG110" i="1"/>
  <c r="ZD110" i="1"/>
  <c r="UM110" i="1"/>
  <c r="TA110" i="1"/>
  <c r="LE110" i="1"/>
  <c r="EC110" i="1"/>
  <c r="EB110" i="1"/>
  <c r="N110" i="1"/>
  <c r="G110" i="1"/>
  <c r="F110" i="1"/>
  <c r="N109" i="1"/>
  <c r="G109" i="1"/>
  <c r="F109" i="1"/>
  <c r="AIL108" i="1"/>
  <c r="N108" i="1"/>
  <c r="G108" i="1"/>
  <c r="F108" i="1"/>
  <c r="AGZ107" i="1"/>
  <c r="ADU107" i="1"/>
  <c r="ACI107" i="1"/>
  <c r="ABF107" i="1"/>
  <c r="ZG107" i="1"/>
  <c r="ZD107" i="1"/>
  <c r="SB107" i="1"/>
  <c r="PV107" i="1"/>
  <c r="LE107" i="1"/>
  <c r="IX107" i="1"/>
  <c r="IP107" i="1"/>
  <c r="IO107" i="1"/>
  <c r="GN107" i="1"/>
  <c r="N107" i="1"/>
  <c r="G107" i="1"/>
  <c r="F107" i="1"/>
  <c r="AKN106" i="1"/>
  <c r="ADX106" i="1"/>
  <c r="ADU106" i="1"/>
  <c r="ACM106" i="1"/>
  <c r="ACI106" i="1"/>
  <c r="UM106" i="1"/>
  <c r="TA106" i="1"/>
  <c r="RX106" i="1"/>
  <c r="PY106" i="1"/>
  <c r="PV106" i="1"/>
  <c r="NG106" i="1"/>
  <c r="LE106" i="1"/>
  <c r="DY106" i="1"/>
  <c r="N106" i="1"/>
  <c r="G106" i="1"/>
  <c r="F106" i="1"/>
  <c r="AKN105" i="1"/>
  <c r="ADX105" i="1"/>
  <c r="ADU105" i="1"/>
  <c r="ACM105" i="1"/>
  <c r="ACI105" i="1"/>
  <c r="UM105" i="1"/>
  <c r="TA105" i="1"/>
  <c r="RX105" i="1"/>
  <c r="PY105" i="1"/>
  <c r="PV105" i="1"/>
  <c r="NG105" i="1"/>
  <c r="LE105" i="1"/>
  <c r="DY105" i="1"/>
  <c r="N105" i="1"/>
  <c r="G105" i="1"/>
  <c r="F105" i="1"/>
  <c r="AKN104" i="1"/>
  <c r="ADX104" i="1"/>
  <c r="ADU104" i="1"/>
  <c r="ACM104" i="1"/>
  <c r="ACI104" i="1"/>
  <c r="UM104" i="1"/>
  <c r="TA104" i="1"/>
  <c r="RX104" i="1"/>
  <c r="PY104" i="1"/>
  <c r="PV104" i="1"/>
  <c r="NG104" i="1"/>
  <c r="LE104" i="1"/>
  <c r="DY104" i="1"/>
  <c r="N104" i="1"/>
  <c r="G104" i="1"/>
  <c r="F104" i="1"/>
  <c r="AKR103" i="1"/>
  <c r="AKN103" i="1"/>
  <c r="AFW103" i="1"/>
  <c r="ADU103" i="1"/>
  <c r="ZD103" i="1"/>
  <c r="WS103" i="1"/>
  <c r="UM103" i="1"/>
  <c r="QD103" i="1"/>
  <c r="LM103" i="1"/>
  <c r="LE103" i="1"/>
  <c r="IP103" i="1"/>
  <c r="GV103" i="1"/>
  <c r="GN103" i="1"/>
  <c r="DY103" i="1"/>
  <c r="N103" i="1"/>
  <c r="G103" i="1"/>
  <c r="F103" i="1"/>
  <c r="N102" i="1"/>
  <c r="G102" i="1"/>
  <c r="F102" i="1"/>
  <c r="N101" i="1"/>
  <c r="G101" i="1"/>
  <c r="F101" i="1"/>
  <c r="N100" i="1"/>
  <c r="G100" i="1"/>
  <c r="F100" i="1"/>
  <c r="N99" i="1"/>
  <c r="G99" i="1"/>
  <c r="F99" i="1"/>
  <c r="N98" i="1"/>
  <c r="G98" i="1"/>
  <c r="F98" i="1"/>
  <c r="N97" i="1"/>
  <c r="G97" i="1"/>
  <c r="F97" i="1"/>
  <c r="N96" i="1"/>
  <c r="G96" i="1"/>
  <c r="F96" i="1"/>
  <c r="N95" i="1"/>
  <c r="G95" i="1"/>
  <c r="F95" i="1"/>
  <c r="N94" i="1"/>
  <c r="G94" i="1"/>
  <c r="F94" i="1"/>
  <c r="N93" i="1"/>
  <c r="G93" i="1"/>
  <c r="F93" i="1"/>
  <c r="AKR92" i="1"/>
  <c r="AKN92" i="1"/>
  <c r="AFW92" i="1"/>
  <c r="ADU92" i="1"/>
  <c r="ZD92" i="1"/>
  <c r="WS92" i="1"/>
  <c r="UM92" i="1"/>
  <c r="QD92" i="1"/>
  <c r="LM92" i="1"/>
  <c r="LE92" i="1"/>
  <c r="IP92" i="1"/>
  <c r="GV92" i="1"/>
  <c r="GN92" i="1"/>
  <c r="DY92" i="1"/>
  <c r="N92" i="1"/>
  <c r="G92" i="1"/>
  <c r="F92" i="1"/>
  <c r="N91" i="1"/>
  <c r="G91" i="1"/>
  <c r="F91" i="1"/>
  <c r="N90" i="1"/>
  <c r="G90" i="1"/>
  <c r="F90" i="1"/>
  <c r="N89" i="1"/>
  <c r="G89" i="1"/>
  <c r="F89" i="1"/>
  <c r="N88" i="1"/>
  <c r="G88" i="1"/>
  <c r="F88" i="1"/>
  <c r="N87" i="1"/>
  <c r="G87" i="1"/>
  <c r="F87" i="1"/>
  <c r="AIL86" i="1"/>
  <c r="AGA86" i="1"/>
  <c r="AEC86" i="1"/>
  <c r="ABJ86" i="1"/>
  <c r="ABF86" i="1"/>
  <c r="ZD86" i="1"/>
  <c r="UM86" i="1"/>
  <c r="PV86" i="1"/>
  <c r="NG86" i="1"/>
  <c r="LE86" i="1"/>
  <c r="IT86" i="1"/>
  <c r="IP86" i="1"/>
  <c r="GN86" i="1"/>
  <c r="EG86" i="1"/>
  <c r="N86" i="1"/>
  <c r="G86" i="1"/>
  <c r="F86" i="1"/>
  <c r="AKN85" i="1"/>
  <c r="AIL85" i="1"/>
  <c r="ADU85" i="1"/>
  <c r="ZD85" i="1"/>
  <c r="UM85" i="1"/>
  <c r="TE85" i="1"/>
  <c r="PV85" i="1"/>
  <c r="OJ85" i="1"/>
  <c r="LE85" i="1"/>
  <c r="IP85" i="1"/>
  <c r="N85" i="1"/>
  <c r="G85" i="1"/>
  <c r="F85" i="1"/>
  <c r="ZD84" i="1"/>
  <c r="UM84" i="1"/>
  <c r="PV84" i="1"/>
  <c r="LE84" i="1"/>
  <c r="IP84" i="1"/>
  <c r="N84" i="1"/>
  <c r="G84" i="1"/>
  <c r="F84" i="1"/>
  <c r="AIL83" i="1"/>
  <c r="AFW83" i="1"/>
  <c r="ADU83" i="1"/>
  <c r="ZD83" i="1"/>
  <c r="WS83" i="1"/>
  <c r="WO83" i="1"/>
  <c r="UM83" i="1"/>
  <c r="SF83" i="1"/>
  <c r="PV83" i="1"/>
  <c r="OJ83" i="1"/>
  <c r="NK83" i="1"/>
  <c r="NG83" i="1"/>
  <c r="IP83" i="1"/>
  <c r="FB83" i="1"/>
  <c r="N83" i="1"/>
  <c r="G83" i="1"/>
  <c r="F83" i="1"/>
  <c r="AIL82" i="1"/>
  <c r="AFW82" i="1"/>
  <c r="ADU82" i="1"/>
  <c r="ZD82" i="1"/>
  <c r="WS82" i="1"/>
  <c r="WO82" i="1"/>
  <c r="UM82" i="1"/>
  <c r="SF82" i="1"/>
  <c r="PV82" i="1"/>
  <c r="OJ82" i="1"/>
  <c r="NK82" i="1"/>
  <c r="NG82" i="1"/>
  <c r="IP82" i="1"/>
  <c r="FB82" i="1"/>
  <c r="N82" i="1"/>
  <c r="G82" i="1"/>
  <c r="F82" i="1"/>
  <c r="ADU81" i="1"/>
  <c r="ABJ81" i="1"/>
  <c r="ZD81" i="1"/>
  <c r="UM81" i="1"/>
  <c r="PV81" i="1"/>
  <c r="LE81" i="1"/>
  <c r="IX81" i="1"/>
  <c r="GN81" i="1"/>
  <c r="FB81" i="1"/>
  <c r="EC81" i="1"/>
  <c r="DY81" i="1"/>
  <c r="N81" i="1"/>
  <c r="G81" i="1"/>
  <c r="F81" i="1"/>
  <c r="AIL80" i="1"/>
  <c r="ACM80" i="1"/>
  <c r="ACI80" i="1"/>
  <c r="ZD80" i="1"/>
  <c r="XR80" i="1"/>
  <c r="TE80" i="1"/>
  <c r="TA80" i="1"/>
  <c r="PV80" i="1"/>
  <c r="OJ80" i="1"/>
  <c r="LH80" i="1"/>
  <c r="LE80" i="1"/>
  <c r="IP80" i="1"/>
  <c r="EG80" i="1"/>
  <c r="DY80" i="1"/>
  <c r="N80" i="1"/>
  <c r="G80" i="1"/>
  <c r="F80" i="1"/>
  <c r="ALU79" i="1"/>
  <c r="ALQ79" i="1"/>
  <c r="AIL79" i="1"/>
  <c r="AGZ79" i="1"/>
  <c r="ACM79" i="1"/>
  <c r="ACI79" i="1"/>
  <c r="XV79" i="1"/>
  <c r="XR79" i="1"/>
  <c r="UM79" i="1"/>
  <c r="TA79" i="1"/>
  <c r="PY79" i="1"/>
  <c r="PV79" i="1"/>
  <c r="NG79" i="1"/>
  <c r="LE79" i="1"/>
  <c r="IT79" i="1"/>
  <c r="IP79" i="1"/>
  <c r="EG79" i="1"/>
  <c r="DY79" i="1"/>
  <c r="N79" i="1"/>
  <c r="G79" i="1"/>
  <c r="F79" i="1"/>
  <c r="AIL78" i="1"/>
  <c r="ADU78" i="1"/>
  <c r="XV78" i="1"/>
  <c r="XR78" i="1"/>
  <c r="UM78" i="1"/>
  <c r="TA78" i="1"/>
  <c r="ON78" i="1"/>
  <c r="OJ78" i="1"/>
  <c r="LE78" i="1"/>
  <c r="JS78" i="1"/>
  <c r="EG78" i="1"/>
  <c r="DY78" i="1"/>
  <c r="N78" i="1"/>
  <c r="G78" i="1"/>
  <c r="F78" i="1"/>
  <c r="AHD77" i="1"/>
  <c r="AGZ77" i="1"/>
  <c r="ADU77" i="1"/>
  <c r="ACI77" i="1"/>
  <c r="XV77" i="1"/>
  <c r="XR77" i="1"/>
  <c r="UM77" i="1"/>
  <c r="TA77" i="1"/>
  <c r="PY77" i="1"/>
  <c r="PV77" i="1"/>
  <c r="NG77" i="1"/>
  <c r="LE77" i="1"/>
  <c r="IT77" i="1"/>
  <c r="IP77" i="1"/>
  <c r="EG77" i="1"/>
  <c r="DY77" i="1"/>
  <c r="N77" i="1"/>
  <c r="G77" i="1"/>
  <c r="F77" i="1"/>
  <c r="AIL76" i="1"/>
  <c r="ACM76" i="1"/>
  <c r="ACI76" i="1"/>
  <c r="ZD76" i="1"/>
  <c r="XR76" i="1"/>
  <c r="TE76" i="1"/>
  <c r="TA76" i="1"/>
  <c r="PY76" i="1"/>
  <c r="PV76" i="1"/>
  <c r="NG76" i="1"/>
  <c r="LE76" i="1"/>
  <c r="IT76" i="1"/>
  <c r="IP76" i="1"/>
  <c r="EG76" i="1"/>
  <c r="DY76" i="1"/>
  <c r="N76" i="1"/>
  <c r="G76" i="1"/>
  <c r="F76" i="1"/>
  <c r="AHD75" i="1"/>
  <c r="AGZ75" i="1"/>
  <c r="ADU75" i="1"/>
  <c r="ACI75" i="1"/>
  <c r="XV75" i="1"/>
  <c r="XR75" i="1"/>
  <c r="UM75" i="1"/>
  <c r="TA75" i="1"/>
  <c r="PY75" i="1"/>
  <c r="PV75" i="1"/>
  <c r="NG75" i="1"/>
  <c r="LE75" i="1"/>
  <c r="IT75" i="1"/>
  <c r="IP75" i="1"/>
  <c r="EG75" i="1"/>
  <c r="DY75" i="1"/>
  <c r="N75" i="1"/>
  <c r="G75" i="1"/>
  <c r="F75" i="1"/>
  <c r="AIL74" i="1"/>
  <c r="ACM74" i="1"/>
  <c r="ACI74" i="1"/>
  <c r="ZD74" i="1"/>
  <c r="XR74" i="1"/>
  <c r="TE74" i="1"/>
  <c r="TA74" i="1"/>
  <c r="PV74" i="1"/>
  <c r="OJ74" i="1"/>
  <c r="LH74" i="1"/>
  <c r="LE74" i="1"/>
  <c r="IP74" i="1"/>
  <c r="EG74" i="1"/>
  <c r="DY74" i="1"/>
  <c r="N74" i="1"/>
  <c r="G74" i="1"/>
  <c r="F74" i="1"/>
  <c r="ADU73" i="1"/>
  <c r="XV73" i="1"/>
  <c r="XR73" i="1"/>
  <c r="UM73" i="1"/>
  <c r="TA73" i="1"/>
  <c r="ON73" i="1"/>
  <c r="OJ73" i="1"/>
  <c r="LE73" i="1"/>
  <c r="JS73" i="1"/>
  <c r="EG73" i="1"/>
  <c r="DY73" i="1"/>
  <c r="N73" i="1"/>
  <c r="G73" i="1"/>
  <c r="F73" i="1"/>
  <c r="N72" i="1"/>
  <c r="G72" i="1"/>
  <c r="F72" i="1"/>
  <c r="N71" i="1"/>
  <c r="G71" i="1"/>
  <c r="F71" i="1"/>
  <c r="N70" i="1"/>
  <c r="G70" i="1"/>
  <c r="F70" i="1"/>
  <c r="N69" i="1"/>
  <c r="G69" i="1"/>
  <c r="F69" i="1"/>
  <c r="N68" i="1"/>
  <c r="G68" i="1"/>
  <c r="F68" i="1"/>
  <c r="AKR67" i="1"/>
  <c r="AKN67" i="1"/>
  <c r="AFW67" i="1"/>
  <c r="ADU67" i="1"/>
  <c r="ZD67" i="1"/>
  <c r="WS67" i="1"/>
  <c r="UM67" i="1"/>
  <c r="QD67" i="1"/>
  <c r="LM67" i="1"/>
  <c r="LE67" i="1"/>
  <c r="IP67" i="1"/>
  <c r="GV67" i="1"/>
  <c r="GN67" i="1"/>
  <c r="DY67" i="1"/>
  <c r="N67" i="1"/>
  <c r="G67" i="1"/>
  <c r="F67" i="1"/>
  <c r="AKR66" i="1"/>
  <c r="AKN66" i="1"/>
  <c r="AFW66" i="1"/>
  <c r="ADU66" i="1"/>
  <c r="ZD66" i="1"/>
  <c r="WS66" i="1"/>
  <c r="UM66" i="1"/>
  <c r="QD66" i="1"/>
  <c r="LM66" i="1"/>
  <c r="LE66" i="1"/>
  <c r="IP66" i="1"/>
  <c r="GV66" i="1"/>
  <c r="GN66" i="1"/>
  <c r="DY66" i="1"/>
  <c r="N66" i="1"/>
  <c r="G66" i="1"/>
  <c r="F66" i="1"/>
  <c r="AKR65" i="1"/>
  <c r="AKN65" i="1"/>
  <c r="AFW65" i="1"/>
  <c r="ADU65" i="1"/>
  <c r="ZD65" i="1"/>
  <c r="WS65" i="1"/>
  <c r="UM65" i="1"/>
  <c r="QD65" i="1"/>
  <c r="LM65" i="1"/>
  <c r="LE65" i="1"/>
  <c r="IP65" i="1"/>
  <c r="GV65" i="1"/>
  <c r="GN65" i="1"/>
  <c r="DY65" i="1"/>
  <c r="N65" i="1"/>
  <c r="G65" i="1"/>
  <c r="F65" i="1"/>
  <c r="AIO64" i="1"/>
  <c r="ADU64" i="1"/>
  <c r="ZD64" i="1"/>
  <c r="UM64" i="1"/>
  <c r="PY64" i="1"/>
  <c r="PV64" i="1"/>
  <c r="LE64" i="1"/>
  <c r="GN64" i="1"/>
  <c r="N64" i="1"/>
  <c r="G64" i="1"/>
  <c r="F64" i="1"/>
  <c r="AKN63" i="1"/>
  <c r="AIL63" i="1"/>
  <c r="ADU63" i="1"/>
  <c r="ZD63" i="1"/>
  <c r="UM63" i="1"/>
  <c r="TE63" i="1"/>
  <c r="PV63" i="1"/>
  <c r="OJ63" i="1"/>
  <c r="LE63" i="1"/>
  <c r="IP63" i="1"/>
  <c r="N63" i="1"/>
  <c r="G63" i="1"/>
  <c r="F63" i="1"/>
  <c r="AIO62" i="1"/>
  <c r="ADU62" i="1"/>
  <c r="ZD62" i="1"/>
  <c r="UM62" i="1"/>
  <c r="PY62" i="1"/>
  <c r="PV62" i="1"/>
  <c r="LE62" i="1"/>
  <c r="GN62" i="1"/>
  <c r="N62" i="1"/>
  <c r="G62" i="1"/>
  <c r="F62" i="1"/>
  <c r="AIO61" i="1"/>
  <c r="ADU61" i="1"/>
  <c r="ZD61" i="1"/>
  <c r="UM61" i="1"/>
  <c r="PY61" i="1"/>
  <c r="PV61" i="1"/>
  <c r="LE61" i="1"/>
  <c r="GN61" i="1"/>
  <c r="N61" i="1"/>
  <c r="G61" i="1"/>
  <c r="F61" i="1"/>
  <c r="AGI60" i="1"/>
  <c r="ABF60" i="1"/>
  <c r="ZD60" i="1"/>
  <c r="PV60" i="1"/>
  <c r="LE60" i="1"/>
  <c r="EK60" i="1"/>
  <c r="EG60" i="1"/>
  <c r="EC60" i="1"/>
  <c r="DY60" i="1"/>
  <c r="N60" i="1"/>
  <c r="G60" i="1"/>
  <c r="F60" i="1"/>
  <c r="AGI59" i="1"/>
  <c r="ABF59" i="1"/>
  <c r="ZD59" i="1"/>
  <c r="PV59" i="1"/>
  <c r="LE59" i="1"/>
  <c r="EK59" i="1"/>
  <c r="EG59" i="1"/>
  <c r="EC59" i="1"/>
  <c r="DY59" i="1"/>
  <c r="N59" i="1"/>
  <c r="G59" i="1"/>
  <c r="F59" i="1"/>
  <c r="AGI58" i="1"/>
  <c r="ABF58" i="1"/>
  <c r="ZD58" i="1"/>
  <c r="PV58" i="1"/>
  <c r="LE58" i="1"/>
  <c r="EK58" i="1"/>
  <c r="EG58" i="1"/>
  <c r="EC58" i="1"/>
  <c r="DY58" i="1"/>
  <c r="N58" i="1"/>
  <c r="G58" i="1"/>
  <c r="F58" i="1"/>
  <c r="AGI57" i="1"/>
  <c r="ABF57" i="1"/>
  <c r="ZD57" i="1"/>
  <c r="PV57" i="1"/>
  <c r="LE57" i="1"/>
  <c r="EK57" i="1"/>
  <c r="EG57" i="1"/>
  <c r="EC57" i="1"/>
  <c r="DY57" i="1"/>
  <c r="N57" i="1"/>
  <c r="G57" i="1"/>
  <c r="F57" i="1"/>
  <c r="AGI56" i="1"/>
  <c r="ABF56" i="1"/>
  <c r="ZD56" i="1"/>
  <c r="PV56" i="1"/>
  <c r="LE56" i="1"/>
  <c r="EK56" i="1"/>
  <c r="EG56" i="1"/>
  <c r="EC56" i="1"/>
  <c r="DY56" i="1"/>
  <c r="N56" i="1"/>
  <c r="G56" i="1"/>
  <c r="F56" i="1"/>
  <c r="AGI55" i="1"/>
  <c r="ABF55" i="1"/>
  <c r="ZD55" i="1"/>
  <c r="PV55" i="1"/>
  <c r="LE55" i="1"/>
  <c r="EK55" i="1"/>
  <c r="EG55" i="1"/>
  <c r="EC55" i="1"/>
  <c r="DY55" i="1"/>
  <c r="N55" i="1"/>
  <c r="G55" i="1"/>
  <c r="F55" i="1"/>
  <c r="AGI54" i="1"/>
  <c r="ABF54" i="1"/>
  <c r="ZD54" i="1"/>
  <c r="PV54" i="1"/>
  <c r="LE54" i="1"/>
  <c r="EK54" i="1"/>
  <c r="EG54" i="1"/>
  <c r="EC54" i="1"/>
  <c r="DY54" i="1"/>
  <c r="N54" i="1"/>
  <c r="G54" i="1"/>
  <c r="F54" i="1"/>
  <c r="AIT53" i="1"/>
  <c r="AEC53" i="1"/>
  <c r="QD53" i="1"/>
  <c r="NG53" i="1"/>
  <c r="LM53" i="1"/>
  <c r="IP53" i="1"/>
  <c r="GV53" i="1"/>
  <c r="N53" i="1"/>
  <c r="G53" i="1"/>
  <c r="F53" i="1"/>
  <c r="AIT52" i="1"/>
  <c r="AEC52" i="1"/>
  <c r="QD52" i="1"/>
  <c r="NG52" i="1"/>
  <c r="LM52" i="1"/>
  <c r="IP52" i="1"/>
  <c r="GV52" i="1"/>
  <c r="N52" i="1"/>
  <c r="G52" i="1"/>
  <c r="F52" i="1"/>
  <c r="AIT51" i="1"/>
  <c r="AEC51" i="1"/>
  <c r="QD51" i="1"/>
  <c r="NG51" i="1"/>
  <c r="LM51" i="1"/>
  <c r="IP51" i="1"/>
  <c r="GV51" i="1"/>
  <c r="N51" i="1"/>
  <c r="G51" i="1"/>
  <c r="F51" i="1"/>
  <c r="AIT50" i="1"/>
  <c r="AEC50" i="1"/>
  <c r="QD50" i="1"/>
  <c r="NG50" i="1"/>
  <c r="LM50" i="1"/>
  <c r="IP50" i="1"/>
  <c r="GV50" i="1"/>
  <c r="N50" i="1"/>
  <c r="G50" i="1"/>
  <c r="F50" i="1"/>
  <c r="AIT49" i="1"/>
  <c r="AEC49" i="1"/>
  <c r="QD49" i="1"/>
  <c r="NG49" i="1"/>
  <c r="LM49" i="1"/>
  <c r="IP49" i="1"/>
  <c r="GV49" i="1"/>
  <c r="N49" i="1"/>
  <c r="G49" i="1"/>
  <c r="F49" i="1"/>
  <c r="AIT48" i="1"/>
  <c r="AEC48" i="1"/>
  <c r="QD48" i="1"/>
  <c r="NG48" i="1"/>
  <c r="LM48" i="1"/>
  <c r="IP48" i="1"/>
  <c r="GV48" i="1"/>
  <c r="N48" i="1"/>
  <c r="G48" i="1"/>
  <c r="F48" i="1"/>
  <c r="AIT47" i="1"/>
  <c r="AEC47" i="1"/>
  <c r="QD47" i="1"/>
  <c r="NG47" i="1"/>
  <c r="LM47" i="1"/>
  <c r="IP47" i="1"/>
  <c r="GV47" i="1"/>
  <c r="N47" i="1"/>
  <c r="G47" i="1"/>
  <c r="F47" i="1"/>
  <c r="AIT46" i="1"/>
  <c r="AEC46" i="1"/>
  <c r="QD46" i="1"/>
  <c r="NG46" i="1"/>
  <c r="LM46" i="1"/>
  <c r="IP46" i="1"/>
  <c r="GV46" i="1"/>
  <c r="N46" i="1"/>
  <c r="G46" i="1"/>
  <c r="F46" i="1"/>
  <c r="AIT45" i="1"/>
  <c r="AEC45" i="1"/>
  <c r="QD45" i="1"/>
  <c r="NG45" i="1"/>
  <c r="LM45" i="1"/>
  <c r="IP45" i="1"/>
  <c r="GV45" i="1"/>
  <c r="N45" i="1"/>
  <c r="G45" i="1"/>
  <c r="F45" i="1"/>
  <c r="AKN44" i="1"/>
  <c r="AIL44" i="1"/>
  <c r="ADX44" i="1"/>
  <c r="ADU44" i="1"/>
  <c r="ABF44" i="1"/>
  <c r="ZG44" i="1"/>
  <c r="ZD44" i="1"/>
  <c r="UM44" i="1"/>
  <c r="TA44" i="1"/>
  <c r="LE44" i="1"/>
  <c r="EC44" i="1"/>
  <c r="EB44" i="1"/>
  <c r="N44" i="1"/>
  <c r="G44" i="1"/>
  <c r="F44" i="1"/>
  <c r="AKN43" i="1"/>
  <c r="AIL43" i="1"/>
  <c r="ADX43" i="1"/>
  <c r="ADU43" i="1"/>
  <c r="ABF43" i="1"/>
  <c r="ZG43" i="1"/>
  <c r="ZD43" i="1"/>
  <c r="UM43" i="1"/>
  <c r="TA43" i="1"/>
  <c r="LE43" i="1"/>
  <c r="EC43" i="1"/>
  <c r="EB43" i="1"/>
  <c r="N43" i="1"/>
  <c r="G43" i="1"/>
  <c r="F43" i="1"/>
  <c r="AKN42" i="1"/>
  <c r="AIL42" i="1"/>
  <c r="ADX42" i="1"/>
  <c r="ADU42" i="1"/>
  <c r="ABF42" i="1"/>
  <c r="ZG42" i="1"/>
  <c r="ZD42" i="1"/>
  <c r="UM42" i="1"/>
  <c r="TA42" i="1"/>
  <c r="LE42" i="1"/>
  <c r="EC42" i="1"/>
  <c r="EB42" i="1"/>
  <c r="N42" i="1"/>
  <c r="G42" i="1"/>
  <c r="F42" i="1"/>
  <c r="AKN41" i="1"/>
  <c r="AIL41" i="1"/>
  <c r="ADX41" i="1"/>
  <c r="ADU41" i="1"/>
  <c r="ABF41" i="1"/>
  <c r="ZG41" i="1"/>
  <c r="ZD41" i="1"/>
  <c r="UM41" i="1"/>
  <c r="TA41" i="1"/>
  <c r="LE41" i="1"/>
  <c r="EC41" i="1"/>
  <c r="EB41" i="1"/>
  <c r="N41" i="1"/>
  <c r="G41" i="1"/>
  <c r="F41" i="1"/>
  <c r="N40" i="1"/>
  <c r="G40" i="1"/>
  <c r="F40" i="1"/>
  <c r="N39" i="1"/>
  <c r="G39" i="1"/>
  <c r="F39" i="1"/>
  <c r="N38" i="1"/>
  <c r="G38" i="1"/>
  <c r="F38" i="1"/>
  <c r="N37" i="1"/>
  <c r="G37" i="1"/>
  <c r="F37" i="1"/>
  <c r="N36" i="1"/>
  <c r="G36" i="1"/>
  <c r="F36" i="1"/>
  <c r="N35" i="1"/>
  <c r="G35" i="1"/>
  <c r="F35" i="1"/>
  <c r="N34" i="1"/>
  <c r="G34" i="1"/>
  <c r="F34" i="1"/>
  <c r="N33" i="1"/>
  <c r="G33" i="1"/>
  <c r="F33" i="1"/>
  <c r="N32" i="1"/>
  <c r="G32" i="1"/>
  <c r="F32" i="1"/>
  <c r="N31" i="1"/>
  <c r="G31" i="1"/>
  <c r="F31" i="1"/>
  <c r="N30" i="1"/>
  <c r="G30" i="1"/>
  <c r="F30" i="1"/>
  <c r="ALQ29" i="1"/>
  <c r="AIL29" i="1"/>
  <c r="AGZ29" i="1"/>
  <c r="AFW29" i="1"/>
  <c r="ACI29" i="1"/>
  <c r="ABF29" i="1"/>
  <c r="WO29" i="1"/>
  <c r="UP29" i="1"/>
  <c r="UM29" i="1"/>
  <c r="TY29" i="1"/>
  <c r="TE29" i="1"/>
  <c r="TA29" i="1"/>
  <c r="PY29" i="1"/>
  <c r="PV29" i="1"/>
  <c r="OZ29" i="1"/>
  <c r="ON29" i="1"/>
  <c r="OJ29" i="1"/>
  <c r="NG29" i="1"/>
  <c r="LE29" i="1"/>
  <c r="IP29" i="1"/>
  <c r="GQ29" i="1"/>
  <c r="GN29" i="1"/>
  <c r="DY29" i="1"/>
  <c r="N29" i="1"/>
  <c r="G29" i="1"/>
  <c r="F29" i="1"/>
  <c r="ALQ28" i="1"/>
  <c r="AIL28" i="1"/>
  <c r="AGZ28" i="1"/>
  <c r="AFW28" i="1"/>
  <c r="ACI28" i="1"/>
  <c r="ABF28" i="1"/>
  <c r="WO28" i="1"/>
  <c r="UP28" i="1"/>
  <c r="UM28" i="1"/>
  <c r="TY28" i="1"/>
  <c r="TE28" i="1"/>
  <c r="TA28" i="1"/>
  <c r="PY28" i="1"/>
  <c r="PV28" i="1"/>
  <c r="OZ28" i="1"/>
  <c r="ON28" i="1"/>
  <c r="OJ28" i="1"/>
  <c r="NG28" i="1"/>
  <c r="LE28" i="1"/>
  <c r="IP28" i="1"/>
  <c r="GQ28" i="1"/>
  <c r="GN28" i="1"/>
  <c r="DY28" i="1"/>
  <c r="N28" i="1"/>
  <c r="G28" i="1"/>
  <c r="F28" i="1"/>
  <c r="ALQ27" i="1"/>
  <c r="AIL27" i="1"/>
  <c r="AGZ27" i="1"/>
  <c r="AFW27" i="1"/>
  <c r="ACI27" i="1"/>
  <c r="ABF27" i="1"/>
  <c r="WO27" i="1"/>
  <c r="UP27" i="1"/>
  <c r="UM27" i="1"/>
  <c r="TY27" i="1"/>
  <c r="TE27" i="1"/>
  <c r="TA27" i="1"/>
  <c r="PY27" i="1"/>
  <c r="PV27" i="1"/>
  <c r="OZ27" i="1"/>
  <c r="ON27" i="1"/>
  <c r="OJ27" i="1"/>
  <c r="NG27" i="1"/>
  <c r="LE27" i="1"/>
  <c r="IP27" i="1"/>
  <c r="GQ27" i="1"/>
  <c r="GN27" i="1"/>
  <c r="DY27" i="1"/>
  <c r="N27" i="1"/>
  <c r="G27" i="1"/>
  <c r="F27" i="1"/>
  <c r="ALQ26" i="1"/>
  <c r="AIL26" i="1"/>
  <c r="AGZ26" i="1"/>
  <c r="AFW26" i="1"/>
  <c r="ACI26" i="1"/>
  <c r="ABF26" i="1"/>
  <c r="WO26" i="1"/>
  <c r="UP26" i="1"/>
  <c r="UM26" i="1"/>
  <c r="TY26" i="1"/>
  <c r="TE26" i="1"/>
  <c r="TA26" i="1"/>
  <c r="PY26" i="1"/>
  <c r="PV26" i="1"/>
  <c r="OZ26" i="1"/>
  <c r="ON26" i="1"/>
  <c r="OJ26" i="1"/>
  <c r="NG26" i="1"/>
  <c r="LE26" i="1"/>
  <c r="IP26" i="1"/>
  <c r="GQ26" i="1"/>
  <c r="GN26" i="1"/>
  <c r="DY26" i="1"/>
  <c r="N26" i="1"/>
  <c r="G26" i="1"/>
  <c r="F26" i="1"/>
  <c r="ALQ25" i="1"/>
  <c r="AIL25" i="1"/>
  <c r="AGZ25" i="1"/>
  <c r="AFW25" i="1"/>
  <c r="ACI25" i="1"/>
  <c r="ABF25" i="1"/>
  <c r="WO25" i="1"/>
  <c r="UP25" i="1"/>
  <c r="UM25" i="1"/>
  <c r="TY25" i="1"/>
  <c r="TE25" i="1"/>
  <c r="TA25" i="1"/>
  <c r="PY25" i="1"/>
  <c r="PV25" i="1"/>
  <c r="OZ25" i="1"/>
  <c r="ON25" i="1"/>
  <c r="OJ25" i="1"/>
  <c r="NG25" i="1"/>
  <c r="LE25" i="1"/>
  <c r="IP25" i="1"/>
  <c r="GQ25" i="1"/>
  <c r="GN25" i="1"/>
  <c r="DY25" i="1"/>
  <c r="N25" i="1"/>
  <c r="G25" i="1"/>
  <c r="F25" i="1"/>
  <c r="ALQ24" i="1"/>
  <c r="AIL24" i="1"/>
  <c r="AGZ24" i="1"/>
  <c r="AFW24" i="1"/>
  <c r="ACI24" i="1"/>
  <c r="ABF24" i="1"/>
  <c r="WO24" i="1"/>
  <c r="UP24" i="1"/>
  <c r="UM24" i="1"/>
  <c r="TY24" i="1"/>
  <c r="TE24" i="1"/>
  <c r="TA24" i="1"/>
  <c r="PY24" i="1"/>
  <c r="PV24" i="1"/>
  <c r="OZ24" i="1"/>
  <c r="ON24" i="1"/>
  <c r="OJ24" i="1"/>
  <c r="NG24" i="1"/>
  <c r="LE24" i="1"/>
  <c r="IP24" i="1"/>
  <c r="GQ24" i="1"/>
  <c r="GN24" i="1"/>
  <c r="DY24" i="1"/>
  <c r="N24" i="1"/>
  <c r="G24" i="1"/>
  <c r="F24" i="1"/>
  <c r="ALQ23" i="1"/>
  <c r="AIL23" i="1"/>
  <c r="AGZ23" i="1"/>
  <c r="AFW23" i="1"/>
  <c r="ACI23" i="1"/>
  <c r="ABF23" i="1"/>
  <c r="WO23" i="1"/>
  <c r="UP23" i="1"/>
  <c r="UM23" i="1"/>
  <c r="TY23" i="1"/>
  <c r="TE23" i="1"/>
  <c r="TA23" i="1"/>
  <c r="PY23" i="1"/>
  <c r="PV23" i="1"/>
  <c r="OZ23" i="1"/>
  <c r="ON23" i="1"/>
  <c r="OJ23" i="1"/>
  <c r="NG23" i="1"/>
  <c r="LE23" i="1"/>
  <c r="IP23" i="1"/>
  <c r="GQ23" i="1"/>
  <c r="GN23" i="1"/>
  <c r="DY23" i="1"/>
  <c r="N23" i="1"/>
  <c r="G23" i="1"/>
  <c r="F23" i="1"/>
  <c r="AIL22" i="1"/>
  <c r="ACM22" i="1"/>
  <c r="ABN22" i="1"/>
  <c r="ABJ22" i="1"/>
  <c r="ABF22" i="1"/>
  <c r="XA22" i="1"/>
  <c r="TI22" i="1"/>
  <c r="TA22" i="1"/>
  <c r="OR22" i="1"/>
  <c r="OJ22" i="1"/>
  <c r="LE22" i="1"/>
  <c r="KA22" i="1"/>
  <c r="HJ22" i="1"/>
  <c r="FJ22" i="1"/>
  <c r="FF22" i="1"/>
  <c r="N22" i="1"/>
  <c r="G22" i="1"/>
  <c r="F22" i="1"/>
  <c r="PV21" i="1"/>
  <c r="OR21" i="1"/>
  <c r="NO21" i="1"/>
  <c r="NG21" i="1"/>
  <c r="LE21" i="1"/>
  <c r="KA21" i="1"/>
  <c r="JS21" i="1"/>
  <c r="IP21" i="1"/>
  <c r="GN21" i="1"/>
  <c r="N21" i="1"/>
  <c r="G21" i="1"/>
  <c r="F21" i="1"/>
  <c r="AKN20" i="1"/>
  <c r="AIL20" i="1"/>
  <c r="ADX20" i="1"/>
  <c r="ADU20" i="1"/>
  <c r="ABF20" i="1"/>
  <c r="ZG20" i="1"/>
  <c r="ZD20" i="1"/>
  <c r="UM20" i="1"/>
  <c r="TA20" i="1"/>
  <c r="LE20" i="1"/>
  <c r="EC20" i="1"/>
  <c r="EB20" i="1"/>
  <c r="N20" i="1"/>
  <c r="G20" i="1"/>
  <c r="F20" i="1"/>
  <c r="ALQ19" i="1"/>
  <c r="AIL19" i="1"/>
  <c r="AGZ19" i="1"/>
  <c r="AFW19" i="1"/>
  <c r="ACI19" i="1"/>
  <c r="ABF19" i="1"/>
  <c r="WO19" i="1"/>
  <c r="UP19" i="1"/>
  <c r="UM19" i="1"/>
  <c r="TY19" i="1"/>
  <c r="TE19" i="1"/>
  <c r="TA19" i="1"/>
  <c r="PY19" i="1"/>
  <c r="PV19" i="1"/>
  <c r="OZ19" i="1"/>
  <c r="ON19" i="1"/>
  <c r="OJ19" i="1"/>
  <c r="NG19" i="1"/>
  <c r="LE19" i="1"/>
  <c r="IP19" i="1"/>
  <c r="GQ19" i="1"/>
  <c r="GN19" i="1"/>
  <c r="DY19" i="1"/>
  <c r="N19" i="1"/>
  <c r="G19" i="1"/>
  <c r="F19" i="1"/>
  <c r="N18" i="1"/>
  <c r="G18" i="1"/>
  <c r="F18" i="1"/>
  <c r="AKR17" i="1"/>
  <c r="AKN17" i="1"/>
  <c r="AFW17" i="1"/>
  <c r="ADU17" i="1"/>
  <c r="ZD17" i="1"/>
  <c r="WS17" i="1"/>
  <c r="UM17" i="1"/>
  <c r="QD17" i="1"/>
  <c r="LM17" i="1"/>
  <c r="LE17" i="1"/>
  <c r="IP17" i="1"/>
  <c r="GV17" i="1"/>
  <c r="GN17" i="1"/>
  <c r="DY17" i="1"/>
  <c r="N17" i="1"/>
  <c r="G17" i="1"/>
  <c r="F17" i="1"/>
  <c r="AIO16" i="1"/>
  <c r="ADU16" i="1"/>
  <c r="ZD16" i="1"/>
  <c r="UM16" i="1"/>
  <c r="PY16" i="1"/>
  <c r="PV16" i="1"/>
  <c r="LE16" i="1"/>
  <c r="GN16" i="1"/>
  <c r="N16" i="1"/>
  <c r="G16" i="1"/>
  <c r="F16" i="1"/>
  <c r="AKR15" i="1"/>
  <c r="AKN15" i="1"/>
  <c r="AIL15" i="1"/>
  <c r="ABF15" i="1"/>
  <c r="WO15" i="1"/>
  <c r="PV15" i="1"/>
  <c r="IP15" i="1"/>
  <c r="N15" i="1"/>
  <c r="G15" i="1"/>
  <c r="F15" i="1"/>
  <c r="AKR14" i="1"/>
  <c r="AKN14" i="1"/>
  <c r="AFW14" i="1"/>
  <c r="ADU14" i="1"/>
  <c r="ZD14" i="1"/>
  <c r="WS14" i="1"/>
  <c r="UM14" i="1"/>
  <c r="QD14" i="1"/>
  <c r="LM14" i="1"/>
  <c r="LE14" i="1"/>
  <c r="IP14" i="1"/>
  <c r="GV14" i="1"/>
  <c r="GN14" i="1"/>
  <c r="DY14" i="1"/>
  <c r="N14" i="1"/>
  <c r="G14" i="1"/>
  <c r="F14" i="1"/>
  <c r="AKR13" i="1"/>
  <c r="AKN13" i="1"/>
  <c r="AIL13" i="1"/>
  <c r="AGA13" i="1"/>
  <c r="AFW13" i="1"/>
  <c r="ABJ13" i="1"/>
  <c r="ZD13" i="1"/>
  <c r="WO13" i="1"/>
  <c r="UM13" i="1"/>
  <c r="SB13" i="1"/>
  <c r="RX13" i="1"/>
  <c r="PV13" i="1"/>
  <c r="LE13" i="1"/>
  <c r="N13" i="1"/>
  <c r="G13" i="1"/>
  <c r="F13" i="1"/>
  <c r="AHD12" i="1"/>
  <c r="AGZ12" i="1"/>
  <c r="ADU12" i="1"/>
  <c r="ACI12" i="1"/>
  <c r="XV12" i="1"/>
  <c r="XR12" i="1"/>
  <c r="UM12" i="1"/>
  <c r="TA12" i="1"/>
  <c r="PY12" i="1"/>
  <c r="PV12" i="1"/>
  <c r="NG12" i="1"/>
  <c r="LE12" i="1"/>
  <c r="IT12" i="1"/>
  <c r="IP12" i="1"/>
  <c r="EG12" i="1"/>
  <c r="DY12" i="1"/>
  <c r="N12" i="1"/>
  <c r="G12" i="1"/>
  <c r="F12" i="1"/>
  <c r="AIO11" i="1"/>
  <c r="ADU11" i="1"/>
  <c r="ZD11" i="1"/>
  <c r="UM11" i="1"/>
  <c r="PY11" i="1"/>
  <c r="PV11" i="1"/>
  <c r="LE11" i="1"/>
  <c r="GN11" i="1"/>
  <c r="N11" i="1"/>
  <c r="G11" i="1"/>
  <c r="F11" i="1"/>
  <c r="N10" i="1"/>
  <c r="G10" i="1"/>
  <c r="F10" i="1"/>
  <c r="AKN9" i="1"/>
  <c r="AIL9" i="1"/>
  <c r="ADU9" i="1"/>
  <c r="ZD9" i="1"/>
  <c r="UM9" i="1"/>
  <c r="TE9" i="1"/>
  <c r="PV9" i="1"/>
  <c r="OJ9" i="1"/>
  <c r="LE9" i="1"/>
  <c r="IP9" i="1"/>
  <c r="N9" i="1"/>
  <c r="G9" i="1"/>
  <c r="F9" i="1"/>
  <c r="AKN8" i="1"/>
  <c r="AIL8" i="1"/>
  <c r="ADX8" i="1"/>
  <c r="ADU8" i="1"/>
  <c r="ABF8" i="1"/>
  <c r="ZG8" i="1"/>
  <c r="ZD8" i="1"/>
  <c r="UM8" i="1"/>
  <c r="TA8" i="1"/>
  <c r="LE8" i="1"/>
  <c r="EC8" i="1"/>
  <c r="EB8" i="1"/>
  <c r="N8" i="1"/>
  <c r="G8" i="1"/>
  <c r="F8" i="1"/>
  <c r="AKN7" i="1"/>
  <c r="ADX7" i="1"/>
  <c r="ADU7" i="1"/>
  <c r="ACM7" i="1"/>
  <c r="ACI7" i="1"/>
  <c r="UM7" i="1"/>
  <c r="TA7" i="1"/>
  <c r="RX7" i="1"/>
  <c r="PY7" i="1"/>
  <c r="PV7" i="1"/>
  <c r="NG7" i="1"/>
  <c r="LE7" i="1"/>
  <c r="DY7" i="1"/>
  <c r="N7" i="1"/>
  <c r="G7" i="1"/>
  <c r="F7" i="1"/>
  <c r="ABN6" i="1"/>
  <c r="ABJ6" i="1"/>
  <c r="ZG6" i="1"/>
  <c r="ZD6" i="1"/>
  <c r="XR6" i="1"/>
  <c r="UM6" i="1"/>
  <c r="SF6" i="1"/>
  <c r="SB6" i="1"/>
  <c r="RX6" i="1"/>
  <c r="PY6" i="1"/>
  <c r="JW6" i="1"/>
  <c r="JS6" i="1"/>
  <c r="IX6" i="1"/>
  <c r="GN6" i="1"/>
  <c r="DY6" i="1"/>
  <c r="N6" i="1"/>
  <c r="G6" i="1"/>
  <c r="F6" i="1"/>
  <c r="ADU5" i="1"/>
  <c r="ABN5" i="1"/>
  <c r="ABJ5" i="1"/>
  <c r="ZJ5" i="1"/>
  <c r="ZG5" i="1"/>
  <c r="ZD5" i="1"/>
  <c r="XV5" i="1"/>
  <c r="XR5" i="1"/>
  <c r="WS5" i="1"/>
  <c r="WO5" i="1"/>
  <c r="UM5" i="1"/>
  <c r="TA5" i="1"/>
  <c r="SB5" i="1"/>
  <c r="SA5" i="1"/>
  <c r="PY5" i="1"/>
  <c r="PV5" i="1"/>
  <c r="NW5" i="1"/>
  <c r="NS5" i="1"/>
  <c r="NO5" i="1"/>
  <c r="NK5" i="1"/>
  <c r="NG5" i="1"/>
  <c r="LH5" i="1"/>
  <c r="LE5" i="1"/>
  <c r="JJ5" i="1"/>
  <c r="JF5" i="1"/>
  <c r="JB5" i="1"/>
  <c r="IX5" i="1"/>
  <c r="IP5" i="1"/>
  <c r="GN5" i="1"/>
  <c r="FB5" i="1"/>
  <c r="DY5" i="1"/>
  <c r="N5" i="1"/>
  <c r="G5" i="1"/>
  <c r="F5" i="1"/>
  <c r="AKN4" i="1"/>
  <c r="ADX4" i="1"/>
  <c r="ADU4" i="1"/>
  <c r="ACM4" i="1"/>
  <c r="ACI4" i="1"/>
  <c r="UM4" i="1"/>
  <c r="TA4" i="1"/>
  <c r="RX4" i="1"/>
  <c r="PY4" i="1"/>
  <c r="PV4" i="1"/>
  <c r="NG4" i="1"/>
  <c r="LE4" i="1"/>
  <c r="DY4" i="1"/>
  <c r="N4" i="1"/>
  <c r="G4" i="1"/>
  <c r="F4" i="1"/>
  <c r="AKR3" i="1"/>
  <c r="AKQ3" i="1"/>
  <c r="AIL3" i="1"/>
  <c r="AGA3" i="1"/>
  <c r="AFW3" i="1"/>
  <c r="ADX3" i="1"/>
  <c r="ADU3" i="1"/>
  <c r="ACI3" i="1"/>
  <c r="ZD3" i="1"/>
  <c r="WW3" i="1"/>
  <c r="WS3" i="1"/>
  <c r="WO3" i="1"/>
  <c r="UP3" i="1"/>
  <c r="ON3" i="1"/>
  <c r="OJ3" i="1"/>
  <c r="NO3" i="1"/>
  <c r="LE3" i="1"/>
  <c r="IP3" i="1"/>
  <c r="GN3" i="1"/>
  <c r="N3" i="1"/>
  <c r="G3" i="1"/>
  <c r="F3" i="1"/>
  <c r="AKN2" i="1"/>
  <c r="ADX2" i="1"/>
  <c r="ADU2" i="1"/>
  <c r="ACM2" i="1"/>
  <c r="ACI2" i="1"/>
  <c r="UM2" i="1"/>
  <c r="TA2" i="1"/>
  <c r="RX2" i="1"/>
  <c r="PY2" i="1"/>
  <c r="PV2" i="1"/>
  <c r="NG2" i="1"/>
  <c r="LE2" i="1"/>
  <c r="DY2" i="1"/>
  <c r="N2" i="1"/>
  <c r="G2" i="1"/>
  <c r="F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W2" authorId="0" shapeId="0" xr:uid="{00000000-0006-0000-0000-00004C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tronco fletido</t>
        </r>
      </text>
    </comment>
    <comment ref="LQ2" authorId="0" shapeId="0" xr:uid="{00000000-0006-0000-0000-000067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 Medium arm restrained
</t>
        </r>
      </text>
    </comment>
    <comment ref="MN2" authorId="0" shapeId="0" xr:uid="{00000000-0006-0000-0000-0000AB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flexão do tronco
</t>
        </r>
      </text>
    </comment>
    <comment ref="AJU3" authorId="0" shapeId="0" xr:uid="{00000000-0006-0000-0000-000076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16,58% com flexão do tronco</t>
        </r>
      </text>
    </comment>
    <comment ref="HW4" authorId="0" shapeId="0" xr:uid="{00000000-0006-0000-0000-00004D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tronco fletido</t>
        </r>
      </text>
    </comment>
    <comment ref="LQ4" authorId="0" shapeId="0" xr:uid="{00000000-0006-0000-0000-000068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 Medium arm restrained
</t>
        </r>
      </text>
    </comment>
    <comment ref="MN4" authorId="0" shapeId="0" xr:uid="{00000000-0006-0000-0000-0000AC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flexão do tronco
</t>
        </r>
      </text>
    </comment>
    <comment ref="LS5" authorId="0" shapeId="0" xr:uid="{00000000-0006-0000-0000-000089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light whole body</t>
        </r>
      </text>
    </comment>
    <comment ref="MJ5" authorId="0" shapeId="0" xr:uid="{00000000-0006-0000-0000-000095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2,32 kneeling
3,25 sitting
3,23 standing
</t>
        </r>
      </text>
    </comment>
    <comment ref="MN5" authorId="0" shapeId="0" xr:uid="{00000000-0006-0000-0000-0000AD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8,36 fletido
</t>
        </r>
      </text>
    </comment>
    <comment ref="QJ5" authorId="0" shapeId="0" xr:uid="{00000000-0006-0000-0000-0000E2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light whole body</t>
        </r>
      </text>
    </comment>
    <comment ref="VR5" authorId="0" shapeId="0" xr:uid="{00000000-0006-0000-0000-00005A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0,35 sitting
31,94 standing
</t>
        </r>
      </text>
    </comment>
    <comment ref="ZR5" authorId="0" shapeId="0" xr:uid="{00000000-0006-0000-0000-00009F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whole body
</t>
        </r>
      </text>
    </comment>
    <comment ref="AEI5" authorId="0" shapeId="0" xr:uid="{00000000-0006-0000-0000-000004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light whole body</t>
        </r>
      </text>
    </comment>
    <comment ref="AEI6" authorId="0" shapeId="0" xr:uid="{00000000-0006-0000-0000-000005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whole body
</t>
        </r>
      </text>
    </comment>
    <comment ref="HW7" authorId="0" shapeId="0" xr:uid="{00000000-0006-0000-0000-00004E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tronco fletido</t>
        </r>
      </text>
    </comment>
    <comment ref="LQ7" authorId="0" shapeId="0" xr:uid="{00000000-0006-0000-0000-000069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 Medium arm restrained
</t>
        </r>
      </text>
    </comment>
    <comment ref="MN7" authorId="0" shapeId="0" xr:uid="{00000000-0006-0000-0000-0000AE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flexão do tronco
</t>
        </r>
      </text>
    </comment>
    <comment ref="LQ12" authorId="0" shapeId="0" xr:uid="{00000000-0006-0000-0000-00006A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QJ12" authorId="0" shapeId="0" xr:uid="{00000000-0006-0000-0000-0000E3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while body
</t>
        </r>
      </text>
    </comment>
    <comment ref="AIX13" authorId="0" shapeId="0" xr:uid="{00000000-0006-0000-0000-000044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 hand/arm restrainded</t>
        </r>
      </text>
    </comment>
    <comment ref="AEI18" authorId="0" shapeId="0" xr:uid="{00000000-0006-0000-0000-000006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Medio</t>
        </r>
      </text>
    </comment>
    <comment ref="AIZ18" authorId="0" shapeId="0" xr:uid="{00000000-0006-0000-0000-00005E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Medio</t>
        </r>
      </text>
    </comment>
    <comment ref="GZ19" authorId="0" shapeId="0" xr:uid="{00000000-0006-0000-0000-000019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 hand</t>
        </r>
      </text>
    </comment>
    <comment ref="HB19" authorId="0" shapeId="0" xr:uid="{00000000-0006-0000-0000-000032000000}">
      <text>
        <r>
          <rPr>
            <b/>
            <sz val="9"/>
            <color rgb="FF000000"/>
            <rFont val="Tahoma"/>
            <family val="2"/>
            <charset val="1"/>
          </rPr>
          <t>light whole body</t>
        </r>
      </text>
    </comment>
    <comment ref="MJ19" authorId="0" shapeId="0" xr:uid="{00000000-0006-0000-0000-000096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0,31 kneeling</t>
        </r>
      </text>
    </comment>
    <comment ref="MN19" authorId="0" shapeId="0" xr:uid="{00000000-0006-0000-0000-0000AF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3,36 fletido
</t>
        </r>
      </text>
    </comment>
    <comment ref="RA19" authorId="0" shapeId="0" xr:uid="{00000000-0006-0000-0000-0000F6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em kneeling</t>
        </r>
      </text>
    </comment>
    <comment ref="RE19" authorId="0" shapeId="0" xr:uid="{00000000-0006-0000-0000-00000B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1,45 fletido
</t>
        </r>
      </text>
    </comment>
    <comment ref="ZP19" authorId="0" shapeId="0" xr:uid="{00000000-0006-0000-0000-000087010000}">
      <text>
        <r>
          <rPr>
            <b/>
            <sz val="9"/>
            <color rgb="FF000000"/>
            <rFont val="Tahoma"/>
            <family val="2"/>
            <charset val="1"/>
          </rPr>
          <t>Frodo:
strong</t>
        </r>
      </text>
    </comment>
    <comment ref="AEG19" authorId="0" shapeId="0" xr:uid="{00000000-0006-0000-0000-0000E8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</t>
        </r>
      </text>
    </comment>
    <comment ref="DB22" authorId="0" shapeId="0" xr:uid="{00000000-0006-0000-0000-000002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0,03 sentado</t>
        </r>
      </text>
    </comment>
    <comment ref="HS22" authorId="0" shapeId="0" xr:uid="{00000000-0006-0000-0000-000043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tempo total sentado</t>
        </r>
      </text>
    </comment>
    <comment ref="VR22" authorId="0" shapeId="0" xr:uid="{00000000-0006-0000-0000-00005B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tempo total sentado
</t>
        </r>
      </text>
    </comment>
    <comment ref="AIX22" authorId="0" shapeId="0" xr:uid="{00000000-0006-0000-0000-000045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
</t>
        </r>
      </text>
    </comment>
    <comment ref="AJQ22" authorId="0" shapeId="0" xr:uid="{00000000-0006-0000-0000-000071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tempo total sentado
</t>
        </r>
      </text>
    </comment>
    <comment ref="GZ23" authorId="0" shapeId="0" xr:uid="{00000000-0006-0000-0000-00001A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 hand</t>
        </r>
      </text>
    </comment>
    <comment ref="HB23" authorId="0" shapeId="0" xr:uid="{00000000-0006-0000-0000-000033000000}">
      <text>
        <r>
          <rPr>
            <b/>
            <sz val="9"/>
            <color rgb="FF000000"/>
            <rFont val="Tahoma"/>
            <family val="2"/>
            <charset val="1"/>
          </rPr>
          <t>light whole body</t>
        </r>
      </text>
    </comment>
    <comment ref="MJ23" authorId="0" shapeId="0" xr:uid="{00000000-0006-0000-0000-000097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0,31 kneeling</t>
        </r>
      </text>
    </comment>
    <comment ref="MN23" authorId="0" shapeId="0" xr:uid="{00000000-0006-0000-0000-0000B0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3,36 fletido
</t>
        </r>
      </text>
    </comment>
    <comment ref="RA23" authorId="0" shapeId="0" xr:uid="{00000000-0006-0000-0000-0000F7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em kneeling</t>
        </r>
      </text>
    </comment>
    <comment ref="RE23" authorId="0" shapeId="0" xr:uid="{00000000-0006-0000-0000-00000C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1,45 fletido
</t>
        </r>
      </text>
    </comment>
    <comment ref="ZP23" authorId="0" shapeId="0" xr:uid="{00000000-0006-0000-0000-000088010000}">
      <text>
        <r>
          <rPr>
            <b/>
            <sz val="9"/>
            <color rgb="FF000000"/>
            <rFont val="Tahoma"/>
            <family val="2"/>
            <charset val="1"/>
          </rPr>
          <t>Frodo:
strong</t>
        </r>
      </text>
    </comment>
    <comment ref="AEG23" authorId="0" shapeId="0" xr:uid="{00000000-0006-0000-0000-0000E9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</t>
        </r>
      </text>
    </comment>
    <comment ref="GZ24" authorId="0" shapeId="0" xr:uid="{00000000-0006-0000-0000-00001B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 hand</t>
        </r>
      </text>
    </comment>
    <comment ref="HB24" authorId="0" shapeId="0" xr:uid="{00000000-0006-0000-0000-000034000000}">
      <text>
        <r>
          <rPr>
            <b/>
            <sz val="9"/>
            <color rgb="FF000000"/>
            <rFont val="Tahoma"/>
            <family val="2"/>
            <charset val="1"/>
          </rPr>
          <t>light whole body</t>
        </r>
      </text>
    </comment>
    <comment ref="MJ24" authorId="0" shapeId="0" xr:uid="{00000000-0006-0000-0000-000098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0,31 kneeling</t>
        </r>
      </text>
    </comment>
    <comment ref="MN24" authorId="0" shapeId="0" xr:uid="{00000000-0006-0000-0000-0000B1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3,36 fletido
</t>
        </r>
      </text>
    </comment>
    <comment ref="RA24" authorId="0" shapeId="0" xr:uid="{00000000-0006-0000-0000-0000F8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em kneeling</t>
        </r>
      </text>
    </comment>
    <comment ref="RE24" authorId="0" shapeId="0" xr:uid="{00000000-0006-0000-0000-00000D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1,45 fletido
</t>
        </r>
      </text>
    </comment>
    <comment ref="ZP24" authorId="0" shapeId="0" xr:uid="{00000000-0006-0000-0000-000089010000}">
      <text>
        <r>
          <rPr>
            <b/>
            <sz val="9"/>
            <color rgb="FF000000"/>
            <rFont val="Tahoma"/>
            <family val="2"/>
            <charset val="1"/>
          </rPr>
          <t>Frodo:
strong</t>
        </r>
      </text>
    </comment>
    <comment ref="AEG24" authorId="0" shapeId="0" xr:uid="{00000000-0006-0000-0000-0000EA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</t>
        </r>
      </text>
    </comment>
    <comment ref="GZ25" authorId="0" shapeId="0" xr:uid="{00000000-0006-0000-0000-00001C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 hand</t>
        </r>
      </text>
    </comment>
    <comment ref="HB25" authorId="0" shapeId="0" xr:uid="{00000000-0006-0000-0000-000035000000}">
      <text>
        <r>
          <rPr>
            <b/>
            <sz val="9"/>
            <color rgb="FF000000"/>
            <rFont val="Tahoma"/>
            <family val="2"/>
            <charset val="1"/>
          </rPr>
          <t>light whole body</t>
        </r>
      </text>
    </comment>
    <comment ref="MJ25" authorId="0" shapeId="0" xr:uid="{00000000-0006-0000-0000-000099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0,31 kneeling</t>
        </r>
      </text>
    </comment>
    <comment ref="MN25" authorId="0" shapeId="0" xr:uid="{00000000-0006-0000-0000-0000B2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3,36 fletido
</t>
        </r>
      </text>
    </comment>
    <comment ref="RA25" authorId="0" shapeId="0" xr:uid="{00000000-0006-0000-0000-0000F9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em kneeling</t>
        </r>
      </text>
    </comment>
    <comment ref="RE25" authorId="0" shapeId="0" xr:uid="{00000000-0006-0000-0000-00000E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1,45 fletido
</t>
        </r>
      </text>
    </comment>
    <comment ref="ZP25" authorId="0" shapeId="0" xr:uid="{00000000-0006-0000-0000-00008A010000}">
      <text>
        <r>
          <rPr>
            <b/>
            <sz val="9"/>
            <color rgb="FF000000"/>
            <rFont val="Tahoma"/>
            <family val="2"/>
            <charset val="1"/>
          </rPr>
          <t>Frodo:
strong</t>
        </r>
      </text>
    </comment>
    <comment ref="AEG25" authorId="0" shapeId="0" xr:uid="{00000000-0006-0000-0000-0000EB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</t>
        </r>
      </text>
    </comment>
    <comment ref="GZ26" authorId="0" shapeId="0" xr:uid="{00000000-0006-0000-0000-00001D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 hand</t>
        </r>
      </text>
    </comment>
    <comment ref="HB26" authorId="0" shapeId="0" xr:uid="{00000000-0006-0000-0000-000036000000}">
      <text>
        <r>
          <rPr>
            <b/>
            <sz val="9"/>
            <color rgb="FF000000"/>
            <rFont val="Tahoma"/>
            <family val="2"/>
            <charset val="1"/>
          </rPr>
          <t>light whole body</t>
        </r>
      </text>
    </comment>
    <comment ref="MJ26" authorId="0" shapeId="0" xr:uid="{00000000-0006-0000-0000-00009A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0,31 kneeling</t>
        </r>
      </text>
    </comment>
    <comment ref="MN26" authorId="0" shapeId="0" xr:uid="{00000000-0006-0000-0000-0000B3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3,36 fletido
</t>
        </r>
      </text>
    </comment>
    <comment ref="RA26" authorId="0" shapeId="0" xr:uid="{00000000-0006-0000-0000-0000FA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em kneeling</t>
        </r>
      </text>
    </comment>
    <comment ref="RE26" authorId="0" shapeId="0" xr:uid="{00000000-0006-0000-0000-00000F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1,45 fletido
</t>
        </r>
      </text>
    </comment>
    <comment ref="ZP26" authorId="0" shapeId="0" xr:uid="{00000000-0006-0000-0000-00008B010000}">
      <text>
        <r>
          <rPr>
            <b/>
            <sz val="9"/>
            <color rgb="FF000000"/>
            <rFont val="Tahoma"/>
            <family val="2"/>
            <charset val="1"/>
          </rPr>
          <t>Frodo:
strong</t>
        </r>
      </text>
    </comment>
    <comment ref="AEG26" authorId="0" shapeId="0" xr:uid="{00000000-0006-0000-0000-0000EC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</t>
        </r>
      </text>
    </comment>
    <comment ref="GZ27" authorId="0" shapeId="0" xr:uid="{00000000-0006-0000-0000-00001E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 hand</t>
        </r>
      </text>
    </comment>
    <comment ref="HB27" authorId="0" shapeId="0" xr:uid="{00000000-0006-0000-0000-000037000000}">
      <text>
        <r>
          <rPr>
            <b/>
            <sz val="9"/>
            <color rgb="FF000000"/>
            <rFont val="Tahoma"/>
            <family val="2"/>
            <charset val="1"/>
          </rPr>
          <t>light whole body</t>
        </r>
      </text>
    </comment>
    <comment ref="MJ27" authorId="0" shapeId="0" xr:uid="{00000000-0006-0000-0000-00009B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0,31 kneeling</t>
        </r>
      </text>
    </comment>
    <comment ref="MN27" authorId="0" shapeId="0" xr:uid="{00000000-0006-0000-0000-0000B4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3,36 fletido
</t>
        </r>
      </text>
    </comment>
    <comment ref="RA27" authorId="0" shapeId="0" xr:uid="{00000000-0006-0000-0000-0000FB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em kneeling</t>
        </r>
      </text>
    </comment>
    <comment ref="RE27" authorId="0" shapeId="0" xr:uid="{00000000-0006-0000-0000-000010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1,45 fletido
</t>
        </r>
      </text>
    </comment>
    <comment ref="ZP27" authorId="0" shapeId="0" xr:uid="{00000000-0006-0000-0000-00008C010000}">
      <text>
        <r>
          <rPr>
            <b/>
            <sz val="9"/>
            <color rgb="FF000000"/>
            <rFont val="Tahoma"/>
            <family val="2"/>
            <charset val="1"/>
          </rPr>
          <t>Frodo:
strong</t>
        </r>
      </text>
    </comment>
    <comment ref="AEG27" authorId="0" shapeId="0" xr:uid="{00000000-0006-0000-0000-0000ED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</t>
        </r>
      </text>
    </comment>
    <comment ref="GZ28" authorId="0" shapeId="0" xr:uid="{00000000-0006-0000-0000-00001F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 hand</t>
        </r>
      </text>
    </comment>
    <comment ref="HB28" authorId="0" shapeId="0" xr:uid="{00000000-0006-0000-0000-000038000000}">
      <text>
        <r>
          <rPr>
            <b/>
            <sz val="9"/>
            <color rgb="FF000000"/>
            <rFont val="Tahoma"/>
            <family val="2"/>
            <charset val="1"/>
          </rPr>
          <t>light whole body</t>
        </r>
      </text>
    </comment>
    <comment ref="MJ28" authorId="0" shapeId="0" xr:uid="{00000000-0006-0000-0000-00009C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0,31 kneeling</t>
        </r>
      </text>
    </comment>
    <comment ref="MN28" authorId="0" shapeId="0" xr:uid="{00000000-0006-0000-0000-0000B5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3,36 fletido
</t>
        </r>
      </text>
    </comment>
    <comment ref="RA28" authorId="0" shapeId="0" xr:uid="{00000000-0006-0000-0000-0000FC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em kneeling</t>
        </r>
      </text>
    </comment>
    <comment ref="RE28" authorId="0" shapeId="0" xr:uid="{00000000-0006-0000-0000-000011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1,45 fletido
</t>
        </r>
      </text>
    </comment>
    <comment ref="ZP28" authorId="0" shapeId="0" xr:uid="{00000000-0006-0000-0000-00008D010000}">
      <text>
        <r>
          <rPr>
            <b/>
            <sz val="9"/>
            <color rgb="FF000000"/>
            <rFont val="Tahoma"/>
            <family val="2"/>
            <charset val="1"/>
          </rPr>
          <t>Frodo:
strong</t>
        </r>
      </text>
    </comment>
    <comment ref="AEG28" authorId="0" shapeId="0" xr:uid="{00000000-0006-0000-0000-0000EE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</t>
        </r>
      </text>
    </comment>
    <comment ref="GZ29" authorId="0" shapeId="0" xr:uid="{00000000-0006-0000-0000-000020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 hand</t>
        </r>
      </text>
    </comment>
    <comment ref="HB29" authorId="0" shapeId="0" xr:uid="{00000000-0006-0000-0000-000039000000}">
      <text>
        <r>
          <rPr>
            <b/>
            <sz val="9"/>
            <color rgb="FF000000"/>
            <rFont val="Tahoma"/>
            <family val="2"/>
            <charset val="1"/>
          </rPr>
          <t>light whole body</t>
        </r>
      </text>
    </comment>
    <comment ref="MJ29" authorId="0" shapeId="0" xr:uid="{00000000-0006-0000-0000-00009D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0,31 kneeling</t>
        </r>
      </text>
    </comment>
    <comment ref="MN29" authorId="0" shapeId="0" xr:uid="{00000000-0006-0000-0000-0000B6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3,36 fletido
</t>
        </r>
      </text>
    </comment>
    <comment ref="RA29" authorId="0" shapeId="0" xr:uid="{00000000-0006-0000-0000-0000FD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em kneeling</t>
        </r>
      </text>
    </comment>
    <comment ref="RE29" authorId="0" shapeId="0" xr:uid="{00000000-0006-0000-0000-000012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1,45 fletido
</t>
        </r>
      </text>
    </comment>
    <comment ref="ZP29" authorId="0" shapeId="0" xr:uid="{00000000-0006-0000-0000-00008E010000}">
      <text>
        <r>
          <rPr>
            <b/>
            <sz val="9"/>
            <color rgb="FF000000"/>
            <rFont val="Tahoma"/>
            <family val="2"/>
            <charset val="1"/>
          </rPr>
          <t>Frodo:
strong</t>
        </r>
      </text>
    </comment>
    <comment ref="AEG29" authorId="0" shapeId="0" xr:uid="{00000000-0006-0000-0000-0000EF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</t>
        </r>
      </text>
    </comment>
    <comment ref="AEI68" authorId="0" shapeId="0" xr:uid="{00000000-0006-0000-0000-000007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Medio</t>
        </r>
      </text>
    </comment>
    <comment ref="AIZ68" authorId="0" shapeId="0" xr:uid="{00000000-0006-0000-0000-00005F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Medio</t>
        </r>
      </text>
    </comment>
    <comment ref="AEI69" authorId="0" shapeId="0" xr:uid="{00000000-0006-0000-0000-000008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Medio</t>
        </r>
      </text>
    </comment>
    <comment ref="AIZ69" authorId="0" shapeId="0" xr:uid="{00000000-0006-0000-0000-000060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Medio</t>
        </r>
      </text>
    </comment>
    <comment ref="AEI70" authorId="0" shapeId="0" xr:uid="{00000000-0006-0000-0000-000009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Medio</t>
        </r>
      </text>
    </comment>
    <comment ref="AIZ70" authorId="0" shapeId="0" xr:uid="{00000000-0006-0000-0000-000061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Medio</t>
        </r>
      </text>
    </comment>
    <comment ref="AEI71" authorId="0" shapeId="0" xr:uid="{00000000-0006-0000-0000-00000A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Medio</t>
        </r>
      </text>
    </comment>
    <comment ref="AIZ71" authorId="0" shapeId="0" xr:uid="{00000000-0006-0000-0000-000062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Medio</t>
        </r>
      </text>
    </comment>
    <comment ref="AEI72" authorId="0" shapeId="0" xr:uid="{00000000-0006-0000-0000-00000B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Medio</t>
        </r>
      </text>
    </comment>
    <comment ref="AIZ72" authorId="0" shapeId="0" xr:uid="{00000000-0006-0000-0000-000063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Medio</t>
        </r>
      </text>
    </comment>
    <comment ref="LS74" authorId="0" shapeId="0" xr:uid="{00000000-0006-0000-0000-00008A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while body
</t>
        </r>
      </text>
    </comment>
    <comment ref="LQ75" authorId="0" shapeId="0" xr:uid="{00000000-0006-0000-0000-00006B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QJ75" authorId="0" shapeId="0" xr:uid="{00000000-0006-0000-0000-0000E4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while body
</t>
        </r>
      </text>
    </comment>
    <comment ref="LQ76" authorId="0" shapeId="0" xr:uid="{00000000-0006-0000-0000-00006C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QJ76" authorId="0" shapeId="0" xr:uid="{00000000-0006-0000-0000-0000E5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while body
</t>
        </r>
      </text>
    </comment>
    <comment ref="LQ77" authorId="0" shapeId="0" xr:uid="{00000000-0006-0000-0000-00006D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QJ77" authorId="0" shapeId="0" xr:uid="{00000000-0006-0000-0000-0000E6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while body
</t>
        </r>
      </text>
    </comment>
    <comment ref="LQ79" authorId="0" shapeId="0" xr:uid="{00000000-0006-0000-0000-00006E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QJ79" authorId="0" shapeId="0" xr:uid="{00000000-0006-0000-0000-0000E7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while body
</t>
        </r>
      </text>
    </comment>
    <comment ref="LS80" authorId="0" shapeId="0" xr:uid="{00000000-0006-0000-0000-00008B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while body
</t>
        </r>
      </text>
    </comment>
    <comment ref="RE81" authorId="0" shapeId="0" xr:uid="{00000000-0006-0000-0000-000013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2,75 - flexed
1,6 - twisted/bent
</t>
        </r>
      </text>
    </comment>
    <comment ref="VA81" authorId="0" shapeId="0" xr:uid="{00000000-0006-0000-0000-00004A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whole body
</t>
        </r>
      </text>
    </comment>
    <comment ref="LS82" authorId="0" shapeId="0" xr:uid="{00000000-0006-0000-0000-00008C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body restriction
</t>
        </r>
      </text>
    </comment>
    <comment ref="AJU82" authorId="0" shapeId="0" xr:uid="{00000000-0006-0000-0000-000077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2,75 - flexed
1,6 - twisted/bent
</t>
        </r>
      </text>
    </comment>
    <comment ref="LS83" authorId="0" shapeId="0" xr:uid="{00000000-0006-0000-0000-00008D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body restriction
</t>
        </r>
      </text>
    </comment>
    <comment ref="AJU83" authorId="0" shapeId="0" xr:uid="{00000000-0006-0000-0000-000078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2,75 - flexed
1,6 - twisted/bent
</t>
        </r>
      </text>
    </comment>
    <comment ref="RE86" authorId="0" shapeId="0" xr:uid="{00000000-0006-0000-0000-000014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2,75 - flexed
1,6 - twisted/bent
</t>
        </r>
      </text>
    </comment>
    <comment ref="VA86" authorId="0" shapeId="0" xr:uid="{00000000-0006-0000-0000-00004B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whole body
</t>
        </r>
      </text>
    </comment>
    <comment ref="HW104" authorId="0" shapeId="0" xr:uid="{00000000-0006-0000-0000-00004F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tronco fletido</t>
        </r>
      </text>
    </comment>
    <comment ref="LQ104" authorId="0" shapeId="0" xr:uid="{00000000-0006-0000-0000-00006F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 Medium arm restrained
</t>
        </r>
      </text>
    </comment>
    <comment ref="MN104" authorId="0" shapeId="0" xr:uid="{00000000-0006-0000-0000-0000B7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flexão do tronco
</t>
        </r>
      </text>
    </comment>
    <comment ref="HW105" authorId="0" shapeId="0" xr:uid="{00000000-0006-0000-0000-000050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tronco fletido</t>
        </r>
      </text>
    </comment>
    <comment ref="LQ105" authorId="0" shapeId="0" xr:uid="{00000000-0006-0000-0000-000070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 Medium arm restrained
</t>
        </r>
      </text>
    </comment>
    <comment ref="MN105" authorId="0" shapeId="0" xr:uid="{00000000-0006-0000-0000-0000B8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flexão do tronco
</t>
        </r>
      </text>
    </comment>
    <comment ref="HW106" authorId="0" shapeId="0" xr:uid="{00000000-0006-0000-0000-000051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tronco fletido</t>
        </r>
      </text>
    </comment>
    <comment ref="LQ106" authorId="0" shapeId="0" xr:uid="{00000000-0006-0000-0000-000071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 Medium arm restrained
</t>
        </r>
      </text>
    </comment>
    <comment ref="MN106" authorId="0" shapeId="0" xr:uid="{00000000-0006-0000-0000-0000B9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flexão do tronco
</t>
        </r>
      </text>
    </comment>
    <comment ref="ZR107" authorId="0" shapeId="0" xr:uid="{00000000-0006-0000-0000-0000A0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whiole body
</t>
        </r>
      </text>
    </comment>
    <comment ref="AFD107" authorId="0" shapeId="0" xr:uid="{00000000-0006-0000-0000-00002E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do tempo ao nivel do ombro</t>
        </r>
      </text>
    </comment>
    <comment ref="AJU107" authorId="0" shapeId="0" xr:uid="{00000000-0006-0000-0000-000079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flexão do tronco
</t>
        </r>
      </text>
    </comment>
    <comment ref="HB108" authorId="0" shapeId="0" xr:uid="{00000000-0006-0000-0000-00003A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Easy (entrance in the front)</t>
        </r>
      </text>
    </comment>
    <comment ref="AEI109" authorId="0" shapeId="0" xr:uid="{00000000-0006-0000-0000-00000C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Medio</t>
        </r>
      </text>
    </comment>
    <comment ref="AIZ109" authorId="0" shapeId="0" xr:uid="{00000000-0006-0000-0000-000064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Medio</t>
        </r>
      </text>
    </comment>
    <comment ref="HB112" authorId="0" shapeId="0" xr:uid="{00000000-0006-0000-0000-00003B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Easy (entrance in the front)</t>
        </r>
      </text>
    </comment>
    <comment ref="HB114" authorId="0" shapeId="0" xr:uid="{00000000-0006-0000-0000-00003C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Easy (entrance in the front)</t>
        </r>
      </text>
    </comment>
    <comment ref="HB115" authorId="0" shapeId="0" xr:uid="{00000000-0006-0000-0000-00003D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Easy (entrance in the front)</t>
        </r>
      </text>
    </comment>
    <comment ref="HB116" authorId="0" shapeId="0" xr:uid="{00000000-0006-0000-0000-00003E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Easy (entrance in the front)</t>
        </r>
      </text>
    </comment>
    <comment ref="LS117" authorId="0" shapeId="0" xr:uid="{00000000-0006-0000-0000-00008E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Easy (entrance in the front)</t>
        </r>
      </text>
    </comment>
    <comment ref="BY118" authorId="0" shapeId="0" xr:uid="{00000000-0006-0000-0000-000001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Duas respostas assinaladas</t>
        </r>
      </text>
    </comment>
    <comment ref="LQ119" authorId="0" shapeId="0" xr:uid="{00000000-0006-0000-0000-000072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QH119" authorId="0" shapeId="0" xr:uid="{00000000-0006-0000-0000-0000CA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QH120" authorId="0" shapeId="0" xr:uid="{00000000-0006-0000-0000-0000CB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UY120" authorId="0" shapeId="0" xr:uid="{00000000-0006-0000-0000-000032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QH121" authorId="0" shapeId="0" xr:uid="{00000000-0006-0000-0000-0000CC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UY121" authorId="0" shapeId="0" xr:uid="{00000000-0006-0000-0000-000033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QH122" authorId="0" shapeId="0" xr:uid="{00000000-0006-0000-0000-0000CD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UY122" authorId="0" shapeId="0" xr:uid="{00000000-0006-0000-0000-000034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QH123" authorId="0" shapeId="0" xr:uid="{00000000-0006-0000-0000-0000CE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UY123" authorId="0" shapeId="0" xr:uid="{00000000-0006-0000-0000-000035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QH124" authorId="0" shapeId="0" xr:uid="{00000000-0006-0000-0000-0000CF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UY124" authorId="0" shapeId="0" xr:uid="{00000000-0006-0000-0000-000036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LQ142" authorId="0" shapeId="0" xr:uid="{00000000-0006-0000-0000-000073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QJ142" authorId="0" shapeId="0" xr:uid="{00000000-0006-0000-0000-0000E8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while body
</t>
        </r>
      </text>
    </comment>
    <comment ref="LQ143" authorId="0" shapeId="0" xr:uid="{00000000-0006-0000-0000-000074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QJ143" authorId="0" shapeId="0" xr:uid="{00000000-0006-0000-0000-0000E9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while body
</t>
        </r>
      </text>
    </comment>
    <comment ref="LQ144" authorId="0" shapeId="0" xr:uid="{00000000-0006-0000-0000-000075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QJ144" authorId="0" shapeId="0" xr:uid="{00000000-0006-0000-0000-0000EA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while body
</t>
        </r>
      </text>
    </comment>
    <comment ref="LQ145" authorId="0" shapeId="0" xr:uid="{00000000-0006-0000-0000-000076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QJ145" authorId="0" shapeId="0" xr:uid="{00000000-0006-0000-0000-0000EB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while body
</t>
        </r>
      </text>
    </comment>
    <comment ref="LQ150" authorId="0" shapeId="0" xr:uid="{00000000-0006-0000-0000-000077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QJ150" authorId="0" shapeId="0" xr:uid="{00000000-0006-0000-0000-0000EC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while body
</t>
        </r>
      </text>
    </comment>
    <comment ref="GZ152" authorId="0" shapeId="0" xr:uid="{00000000-0006-0000-0000-000021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hand
</t>
        </r>
      </text>
    </comment>
    <comment ref="GZ153" authorId="0" shapeId="0" xr:uid="{00000000-0006-0000-0000-000022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hand
</t>
        </r>
      </text>
    </comment>
    <comment ref="GZ154" authorId="0" shapeId="0" xr:uid="{00000000-0006-0000-0000-000023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hand
</t>
        </r>
      </text>
    </comment>
    <comment ref="GZ155" authorId="0" shapeId="0" xr:uid="{00000000-0006-0000-0000-000024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hand
</t>
        </r>
      </text>
    </comment>
    <comment ref="ZR157" authorId="0" shapeId="0" xr:uid="{00000000-0006-0000-0000-0000A1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whiole body
</t>
        </r>
      </text>
    </comment>
    <comment ref="AFD157" authorId="0" shapeId="0" xr:uid="{00000000-0006-0000-0000-00002F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do tempo ao nivel do ombro</t>
        </r>
      </text>
    </comment>
    <comment ref="AJU157" authorId="0" shapeId="0" xr:uid="{00000000-0006-0000-0000-00007A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flexão do tronco
</t>
        </r>
      </text>
    </comment>
    <comment ref="VA158" authorId="0" shapeId="0" xr:uid="{00000000-0006-0000-0000-00004C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whole body
</t>
        </r>
      </text>
    </comment>
    <comment ref="AAM158" authorId="0" shapeId="0" xr:uid="{00000000-0006-0000-0000-0000DB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do tempo ao nivel do ombro</t>
        </r>
      </text>
    </comment>
    <comment ref="ZR159" authorId="0" shapeId="0" xr:uid="{00000000-0006-0000-0000-0000A2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whiole body
</t>
        </r>
      </text>
    </comment>
    <comment ref="AFD159" authorId="0" shapeId="0" xr:uid="{00000000-0006-0000-0000-000030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do tempo ao nivel do ombro</t>
        </r>
      </text>
    </comment>
    <comment ref="AJU159" authorId="0" shapeId="0" xr:uid="{00000000-0006-0000-0000-00007B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flexão do tronco
</t>
        </r>
      </text>
    </comment>
    <comment ref="ZR160" authorId="0" shapeId="0" xr:uid="{00000000-0006-0000-0000-0000A3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whiole body
</t>
        </r>
      </text>
    </comment>
    <comment ref="AFD160" authorId="0" shapeId="0" xr:uid="{00000000-0006-0000-0000-000031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do tempo ao nivel do ombro</t>
        </r>
      </text>
    </comment>
    <comment ref="AJU160" authorId="0" shapeId="0" xr:uid="{00000000-0006-0000-0000-00007C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flexão do tronco
</t>
        </r>
      </text>
    </comment>
    <comment ref="ZR161" authorId="0" shapeId="0" xr:uid="{00000000-0006-0000-0000-0000A4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whiole body
</t>
        </r>
      </text>
    </comment>
    <comment ref="AFD161" authorId="0" shapeId="0" xr:uid="{00000000-0006-0000-0000-000032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do tempo ao nivel do ombro</t>
        </r>
      </text>
    </comment>
    <comment ref="AJU161" authorId="0" shapeId="0" xr:uid="{00000000-0006-0000-0000-00007D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flexão do tronco
</t>
        </r>
      </text>
    </comment>
    <comment ref="RE162" authorId="0" shapeId="0" xr:uid="{00000000-0006-0000-0000-000015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flexão do tronco
</t>
        </r>
      </text>
    </comment>
    <comment ref="RE163" authorId="0" shapeId="0" xr:uid="{00000000-0006-0000-0000-000016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do tempo ao nivel do ombro</t>
        </r>
      </text>
    </comment>
    <comment ref="ZR164" authorId="0" shapeId="0" xr:uid="{00000000-0006-0000-0000-0000A5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whiole body
</t>
        </r>
      </text>
    </comment>
    <comment ref="AFD164" authorId="0" shapeId="0" xr:uid="{00000000-0006-0000-0000-000033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do tempo ao nivel do ombro</t>
        </r>
      </text>
    </comment>
    <comment ref="AJU164" authorId="0" shapeId="0" xr:uid="{00000000-0006-0000-0000-00007E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flexão do tronco
</t>
        </r>
      </text>
    </comment>
    <comment ref="HB165" authorId="0" shapeId="0" xr:uid="{00000000-0006-0000-0000-00003F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body restriction
</t>
        </r>
      </text>
    </comment>
    <comment ref="AFD165" authorId="0" shapeId="0" xr:uid="{00000000-0006-0000-0000-000034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2,75 - flexed
1,6 - twisted/bent
</t>
        </r>
      </text>
    </comment>
    <comment ref="AIZ165" authorId="0" shapeId="0" xr:uid="{00000000-0006-0000-0000-000065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whole body
</t>
        </r>
      </text>
    </comment>
    <comment ref="AEI167" authorId="0" shapeId="0" xr:uid="{00000000-0006-0000-0000-00000D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Medio</t>
        </r>
      </text>
    </comment>
    <comment ref="AIZ167" authorId="0" shapeId="0" xr:uid="{00000000-0006-0000-0000-000066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Medio</t>
        </r>
      </text>
    </comment>
    <comment ref="DF169" authorId="0" shapeId="0" xr:uid="{00000000-0006-0000-0000-000003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2,75 - flexed
1,6 - twisted/bent
</t>
        </r>
      </text>
    </comment>
    <comment ref="HB169" authorId="0" shapeId="0" xr:uid="{00000000-0006-0000-0000-000040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whole body
</t>
        </r>
      </text>
    </comment>
    <comment ref="LS170" authorId="0" shapeId="0" xr:uid="{00000000-0006-0000-0000-00008F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body restriction
</t>
        </r>
      </text>
    </comment>
    <comment ref="AJU170" authorId="0" shapeId="0" xr:uid="{00000000-0006-0000-0000-00007F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2,75 - flexed
1,6 - twisted/bent
</t>
        </r>
      </text>
    </comment>
    <comment ref="HW173" authorId="0" shapeId="0" xr:uid="{00000000-0006-0000-0000-000052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tronco fletido</t>
        </r>
      </text>
    </comment>
    <comment ref="LQ173" authorId="0" shapeId="0" xr:uid="{00000000-0006-0000-0000-000078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 Medium arm restrained
</t>
        </r>
      </text>
    </comment>
    <comment ref="MN173" authorId="0" shapeId="0" xr:uid="{00000000-0006-0000-0000-0000BA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flexão do tronco
</t>
        </r>
      </text>
    </comment>
    <comment ref="HW175" authorId="0" shapeId="0" xr:uid="{00000000-0006-0000-0000-000053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tronco fletido</t>
        </r>
      </text>
    </comment>
    <comment ref="LQ175" authorId="0" shapeId="0" xr:uid="{00000000-0006-0000-0000-000079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 Medium arm restrained
</t>
        </r>
      </text>
    </comment>
    <comment ref="MN175" authorId="0" shapeId="0" xr:uid="{00000000-0006-0000-0000-0000BB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flexão do tronco
</t>
        </r>
      </text>
    </comment>
    <comment ref="HB176" authorId="0" shapeId="0" xr:uid="{00000000-0006-0000-0000-000041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light</t>
        </r>
      </text>
    </comment>
    <comment ref="MJ176" authorId="0" shapeId="0" xr:uid="{00000000-0006-0000-0000-00009E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0,28 sentado
</t>
        </r>
      </text>
    </comment>
    <comment ref="QJ176" authorId="0" shapeId="0" xr:uid="{00000000-0006-0000-0000-0000ED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
</t>
        </r>
      </text>
    </comment>
    <comment ref="RA176" authorId="0" shapeId="0" xr:uid="{00000000-0006-0000-0000-0000FE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sentado</t>
        </r>
      </text>
    </comment>
    <comment ref="VA176" authorId="0" shapeId="0" xr:uid="{00000000-0006-0000-0000-00004D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
</t>
        </r>
      </text>
    </comment>
    <comment ref="VR176" authorId="0" shapeId="0" xr:uid="{00000000-0006-0000-0000-00005C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0,15 stand</t>
        </r>
      </text>
    </comment>
    <comment ref="ZR176" authorId="0" shapeId="0" xr:uid="{00000000-0006-0000-0000-0000A6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light</t>
        </r>
      </text>
    </comment>
    <comment ref="AAI176" authorId="0" shapeId="0" xr:uid="{00000000-0006-0000-0000-0000C7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0,38 sitting</t>
        </r>
      </text>
    </comment>
    <comment ref="AEI176" authorId="0" shapeId="0" xr:uid="{00000000-0006-0000-0000-00000E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light</t>
        </r>
      </text>
    </comment>
    <comment ref="DF177" authorId="0" shapeId="0" xr:uid="{00000000-0006-0000-0000-000004000000}">
      <text>
        <r>
          <rPr>
            <b/>
            <sz val="9"/>
            <color rgb="FF000000"/>
            <rFont val="Tahoma"/>
            <family val="2"/>
            <charset val="1"/>
          </rPr>
          <t>Fro</t>
        </r>
      </text>
    </comment>
    <comment ref="GZ177" authorId="0" shapeId="0" xr:uid="{00000000-0006-0000-0000-000025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</t>
        </r>
      </text>
    </comment>
    <comment ref="LS177" authorId="0" shapeId="0" xr:uid="{00000000-0006-0000-0000-000090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
</t>
        </r>
      </text>
    </comment>
    <comment ref="VA177" authorId="0" shapeId="0" xr:uid="{00000000-0006-0000-0000-00004E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light</t>
        </r>
      </text>
    </comment>
    <comment ref="ZR177" authorId="0" shapeId="0" xr:uid="{00000000-0006-0000-0000-0000A7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 whole body</t>
        </r>
      </text>
    </comment>
    <comment ref="HB178" authorId="0" shapeId="0" xr:uid="{00000000-0006-0000-0000-000042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light</t>
        </r>
      </text>
    </comment>
    <comment ref="MJ178" authorId="0" shapeId="0" xr:uid="{00000000-0006-0000-0000-00009F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0,28 sentado
</t>
        </r>
      </text>
    </comment>
    <comment ref="QJ178" authorId="0" shapeId="0" xr:uid="{00000000-0006-0000-0000-0000EE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
</t>
        </r>
      </text>
    </comment>
    <comment ref="RA178" authorId="0" shapeId="0" xr:uid="{00000000-0006-0000-0000-0000FF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sentado</t>
        </r>
      </text>
    </comment>
    <comment ref="VA178" authorId="0" shapeId="0" xr:uid="{00000000-0006-0000-0000-00004F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
</t>
        </r>
      </text>
    </comment>
    <comment ref="VR178" authorId="0" shapeId="0" xr:uid="{00000000-0006-0000-0000-00005D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0,15 stand</t>
        </r>
      </text>
    </comment>
    <comment ref="ZR178" authorId="0" shapeId="0" xr:uid="{00000000-0006-0000-0000-0000A8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light</t>
        </r>
      </text>
    </comment>
    <comment ref="AAI178" authorId="0" shapeId="0" xr:uid="{00000000-0006-0000-0000-0000C8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0,38 sitting</t>
        </r>
      </text>
    </comment>
    <comment ref="AEI178" authorId="0" shapeId="0" xr:uid="{00000000-0006-0000-0000-00000F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light</t>
        </r>
      </text>
    </comment>
    <comment ref="GZ179" authorId="0" shapeId="0" xr:uid="{00000000-0006-0000-0000-000026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1,89 strong
6,91 medium
</t>
        </r>
      </text>
    </comment>
    <comment ref="LQ179" authorId="0" shapeId="0" xr:uid="{00000000-0006-0000-0000-00007A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</t>
        </r>
      </text>
    </comment>
    <comment ref="QH179" authorId="0" shapeId="0" xr:uid="{00000000-0006-0000-0000-0000D0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hand
</t>
        </r>
      </text>
    </comment>
    <comment ref="UY179" authorId="0" shapeId="0" xr:uid="{00000000-0006-0000-0000-000037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</t>
        </r>
      </text>
    </comment>
    <comment ref="AEZ179" authorId="0" shapeId="0" xr:uid="{00000000-0006-0000-0000-00001D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standing</t>
        </r>
      </text>
    </comment>
    <comment ref="GZ180" authorId="0" shapeId="0" xr:uid="{00000000-0006-0000-0000-000027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1,89 strong
6,91 medium
</t>
        </r>
      </text>
    </comment>
    <comment ref="LQ180" authorId="0" shapeId="0" xr:uid="{00000000-0006-0000-0000-00007B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hand
</t>
        </r>
      </text>
    </comment>
    <comment ref="VR180" authorId="0" shapeId="0" xr:uid="{00000000-0006-0000-0000-00005E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standing</t>
        </r>
      </text>
    </comment>
    <comment ref="GZ181" authorId="0" shapeId="0" xr:uid="{00000000-0006-0000-0000-000028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</t>
        </r>
      </text>
    </comment>
    <comment ref="LQ181" authorId="0" shapeId="0" xr:uid="{00000000-0006-0000-0000-00007C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hand
</t>
        </r>
      </text>
    </comment>
    <comment ref="QH181" authorId="0" shapeId="0" xr:uid="{00000000-0006-0000-0000-0000D1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</t>
        </r>
      </text>
    </comment>
    <comment ref="AAI181" authorId="0" shapeId="0" xr:uid="{00000000-0006-0000-0000-0000C9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standing</t>
        </r>
      </text>
    </comment>
    <comment ref="GZ182" authorId="0" shapeId="0" xr:uid="{00000000-0006-0000-0000-000029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1,89 strong
6,91 medium
</t>
        </r>
      </text>
    </comment>
    <comment ref="LQ182" authorId="0" shapeId="0" xr:uid="{00000000-0006-0000-0000-00007D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</t>
        </r>
      </text>
    </comment>
    <comment ref="QH182" authorId="0" shapeId="0" xr:uid="{00000000-0006-0000-0000-0000D2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hand
</t>
        </r>
      </text>
    </comment>
    <comment ref="UY182" authorId="0" shapeId="0" xr:uid="{00000000-0006-0000-0000-000038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</t>
        </r>
      </text>
    </comment>
    <comment ref="AEZ182" authorId="0" shapeId="0" xr:uid="{00000000-0006-0000-0000-00001E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standing</t>
        </r>
      </text>
    </comment>
    <comment ref="GZ183" authorId="0" shapeId="0" xr:uid="{00000000-0006-0000-0000-00002A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1,89 strong
6,91 medium
</t>
        </r>
      </text>
    </comment>
    <comment ref="LQ183" authorId="0" shapeId="0" xr:uid="{00000000-0006-0000-0000-00007E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</t>
        </r>
      </text>
    </comment>
    <comment ref="QH183" authorId="0" shapeId="0" xr:uid="{00000000-0006-0000-0000-0000D3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hand
</t>
        </r>
      </text>
    </comment>
    <comment ref="UY183" authorId="0" shapeId="0" xr:uid="{00000000-0006-0000-0000-000039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</t>
        </r>
      </text>
    </comment>
    <comment ref="AEZ183" authorId="0" shapeId="0" xr:uid="{00000000-0006-0000-0000-00001F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standing</t>
        </r>
      </text>
    </comment>
    <comment ref="GZ184" authorId="0" shapeId="0" xr:uid="{00000000-0006-0000-0000-00002B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1,89 strong
6,91 medium
</t>
        </r>
      </text>
    </comment>
    <comment ref="LQ184" authorId="0" shapeId="0" xr:uid="{00000000-0006-0000-0000-00007F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</t>
        </r>
      </text>
    </comment>
    <comment ref="QH184" authorId="0" shapeId="0" xr:uid="{00000000-0006-0000-0000-0000D4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hand
</t>
        </r>
      </text>
    </comment>
    <comment ref="UY184" authorId="0" shapeId="0" xr:uid="{00000000-0006-0000-0000-00003A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</t>
        </r>
      </text>
    </comment>
    <comment ref="AEZ184" authorId="0" shapeId="0" xr:uid="{00000000-0006-0000-0000-000020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standing</t>
        </r>
      </text>
    </comment>
    <comment ref="GZ185" authorId="0" shapeId="0" xr:uid="{00000000-0006-0000-0000-00002C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</t>
        </r>
      </text>
    </comment>
    <comment ref="LQ185" authorId="0" shapeId="0" xr:uid="{00000000-0006-0000-0000-000080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hand
</t>
        </r>
      </text>
    </comment>
    <comment ref="QH185" authorId="0" shapeId="0" xr:uid="{00000000-0006-0000-0000-0000D5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</t>
        </r>
      </text>
    </comment>
    <comment ref="AAI185" authorId="0" shapeId="0" xr:uid="{00000000-0006-0000-0000-0000CA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standing</t>
        </r>
      </text>
    </comment>
    <comment ref="GZ186" authorId="0" shapeId="0" xr:uid="{00000000-0006-0000-0000-00002D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</t>
        </r>
      </text>
    </comment>
    <comment ref="LQ186" authorId="0" shapeId="0" xr:uid="{00000000-0006-0000-0000-000081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hand
</t>
        </r>
      </text>
    </comment>
    <comment ref="QH186" authorId="0" shapeId="0" xr:uid="{00000000-0006-0000-0000-0000D6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</t>
        </r>
      </text>
    </comment>
    <comment ref="AAI186" authorId="0" shapeId="0" xr:uid="{00000000-0006-0000-0000-0000CB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standing</t>
        </r>
      </text>
    </comment>
    <comment ref="GZ187" authorId="0" shapeId="0" xr:uid="{00000000-0006-0000-0000-00002E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1,89 strong
6,91 medium
</t>
        </r>
      </text>
    </comment>
    <comment ref="LQ187" authorId="0" shapeId="0" xr:uid="{00000000-0006-0000-0000-000082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</t>
        </r>
      </text>
    </comment>
    <comment ref="QH187" authorId="0" shapeId="0" xr:uid="{00000000-0006-0000-0000-0000D7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hand
</t>
        </r>
      </text>
    </comment>
    <comment ref="UY187" authorId="0" shapeId="0" xr:uid="{00000000-0006-0000-0000-00003B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</t>
        </r>
      </text>
    </comment>
    <comment ref="AEZ187" authorId="0" shapeId="0" xr:uid="{00000000-0006-0000-0000-000021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standing</t>
        </r>
      </text>
    </comment>
    <comment ref="GZ188" authorId="0" shapeId="0" xr:uid="{00000000-0006-0000-0000-00002F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1,89 strong
6,91 medium
</t>
        </r>
      </text>
    </comment>
    <comment ref="LQ188" authorId="0" shapeId="0" xr:uid="{00000000-0006-0000-0000-000083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</t>
        </r>
      </text>
    </comment>
    <comment ref="QH188" authorId="0" shapeId="0" xr:uid="{00000000-0006-0000-0000-0000D8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hand
</t>
        </r>
      </text>
    </comment>
    <comment ref="UY188" authorId="0" shapeId="0" xr:uid="{00000000-0006-0000-0000-00003C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</t>
        </r>
      </text>
    </comment>
    <comment ref="AEZ188" authorId="0" shapeId="0" xr:uid="{00000000-0006-0000-0000-000022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standing</t>
        </r>
      </text>
    </comment>
    <comment ref="RA192" authorId="0" shapeId="0" xr:uid="{00000000-0006-0000-0000-000000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6,03 sentado</t>
        </r>
      </text>
    </comment>
    <comment ref="RE192" authorId="0" shapeId="0" xr:uid="{00000000-0006-0000-0000-000017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flexao do tronco
</t>
        </r>
      </text>
    </comment>
    <comment ref="UY192" authorId="0" shapeId="0" xr:uid="{00000000-0006-0000-0000-00003D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 hand</t>
        </r>
      </text>
    </comment>
    <comment ref="VV192" authorId="0" shapeId="0" xr:uid="{00000000-0006-0000-0000-000070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flexão
</t>
        </r>
      </text>
    </comment>
    <comment ref="ZP192" authorId="0" shapeId="0" xr:uid="{00000000-0006-0000-0000-00008F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1,1 kneeling
5,69 standing</t>
        </r>
      </text>
    </comment>
    <comment ref="RA193" authorId="0" shapeId="0" xr:uid="{00000000-0006-0000-0000-000001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do tempo sentado
</t>
        </r>
      </text>
    </comment>
    <comment ref="VR193" authorId="0" shapeId="0" xr:uid="{00000000-0006-0000-0000-00005F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de tempo sentado
</t>
        </r>
      </text>
    </comment>
    <comment ref="AAI193" authorId="0" shapeId="0" xr:uid="{00000000-0006-0000-0000-0000CC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6,03 sentado</t>
        </r>
      </text>
    </comment>
    <comment ref="AAM193" authorId="0" shapeId="0" xr:uid="{00000000-0006-0000-0000-0000DC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flexao do tronco
</t>
        </r>
      </text>
    </comment>
    <comment ref="AEG193" authorId="0" shapeId="0" xr:uid="{00000000-0006-0000-0000-0000F0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 hand</t>
        </r>
      </text>
    </comment>
    <comment ref="AFD193" authorId="0" shapeId="0" xr:uid="{00000000-0006-0000-0000-000035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10,79 feltido</t>
        </r>
      </text>
    </comment>
    <comment ref="AIX193" authorId="0" shapeId="0" xr:uid="{00000000-0006-0000-0000-000046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 hand</t>
        </r>
      </text>
    </comment>
    <comment ref="AJU193" authorId="0" shapeId="0" xr:uid="{00000000-0006-0000-0000-000080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flexão
</t>
        </r>
      </text>
    </comment>
    <comment ref="DF194" authorId="0" shapeId="0" xr:uid="{00000000-0006-0000-0000-000005000000}">
      <text>
        <r>
          <rPr>
            <b/>
            <sz val="9"/>
            <color rgb="FF000000"/>
            <rFont val="Tahoma"/>
            <family val="2"/>
            <charset val="1"/>
          </rPr>
          <t>Fro</t>
        </r>
      </text>
    </comment>
    <comment ref="GZ194" authorId="0" shapeId="0" xr:uid="{00000000-0006-0000-0000-000030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</t>
        </r>
      </text>
    </comment>
    <comment ref="LS194" authorId="0" shapeId="0" xr:uid="{00000000-0006-0000-0000-000091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
</t>
        </r>
      </text>
    </comment>
    <comment ref="VA194" authorId="0" shapeId="0" xr:uid="{00000000-0006-0000-0000-000050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light</t>
        </r>
      </text>
    </comment>
    <comment ref="ZR194" authorId="0" shapeId="0" xr:uid="{00000000-0006-0000-0000-0000A9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 whole body</t>
        </r>
      </text>
    </comment>
    <comment ref="MJ195" authorId="0" shapeId="0" xr:uid="{00000000-0006-0000-0000-0000A0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do tempo sentado
</t>
        </r>
      </text>
    </comment>
    <comment ref="RA195" authorId="0" shapeId="0" xr:uid="{00000000-0006-0000-0000-000002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de tempo sentado
</t>
        </r>
      </text>
    </comment>
    <comment ref="VR195" authorId="0" shapeId="0" xr:uid="{00000000-0006-0000-0000-000060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do tempo sentado</t>
        </r>
      </text>
    </comment>
    <comment ref="AAM195" authorId="0" shapeId="0" xr:uid="{00000000-0006-0000-0000-0000DD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flexão
</t>
        </r>
      </text>
    </comment>
    <comment ref="AEG195" authorId="0" shapeId="0" xr:uid="{00000000-0006-0000-0000-0000F1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1,1 kneeling
5,69 standing</t>
        </r>
      </text>
    </comment>
    <comment ref="AIX195" authorId="0" shapeId="0" xr:uid="{00000000-0006-0000-0000-000047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
</t>
        </r>
      </text>
    </comment>
    <comment ref="AJQ195" authorId="0" shapeId="0" xr:uid="{00000000-0006-0000-0000-000072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tempo total sentado
</t>
        </r>
      </text>
    </comment>
    <comment ref="AJU195" authorId="0" shapeId="0" xr:uid="{00000000-0006-0000-0000-000081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tempo total fletido
</t>
        </r>
      </text>
    </comment>
    <comment ref="MN199" authorId="0" shapeId="0" xr:uid="{00000000-0006-0000-0000-0000BC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flexão do tronco
</t>
        </r>
      </text>
    </comment>
    <comment ref="RE199" authorId="0" shapeId="0" xr:uid="{00000000-0006-0000-0000-000018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Flexão do tronco</t>
        </r>
      </text>
    </comment>
    <comment ref="VA199" authorId="0" shapeId="0" xr:uid="{00000000-0006-0000-0000-000051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whole body
</t>
        </r>
      </text>
    </comment>
    <comment ref="VV214" authorId="0" shapeId="0" xr:uid="{00000000-0006-0000-0000-000071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16,58% com flexão do tronco</t>
        </r>
      </text>
    </comment>
    <comment ref="ZR214" authorId="0" shapeId="0" xr:uid="{00000000-0006-0000-0000-0000AA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light whole body</t>
        </r>
      </text>
    </comment>
    <comment ref="AAM214" authorId="0" shapeId="0" xr:uid="{00000000-0006-0000-0000-0000DE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bent
</t>
        </r>
      </text>
    </comment>
    <comment ref="AIZ214" authorId="0" shapeId="0" xr:uid="{00000000-0006-0000-0000-000067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whole body
</t>
        </r>
      </text>
    </comment>
    <comment ref="MN215" authorId="0" shapeId="0" xr:uid="{00000000-0006-0000-0000-0000BD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16,58% com flexão do tronco</t>
        </r>
      </text>
    </comment>
    <comment ref="QJ215" authorId="0" shapeId="0" xr:uid="{00000000-0006-0000-0000-0000EF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light whole body</t>
        </r>
      </text>
    </comment>
    <comment ref="RE215" authorId="0" shapeId="0" xr:uid="{00000000-0006-0000-0000-000019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bent
</t>
        </r>
      </text>
    </comment>
    <comment ref="ZR215" authorId="0" shapeId="0" xr:uid="{00000000-0006-0000-0000-0000AB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whole body
</t>
        </r>
      </text>
    </comment>
    <comment ref="AAM217" authorId="0" shapeId="0" xr:uid="{00000000-0006-0000-0000-0000DF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16,58% com flexão do tronco</t>
        </r>
      </text>
    </comment>
    <comment ref="AEI217" authorId="0" shapeId="0" xr:uid="{00000000-0006-0000-0000-000010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light whole body</t>
        </r>
      </text>
    </comment>
    <comment ref="AFD217" authorId="0" shapeId="0" xr:uid="{00000000-0006-0000-0000-000036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bent
</t>
        </r>
      </text>
    </comment>
    <comment ref="MN218" authorId="0" shapeId="0" xr:uid="{00000000-0006-0000-0000-0000BE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bent
</t>
        </r>
      </text>
    </comment>
    <comment ref="VA218" authorId="0" shapeId="0" xr:uid="{00000000-0006-0000-0000-000052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whole body
</t>
        </r>
      </text>
    </comment>
    <comment ref="RE219" authorId="0" shapeId="0" xr:uid="{00000000-0006-0000-0000-00001A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16,58% com flexão do tronco</t>
        </r>
      </text>
    </comment>
    <comment ref="VA219" authorId="0" shapeId="0" xr:uid="{00000000-0006-0000-0000-000053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light whole body</t>
        </r>
      </text>
    </comment>
    <comment ref="VV219" authorId="0" shapeId="0" xr:uid="{00000000-0006-0000-0000-000072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bent
</t>
        </r>
      </text>
    </comment>
    <comment ref="AEI219" authorId="0" shapeId="0" xr:uid="{00000000-0006-0000-0000-000011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whole body
</t>
        </r>
      </text>
    </comment>
    <comment ref="RE220" authorId="0" shapeId="0" xr:uid="{00000000-0006-0000-0000-00001B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16,58% com flexão do tronco</t>
        </r>
      </text>
    </comment>
    <comment ref="VA220" authorId="0" shapeId="0" xr:uid="{00000000-0006-0000-0000-000054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light whole body</t>
        </r>
      </text>
    </comment>
    <comment ref="VV220" authorId="0" shapeId="0" xr:uid="{00000000-0006-0000-0000-000073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16,58% com flexão do tronco</t>
        </r>
      </text>
    </comment>
    <comment ref="ZR220" authorId="0" shapeId="0" xr:uid="{00000000-0006-0000-0000-0000AC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light whole body</t>
        </r>
      </text>
    </comment>
    <comment ref="AAM220" authorId="0" shapeId="0" xr:uid="{00000000-0006-0000-0000-0000E0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bent
</t>
        </r>
      </text>
    </comment>
    <comment ref="AIZ220" authorId="0" shapeId="0" xr:uid="{00000000-0006-0000-0000-000068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whole body
</t>
        </r>
      </text>
    </comment>
    <comment ref="AJU221" authorId="0" shapeId="0" xr:uid="{00000000-0006-0000-0000-000082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16,58% com flexão do tronco</t>
        </r>
      </text>
    </comment>
    <comment ref="AAM222" authorId="0" shapeId="0" xr:uid="{00000000-0006-0000-0000-0000E1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16,58% com flexão do tronco</t>
        </r>
      </text>
    </comment>
    <comment ref="AEI222" authorId="0" shapeId="0" xr:uid="{00000000-0006-0000-0000-000012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light whole body</t>
        </r>
      </text>
    </comment>
    <comment ref="AFD222" authorId="0" shapeId="0" xr:uid="{00000000-0006-0000-0000-000037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bent
</t>
        </r>
      </text>
    </comment>
    <comment ref="VA223" authorId="0" shapeId="0" xr:uid="{00000000-0006-0000-0000-000055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whole body
</t>
        </r>
      </text>
    </comment>
    <comment ref="AAM224" authorId="0" shapeId="0" xr:uid="{00000000-0006-0000-0000-0000E2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16,58% com flexão do tronco</t>
        </r>
      </text>
    </comment>
    <comment ref="AEI224" authorId="0" shapeId="0" xr:uid="{00000000-0006-0000-0000-000013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light whole body</t>
        </r>
      </text>
    </comment>
    <comment ref="AFD224" authorId="0" shapeId="0" xr:uid="{00000000-0006-0000-0000-000038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bent
</t>
        </r>
      </text>
    </comment>
    <comment ref="RE225" authorId="0" shapeId="0" xr:uid="{00000000-0006-0000-0000-00001C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16,58% com flexão do tronco</t>
        </r>
      </text>
    </comment>
    <comment ref="VA225" authorId="0" shapeId="0" xr:uid="{00000000-0006-0000-0000-000056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light whole body</t>
        </r>
      </text>
    </comment>
    <comment ref="AJU226" authorId="0" shapeId="0" xr:uid="{00000000-0006-0000-0000-000083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16,58% com flexão do tronco</t>
        </r>
      </text>
    </comment>
    <comment ref="HW227" authorId="0" shapeId="0" xr:uid="{00000000-0006-0000-0000-000054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16,58% com flexão do tronco</t>
        </r>
      </text>
    </comment>
    <comment ref="LS227" authorId="0" shapeId="0" xr:uid="{00000000-0006-0000-0000-000092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light whole body</t>
        </r>
      </text>
    </comment>
    <comment ref="MN227" authorId="0" shapeId="0" xr:uid="{00000000-0006-0000-0000-0000BF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bent
</t>
        </r>
      </text>
    </comment>
    <comment ref="VA227" authorId="0" shapeId="0" xr:uid="{00000000-0006-0000-0000-000057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whole body
</t>
        </r>
      </text>
    </comment>
    <comment ref="DF228" authorId="0" shapeId="0" xr:uid="{00000000-0006-0000-0000-000006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tronco fletido</t>
        </r>
      </text>
    </comment>
    <comment ref="GZ228" authorId="0" shapeId="0" xr:uid="{00000000-0006-0000-0000-000031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 Medium arm restrained
</t>
        </r>
      </text>
    </comment>
    <comment ref="HW229" authorId="0" shapeId="0" xr:uid="{00000000-0006-0000-0000-000055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tronco fletido</t>
        </r>
      </text>
    </comment>
    <comment ref="LQ229" authorId="0" shapeId="0" xr:uid="{00000000-0006-0000-0000-000084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 Medium arm restrained
</t>
        </r>
      </text>
    </comment>
    <comment ref="MN229" authorId="0" shapeId="0" xr:uid="{00000000-0006-0000-0000-0000C0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flexão do tronco
</t>
        </r>
      </text>
    </comment>
    <comment ref="HW230" authorId="0" shapeId="0" xr:uid="{00000000-0006-0000-0000-000056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tronco fletido</t>
        </r>
      </text>
    </comment>
    <comment ref="LQ230" authorId="0" shapeId="0" xr:uid="{00000000-0006-0000-0000-000085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 Medium arm restrained
</t>
        </r>
      </text>
    </comment>
    <comment ref="MN230" authorId="0" shapeId="0" xr:uid="{00000000-0006-0000-0000-0000C1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flexão do tronco
</t>
        </r>
      </text>
    </comment>
    <comment ref="HW232" authorId="0" shapeId="0" xr:uid="{00000000-0006-0000-0000-000057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tronco fletido</t>
        </r>
      </text>
    </comment>
    <comment ref="LQ232" authorId="0" shapeId="0" xr:uid="{00000000-0006-0000-0000-000086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 Medium arm restrained
</t>
        </r>
      </text>
    </comment>
    <comment ref="MN232" authorId="0" shapeId="0" xr:uid="{00000000-0006-0000-0000-0000C2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flexão do tronco
</t>
        </r>
      </text>
    </comment>
    <comment ref="HW233" authorId="0" shapeId="0" xr:uid="{00000000-0006-0000-0000-000058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tronco fletido</t>
        </r>
      </text>
    </comment>
    <comment ref="LQ233" authorId="0" shapeId="0" xr:uid="{00000000-0006-0000-0000-000087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 Medium arm restrained
</t>
        </r>
      </text>
    </comment>
    <comment ref="MN233" authorId="0" shapeId="0" xr:uid="{00000000-0006-0000-0000-0000C3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flexão do tronco
</t>
        </r>
      </text>
    </comment>
    <comment ref="QH234" authorId="0" shapeId="0" xr:uid="{00000000-0006-0000-0000-0000D9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UY234" authorId="0" shapeId="0" xr:uid="{00000000-0006-0000-0000-00003E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QH235" authorId="0" shapeId="0" xr:uid="{00000000-0006-0000-0000-0000DA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UY235" authorId="0" shapeId="0" xr:uid="{00000000-0006-0000-0000-00003F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QH236" authorId="0" shapeId="0" xr:uid="{00000000-0006-0000-0000-0000DB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UY236" authorId="0" shapeId="0" xr:uid="{00000000-0006-0000-0000-000040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QH237" authorId="0" shapeId="0" xr:uid="{00000000-0006-0000-0000-0000DC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UY237" authorId="0" shapeId="0" xr:uid="{00000000-0006-0000-0000-000041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QH238" authorId="0" shapeId="0" xr:uid="{00000000-0006-0000-0000-0000DD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UY238" authorId="0" shapeId="0" xr:uid="{00000000-0006-0000-0000-000042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QH239" authorId="0" shapeId="0" xr:uid="{00000000-0006-0000-0000-0000DE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UY239" authorId="0" shapeId="0" xr:uid="{00000000-0006-0000-0000-000043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DF255" authorId="0" shapeId="0" xr:uid="{00000000-0006-0000-0000-000007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tronco fletido</t>
        </r>
      </text>
    </comment>
    <comment ref="HW255" authorId="0" shapeId="0" xr:uid="{00000000-0006-0000-0000-000059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fletido</t>
        </r>
      </text>
    </comment>
    <comment ref="RE255" authorId="0" shapeId="0" xr:uid="{00000000-0006-0000-0000-00001D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10,37 flexed</t>
        </r>
      </text>
    </comment>
    <comment ref="VV255" authorId="0" shapeId="0" xr:uid="{00000000-0006-0000-0000-000074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21,88% fletido
</t>
        </r>
      </text>
    </comment>
    <comment ref="ZR255" authorId="0" shapeId="0" xr:uid="{00000000-0006-0000-0000-0000AD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 light
1 medium
</t>
        </r>
      </text>
    </comment>
    <comment ref="DF256" authorId="0" shapeId="0" xr:uid="{00000000-0006-0000-0000-000008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tronco fletido</t>
        </r>
      </text>
    </comment>
    <comment ref="HW256" authorId="0" shapeId="0" xr:uid="{00000000-0006-0000-0000-00005A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fletido</t>
        </r>
      </text>
    </comment>
    <comment ref="RE256" authorId="0" shapeId="0" xr:uid="{00000000-0006-0000-0000-00001E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10,37 flexed</t>
        </r>
      </text>
    </comment>
    <comment ref="VV256" authorId="0" shapeId="0" xr:uid="{00000000-0006-0000-0000-000075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21,88% fletido
</t>
        </r>
      </text>
    </comment>
    <comment ref="ZR256" authorId="0" shapeId="0" xr:uid="{00000000-0006-0000-0000-0000AE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 light
1 medium
</t>
        </r>
      </text>
    </comment>
    <comment ref="DF257" authorId="0" shapeId="0" xr:uid="{00000000-0006-0000-0000-000009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tronco fletido</t>
        </r>
      </text>
    </comment>
    <comment ref="HW257" authorId="0" shapeId="0" xr:uid="{00000000-0006-0000-0000-00005B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fletido</t>
        </r>
      </text>
    </comment>
    <comment ref="RE257" authorId="0" shapeId="0" xr:uid="{00000000-0006-0000-0000-00001F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10,37 flexed</t>
        </r>
      </text>
    </comment>
    <comment ref="VV257" authorId="0" shapeId="0" xr:uid="{00000000-0006-0000-0000-000076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21,88% fletido
</t>
        </r>
      </text>
    </comment>
    <comment ref="ZR257" authorId="0" shapeId="0" xr:uid="{00000000-0006-0000-0000-0000AF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 light
1 medium
</t>
        </r>
      </text>
    </comment>
    <comment ref="DF258" authorId="0" shapeId="0" xr:uid="{00000000-0006-0000-0000-00000A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tronco fletido</t>
        </r>
      </text>
    </comment>
    <comment ref="HW258" authorId="0" shapeId="0" xr:uid="{00000000-0006-0000-0000-00005C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fletido</t>
        </r>
      </text>
    </comment>
    <comment ref="RE258" authorId="0" shapeId="0" xr:uid="{00000000-0006-0000-0000-000020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10,37 flexed</t>
        </r>
      </text>
    </comment>
    <comment ref="VV258" authorId="0" shapeId="0" xr:uid="{00000000-0006-0000-0000-000077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21,88% fletido
</t>
        </r>
      </text>
    </comment>
    <comment ref="ZR258" authorId="0" shapeId="0" xr:uid="{00000000-0006-0000-0000-0000B0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 light
1 medium
</t>
        </r>
      </text>
    </comment>
    <comment ref="DF259" authorId="0" shapeId="0" xr:uid="{00000000-0006-0000-0000-00000B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tronco fletido</t>
        </r>
      </text>
    </comment>
    <comment ref="HW259" authorId="0" shapeId="0" xr:uid="{00000000-0006-0000-0000-00005D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fletido</t>
        </r>
      </text>
    </comment>
    <comment ref="RE259" authorId="0" shapeId="0" xr:uid="{00000000-0006-0000-0000-000021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10,37 flexed</t>
        </r>
      </text>
    </comment>
    <comment ref="VV259" authorId="0" shapeId="0" xr:uid="{00000000-0006-0000-0000-000078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21,88% fletido
</t>
        </r>
      </text>
    </comment>
    <comment ref="ZR259" authorId="0" shapeId="0" xr:uid="{00000000-0006-0000-0000-0000B1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 light
1 medium
</t>
        </r>
      </text>
    </comment>
    <comment ref="DF260" authorId="0" shapeId="0" xr:uid="{00000000-0006-0000-0000-00000C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tronco fletido</t>
        </r>
      </text>
    </comment>
    <comment ref="HW260" authorId="0" shapeId="0" xr:uid="{00000000-0006-0000-0000-00005E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fletido</t>
        </r>
      </text>
    </comment>
    <comment ref="RE260" authorId="0" shapeId="0" xr:uid="{00000000-0006-0000-0000-000022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10,37 flexed</t>
        </r>
      </text>
    </comment>
    <comment ref="VV260" authorId="0" shapeId="0" xr:uid="{00000000-0006-0000-0000-000079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21,88% fletido
</t>
        </r>
      </text>
    </comment>
    <comment ref="ZR260" authorId="0" shapeId="0" xr:uid="{00000000-0006-0000-0000-0000B2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 light
1 medium
</t>
        </r>
      </text>
    </comment>
    <comment ref="DF261" authorId="0" shapeId="0" xr:uid="{00000000-0006-0000-0000-00000D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tronco fletido</t>
        </r>
      </text>
    </comment>
    <comment ref="HW261" authorId="0" shapeId="0" xr:uid="{00000000-0006-0000-0000-00005F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fletido</t>
        </r>
      </text>
    </comment>
    <comment ref="RE261" authorId="0" shapeId="0" xr:uid="{00000000-0006-0000-0000-000023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10,37 flexed</t>
        </r>
      </text>
    </comment>
    <comment ref="VV261" authorId="0" shapeId="0" xr:uid="{00000000-0006-0000-0000-00007A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21,88% fletido
</t>
        </r>
      </text>
    </comment>
    <comment ref="ZR261" authorId="0" shapeId="0" xr:uid="{00000000-0006-0000-0000-0000B3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 light
1 medium
</t>
        </r>
      </text>
    </comment>
    <comment ref="HS262" authorId="0" shapeId="0" xr:uid="{00000000-0006-0000-0000-000044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0,25 - sentado
restante - em pé</t>
        </r>
      </text>
    </comment>
    <comment ref="MJ262" authorId="0" shapeId="0" xr:uid="{00000000-0006-0000-0000-0000A1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stand
</t>
        </r>
      </text>
    </comment>
    <comment ref="RE262" authorId="0" shapeId="0" xr:uid="{00000000-0006-0000-0000-000024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0,77 altura do ombro</t>
        </r>
      </text>
    </comment>
    <comment ref="VR262" authorId="0" shapeId="0" xr:uid="{00000000-0006-0000-0000-000061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11,39 pé
13.64 sentado
</t>
        </r>
      </text>
    </comment>
    <comment ref="AAI262" authorId="0" shapeId="0" xr:uid="{00000000-0006-0000-0000-0000CD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5,89 pé
12,74 sentado</t>
        </r>
      </text>
    </comment>
    <comment ref="AEZ262" authorId="0" shapeId="0" xr:uid="{00000000-0006-0000-0000-000023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1,58 sentado
2,85 pé</t>
        </r>
      </text>
    </comment>
    <comment ref="HS263" authorId="0" shapeId="0" xr:uid="{00000000-0006-0000-0000-000045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0,25 - sentado
restante - em pé</t>
        </r>
      </text>
    </comment>
    <comment ref="MJ263" authorId="0" shapeId="0" xr:uid="{00000000-0006-0000-0000-0000A2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stand
</t>
        </r>
      </text>
    </comment>
    <comment ref="RE263" authorId="0" shapeId="0" xr:uid="{00000000-0006-0000-0000-000025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0,77 altura do ombro</t>
        </r>
      </text>
    </comment>
    <comment ref="VR263" authorId="0" shapeId="0" xr:uid="{00000000-0006-0000-0000-000062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11,39 pé
13.64 sentado
</t>
        </r>
      </text>
    </comment>
    <comment ref="AAI263" authorId="0" shapeId="0" xr:uid="{00000000-0006-0000-0000-0000CE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5,89 pé
12,74 sentado</t>
        </r>
      </text>
    </comment>
    <comment ref="AEZ263" authorId="0" shapeId="0" xr:uid="{00000000-0006-0000-0000-000024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1,58 sentado
2,85 pé</t>
        </r>
      </text>
    </comment>
    <comment ref="HS264" authorId="0" shapeId="0" xr:uid="{00000000-0006-0000-0000-000046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0,25 - sentado
restante - em pé</t>
        </r>
      </text>
    </comment>
    <comment ref="MJ264" authorId="0" shapeId="0" xr:uid="{00000000-0006-0000-0000-0000A3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stand
</t>
        </r>
      </text>
    </comment>
    <comment ref="RA264" authorId="0" shapeId="0" xr:uid="{00000000-0006-0000-0000-000003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11,39 pé
13.64 sentado
</t>
        </r>
      </text>
    </comment>
    <comment ref="VR264" authorId="0" shapeId="0" xr:uid="{00000000-0006-0000-0000-000063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5,89 pé
12,74 sentado</t>
        </r>
      </text>
    </comment>
    <comment ref="AAI264" authorId="0" shapeId="0" xr:uid="{00000000-0006-0000-0000-0000CF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1,58 sentado
2,85 pé</t>
        </r>
      </text>
    </comment>
    <comment ref="HS265" authorId="0" shapeId="0" xr:uid="{00000000-0006-0000-0000-000047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0,25 - sentado
restante - em pé</t>
        </r>
      </text>
    </comment>
    <comment ref="MJ265" authorId="0" shapeId="0" xr:uid="{00000000-0006-0000-0000-0000A4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stand
</t>
        </r>
      </text>
    </comment>
    <comment ref="RE265" authorId="0" shapeId="0" xr:uid="{00000000-0006-0000-0000-000026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0,77 altura do ombro</t>
        </r>
      </text>
    </comment>
    <comment ref="VR265" authorId="0" shapeId="0" xr:uid="{00000000-0006-0000-0000-000064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11,39 pé
13.64 sentado
</t>
        </r>
      </text>
    </comment>
    <comment ref="AAI265" authorId="0" shapeId="0" xr:uid="{00000000-0006-0000-0000-0000D0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5,89 pé
12,74 sentado</t>
        </r>
      </text>
    </comment>
    <comment ref="AEZ265" authorId="0" shapeId="0" xr:uid="{00000000-0006-0000-0000-000025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1,58 sentado
2,85 pé</t>
        </r>
      </text>
    </comment>
    <comment ref="HS266" authorId="0" shapeId="0" xr:uid="{00000000-0006-0000-0000-000048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0,25 - sentado
restante - em pé</t>
        </r>
      </text>
    </comment>
    <comment ref="MJ266" authorId="0" shapeId="0" xr:uid="{00000000-0006-0000-0000-0000A5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stand
</t>
        </r>
      </text>
    </comment>
    <comment ref="RE266" authorId="0" shapeId="0" xr:uid="{00000000-0006-0000-0000-000027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0,77 altura do ombro</t>
        </r>
      </text>
    </comment>
    <comment ref="VR266" authorId="0" shapeId="0" xr:uid="{00000000-0006-0000-0000-000065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11,39 pé
13.64 sentado
</t>
        </r>
      </text>
    </comment>
    <comment ref="AAI266" authorId="0" shapeId="0" xr:uid="{00000000-0006-0000-0000-0000D1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5,89 pé
12,74 sentado</t>
        </r>
      </text>
    </comment>
    <comment ref="AEZ266" authorId="0" shapeId="0" xr:uid="{00000000-0006-0000-0000-000026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1,58 sentado
2,85 pé</t>
        </r>
      </text>
    </comment>
    <comment ref="HS267" authorId="0" shapeId="0" xr:uid="{00000000-0006-0000-0000-000049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0,25 - sentado
restante - em pé</t>
        </r>
      </text>
    </comment>
    <comment ref="MJ267" authorId="0" shapeId="0" xr:uid="{00000000-0006-0000-0000-0000A6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stand
</t>
        </r>
      </text>
    </comment>
    <comment ref="DF268" authorId="0" shapeId="0" xr:uid="{00000000-0006-0000-0000-00000E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0,77 altura do ombro</t>
        </r>
      </text>
    </comment>
    <comment ref="HS268" authorId="0" shapeId="0" xr:uid="{00000000-0006-0000-0000-00004A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11,39 pé
13.64 sentado
</t>
        </r>
      </text>
    </comment>
    <comment ref="MJ268" authorId="0" shapeId="0" xr:uid="{00000000-0006-0000-0000-0000A7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5,89 pé
12,74 sentado</t>
        </r>
      </text>
    </comment>
    <comment ref="QH269" authorId="0" shapeId="0" xr:uid="{00000000-0006-0000-0000-0000DF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UY269" authorId="0" shapeId="0" xr:uid="{00000000-0006-0000-0000-000044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QH270" authorId="0" shapeId="0" xr:uid="{00000000-0006-0000-0000-0000E0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UY270" authorId="0" shapeId="0" xr:uid="{00000000-0006-0000-0000-000045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QH271" authorId="0" shapeId="0" xr:uid="{00000000-0006-0000-0000-0000E1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UY271" authorId="0" shapeId="0" xr:uid="{00000000-0006-0000-0000-000046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hand/arm
</t>
        </r>
      </text>
    </comment>
    <comment ref="LS272" authorId="0" shapeId="0" xr:uid="{00000000-0006-0000-0000-000093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body restriction
</t>
        </r>
      </text>
    </comment>
    <comment ref="AJU272" authorId="0" shapeId="0" xr:uid="{00000000-0006-0000-0000-000084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2,75 - flexed
1,6 - twisted/bent
</t>
        </r>
      </text>
    </comment>
    <comment ref="ZP273" authorId="0" shapeId="0" xr:uid="{00000000-0006-0000-0000-000090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hand arm </t>
        </r>
      </text>
    </comment>
    <comment ref="ZR273" authorId="0" shapeId="0" xr:uid="{00000000-0006-0000-0000-0000B4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 whole body</t>
        </r>
      </text>
    </comment>
    <comment ref="AIX273" authorId="0" shapeId="0" xr:uid="{00000000-0006-0000-0000-000048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 arm</t>
        </r>
      </text>
    </comment>
    <comment ref="ZP274" authorId="0" shapeId="0" xr:uid="{00000000-0006-0000-0000-000091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hand arm </t>
        </r>
      </text>
    </comment>
    <comment ref="ZR274" authorId="0" shapeId="0" xr:uid="{00000000-0006-0000-0000-0000B5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 whole body</t>
        </r>
      </text>
    </comment>
    <comment ref="AIX274" authorId="0" shapeId="0" xr:uid="{00000000-0006-0000-0000-000049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 arm</t>
        </r>
      </text>
    </comment>
    <comment ref="ZP275" authorId="0" shapeId="0" xr:uid="{00000000-0006-0000-0000-000092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hand arm </t>
        </r>
      </text>
    </comment>
    <comment ref="ZR275" authorId="0" shapeId="0" xr:uid="{00000000-0006-0000-0000-0000B6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 whole body</t>
        </r>
      </text>
    </comment>
    <comment ref="AIX275" authorId="0" shapeId="0" xr:uid="{00000000-0006-0000-0000-00004A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 arm</t>
        </r>
      </text>
    </comment>
    <comment ref="ZP276" authorId="0" shapeId="0" xr:uid="{00000000-0006-0000-0000-000093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hand arm </t>
        </r>
      </text>
    </comment>
    <comment ref="ZR276" authorId="0" shapeId="0" xr:uid="{00000000-0006-0000-0000-0000B7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 whole body</t>
        </r>
      </text>
    </comment>
    <comment ref="AIX276" authorId="0" shapeId="0" xr:uid="{00000000-0006-0000-0000-00004B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 arm</t>
        </r>
      </text>
    </comment>
    <comment ref="ZP277" authorId="0" shapeId="0" xr:uid="{00000000-0006-0000-0000-000094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hand arm </t>
        </r>
      </text>
    </comment>
    <comment ref="ZR277" authorId="0" shapeId="0" xr:uid="{00000000-0006-0000-0000-0000B8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 whole body</t>
        </r>
      </text>
    </comment>
    <comment ref="AIX277" authorId="0" shapeId="0" xr:uid="{00000000-0006-0000-0000-00004C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 arm</t>
        </r>
      </text>
    </comment>
    <comment ref="AEG278" authorId="0" shapeId="0" xr:uid="{00000000-0006-0000-0000-0000F2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 hand</t>
        </r>
      </text>
    </comment>
    <comment ref="AEI278" authorId="0" shapeId="0" xr:uid="{00000000-0006-0000-0000-000014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whole body
</t>
        </r>
      </text>
    </comment>
    <comment ref="AEG279" authorId="0" shapeId="0" xr:uid="{00000000-0006-0000-0000-0000F3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arm
</t>
        </r>
      </text>
    </comment>
    <comment ref="AIX279" authorId="0" shapeId="0" xr:uid="{00000000-0006-0000-0000-00004D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 hand</t>
        </r>
      </text>
    </comment>
    <comment ref="AIZ279" authorId="0" shapeId="0" xr:uid="{00000000-0006-0000-0000-000069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whole body
</t>
        </r>
      </text>
    </comment>
    <comment ref="ZP280" authorId="0" shapeId="0" xr:uid="{00000000-0006-0000-0000-000095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arm
</t>
        </r>
      </text>
    </comment>
    <comment ref="AEG280" authorId="0" shapeId="0" xr:uid="{00000000-0006-0000-0000-0000F4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 hand</t>
        </r>
      </text>
    </comment>
    <comment ref="AEI280" authorId="0" shapeId="0" xr:uid="{00000000-0006-0000-0000-000015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whole body
</t>
        </r>
      </text>
    </comment>
    <comment ref="AEG281" authorId="0" shapeId="0" xr:uid="{00000000-0006-0000-0000-0000F5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arm
</t>
        </r>
      </text>
    </comment>
    <comment ref="AIX281" authorId="0" shapeId="0" xr:uid="{00000000-0006-0000-0000-00004E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 hand</t>
        </r>
      </text>
    </comment>
    <comment ref="AIZ281" authorId="0" shapeId="0" xr:uid="{00000000-0006-0000-0000-00006A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whole body
</t>
        </r>
      </text>
    </comment>
    <comment ref="ZP282" authorId="0" shapeId="0" xr:uid="{00000000-0006-0000-0000-000096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arm
</t>
        </r>
      </text>
    </comment>
    <comment ref="AEG282" authorId="0" shapeId="0" xr:uid="{00000000-0006-0000-0000-0000F6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 hand</t>
        </r>
      </text>
    </comment>
    <comment ref="AEI282" authorId="0" shapeId="0" xr:uid="{00000000-0006-0000-0000-000016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whole body
</t>
        </r>
      </text>
    </comment>
    <comment ref="AIX283" authorId="0" shapeId="0" xr:uid="{00000000-0006-0000-0000-00004F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arm
</t>
        </r>
      </text>
    </comment>
    <comment ref="AEG284" authorId="0" shapeId="0" xr:uid="{00000000-0006-0000-0000-0000F7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 hand</t>
        </r>
      </text>
    </comment>
    <comment ref="AEI284" authorId="0" shapeId="0" xr:uid="{00000000-0006-0000-0000-000017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whole body
</t>
        </r>
      </text>
    </comment>
    <comment ref="AEG285" authorId="0" shapeId="0" xr:uid="{00000000-0006-0000-0000-0000F8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arm
</t>
        </r>
      </text>
    </comment>
    <comment ref="AIX285" authorId="0" shapeId="0" xr:uid="{00000000-0006-0000-0000-000050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 hand</t>
        </r>
      </text>
    </comment>
    <comment ref="AIZ285" authorId="0" shapeId="0" xr:uid="{00000000-0006-0000-0000-00006B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whole body
</t>
        </r>
      </text>
    </comment>
    <comment ref="AEG286" authorId="0" shapeId="0" xr:uid="{00000000-0006-0000-0000-0000F9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arm
</t>
        </r>
      </text>
    </comment>
    <comment ref="AIX286" authorId="0" shapeId="0" xr:uid="{00000000-0006-0000-0000-000051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 hand</t>
        </r>
      </text>
    </comment>
    <comment ref="AIZ286" authorId="0" shapeId="0" xr:uid="{00000000-0006-0000-0000-00006C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whole body
</t>
        </r>
      </text>
    </comment>
    <comment ref="AEG287" authorId="0" shapeId="0" xr:uid="{00000000-0006-0000-0000-0000FA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arm
</t>
        </r>
      </text>
    </comment>
    <comment ref="AIX287" authorId="0" shapeId="0" xr:uid="{00000000-0006-0000-0000-000052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 hand</t>
        </r>
      </text>
    </comment>
    <comment ref="AIZ287" authorId="0" shapeId="0" xr:uid="{00000000-0006-0000-0000-00006D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whole body
</t>
        </r>
      </text>
    </comment>
    <comment ref="VR288" authorId="0" shapeId="0" xr:uid="{00000000-0006-0000-0000-000066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do tempo sentado
</t>
        </r>
      </text>
    </comment>
    <comment ref="AAI288" authorId="0" shapeId="0" xr:uid="{00000000-0006-0000-0000-0000D2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de tempo sentado
</t>
        </r>
      </text>
    </comment>
    <comment ref="AEZ288" authorId="0" shapeId="0" xr:uid="{00000000-0006-0000-0000-000027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do tempo sentado</t>
        </r>
      </text>
    </comment>
    <comment ref="AJQ288" authorId="0" shapeId="0" xr:uid="{00000000-0006-0000-0000-000073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6,03 sentado</t>
        </r>
      </text>
    </comment>
    <comment ref="AJU288" authorId="0" shapeId="0" xr:uid="{00000000-0006-0000-0000-000085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flexao do tronco
</t>
        </r>
      </text>
    </comment>
    <comment ref="VR289" authorId="0" shapeId="0" xr:uid="{00000000-0006-0000-0000-000067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do tempo sentado
</t>
        </r>
      </text>
    </comment>
    <comment ref="AAI289" authorId="0" shapeId="0" xr:uid="{00000000-0006-0000-0000-0000D3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de tempo sentado
</t>
        </r>
      </text>
    </comment>
    <comment ref="AEZ289" authorId="0" shapeId="0" xr:uid="{00000000-0006-0000-0000-000028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do tempo sentado</t>
        </r>
      </text>
    </comment>
    <comment ref="AJQ289" authorId="0" shapeId="0" xr:uid="{00000000-0006-0000-0000-000074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6,03 sentado</t>
        </r>
      </text>
    </comment>
    <comment ref="AJU289" authorId="0" shapeId="0" xr:uid="{00000000-0006-0000-0000-000086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flexao do tronco
</t>
        </r>
      </text>
    </comment>
    <comment ref="MJ290" authorId="0" shapeId="0" xr:uid="{00000000-0006-0000-0000-0000A8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do tempo sentado
</t>
        </r>
      </text>
    </comment>
    <comment ref="RA290" authorId="0" shapeId="0" xr:uid="{00000000-0006-0000-0000-000004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de tempo sentado
</t>
        </r>
      </text>
    </comment>
    <comment ref="VR290" authorId="0" shapeId="0" xr:uid="{00000000-0006-0000-0000-000068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do tempo sentado</t>
        </r>
      </text>
    </comment>
    <comment ref="AAI290" authorId="0" shapeId="0" xr:uid="{00000000-0006-0000-0000-0000D4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6,03 sentado</t>
        </r>
      </text>
    </comment>
    <comment ref="AAM290" authorId="0" shapeId="0" xr:uid="{00000000-0006-0000-0000-0000E3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flexao do tronco
</t>
        </r>
      </text>
    </comment>
    <comment ref="AEG290" authorId="0" shapeId="0" xr:uid="{00000000-0006-0000-0000-0000FB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 hand</t>
        </r>
      </text>
    </comment>
    <comment ref="AFD290" authorId="0" shapeId="0" xr:uid="{00000000-0006-0000-0000-000039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10,79 feltido</t>
        </r>
      </text>
    </comment>
    <comment ref="AIX290" authorId="0" shapeId="0" xr:uid="{00000000-0006-0000-0000-000053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 hand</t>
        </r>
      </text>
    </comment>
    <comment ref="AJU290" authorId="0" shapeId="0" xr:uid="{00000000-0006-0000-0000-000087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flexão
</t>
        </r>
      </text>
    </comment>
    <comment ref="RA291" authorId="0" shapeId="0" xr:uid="{00000000-0006-0000-0000-000005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do tempo sentado
</t>
        </r>
      </text>
    </comment>
    <comment ref="VR291" authorId="0" shapeId="0" xr:uid="{00000000-0006-0000-0000-000069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de tempo sentado
</t>
        </r>
      </text>
    </comment>
    <comment ref="AAI291" authorId="0" shapeId="0" xr:uid="{00000000-0006-0000-0000-0000D5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do tempo sentado</t>
        </r>
      </text>
    </comment>
    <comment ref="AEZ291" authorId="0" shapeId="0" xr:uid="{00000000-0006-0000-0000-000029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6,03 sentado</t>
        </r>
      </text>
    </comment>
    <comment ref="AFD291" authorId="0" shapeId="0" xr:uid="{00000000-0006-0000-0000-00003A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flexao do tronco
</t>
        </r>
      </text>
    </comment>
    <comment ref="AIX291" authorId="0" shapeId="0" xr:uid="{00000000-0006-0000-0000-000054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 hand</t>
        </r>
      </text>
    </comment>
    <comment ref="AJU291" authorId="0" shapeId="0" xr:uid="{00000000-0006-0000-0000-000088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10,79 feltido</t>
        </r>
      </text>
    </comment>
    <comment ref="RA292" authorId="0" shapeId="0" xr:uid="{00000000-0006-0000-0000-000006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do tempo sentado
</t>
        </r>
      </text>
    </comment>
    <comment ref="VR292" authorId="0" shapeId="0" xr:uid="{00000000-0006-0000-0000-00006A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de tempo sentado
</t>
        </r>
      </text>
    </comment>
    <comment ref="AAI292" authorId="0" shapeId="0" xr:uid="{00000000-0006-0000-0000-0000D6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do tempo sentado</t>
        </r>
      </text>
    </comment>
    <comment ref="AEZ292" authorId="0" shapeId="0" xr:uid="{00000000-0006-0000-0000-00002A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6,03 sentado</t>
        </r>
      </text>
    </comment>
    <comment ref="AFD292" authorId="0" shapeId="0" xr:uid="{00000000-0006-0000-0000-00003B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flexao do tronco
</t>
        </r>
      </text>
    </comment>
    <comment ref="AIX292" authorId="0" shapeId="0" xr:uid="{00000000-0006-0000-0000-000055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 hand</t>
        </r>
      </text>
    </comment>
    <comment ref="AJU292" authorId="0" shapeId="0" xr:uid="{00000000-0006-0000-0000-000089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10,79 feltido</t>
        </r>
      </text>
    </comment>
    <comment ref="MJ293" authorId="0" shapeId="0" xr:uid="{00000000-0006-0000-0000-0000A9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do tempo sentado
</t>
        </r>
      </text>
    </comment>
    <comment ref="RA293" authorId="0" shapeId="0" xr:uid="{00000000-0006-0000-0000-000007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de tempo sentado
</t>
        </r>
      </text>
    </comment>
    <comment ref="VR293" authorId="0" shapeId="0" xr:uid="{00000000-0006-0000-0000-00006B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do tempo sentado</t>
        </r>
      </text>
    </comment>
    <comment ref="AAI293" authorId="0" shapeId="0" xr:uid="{00000000-0006-0000-0000-0000D7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6,03 sentado</t>
        </r>
      </text>
    </comment>
    <comment ref="AAM293" authorId="0" shapeId="0" xr:uid="{00000000-0006-0000-0000-0000E4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flexao do tronco
</t>
        </r>
      </text>
    </comment>
    <comment ref="AEG293" authorId="0" shapeId="0" xr:uid="{00000000-0006-0000-0000-0000FC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 hand</t>
        </r>
      </text>
    </comment>
    <comment ref="AFD293" authorId="0" shapeId="0" xr:uid="{00000000-0006-0000-0000-00003C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10,79 feltido</t>
        </r>
      </text>
    </comment>
    <comment ref="AIX293" authorId="0" shapeId="0" xr:uid="{00000000-0006-0000-0000-000056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 hand</t>
        </r>
      </text>
    </comment>
    <comment ref="AJU293" authorId="0" shapeId="0" xr:uid="{00000000-0006-0000-0000-00008A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flexão
</t>
        </r>
      </text>
    </comment>
    <comment ref="HS294" authorId="0" shapeId="0" xr:uid="{00000000-0006-0000-0000-00004B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do tempo sentado
</t>
        </r>
      </text>
    </comment>
    <comment ref="MJ294" authorId="0" shapeId="0" xr:uid="{00000000-0006-0000-0000-0000AA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de tempo sentado
</t>
        </r>
      </text>
    </comment>
    <comment ref="RA294" authorId="0" shapeId="0" xr:uid="{00000000-0006-0000-0000-000008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do tempo sentado</t>
        </r>
      </text>
    </comment>
    <comment ref="VR294" authorId="0" shapeId="0" xr:uid="{00000000-0006-0000-0000-00006C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6,03 sentado</t>
        </r>
      </text>
    </comment>
    <comment ref="VV294" authorId="0" shapeId="0" xr:uid="{00000000-0006-0000-0000-00007B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flexao do tronco
</t>
        </r>
      </text>
    </comment>
    <comment ref="ZP294" authorId="0" shapeId="0" xr:uid="{00000000-0006-0000-0000-000097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 hand</t>
        </r>
      </text>
    </comment>
    <comment ref="AAM294" authorId="0" shapeId="0" xr:uid="{00000000-0006-0000-0000-0000E5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10,79 feltido</t>
        </r>
      </text>
    </comment>
    <comment ref="AEG294" authorId="0" shapeId="0" xr:uid="{00000000-0006-0000-0000-0000FD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 hand</t>
        </r>
      </text>
    </comment>
    <comment ref="AFD294" authorId="0" shapeId="0" xr:uid="{00000000-0006-0000-0000-00003D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flexão
</t>
        </r>
      </text>
    </comment>
    <comment ref="AIX294" authorId="0" shapeId="0" xr:uid="{00000000-0006-0000-0000-000057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1,1 kneeling
5,69 standing</t>
        </r>
      </text>
    </comment>
    <comment ref="VR295" authorId="0" shapeId="0" xr:uid="{00000000-0006-0000-0000-00006D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do tempo sentado
</t>
        </r>
      </text>
    </comment>
    <comment ref="AAI295" authorId="0" shapeId="0" xr:uid="{00000000-0006-0000-0000-0000D8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de tempo sentado
</t>
        </r>
      </text>
    </comment>
    <comment ref="AEZ295" authorId="0" shapeId="0" xr:uid="{00000000-0006-0000-0000-00002B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do tempo sentado</t>
        </r>
      </text>
    </comment>
    <comment ref="AJQ295" authorId="0" shapeId="0" xr:uid="{00000000-0006-0000-0000-000075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6,03 sentado</t>
        </r>
      </text>
    </comment>
    <comment ref="AJU295" authorId="0" shapeId="0" xr:uid="{00000000-0006-0000-0000-00008B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flexao do tronco
</t>
        </r>
      </text>
    </comment>
    <comment ref="RA296" authorId="0" shapeId="0" xr:uid="{00000000-0006-0000-0000-000009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do tempo sentado
</t>
        </r>
      </text>
    </comment>
    <comment ref="VR296" authorId="0" shapeId="0" xr:uid="{00000000-0006-0000-0000-00006E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de tempo sentado
</t>
        </r>
      </text>
    </comment>
    <comment ref="AAI296" authorId="0" shapeId="0" xr:uid="{00000000-0006-0000-0000-0000D9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do tempo sentado</t>
        </r>
      </text>
    </comment>
    <comment ref="AEZ296" authorId="0" shapeId="0" xr:uid="{00000000-0006-0000-0000-00002C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6,03 sentado</t>
        </r>
      </text>
    </comment>
    <comment ref="AFD296" authorId="0" shapeId="0" xr:uid="{00000000-0006-0000-0000-00003E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flexao do tronco
</t>
        </r>
      </text>
    </comment>
    <comment ref="AIX296" authorId="0" shapeId="0" xr:uid="{00000000-0006-0000-0000-000058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 hand</t>
        </r>
      </text>
    </comment>
    <comment ref="AJU296" authorId="0" shapeId="0" xr:uid="{00000000-0006-0000-0000-00008C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10,79 feltido</t>
        </r>
      </text>
    </comment>
    <comment ref="RA297" authorId="0" shapeId="0" xr:uid="{00000000-0006-0000-0000-00000A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do tempo sentado
</t>
        </r>
      </text>
    </comment>
    <comment ref="VR297" authorId="0" shapeId="0" xr:uid="{00000000-0006-0000-0000-00006F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de tempo sentado
</t>
        </r>
      </text>
    </comment>
    <comment ref="AAI297" authorId="0" shapeId="0" xr:uid="{00000000-0006-0000-0000-0000DA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do tempo sentado</t>
        </r>
      </text>
    </comment>
    <comment ref="AEZ297" authorId="0" shapeId="0" xr:uid="{00000000-0006-0000-0000-00002D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6,03 sentado</t>
        </r>
      </text>
    </comment>
    <comment ref="AFD297" authorId="0" shapeId="0" xr:uid="{00000000-0006-0000-0000-00003F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flexao do tronco
</t>
        </r>
      </text>
    </comment>
    <comment ref="AIX297" authorId="0" shapeId="0" xr:uid="{00000000-0006-0000-0000-000059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 hand</t>
        </r>
      </text>
    </comment>
    <comment ref="AJU297" authorId="0" shapeId="0" xr:uid="{00000000-0006-0000-0000-00008D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10,79 feltido</t>
        </r>
      </text>
    </comment>
    <comment ref="ZP298" authorId="0" shapeId="0" xr:uid="{00000000-0006-0000-0000-000098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arm
</t>
        </r>
      </text>
    </comment>
    <comment ref="AEG298" authorId="0" shapeId="0" xr:uid="{00000000-0006-0000-0000-0000FE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 hand</t>
        </r>
      </text>
    </comment>
    <comment ref="AEI298" authorId="0" shapeId="0" xr:uid="{00000000-0006-0000-0000-000018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whole body
</t>
        </r>
      </text>
    </comment>
    <comment ref="AEG299" authorId="0" shapeId="0" xr:uid="{00000000-0006-0000-0000-0000FF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arm
</t>
        </r>
      </text>
    </comment>
    <comment ref="AIX299" authorId="0" shapeId="0" xr:uid="{00000000-0006-0000-0000-00005A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 hand</t>
        </r>
      </text>
    </comment>
    <comment ref="AIZ299" authorId="0" shapeId="0" xr:uid="{00000000-0006-0000-0000-00006E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whole body
</t>
        </r>
      </text>
    </comment>
    <comment ref="AIX300" authorId="0" shapeId="0" xr:uid="{00000000-0006-0000-0000-00005B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arm
</t>
        </r>
      </text>
    </comment>
    <comment ref="AEG301" authorId="0" shapeId="0" xr:uid="{00000000-0006-0000-0000-000000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arm
</t>
        </r>
      </text>
    </comment>
    <comment ref="AIX301" authorId="0" shapeId="0" xr:uid="{00000000-0006-0000-0000-00005C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 hand</t>
        </r>
      </text>
    </comment>
    <comment ref="AIZ301" authorId="0" shapeId="0" xr:uid="{00000000-0006-0000-0000-00006F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whole body
</t>
        </r>
      </text>
    </comment>
    <comment ref="UY302" authorId="0" shapeId="0" xr:uid="{00000000-0006-0000-0000-000047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arm
</t>
        </r>
      </text>
    </comment>
    <comment ref="ZP302" authorId="0" shapeId="0" xr:uid="{00000000-0006-0000-0000-000099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 hand</t>
        </r>
      </text>
    </comment>
    <comment ref="ZR302" authorId="0" shapeId="0" xr:uid="{00000000-0006-0000-0000-0000B9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whole body
</t>
        </r>
      </text>
    </comment>
    <comment ref="ZP303" authorId="0" shapeId="0" xr:uid="{00000000-0006-0000-0000-00009A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arm
</t>
        </r>
      </text>
    </comment>
    <comment ref="AEG303" authorId="0" shapeId="0" xr:uid="{00000000-0006-0000-0000-000001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 hand</t>
        </r>
      </text>
    </comment>
    <comment ref="AEI303" authorId="0" shapeId="0" xr:uid="{00000000-0006-0000-0000-000019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whole body
</t>
        </r>
      </text>
    </comment>
    <comment ref="ZP304" authorId="0" shapeId="0" xr:uid="{00000000-0006-0000-0000-00009B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arm
</t>
        </r>
      </text>
    </comment>
    <comment ref="AEG304" authorId="0" shapeId="0" xr:uid="{00000000-0006-0000-0000-000002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 hand</t>
        </r>
      </text>
    </comment>
    <comment ref="AEI304" authorId="0" shapeId="0" xr:uid="{00000000-0006-0000-0000-00001A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whole body
</t>
        </r>
      </text>
    </comment>
    <comment ref="UY305" authorId="0" shapeId="0" xr:uid="{00000000-0006-0000-0000-000048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arm
</t>
        </r>
      </text>
    </comment>
    <comment ref="ZP305" authorId="0" shapeId="0" xr:uid="{00000000-0006-0000-0000-00009C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 hand</t>
        </r>
      </text>
    </comment>
    <comment ref="ZR305" authorId="0" shapeId="0" xr:uid="{00000000-0006-0000-0000-0000BA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whole body
</t>
        </r>
      </text>
    </comment>
    <comment ref="ZP306" authorId="0" shapeId="0" xr:uid="{00000000-0006-0000-0000-00009D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arm
</t>
        </r>
      </text>
    </comment>
    <comment ref="AEG306" authorId="0" shapeId="0" xr:uid="{00000000-0006-0000-0000-000003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 hand</t>
        </r>
      </text>
    </comment>
    <comment ref="AEI306" authorId="0" shapeId="0" xr:uid="{00000000-0006-0000-0000-00001B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whole body
</t>
        </r>
      </text>
    </comment>
    <comment ref="UY307" authorId="0" shapeId="0" xr:uid="{00000000-0006-0000-0000-000049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arm
</t>
        </r>
      </text>
    </comment>
    <comment ref="ZP307" authorId="0" shapeId="0" xr:uid="{00000000-0006-0000-0000-00009E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 hand</t>
        </r>
      </text>
    </comment>
    <comment ref="ZR307" authorId="0" shapeId="0" xr:uid="{00000000-0006-0000-0000-0000BB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whole body
</t>
        </r>
      </text>
    </comment>
    <comment ref="AIX308" authorId="0" shapeId="0" xr:uid="{00000000-0006-0000-0000-00005D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arm
</t>
        </r>
      </text>
    </comment>
    <comment ref="AJU309" authorId="0" shapeId="0" xr:uid="{00000000-0006-0000-0000-00008E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16,58% com flexão do tronco</t>
        </r>
      </text>
    </comment>
    <comment ref="VV310" authorId="0" shapeId="0" xr:uid="{00000000-0006-0000-0000-00007C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flexão do tronco
</t>
        </r>
      </text>
    </comment>
    <comment ref="QJ311" authorId="0" shapeId="0" xr:uid="{00000000-0006-0000-0000-0000F0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whiole body
</t>
        </r>
      </text>
    </comment>
    <comment ref="VV311" authorId="0" shapeId="0" xr:uid="{00000000-0006-0000-0000-00007D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do tempo ao nivel do ombro</t>
        </r>
      </text>
    </comment>
    <comment ref="AAM311" authorId="0" shapeId="0" xr:uid="{00000000-0006-0000-0000-0000E6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flexão do tronco
</t>
        </r>
      </text>
    </comment>
    <comment ref="RE312" authorId="0" shapeId="0" xr:uid="{00000000-0006-0000-0000-000028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flexão do tronco
</t>
        </r>
      </text>
    </comment>
    <comment ref="VV312" authorId="0" shapeId="0" xr:uid="{00000000-0006-0000-0000-00007E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Flexão do tronco</t>
        </r>
      </text>
    </comment>
    <comment ref="ZR312" authorId="0" shapeId="0" xr:uid="{00000000-0006-0000-0000-0000BC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whole body
</t>
        </r>
      </text>
    </comment>
    <comment ref="RE313" authorId="0" shapeId="0" xr:uid="{00000000-0006-0000-0000-000029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flexão do tronco
</t>
        </r>
      </text>
    </comment>
    <comment ref="RE314" authorId="0" shapeId="0" xr:uid="{00000000-0006-0000-0000-00002A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flexão do tronco
</t>
        </r>
      </text>
    </comment>
    <comment ref="AFD314" authorId="0" shapeId="0" xr:uid="{00000000-0006-0000-0000-000040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Flexão do tronco</t>
        </r>
      </text>
    </comment>
    <comment ref="AIZ314" authorId="0" shapeId="0" xr:uid="{00000000-0006-0000-0000-000070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whole body
</t>
        </r>
      </text>
    </comment>
    <comment ref="ZR315" authorId="0" shapeId="0" xr:uid="{00000000-0006-0000-0000-0000BD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whiole body
</t>
        </r>
      </text>
    </comment>
    <comment ref="QJ316" authorId="0" shapeId="0" xr:uid="{00000000-0006-0000-0000-0000F1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whole body
</t>
        </r>
      </text>
    </comment>
    <comment ref="VV316" authorId="0" shapeId="0" xr:uid="{00000000-0006-0000-0000-00007F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flexão do tronco
</t>
        </r>
      </text>
    </comment>
    <comment ref="AJU316" authorId="0" shapeId="0" xr:uid="{00000000-0006-0000-0000-00008F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Flexão do tronco</t>
        </r>
      </text>
    </comment>
    <comment ref="VV317" authorId="0" shapeId="0" xr:uid="{00000000-0006-0000-0000-000080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do tempo ao nivel do ombro</t>
        </r>
      </text>
    </comment>
    <comment ref="AAM317" authorId="0" shapeId="0" xr:uid="{00000000-0006-0000-0000-0000E7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flexão do tronco
</t>
        </r>
      </text>
    </comment>
    <comment ref="ZR318" authorId="0" shapeId="0" xr:uid="{00000000-0006-0000-0000-0000BE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whiole body
</t>
        </r>
      </text>
    </comment>
    <comment ref="AFD318" authorId="0" shapeId="0" xr:uid="{00000000-0006-0000-0000-000041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do tempo ao nivel do ombro</t>
        </r>
      </text>
    </comment>
    <comment ref="AJU318" authorId="0" shapeId="0" xr:uid="{00000000-0006-0000-0000-000090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flexão do tronco
</t>
        </r>
      </text>
    </comment>
    <comment ref="ZR319" authorId="0" shapeId="0" xr:uid="{00000000-0006-0000-0000-0000BF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whiole body
</t>
        </r>
      </text>
    </comment>
    <comment ref="AFD319" authorId="0" shapeId="0" xr:uid="{00000000-0006-0000-0000-000042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do tempo ao nivel do ombro</t>
        </r>
      </text>
    </comment>
    <comment ref="QJ320" authorId="0" shapeId="0" xr:uid="{00000000-0006-0000-0000-0000F2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whiole body
</t>
        </r>
      </text>
    </comment>
    <comment ref="VV320" authorId="0" shapeId="0" xr:uid="{00000000-0006-0000-0000-000081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flexão do tronco
</t>
        </r>
      </text>
    </comment>
    <comment ref="AJU320" authorId="0" shapeId="0" xr:uid="{00000000-0006-0000-0000-000091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Flexão do tronco</t>
        </r>
      </text>
    </comment>
    <comment ref="LS321" authorId="0" shapeId="0" xr:uid="{00000000-0006-0000-0000-000094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whiole body
</t>
        </r>
      </text>
    </comment>
    <comment ref="HW322" authorId="0" shapeId="0" xr:uid="{00000000-0006-0000-0000-000060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tronco fletido</t>
        </r>
      </text>
    </comment>
    <comment ref="LQ322" authorId="0" shapeId="0" xr:uid="{00000000-0006-0000-0000-000088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 Medium arm restrained
</t>
        </r>
      </text>
    </comment>
    <comment ref="MN322" authorId="0" shapeId="0" xr:uid="{00000000-0006-0000-0000-0000C4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flexão do tronco
</t>
        </r>
      </text>
    </comment>
    <comment ref="ZR329" authorId="0" shapeId="0" xr:uid="{00000000-0006-0000-0000-0000C0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whiole body
</t>
        </r>
      </text>
    </comment>
    <comment ref="AFD329" authorId="0" shapeId="0" xr:uid="{00000000-0006-0000-0000-000043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do tempo ao nivel do ombro</t>
        </r>
      </text>
    </comment>
    <comment ref="AJU329" authorId="0" shapeId="0" xr:uid="{00000000-0006-0000-0000-000092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Total em flexão do tronco
</t>
        </r>
      </text>
    </comment>
    <comment ref="ZR344" authorId="0" shapeId="0" xr:uid="{00000000-0006-0000-0000-0000C1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Medio</t>
        </r>
      </text>
    </comment>
    <comment ref="AEI344" authorId="0" shapeId="0" xr:uid="{00000000-0006-0000-0000-00001C02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Medio</t>
        </r>
      </text>
    </comment>
    <comment ref="DF346" authorId="0" shapeId="0" xr:uid="{00000000-0006-0000-0000-00000F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tronco fletido</t>
        </r>
      </text>
    </comment>
    <comment ref="HW346" authorId="0" shapeId="0" xr:uid="{00000000-0006-0000-0000-000061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fletido</t>
        </r>
      </text>
    </comment>
    <comment ref="RE346" authorId="0" shapeId="0" xr:uid="{00000000-0006-0000-0000-00002B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10,37 flexed</t>
        </r>
      </text>
    </comment>
    <comment ref="VV346" authorId="0" shapeId="0" xr:uid="{00000000-0006-0000-0000-000082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21,88% fletido
</t>
        </r>
      </text>
    </comment>
    <comment ref="ZR346" authorId="0" shapeId="0" xr:uid="{00000000-0006-0000-0000-0000C2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 light
1 medium
</t>
        </r>
      </text>
    </comment>
    <comment ref="DF347" authorId="0" shapeId="0" xr:uid="{00000000-0006-0000-0000-000010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fletido</t>
        </r>
      </text>
    </comment>
    <comment ref="MN347" authorId="0" shapeId="0" xr:uid="{00000000-0006-0000-0000-0000C5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10,37 flexed</t>
        </r>
      </text>
    </comment>
    <comment ref="RE347" authorId="0" shapeId="0" xr:uid="{00000000-0006-0000-0000-00002C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21,88% fletido
</t>
        </r>
      </text>
    </comment>
    <comment ref="VA347" authorId="0" shapeId="0" xr:uid="{00000000-0006-0000-0000-000058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 light
1 medium
</t>
        </r>
      </text>
    </comment>
    <comment ref="DF348" authorId="0" shapeId="0" xr:uid="{00000000-0006-0000-0000-000011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fletido</t>
        </r>
      </text>
    </comment>
    <comment ref="MN348" authorId="0" shapeId="0" xr:uid="{00000000-0006-0000-0000-0000C6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21,88% fletido
</t>
        </r>
      </text>
    </comment>
    <comment ref="QJ348" authorId="0" shapeId="0" xr:uid="{00000000-0006-0000-0000-0000F3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 light
1 medium
</t>
        </r>
      </text>
    </comment>
    <comment ref="DF349" authorId="0" shapeId="0" xr:uid="{00000000-0006-0000-0000-000012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tronco fletido</t>
        </r>
      </text>
    </comment>
    <comment ref="HW349" authorId="0" shapeId="0" xr:uid="{00000000-0006-0000-0000-000062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10,37 flexed</t>
        </r>
      </text>
    </comment>
    <comment ref="MN349" authorId="0" shapeId="0" xr:uid="{00000000-0006-0000-0000-0000C7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21,88% fletido
</t>
        </r>
      </text>
    </comment>
    <comment ref="QJ349" authorId="0" shapeId="0" xr:uid="{00000000-0006-0000-0000-0000F4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 light
1 medium
</t>
        </r>
      </text>
    </comment>
    <comment ref="DF350" authorId="0" shapeId="0" xr:uid="{00000000-0006-0000-0000-000013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tronco fletido</t>
        </r>
      </text>
    </comment>
    <comment ref="HW350" authorId="0" shapeId="0" xr:uid="{00000000-0006-0000-0000-000063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fletido</t>
        </r>
      </text>
    </comment>
    <comment ref="RE350" authorId="0" shapeId="0" xr:uid="{00000000-0006-0000-0000-00002D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10,37 flexed</t>
        </r>
      </text>
    </comment>
    <comment ref="VV350" authorId="0" shapeId="0" xr:uid="{00000000-0006-0000-0000-000083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21,88% fletido
</t>
        </r>
      </text>
    </comment>
    <comment ref="ZR350" authorId="0" shapeId="0" xr:uid="{00000000-0006-0000-0000-0000C3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 light
1 medium
</t>
        </r>
      </text>
    </comment>
    <comment ref="DF351" authorId="0" shapeId="0" xr:uid="{00000000-0006-0000-0000-000014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tronco fletido</t>
        </r>
      </text>
    </comment>
    <comment ref="HW351" authorId="0" shapeId="0" xr:uid="{00000000-0006-0000-0000-000064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fletido</t>
        </r>
      </text>
    </comment>
    <comment ref="RE351" authorId="0" shapeId="0" xr:uid="{00000000-0006-0000-0000-00002E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10,37 flexed</t>
        </r>
      </text>
    </comment>
    <comment ref="VV351" authorId="0" shapeId="0" xr:uid="{00000000-0006-0000-0000-000084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21,88% fletido
</t>
        </r>
      </text>
    </comment>
    <comment ref="ZR351" authorId="0" shapeId="0" xr:uid="{00000000-0006-0000-0000-0000C4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 light
1 medium
</t>
        </r>
      </text>
    </comment>
    <comment ref="DF352" authorId="0" shapeId="0" xr:uid="{00000000-0006-0000-0000-000015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tronco fletido</t>
        </r>
      </text>
    </comment>
    <comment ref="HW352" authorId="0" shapeId="0" xr:uid="{00000000-0006-0000-0000-000065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fletido</t>
        </r>
      </text>
    </comment>
    <comment ref="RE352" authorId="0" shapeId="0" xr:uid="{00000000-0006-0000-0000-00002F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10,37 flexed</t>
        </r>
      </text>
    </comment>
    <comment ref="VV352" authorId="0" shapeId="0" xr:uid="{00000000-0006-0000-0000-000085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21,88% fletido
</t>
        </r>
      </text>
    </comment>
    <comment ref="ZR352" authorId="0" shapeId="0" xr:uid="{00000000-0006-0000-0000-0000C5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 light
1 medium
</t>
        </r>
      </text>
    </comment>
    <comment ref="DF353" authorId="0" shapeId="0" xr:uid="{00000000-0006-0000-0000-000016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tronco fletido</t>
        </r>
      </text>
    </comment>
    <comment ref="HW353" authorId="0" shapeId="0" xr:uid="{00000000-0006-0000-0000-000066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fletido</t>
        </r>
      </text>
    </comment>
    <comment ref="RE353" authorId="0" shapeId="0" xr:uid="{00000000-0006-0000-0000-000030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10,37 flexed</t>
        </r>
      </text>
    </comment>
    <comment ref="VV353" authorId="0" shapeId="0" xr:uid="{00000000-0006-0000-0000-000086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21,88% fletido
</t>
        </r>
      </text>
    </comment>
    <comment ref="ZR353" authorId="0" shapeId="0" xr:uid="{00000000-0006-0000-0000-0000C6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 light
1 medium
</t>
        </r>
      </text>
    </comment>
    <comment ref="DF354" authorId="0" shapeId="0" xr:uid="{00000000-0006-0000-0000-000017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tronco fletido</t>
        </r>
      </text>
    </comment>
    <comment ref="MN354" authorId="0" shapeId="0" xr:uid="{00000000-0006-0000-0000-0000C8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21,88% fletido
</t>
        </r>
      </text>
    </comment>
    <comment ref="QJ354" authorId="0" shapeId="0" xr:uid="{00000000-0006-0000-0000-0000F5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 light
1 medium
</t>
        </r>
      </text>
    </comment>
    <comment ref="DF355" authorId="0" shapeId="0" xr:uid="{00000000-0006-0000-0000-000018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tronco fletido</t>
        </r>
      </text>
    </comment>
    <comment ref="MN355" authorId="0" shapeId="0" xr:uid="{00000000-0006-0000-0000-0000C9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10,37 flexed</t>
        </r>
      </text>
    </comment>
    <comment ref="RE355" authorId="0" shapeId="0" xr:uid="{00000000-0006-0000-0000-000031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21,88% fletido
</t>
        </r>
      </text>
    </comment>
    <comment ref="VA355" authorId="0" shapeId="0" xr:uid="{00000000-0006-0000-0000-00005901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 light
1 medium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U19" authorId="0" shapeId="0" xr:uid="{00000000-0006-0000-0100-000019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 hand</t>
        </r>
      </text>
    </comment>
    <comment ref="BW19" authorId="0" shapeId="0" xr:uid="{00000000-0006-0000-0100-000032000000}">
      <text>
        <r>
          <rPr>
            <b/>
            <sz val="9"/>
            <color rgb="FF000000"/>
            <rFont val="Tahoma"/>
            <family val="2"/>
            <charset val="1"/>
          </rPr>
          <t>light whole body</t>
        </r>
      </text>
    </comment>
    <comment ref="BF22" authorId="0" shapeId="0" xr:uid="{00000000-0006-0000-0100-000002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0,03 sentado</t>
        </r>
      </text>
    </comment>
    <comment ref="BU23" authorId="0" shapeId="0" xr:uid="{00000000-0006-0000-0100-00001A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 hand</t>
        </r>
      </text>
    </comment>
    <comment ref="BW23" authorId="0" shapeId="0" xr:uid="{00000000-0006-0000-0100-000033000000}">
      <text>
        <r>
          <rPr>
            <b/>
            <sz val="9"/>
            <color rgb="FF000000"/>
            <rFont val="Tahoma"/>
            <family val="2"/>
            <charset val="1"/>
          </rPr>
          <t>light whole body</t>
        </r>
      </text>
    </comment>
    <comment ref="BU24" authorId="0" shapeId="0" xr:uid="{00000000-0006-0000-0100-00001B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 hand</t>
        </r>
      </text>
    </comment>
    <comment ref="BW24" authorId="0" shapeId="0" xr:uid="{00000000-0006-0000-0100-000034000000}">
      <text>
        <r>
          <rPr>
            <b/>
            <sz val="9"/>
            <color rgb="FF000000"/>
            <rFont val="Tahoma"/>
            <family val="2"/>
            <charset val="1"/>
          </rPr>
          <t>light whole body</t>
        </r>
      </text>
    </comment>
    <comment ref="BU25" authorId="0" shapeId="0" xr:uid="{00000000-0006-0000-0100-00001C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 hand</t>
        </r>
      </text>
    </comment>
    <comment ref="BW25" authorId="0" shapeId="0" xr:uid="{00000000-0006-0000-0100-000035000000}">
      <text>
        <r>
          <rPr>
            <b/>
            <sz val="9"/>
            <color rgb="FF000000"/>
            <rFont val="Tahoma"/>
            <family val="2"/>
            <charset val="1"/>
          </rPr>
          <t>light whole body</t>
        </r>
      </text>
    </comment>
    <comment ref="BU26" authorId="0" shapeId="0" xr:uid="{00000000-0006-0000-0100-00001D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 hand</t>
        </r>
      </text>
    </comment>
    <comment ref="BW26" authorId="0" shapeId="0" xr:uid="{00000000-0006-0000-0100-000036000000}">
      <text>
        <r>
          <rPr>
            <b/>
            <sz val="9"/>
            <color rgb="FF000000"/>
            <rFont val="Tahoma"/>
            <family val="2"/>
            <charset val="1"/>
          </rPr>
          <t>light whole body</t>
        </r>
      </text>
    </comment>
    <comment ref="BU27" authorId="0" shapeId="0" xr:uid="{00000000-0006-0000-0100-00001E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 hand</t>
        </r>
      </text>
    </comment>
    <comment ref="BW27" authorId="0" shapeId="0" xr:uid="{00000000-0006-0000-0100-000037000000}">
      <text>
        <r>
          <rPr>
            <b/>
            <sz val="9"/>
            <color rgb="FF000000"/>
            <rFont val="Tahoma"/>
            <family val="2"/>
            <charset val="1"/>
          </rPr>
          <t>light whole body</t>
        </r>
      </text>
    </comment>
    <comment ref="BU28" authorId="0" shapeId="0" xr:uid="{00000000-0006-0000-0100-00001F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 hand</t>
        </r>
      </text>
    </comment>
    <comment ref="BW28" authorId="0" shapeId="0" xr:uid="{00000000-0006-0000-0100-000038000000}">
      <text>
        <r>
          <rPr>
            <b/>
            <sz val="9"/>
            <color rgb="FF000000"/>
            <rFont val="Tahoma"/>
            <family val="2"/>
            <charset val="1"/>
          </rPr>
          <t>light whole body</t>
        </r>
      </text>
    </comment>
    <comment ref="BU29" authorId="0" shapeId="0" xr:uid="{00000000-0006-0000-0100-000020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 hand</t>
        </r>
      </text>
    </comment>
    <comment ref="BW29" authorId="0" shapeId="0" xr:uid="{00000000-0006-0000-0100-000039000000}">
      <text>
        <r>
          <rPr>
            <b/>
            <sz val="9"/>
            <color rgb="FF000000"/>
            <rFont val="Tahoma"/>
            <family val="2"/>
            <charset val="1"/>
          </rPr>
          <t>light whole body</t>
        </r>
      </text>
    </comment>
    <comment ref="BW108" authorId="0" shapeId="0" xr:uid="{00000000-0006-0000-0100-00003A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Easy (entrance in the front)</t>
        </r>
      </text>
    </comment>
    <comment ref="BW112" authorId="0" shapeId="0" xr:uid="{00000000-0006-0000-0100-00003B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Easy (entrance in the front)</t>
        </r>
      </text>
    </comment>
    <comment ref="BW114" authorId="0" shapeId="0" xr:uid="{00000000-0006-0000-0100-00003C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Easy (entrance in the front)</t>
        </r>
      </text>
    </comment>
    <comment ref="BW115" authorId="0" shapeId="0" xr:uid="{00000000-0006-0000-0100-00003D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Easy (entrance in the front)</t>
        </r>
      </text>
    </comment>
    <comment ref="BW116" authorId="0" shapeId="0" xr:uid="{00000000-0006-0000-0100-00003E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Easy (entrance in the front)</t>
        </r>
      </text>
    </comment>
    <comment ref="AD118" authorId="0" shapeId="0" xr:uid="{00000000-0006-0000-0100-000001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Duas respostas assinaladas</t>
        </r>
      </text>
    </comment>
    <comment ref="BU152" authorId="0" shapeId="0" xr:uid="{00000000-0006-0000-0100-000021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hand
</t>
        </r>
      </text>
    </comment>
    <comment ref="BU153" authorId="0" shapeId="0" xr:uid="{00000000-0006-0000-0100-000022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hand
</t>
        </r>
      </text>
    </comment>
    <comment ref="BU154" authorId="0" shapeId="0" xr:uid="{00000000-0006-0000-0100-000023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hand
</t>
        </r>
      </text>
    </comment>
    <comment ref="BU155" authorId="0" shapeId="0" xr:uid="{00000000-0006-0000-0100-000024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medium hand
</t>
        </r>
      </text>
    </comment>
    <comment ref="BW165" authorId="0" shapeId="0" xr:uid="{00000000-0006-0000-0100-00003F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Strong body restriction
</t>
        </r>
      </text>
    </comment>
    <comment ref="BJ169" authorId="0" shapeId="0" xr:uid="{00000000-0006-0000-0100-000003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2,75 - flexed
1,6 - twisted/bent
</t>
        </r>
      </text>
    </comment>
    <comment ref="BW169" authorId="0" shapeId="0" xr:uid="{00000000-0006-0000-0100-000040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light whole body
</t>
        </r>
      </text>
    </comment>
    <comment ref="BW176" authorId="0" shapeId="0" xr:uid="{00000000-0006-0000-0100-000041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light</t>
        </r>
      </text>
    </comment>
    <comment ref="BJ177" authorId="0" shapeId="0" xr:uid="{00000000-0006-0000-0100-000004000000}">
      <text>
        <r>
          <rPr>
            <b/>
            <sz val="9"/>
            <color rgb="FF000000"/>
            <rFont val="Tahoma"/>
            <family val="2"/>
            <charset val="1"/>
          </rPr>
          <t>Fro</t>
        </r>
      </text>
    </comment>
    <comment ref="BU177" authorId="0" shapeId="0" xr:uid="{00000000-0006-0000-0100-000025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</t>
        </r>
      </text>
    </comment>
    <comment ref="BW178" authorId="0" shapeId="0" xr:uid="{00000000-0006-0000-0100-000042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light</t>
        </r>
      </text>
    </comment>
    <comment ref="BU179" authorId="0" shapeId="0" xr:uid="{00000000-0006-0000-0100-000026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1,89 strong
6,91 medium
</t>
        </r>
      </text>
    </comment>
    <comment ref="BU180" authorId="0" shapeId="0" xr:uid="{00000000-0006-0000-0100-000027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1,89 strong
6,91 medium
</t>
        </r>
      </text>
    </comment>
    <comment ref="BU181" authorId="0" shapeId="0" xr:uid="{00000000-0006-0000-0100-000028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</t>
        </r>
      </text>
    </comment>
    <comment ref="BU182" authorId="0" shapeId="0" xr:uid="{00000000-0006-0000-0100-000029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1,89 strong
6,91 medium
</t>
        </r>
      </text>
    </comment>
    <comment ref="BU183" authorId="0" shapeId="0" xr:uid="{00000000-0006-0000-0100-00002A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1,89 strong
6,91 medium
</t>
        </r>
      </text>
    </comment>
    <comment ref="BU184" authorId="0" shapeId="0" xr:uid="{00000000-0006-0000-0100-00002B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1,89 strong
6,91 medium
</t>
        </r>
      </text>
    </comment>
    <comment ref="BU185" authorId="0" shapeId="0" xr:uid="{00000000-0006-0000-0100-00002C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</t>
        </r>
      </text>
    </comment>
    <comment ref="BU186" authorId="0" shapeId="0" xr:uid="{00000000-0006-0000-0100-00002D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medium</t>
        </r>
      </text>
    </comment>
    <comment ref="BU187" authorId="0" shapeId="0" xr:uid="{00000000-0006-0000-0100-00002E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1,89 strong
6,91 medium
</t>
        </r>
      </text>
    </comment>
    <comment ref="BU188" authorId="0" shapeId="0" xr:uid="{00000000-0006-0000-0100-00002F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1,89 strong
6,91 medium
</t>
        </r>
      </text>
    </comment>
    <comment ref="BJ194" authorId="0" shapeId="0" xr:uid="{00000000-0006-0000-0100-000005000000}">
      <text>
        <r>
          <rPr>
            <b/>
            <sz val="9"/>
            <color rgb="FF000000"/>
            <rFont val="Tahoma"/>
            <family val="2"/>
            <charset val="1"/>
          </rPr>
          <t>Fro</t>
        </r>
      </text>
    </comment>
    <comment ref="BU194" authorId="0" shapeId="0" xr:uid="{00000000-0006-0000-0100-000030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strong</t>
        </r>
      </text>
    </comment>
    <comment ref="BJ228" authorId="0" shapeId="0" xr:uid="{00000000-0006-0000-0100-000006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tronco fletido</t>
        </r>
      </text>
    </comment>
    <comment ref="BU228" authorId="0" shapeId="0" xr:uid="{00000000-0006-0000-0100-000031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 xml:space="preserve"> Medium arm restrained
</t>
        </r>
      </text>
    </comment>
    <comment ref="BJ255" authorId="0" shapeId="0" xr:uid="{00000000-0006-0000-0100-000007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tronco fletido</t>
        </r>
      </text>
    </comment>
    <comment ref="BJ256" authorId="0" shapeId="0" xr:uid="{00000000-0006-0000-0100-000008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tronco fletido</t>
        </r>
      </text>
    </comment>
    <comment ref="BJ257" authorId="0" shapeId="0" xr:uid="{00000000-0006-0000-0100-000009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tronco fletido</t>
        </r>
      </text>
    </comment>
    <comment ref="BJ258" authorId="0" shapeId="0" xr:uid="{00000000-0006-0000-0100-00000A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tronco fletido</t>
        </r>
      </text>
    </comment>
    <comment ref="BJ259" authorId="0" shapeId="0" xr:uid="{00000000-0006-0000-0100-00000B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tronco fletido</t>
        </r>
      </text>
    </comment>
    <comment ref="BJ260" authorId="0" shapeId="0" xr:uid="{00000000-0006-0000-0100-00000C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tronco fletido</t>
        </r>
      </text>
    </comment>
    <comment ref="BJ261" authorId="0" shapeId="0" xr:uid="{00000000-0006-0000-0100-00000D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tronco fletido</t>
        </r>
      </text>
    </comment>
    <comment ref="BJ268" authorId="0" shapeId="0" xr:uid="{00000000-0006-0000-0100-00000E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0,77 altura do ombro</t>
        </r>
      </text>
    </comment>
    <comment ref="BJ346" authorId="0" shapeId="0" xr:uid="{00000000-0006-0000-0100-00000F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tronco fletido</t>
        </r>
      </text>
    </comment>
    <comment ref="BJ347" authorId="0" shapeId="0" xr:uid="{00000000-0006-0000-0100-000010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fletido</t>
        </r>
      </text>
    </comment>
    <comment ref="BJ348" authorId="0" shapeId="0" xr:uid="{00000000-0006-0000-0100-000011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fletido</t>
        </r>
      </text>
    </comment>
    <comment ref="BJ349" authorId="0" shapeId="0" xr:uid="{00000000-0006-0000-0100-000012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tronco fletido</t>
        </r>
      </text>
    </comment>
    <comment ref="BJ350" authorId="0" shapeId="0" xr:uid="{00000000-0006-0000-0100-000013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tronco fletido</t>
        </r>
      </text>
    </comment>
    <comment ref="BJ351" authorId="0" shapeId="0" xr:uid="{00000000-0006-0000-0100-000014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tronco fletido</t>
        </r>
      </text>
    </comment>
    <comment ref="BJ352" authorId="0" shapeId="0" xr:uid="{00000000-0006-0000-0100-000015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tronco fletido</t>
        </r>
      </text>
    </comment>
    <comment ref="BJ353" authorId="0" shapeId="0" xr:uid="{00000000-0006-0000-0100-000016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tronco fletido</t>
        </r>
      </text>
    </comment>
    <comment ref="BJ354" authorId="0" shapeId="0" xr:uid="{00000000-0006-0000-0100-000017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tronco fletido</t>
        </r>
      </text>
    </comment>
    <comment ref="BJ355" authorId="0" shapeId="0" xr:uid="{00000000-0006-0000-0100-000018000000}">
      <text>
        <r>
          <rPr>
            <b/>
            <sz val="9"/>
            <color rgb="FF000000"/>
            <rFont val="Tahoma"/>
            <family val="2"/>
            <charset val="1"/>
          </rPr>
          <t xml:space="preserve">Frodo:
</t>
        </r>
        <r>
          <rPr>
            <sz val="9"/>
            <color rgb="FF000000"/>
            <rFont val="Tahoma"/>
            <family val="2"/>
            <charset val="1"/>
          </rPr>
          <t>total tronco fletido</t>
        </r>
      </text>
    </comment>
  </commentList>
</comments>
</file>

<file path=xl/sharedStrings.xml><?xml version="1.0" encoding="utf-8"?>
<sst xmlns="http://schemas.openxmlformats.org/spreadsheetml/2006/main" count="5184" uniqueCount="947">
  <si>
    <t>Cod_sujeito</t>
  </si>
  <si>
    <t>Data_preenchimento</t>
  </si>
  <si>
    <t>Genero</t>
  </si>
  <si>
    <t>Data_Admissao</t>
  </si>
  <si>
    <t>Data_Nascimento</t>
  </si>
  <si>
    <t>Idade</t>
  </si>
  <si>
    <t>Antiguidade</t>
  </si>
  <si>
    <t>Zona</t>
  </si>
  <si>
    <t>URQ</t>
  </si>
  <si>
    <t>Turno</t>
  </si>
  <si>
    <t>duracao_turno</t>
  </si>
  <si>
    <t>Peso</t>
  </si>
  <si>
    <t>Altura</t>
  </si>
  <si>
    <t>IMC</t>
  </si>
  <si>
    <t>hipertensao</t>
  </si>
  <si>
    <t>medicacao_H</t>
  </si>
  <si>
    <t>medicacao_H_qual</t>
  </si>
  <si>
    <t>diabetes</t>
  </si>
  <si>
    <t>medicacao_D</t>
  </si>
  <si>
    <t>medicacao_D_qual</t>
  </si>
  <si>
    <t>perda_peso</t>
  </si>
  <si>
    <t>Peso_kg</t>
  </si>
  <si>
    <t>exausto_7dias</t>
  </si>
  <si>
    <t>deslocamento</t>
  </si>
  <si>
    <t>Atividade_fisica</t>
  </si>
  <si>
    <t>Frequencia_AF</t>
  </si>
  <si>
    <t>duracao_AF</t>
  </si>
  <si>
    <t>tipo_AF</t>
  </si>
  <si>
    <t>Fuma</t>
  </si>
  <si>
    <t>cigarros_dia</t>
  </si>
  <si>
    <t>Pescoço_12m</t>
  </si>
  <si>
    <t>Pescoço_12m_Impedimento</t>
  </si>
  <si>
    <t>Pescoço_7dias</t>
  </si>
  <si>
    <t>Pescoço_Intensidade</t>
  </si>
  <si>
    <t>Ombro_12m</t>
  </si>
  <si>
    <t>Ombros_12m_Impedimento</t>
  </si>
  <si>
    <t>Ombro_7dias</t>
  </si>
  <si>
    <t>Ombro_Intensidade_direito</t>
  </si>
  <si>
    <t>Ombro_Intensidade_esquerdo</t>
  </si>
  <si>
    <t>Cotovelo_12m</t>
  </si>
  <si>
    <t>Cotovelo_12m_Impedimento</t>
  </si>
  <si>
    <t>Cotovelo_7dias</t>
  </si>
  <si>
    <t>Cotovelo_Intensidade_direito</t>
  </si>
  <si>
    <t>Cotovelo_Intensidade_esquerdo</t>
  </si>
  <si>
    <t>PunhoMao_12m</t>
  </si>
  <si>
    <t>PunhoMao_12m_Impedimento</t>
  </si>
  <si>
    <t>PunhoMao_7dias</t>
  </si>
  <si>
    <t>PunhoMao_Intensidade_direita</t>
  </si>
  <si>
    <t>PunhoMao_Intensidade_esquerda</t>
  </si>
  <si>
    <t>Toracica_12m</t>
  </si>
  <si>
    <t>Toracica_Impedimento</t>
  </si>
  <si>
    <t>Toracica_7dias</t>
  </si>
  <si>
    <t>Toracica_Intensidade</t>
  </si>
  <si>
    <t>Lombar_12m</t>
  </si>
  <si>
    <t>Lombar_Impedimento</t>
  </si>
  <si>
    <t>Lombar_7dias</t>
  </si>
  <si>
    <t>Lombar_Intensidade</t>
  </si>
  <si>
    <t>AncaCoxas_12m</t>
  </si>
  <si>
    <t>AncaCoxas_Impedimento</t>
  </si>
  <si>
    <t>AncaCoxas_7dias</t>
  </si>
  <si>
    <t>AncaCoxas_Intensidade</t>
  </si>
  <si>
    <t>Joelhos_12m</t>
  </si>
  <si>
    <t>Joelhos_Impedimento</t>
  </si>
  <si>
    <t>Joelhos_7dias</t>
  </si>
  <si>
    <t>Joelhos_Intensidade</t>
  </si>
  <si>
    <t>TornozeloPes_12m</t>
  </si>
  <si>
    <t>TornozeloPes_Impedimento</t>
  </si>
  <si>
    <t>TonozeloPes_7dias</t>
  </si>
  <si>
    <t>TornozeloPes_Intensidade</t>
  </si>
  <si>
    <t>Carga_mal_distribuida</t>
  </si>
  <si>
    <t>Terminar_tarefas</t>
  </si>
  <si>
    <t>Rapidez_trabalho</t>
  </si>
  <si>
    <t>Atencao_constante</t>
  </si>
  <si>
    <t>Decisões_dificeis</t>
  </si>
  <si>
    <t>Exigencia_emocional</t>
  </si>
  <si>
    <t>Influencia_trabalho</t>
  </si>
  <si>
    <t>inciativa</t>
  </si>
  <si>
    <t>aprendizagem</t>
  </si>
  <si>
    <t>Mudancas_local_trabalho</t>
  </si>
  <si>
    <t>infomacao</t>
  </si>
  <si>
    <t>responsabilidades</t>
  </si>
  <si>
    <t>Apreciado_gerencia</t>
  </si>
  <si>
    <t>Tratamento_justo</t>
  </si>
  <si>
    <t>Apoio_superior</t>
  </si>
  <si>
    <t>Ambiente_trabalho</t>
  </si>
  <si>
    <t>oportunidades_desenvolvimento</t>
  </si>
  <si>
    <t>Planeamento_trabalho</t>
  </si>
  <si>
    <t>satisfacao</t>
  </si>
  <si>
    <t>CT_atual</t>
  </si>
  <si>
    <t>Estacao</t>
  </si>
  <si>
    <t>Score</t>
  </si>
  <si>
    <t>Carga_trabalho</t>
  </si>
  <si>
    <t>Tempo_ciclo</t>
  </si>
  <si>
    <t>Score_Posture</t>
  </si>
  <si>
    <t>P_standwalk</t>
  </si>
  <si>
    <t>P_Standing_precision</t>
  </si>
  <si>
    <t>P_Stand_shoulderheight</t>
  </si>
  <si>
    <t>P_Stand_abovehead</t>
  </si>
  <si>
    <t>P_Stand_bent</t>
  </si>
  <si>
    <t>P_Stand_Strongly_bent</t>
  </si>
  <si>
    <t>P_sit</t>
  </si>
  <si>
    <t>P_Sit_shoulderheight</t>
  </si>
  <si>
    <t>P_sit_abovehead</t>
  </si>
  <si>
    <t>P_Sit_bent</t>
  </si>
  <si>
    <t>P_Sit_Strongly_bent</t>
  </si>
  <si>
    <t>P_twisted_bent</t>
  </si>
  <si>
    <t>P_60_range</t>
  </si>
  <si>
    <t>P_80_range</t>
  </si>
  <si>
    <t>P_100_range</t>
  </si>
  <si>
    <t>P_kneeling_crounching</t>
  </si>
  <si>
    <t>Score_MMC</t>
  </si>
  <si>
    <t>MMC_type</t>
  </si>
  <si>
    <t>MMC_weight1</t>
  </si>
  <si>
    <t>MMC_distance1</t>
  </si>
  <si>
    <t>MMC_frequency1</t>
  </si>
  <si>
    <t>MMC_weight2</t>
  </si>
  <si>
    <t>MMC_distance2</t>
  </si>
  <si>
    <t>MMC_frequency2</t>
  </si>
  <si>
    <t>MMC_weight3</t>
  </si>
  <si>
    <t>MMC_distance3</t>
  </si>
  <si>
    <t>MMC_frequency3</t>
  </si>
  <si>
    <t>MMC_weight4</t>
  </si>
  <si>
    <t>MMC_distance4</t>
  </si>
  <si>
    <t>MMC_frequency4</t>
  </si>
  <si>
    <t>Score_Force</t>
  </si>
  <si>
    <t>F_maobraco</t>
  </si>
  <si>
    <t>Intensity</t>
  </si>
  <si>
    <t>frequency</t>
  </si>
  <si>
    <t>Duration</t>
  </si>
  <si>
    <t>grip</t>
  </si>
  <si>
    <t>F_corpointeiro</t>
  </si>
  <si>
    <t>Intensity_1</t>
  </si>
  <si>
    <t>frequency_1</t>
  </si>
  <si>
    <t>Duration_</t>
  </si>
  <si>
    <t>F_direction_1</t>
  </si>
  <si>
    <t>Intensity_2</t>
  </si>
  <si>
    <t>frequency_2</t>
  </si>
  <si>
    <t>Duration_2</t>
  </si>
  <si>
    <t>F_direction_2</t>
  </si>
  <si>
    <t>Intensity_3</t>
  </si>
  <si>
    <t>frequency_3</t>
  </si>
  <si>
    <t>Duration_3</t>
  </si>
  <si>
    <t>F_direction_3</t>
  </si>
  <si>
    <t>Intensity_4</t>
  </si>
  <si>
    <t>frequency_4</t>
  </si>
  <si>
    <t>Duration_4</t>
  </si>
  <si>
    <t>F_direction_4</t>
  </si>
  <si>
    <t>Intensity_5</t>
  </si>
  <si>
    <t>frequency_5</t>
  </si>
  <si>
    <t>Duration_5</t>
  </si>
  <si>
    <t>F_direction_5</t>
  </si>
  <si>
    <t>Intensity_6</t>
  </si>
  <si>
    <t>frequency_6</t>
  </si>
  <si>
    <t>Duration_6</t>
  </si>
  <si>
    <t>F_direction_6</t>
  </si>
  <si>
    <t>Intensity_7</t>
  </si>
  <si>
    <t>frequency_7</t>
  </si>
  <si>
    <t>Duration_7</t>
  </si>
  <si>
    <t>F_direction_7</t>
  </si>
  <si>
    <t>Intensity_8</t>
  </si>
  <si>
    <t>frequency_8</t>
  </si>
  <si>
    <t>Duration_8</t>
  </si>
  <si>
    <t>F_direction_8</t>
  </si>
  <si>
    <t>Intensity_9</t>
  </si>
  <si>
    <t>frequency_9</t>
  </si>
  <si>
    <t>Duration_9</t>
  </si>
  <si>
    <t>F_direction_9</t>
  </si>
  <si>
    <t>Score_ferramenta</t>
  </si>
  <si>
    <t>ferramenta</t>
  </si>
  <si>
    <t>ferramenta_tipo</t>
  </si>
  <si>
    <t>ferramenta_torque</t>
  </si>
  <si>
    <t>ferramenta_tempo</t>
  </si>
  <si>
    <t>Score_jointposition</t>
  </si>
  <si>
    <t>jointposition_50</t>
  </si>
  <si>
    <t>jointposition_75</t>
  </si>
  <si>
    <t>jointposition_100</t>
  </si>
  <si>
    <t>Score_reduced acessibility</t>
  </si>
  <si>
    <t>reduced_accessibility</t>
  </si>
  <si>
    <t>Score_otherbodyloads</t>
  </si>
  <si>
    <t>entrance_car</t>
  </si>
  <si>
    <t>AE001</t>
  </si>
  <si>
    <t>B</t>
  </si>
  <si>
    <t>B3</t>
  </si>
  <si>
    <t>A</t>
  </si>
  <si>
    <t>Musculação</t>
  </si>
  <si>
    <t>37BL</t>
  </si>
  <si>
    <t>37F</t>
  </si>
  <si>
    <t>38BL</t>
  </si>
  <si>
    <t>39BL</t>
  </si>
  <si>
    <t>40BR</t>
  </si>
  <si>
    <t>40BL</t>
  </si>
  <si>
    <t>40F</t>
  </si>
  <si>
    <t>41F</t>
  </si>
  <si>
    <t>AE002</t>
  </si>
  <si>
    <t>B1</t>
  </si>
  <si>
    <t>27R</t>
  </si>
  <si>
    <t>27L</t>
  </si>
  <si>
    <t>27F</t>
  </si>
  <si>
    <t>28L</t>
  </si>
  <si>
    <t>29F</t>
  </si>
  <si>
    <t>30F</t>
  </si>
  <si>
    <t>31F</t>
  </si>
  <si>
    <t>31IT</t>
  </si>
  <si>
    <t>AE003</t>
  </si>
  <si>
    <t>AE004</t>
  </si>
  <si>
    <t>H</t>
  </si>
  <si>
    <t>H2</t>
  </si>
  <si>
    <t>17L</t>
  </si>
  <si>
    <t>17R</t>
  </si>
  <si>
    <t>19LR</t>
  </si>
  <si>
    <t>21B</t>
  </si>
  <si>
    <t>24LR</t>
  </si>
  <si>
    <t>AE005</t>
  </si>
  <si>
    <t>31IF</t>
  </si>
  <si>
    <t>AE006</t>
  </si>
  <si>
    <t>Caminhada</t>
  </si>
  <si>
    <t>AE007</t>
  </si>
  <si>
    <t>C</t>
  </si>
  <si>
    <t>C1</t>
  </si>
  <si>
    <t>ED20</t>
  </si>
  <si>
    <t>ED30</t>
  </si>
  <si>
    <t>ED40</t>
  </si>
  <si>
    <t>ED50R</t>
  </si>
  <si>
    <t>ED06</t>
  </si>
  <si>
    <t>ED07</t>
  </si>
  <si>
    <t>ED75</t>
  </si>
  <si>
    <t>ED76R</t>
  </si>
  <si>
    <t>AE008</t>
  </si>
  <si>
    <t>E</t>
  </si>
  <si>
    <t>E3</t>
  </si>
  <si>
    <t>65UL</t>
  </si>
  <si>
    <t>65UR</t>
  </si>
  <si>
    <t>66FL</t>
  </si>
  <si>
    <t>66FR</t>
  </si>
  <si>
    <t>67L</t>
  </si>
  <si>
    <t>67R</t>
  </si>
  <si>
    <t>68L</t>
  </si>
  <si>
    <t>68R</t>
  </si>
  <si>
    <t>AE009</t>
  </si>
  <si>
    <t>AE010</t>
  </si>
  <si>
    <t>E2</t>
  </si>
  <si>
    <t>Twynsta</t>
  </si>
  <si>
    <t>58R0</t>
  </si>
  <si>
    <t>58L</t>
  </si>
  <si>
    <t>59F</t>
  </si>
  <si>
    <t>60F</t>
  </si>
  <si>
    <t>61L</t>
  </si>
  <si>
    <t>61R</t>
  </si>
  <si>
    <t>62FL</t>
  </si>
  <si>
    <t>62FR</t>
  </si>
  <si>
    <t>AE011</t>
  </si>
  <si>
    <t>E5</t>
  </si>
  <si>
    <t>Coveram</t>
  </si>
  <si>
    <t>79R</t>
  </si>
  <si>
    <t>80L</t>
  </si>
  <si>
    <t>80R</t>
  </si>
  <si>
    <t>83B</t>
  </si>
  <si>
    <t>83F</t>
  </si>
  <si>
    <t>83BR</t>
  </si>
  <si>
    <t>83FR</t>
  </si>
  <si>
    <t>85L</t>
  </si>
  <si>
    <t>AE012</t>
  </si>
  <si>
    <t>A4</t>
  </si>
  <si>
    <t>23R</t>
  </si>
  <si>
    <t>24F</t>
  </si>
  <si>
    <t>24L</t>
  </si>
  <si>
    <t>24R</t>
  </si>
  <si>
    <t>25F1</t>
  </si>
  <si>
    <t>25F2</t>
  </si>
  <si>
    <t>25L</t>
  </si>
  <si>
    <t>25R</t>
  </si>
  <si>
    <t>AE013</t>
  </si>
  <si>
    <t>C4</t>
  </si>
  <si>
    <t>Caminhada/Corrida</t>
  </si>
  <si>
    <t>PA13R</t>
  </si>
  <si>
    <t>PA13L</t>
  </si>
  <si>
    <t>PA14R</t>
  </si>
  <si>
    <t>PA14L</t>
  </si>
  <si>
    <t>PA15L</t>
  </si>
  <si>
    <t>PA15R</t>
  </si>
  <si>
    <t>T18S1</t>
  </si>
  <si>
    <t>PA19R</t>
  </si>
  <si>
    <t>AE014</t>
  </si>
  <si>
    <t>B5</t>
  </si>
  <si>
    <t>Corrida</t>
  </si>
  <si>
    <t>54R</t>
  </si>
  <si>
    <t>54L</t>
  </si>
  <si>
    <t>54FR</t>
  </si>
  <si>
    <t>54FL</t>
  </si>
  <si>
    <t>55R</t>
  </si>
  <si>
    <t>55L</t>
  </si>
  <si>
    <t>56AR</t>
  </si>
  <si>
    <t>AE015</t>
  </si>
  <si>
    <t>Cardio/Musculação</t>
  </si>
  <si>
    <t>AE016</t>
  </si>
  <si>
    <t>Olmetec</t>
  </si>
  <si>
    <t>Corrida/Ciclismo/Futebol/Ginásio</t>
  </si>
  <si>
    <t>AE017</t>
  </si>
  <si>
    <t>A3</t>
  </si>
  <si>
    <t>16F</t>
  </si>
  <si>
    <t>16L</t>
  </si>
  <si>
    <t>16R</t>
  </si>
  <si>
    <t>18L</t>
  </si>
  <si>
    <t>18R</t>
  </si>
  <si>
    <t>19L</t>
  </si>
  <si>
    <t>AE018</t>
  </si>
  <si>
    <t>F</t>
  </si>
  <si>
    <t>F4</t>
  </si>
  <si>
    <t>Ginásio</t>
  </si>
  <si>
    <t>106L</t>
  </si>
  <si>
    <t>106R</t>
  </si>
  <si>
    <t>107L</t>
  </si>
  <si>
    <t>107R</t>
  </si>
  <si>
    <t>109L</t>
  </si>
  <si>
    <t>109R</t>
  </si>
  <si>
    <t>110L</t>
  </si>
  <si>
    <t>110R</t>
  </si>
  <si>
    <t>AE019</t>
  </si>
  <si>
    <t>Coveram 5mg/5mg</t>
  </si>
  <si>
    <t>AE020</t>
  </si>
  <si>
    <t>H4</t>
  </si>
  <si>
    <t>136F</t>
  </si>
  <si>
    <t>90B</t>
  </si>
  <si>
    <t>AE021</t>
  </si>
  <si>
    <t>H3</t>
  </si>
  <si>
    <t>125L</t>
  </si>
  <si>
    <t>125R</t>
  </si>
  <si>
    <t>126L</t>
  </si>
  <si>
    <t>126R</t>
  </si>
  <si>
    <t>127L</t>
  </si>
  <si>
    <t>127R</t>
  </si>
  <si>
    <t>128L</t>
  </si>
  <si>
    <t>128R</t>
  </si>
  <si>
    <t>AE022</t>
  </si>
  <si>
    <t>AE023</t>
  </si>
  <si>
    <t>Cardio-fitness</t>
  </si>
  <si>
    <t>AE024</t>
  </si>
  <si>
    <t>Basquetebol/Atletismo</t>
  </si>
  <si>
    <t>AE025</t>
  </si>
  <si>
    <t>TRX</t>
  </si>
  <si>
    <t>AE026</t>
  </si>
  <si>
    <t>AE027</t>
  </si>
  <si>
    <t>Xanax</t>
  </si>
  <si>
    <t>Corrida/Musculação</t>
  </si>
  <si>
    <t>AE028</t>
  </si>
  <si>
    <t>Artes Marciais</t>
  </si>
  <si>
    <t>AE029</t>
  </si>
  <si>
    <t>A1</t>
  </si>
  <si>
    <t>Body</t>
  </si>
  <si>
    <t>Futebol</t>
  </si>
  <si>
    <t>3L</t>
  </si>
  <si>
    <t>4F</t>
  </si>
  <si>
    <t>5F</t>
  </si>
  <si>
    <t>AE030</t>
  </si>
  <si>
    <t>Ginásio/Aulas de grupo</t>
  </si>
  <si>
    <t>2F</t>
  </si>
  <si>
    <t>5R</t>
  </si>
  <si>
    <t>6R</t>
  </si>
  <si>
    <t>7R</t>
  </si>
  <si>
    <t>AE031</t>
  </si>
  <si>
    <t>Taekwondo/Jiu-jitsu</t>
  </si>
  <si>
    <t>3R</t>
  </si>
  <si>
    <t>AE032</t>
  </si>
  <si>
    <t>2L</t>
  </si>
  <si>
    <t>2R</t>
  </si>
  <si>
    <t>4L</t>
  </si>
  <si>
    <t>AE033</t>
  </si>
  <si>
    <t>AE034</t>
  </si>
  <si>
    <t>BTT</t>
  </si>
  <si>
    <t>AE035</t>
  </si>
  <si>
    <t>7L</t>
  </si>
  <si>
    <t>AE036</t>
  </si>
  <si>
    <t>AE037</t>
  </si>
  <si>
    <t>6L</t>
  </si>
  <si>
    <t>AE038</t>
  </si>
  <si>
    <t>AE039</t>
  </si>
  <si>
    <t>Surf/Corrida</t>
  </si>
  <si>
    <t>AE040</t>
  </si>
  <si>
    <t>AE041</t>
  </si>
  <si>
    <t>AE042</t>
  </si>
  <si>
    <t>AE044</t>
  </si>
  <si>
    <t>Corrida/Zumba</t>
  </si>
  <si>
    <t>AE045</t>
  </si>
  <si>
    <t>A0</t>
  </si>
  <si>
    <t>01W</t>
  </si>
  <si>
    <t>01L</t>
  </si>
  <si>
    <t>01R</t>
  </si>
  <si>
    <t>02L</t>
  </si>
  <si>
    <t>02R</t>
  </si>
  <si>
    <t>F115</t>
  </si>
  <si>
    <t>AE046</t>
  </si>
  <si>
    <t>AE047</t>
  </si>
  <si>
    <t>AE048</t>
  </si>
  <si>
    <t>AE049</t>
  </si>
  <si>
    <t>Nebivolol</t>
  </si>
  <si>
    <t>Bicicleta/Passadeira</t>
  </si>
  <si>
    <t>AE050</t>
  </si>
  <si>
    <t>Hidroginástica</t>
  </si>
  <si>
    <t>AE051</t>
  </si>
  <si>
    <t>AE052</t>
  </si>
  <si>
    <t>AE053</t>
  </si>
  <si>
    <t>AE054</t>
  </si>
  <si>
    <t>C2</t>
  </si>
  <si>
    <t>ED78</t>
  </si>
  <si>
    <t>ED80L</t>
  </si>
  <si>
    <t>ED90</t>
  </si>
  <si>
    <t>ED10R</t>
  </si>
  <si>
    <t>ED11L</t>
  </si>
  <si>
    <t>ED12</t>
  </si>
  <si>
    <t>ED130L</t>
  </si>
  <si>
    <t>PA02R</t>
  </si>
  <si>
    <t>AE055</t>
  </si>
  <si>
    <t>AE056</t>
  </si>
  <si>
    <t>AE057</t>
  </si>
  <si>
    <t>ED77</t>
  </si>
  <si>
    <t>ED89</t>
  </si>
  <si>
    <t>ED11</t>
  </si>
  <si>
    <t>AE058</t>
  </si>
  <si>
    <t>AE059</t>
  </si>
  <si>
    <t>AE060</t>
  </si>
  <si>
    <t>Musculação/Cardio</t>
  </si>
  <si>
    <t>AE061</t>
  </si>
  <si>
    <t>AE062</t>
  </si>
  <si>
    <t>AE063</t>
  </si>
  <si>
    <t>AE064</t>
  </si>
  <si>
    <t>AE065</t>
  </si>
  <si>
    <t>AE066</t>
  </si>
  <si>
    <t>AE067</t>
  </si>
  <si>
    <t>Natação/Futebol</t>
  </si>
  <si>
    <t>AE068</t>
  </si>
  <si>
    <t>AE069</t>
  </si>
  <si>
    <t>AE070</t>
  </si>
  <si>
    <t>AE071</t>
  </si>
  <si>
    <t>AE072</t>
  </si>
  <si>
    <t>AE073</t>
  </si>
  <si>
    <t>85R</t>
  </si>
  <si>
    <t>AE074</t>
  </si>
  <si>
    <t>AE075</t>
  </si>
  <si>
    <t>Concor 5mg</t>
  </si>
  <si>
    <t>AE076</t>
  </si>
  <si>
    <t>AE077</t>
  </si>
  <si>
    <t>Atletismo</t>
  </si>
  <si>
    <t>AE078</t>
  </si>
  <si>
    <t>AE079</t>
  </si>
  <si>
    <t>AE080</t>
  </si>
  <si>
    <t>Fitness</t>
  </si>
  <si>
    <t>AE081</t>
  </si>
  <si>
    <t>E1</t>
  </si>
  <si>
    <t>57BR</t>
  </si>
  <si>
    <t>57CR</t>
  </si>
  <si>
    <t>57E</t>
  </si>
  <si>
    <t>57FR</t>
  </si>
  <si>
    <t>57FL</t>
  </si>
  <si>
    <t>57HL</t>
  </si>
  <si>
    <t>AE082</t>
  </si>
  <si>
    <t>57A</t>
  </si>
  <si>
    <t>57DF</t>
  </si>
  <si>
    <t>57F0</t>
  </si>
  <si>
    <t>AE083</t>
  </si>
  <si>
    <t>Natação/Bicicleta</t>
  </si>
  <si>
    <t>AE084</t>
  </si>
  <si>
    <t>69BL</t>
  </si>
  <si>
    <t>70L</t>
  </si>
  <si>
    <t>70R</t>
  </si>
  <si>
    <t>AE085</t>
  </si>
  <si>
    <t>AE086</t>
  </si>
  <si>
    <t>57GR</t>
  </si>
  <si>
    <t>AE087</t>
  </si>
  <si>
    <t>Caminhada/Ginásio</t>
  </si>
  <si>
    <t>AE088</t>
  </si>
  <si>
    <t>Futebol/Ginásio</t>
  </si>
  <si>
    <t>AE089</t>
  </si>
  <si>
    <t>AE090</t>
  </si>
  <si>
    <t>AE091</t>
  </si>
  <si>
    <t>Insulina</t>
  </si>
  <si>
    <t>AE092</t>
  </si>
  <si>
    <t>AE093</t>
  </si>
  <si>
    <t>AE094</t>
  </si>
  <si>
    <t>Natação</t>
  </si>
  <si>
    <t>AE095</t>
  </si>
  <si>
    <t>Canoagem/Ciclismo</t>
  </si>
  <si>
    <t>AE096</t>
  </si>
  <si>
    <t>Jiu-Jitsu</t>
  </si>
  <si>
    <t>AE097</t>
  </si>
  <si>
    <t>Cardio</t>
  </si>
  <si>
    <t>AE098</t>
  </si>
  <si>
    <t>Bicicleta</t>
  </si>
  <si>
    <t>AE099</t>
  </si>
  <si>
    <t>AE100</t>
  </si>
  <si>
    <t>AE101</t>
  </si>
  <si>
    <t>AE102</t>
  </si>
  <si>
    <t>AE103</t>
  </si>
  <si>
    <t>AE104</t>
  </si>
  <si>
    <t>AE105</t>
  </si>
  <si>
    <t>AE106</t>
  </si>
  <si>
    <t>AE107</t>
  </si>
  <si>
    <t>B2</t>
  </si>
  <si>
    <t>Caça submarina</t>
  </si>
  <si>
    <t>32B</t>
  </si>
  <si>
    <t>32F</t>
  </si>
  <si>
    <t>32R1</t>
  </si>
  <si>
    <t>33R2</t>
  </si>
  <si>
    <t>33F</t>
  </si>
  <si>
    <t>T34B</t>
  </si>
  <si>
    <t>T34R3</t>
  </si>
  <si>
    <t>35R4</t>
  </si>
  <si>
    <t>AE108</t>
  </si>
  <si>
    <t>9L</t>
  </si>
  <si>
    <t>10L</t>
  </si>
  <si>
    <t>10R</t>
  </si>
  <si>
    <t>11L</t>
  </si>
  <si>
    <t>11R</t>
  </si>
  <si>
    <t>12B</t>
  </si>
  <si>
    <t>13L</t>
  </si>
  <si>
    <t>13R</t>
  </si>
  <si>
    <t>AE109</t>
  </si>
  <si>
    <t>Ciclismo</t>
  </si>
  <si>
    <t>AE110</t>
  </si>
  <si>
    <t>AE111</t>
  </si>
  <si>
    <t>ED76L</t>
  </si>
  <si>
    <t>ED77L</t>
  </si>
  <si>
    <t>ED77R</t>
  </si>
  <si>
    <t>AE112</t>
  </si>
  <si>
    <t>A2</t>
  </si>
  <si>
    <t>Ginásio/BTT</t>
  </si>
  <si>
    <t>11B</t>
  </si>
  <si>
    <t>12R</t>
  </si>
  <si>
    <t>14L</t>
  </si>
  <si>
    <t>14R</t>
  </si>
  <si>
    <t>AE113</t>
  </si>
  <si>
    <t>12L</t>
  </si>
  <si>
    <t>AE114</t>
  </si>
  <si>
    <t>Musculção</t>
  </si>
  <si>
    <t>9R</t>
  </si>
  <si>
    <t>AE115</t>
  </si>
  <si>
    <t>AE116</t>
  </si>
  <si>
    <t>AE117</t>
  </si>
  <si>
    <t>Futsal</t>
  </si>
  <si>
    <t>AE118</t>
  </si>
  <si>
    <t>Caminhada/bicicleta</t>
  </si>
  <si>
    <t>26AL</t>
  </si>
  <si>
    <t>26UR</t>
  </si>
  <si>
    <t>26UF</t>
  </si>
  <si>
    <t>26SA</t>
  </si>
  <si>
    <t>AE119</t>
  </si>
  <si>
    <t>C3</t>
  </si>
  <si>
    <t>PA06S1</t>
  </si>
  <si>
    <t>PA07L</t>
  </si>
  <si>
    <t>PA07R</t>
  </si>
  <si>
    <t>PA09L</t>
  </si>
  <si>
    <t>PA10L</t>
  </si>
  <si>
    <t>PA10R</t>
  </si>
  <si>
    <t>PA11R</t>
  </si>
  <si>
    <t>PA11L</t>
  </si>
  <si>
    <t>AE120</t>
  </si>
  <si>
    <t>PA05R</t>
  </si>
  <si>
    <t>AE121</t>
  </si>
  <si>
    <t>AE122</t>
  </si>
  <si>
    <t>AE123</t>
  </si>
  <si>
    <t>Atividades de rua</t>
  </si>
  <si>
    <t>AE124</t>
  </si>
  <si>
    <t>AE125</t>
  </si>
  <si>
    <t>AE126</t>
  </si>
  <si>
    <t>F114</t>
  </si>
  <si>
    <t>AE127</t>
  </si>
  <si>
    <t>AE128</t>
  </si>
  <si>
    <t>AE129</t>
  </si>
  <si>
    <t>Candesartan</t>
  </si>
  <si>
    <t>AE130</t>
  </si>
  <si>
    <t>F116</t>
  </si>
  <si>
    <t>AE131</t>
  </si>
  <si>
    <t>A5</t>
  </si>
  <si>
    <t>Ginásio/Pilates</t>
  </si>
  <si>
    <t>AE132</t>
  </si>
  <si>
    <t>AE133</t>
  </si>
  <si>
    <t>AE134</t>
  </si>
  <si>
    <t>AE135</t>
  </si>
  <si>
    <t>AE136</t>
  </si>
  <si>
    <t>Corrida/Caminhada</t>
  </si>
  <si>
    <t>AE137</t>
  </si>
  <si>
    <t>AE138</t>
  </si>
  <si>
    <t>AE139</t>
  </si>
  <si>
    <t>62F</t>
  </si>
  <si>
    <t>63L</t>
  </si>
  <si>
    <t>AE140</t>
  </si>
  <si>
    <t>Bicicleta/BTT</t>
  </si>
  <si>
    <t>AE141</t>
  </si>
  <si>
    <t>86F</t>
  </si>
  <si>
    <t>AE142</t>
  </si>
  <si>
    <t>AE143</t>
  </si>
  <si>
    <t>AE144</t>
  </si>
  <si>
    <t>Futebol/Ginário</t>
  </si>
  <si>
    <t>AE145</t>
  </si>
  <si>
    <t>AE146</t>
  </si>
  <si>
    <t>AE147</t>
  </si>
  <si>
    <t>69BR</t>
  </si>
  <si>
    <t>AE148</t>
  </si>
  <si>
    <t>AE149</t>
  </si>
  <si>
    <t>Basquetebol</t>
  </si>
  <si>
    <t>AE150</t>
  </si>
  <si>
    <t>AE151</t>
  </si>
  <si>
    <t>AE152</t>
  </si>
  <si>
    <t>E4</t>
  </si>
  <si>
    <t>Ginásio (Cardio/Musculação)</t>
  </si>
  <si>
    <t>71L</t>
  </si>
  <si>
    <t>71R</t>
  </si>
  <si>
    <t>71E</t>
  </si>
  <si>
    <t>72L</t>
  </si>
  <si>
    <t>72R</t>
  </si>
  <si>
    <t>73L</t>
  </si>
  <si>
    <t>73R</t>
  </si>
  <si>
    <t>74B</t>
  </si>
  <si>
    <t>AE153</t>
  </si>
  <si>
    <t>AE154</t>
  </si>
  <si>
    <t>AE155</t>
  </si>
  <si>
    <t>AE156</t>
  </si>
  <si>
    <t>77FR</t>
  </si>
  <si>
    <t>AE157</t>
  </si>
  <si>
    <t>AE158</t>
  </si>
  <si>
    <t>35F</t>
  </si>
  <si>
    <t>AE159</t>
  </si>
  <si>
    <t>AE160</t>
  </si>
  <si>
    <t>AE161</t>
  </si>
  <si>
    <t>AE162</t>
  </si>
  <si>
    <t>AE163</t>
  </si>
  <si>
    <t>Surf</t>
  </si>
  <si>
    <t>AE164</t>
  </si>
  <si>
    <t>AE165</t>
  </si>
  <si>
    <t>AE166</t>
  </si>
  <si>
    <t>AE167</t>
  </si>
  <si>
    <t>AE168</t>
  </si>
  <si>
    <t>AE169</t>
  </si>
  <si>
    <t>AE170</t>
  </si>
  <si>
    <t>AE171</t>
  </si>
  <si>
    <t>KITT1</t>
  </si>
  <si>
    <t>AE172</t>
  </si>
  <si>
    <t>42UB</t>
  </si>
  <si>
    <t>AE173</t>
  </si>
  <si>
    <t>AE174</t>
  </si>
  <si>
    <t>AE175</t>
  </si>
  <si>
    <t>AE176</t>
  </si>
  <si>
    <t>J</t>
  </si>
  <si>
    <t>J1</t>
  </si>
  <si>
    <t>DRV</t>
  </si>
  <si>
    <t>U-AL</t>
  </si>
  <si>
    <t>ALI</t>
  </si>
  <si>
    <t>ROLL-C</t>
  </si>
  <si>
    <t>POSR</t>
  </si>
  <si>
    <t>FAZ</t>
  </si>
  <si>
    <t>AE177</t>
  </si>
  <si>
    <t>J3</t>
  </si>
  <si>
    <t>26 - ECOS</t>
  </si>
  <si>
    <t>42L</t>
  </si>
  <si>
    <t>146L</t>
  </si>
  <si>
    <t>147L -ECOS</t>
  </si>
  <si>
    <t>157L</t>
  </si>
  <si>
    <t>AE178</t>
  </si>
  <si>
    <t>AE179</t>
  </si>
  <si>
    <t>F6</t>
  </si>
  <si>
    <t>Lisinopril-ratiopharm 5mg</t>
  </si>
  <si>
    <t>116L</t>
  </si>
  <si>
    <t>116R</t>
  </si>
  <si>
    <t>117L</t>
  </si>
  <si>
    <t>117R</t>
  </si>
  <si>
    <t>118L</t>
  </si>
  <si>
    <t>118R</t>
  </si>
  <si>
    <t>122L</t>
  </si>
  <si>
    <t>AE180</t>
  </si>
  <si>
    <t>122R</t>
  </si>
  <si>
    <t>123R</t>
  </si>
  <si>
    <t>AE181</t>
  </si>
  <si>
    <t>AE182</t>
  </si>
  <si>
    <t>Coveram 10mg/5mg</t>
  </si>
  <si>
    <t>Corrida/Caminhada/Pilates</t>
  </si>
  <si>
    <t>AE183</t>
  </si>
  <si>
    <t>AE184</t>
  </si>
  <si>
    <t>AE185</t>
  </si>
  <si>
    <t>AE186</t>
  </si>
  <si>
    <t>trails/Desporto em alcatrão</t>
  </si>
  <si>
    <t>AE187</t>
  </si>
  <si>
    <t>AE188</t>
  </si>
  <si>
    <t>AE189</t>
  </si>
  <si>
    <t>Kundalini Yoga/Caminhadas</t>
  </si>
  <si>
    <t>63R</t>
  </si>
  <si>
    <t>64R</t>
  </si>
  <si>
    <t>64L</t>
  </si>
  <si>
    <t>AE190</t>
  </si>
  <si>
    <t>AE191</t>
  </si>
  <si>
    <t>AE192</t>
  </si>
  <si>
    <t>F5</t>
  </si>
  <si>
    <t>111F</t>
  </si>
  <si>
    <t>111B</t>
  </si>
  <si>
    <t>112F</t>
  </si>
  <si>
    <t>114L</t>
  </si>
  <si>
    <t>115L</t>
  </si>
  <si>
    <t>115FL</t>
  </si>
  <si>
    <t>AE193</t>
  </si>
  <si>
    <t>112R</t>
  </si>
  <si>
    <t>112L</t>
  </si>
  <si>
    <t>114R</t>
  </si>
  <si>
    <t>AE194</t>
  </si>
  <si>
    <t>AE195</t>
  </si>
  <si>
    <t>113R</t>
  </si>
  <si>
    <t>115R</t>
  </si>
  <si>
    <t>115FR</t>
  </si>
  <si>
    <t>AE196</t>
  </si>
  <si>
    <t>AE197</t>
  </si>
  <si>
    <t>Corrida (Passadeira)</t>
  </si>
  <si>
    <t>AE198</t>
  </si>
  <si>
    <t>AE199</t>
  </si>
  <si>
    <t>36B</t>
  </si>
  <si>
    <t>AE200</t>
  </si>
  <si>
    <t>AE201</t>
  </si>
  <si>
    <t>AE202</t>
  </si>
  <si>
    <t>AE203</t>
  </si>
  <si>
    <t>AE204</t>
  </si>
  <si>
    <t>AE205</t>
  </si>
  <si>
    <t>AE206</t>
  </si>
  <si>
    <t>AE207</t>
  </si>
  <si>
    <t>AE208</t>
  </si>
  <si>
    <t>AE209</t>
  </si>
  <si>
    <t>AE210</t>
  </si>
  <si>
    <t>Corrida/Caminhada/Bicicleta</t>
  </si>
  <si>
    <t>AE211</t>
  </si>
  <si>
    <t>AE212</t>
  </si>
  <si>
    <t>AE213</t>
  </si>
  <si>
    <t>AE214</t>
  </si>
  <si>
    <t>31EX</t>
  </si>
  <si>
    <t>AE215</t>
  </si>
  <si>
    <t>AE216</t>
  </si>
  <si>
    <t>AE217</t>
  </si>
  <si>
    <t>AE218</t>
  </si>
  <si>
    <t>AE219</t>
  </si>
  <si>
    <t>AE220</t>
  </si>
  <si>
    <t>AE221</t>
  </si>
  <si>
    <t>AE222</t>
  </si>
  <si>
    <t>AE223</t>
  </si>
  <si>
    <t>AE224</t>
  </si>
  <si>
    <t>AE225</t>
  </si>
  <si>
    <t>AE226</t>
  </si>
  <si>
    <t>HIIT</t>
  </si>
  <si>
    <t>AE227</t>
  </si>
  <si>
    <t>AE228</t>
  </si>
  <si>
    <t>AE229</t>
  </si>
  <si>
    <t>AE230</t>
  </si>
  <si>
    <t>AE231</t>
  </si>
  <si>
    <t>AE232</t>
  </si>
  <si>
    <t>Ginásio/Futebol</t>
  </si>
  <si>
    <t>AE233</t>
  </si>
  <si>
    <t>AE234</t>
  </si>
  <si>
    <t>AE235</t>
  </si>
  <si>
    <t>AE236</t>
  </si>
  <si>
    <t>AE237</t>
  </si>
  <si>
    <t>AE238</t>
  </si>
  <si>
    <t>AE239</t>
  </si>
  <si>
    <t>Ginásio/Atletismo</t>
  </si>
  <si>
    <t>AE240</t>
  </si>
  <si>
    <t>56CB</t>
  </si>
  <si>
    <t>AE241</t>
  </si>
  <si>
    <t>Zestril 20mg</t>
  </si>
  <si>
    <t>AE242</t>
  </si>
  <si>
    <t>AE243</t>
  </si>
  <si>
    <t>AE244</t>
  </si>
  <si>
    <t>AE245</t>
  </si>
  <si>
    <t>AE246</t>
  </si>
  <si>
    <t>AE247</t>
  </si>
  <si>
    <t>AE248</t>
  </si>
  <si>
    <t>Natação/Musculação</t>
  </si>
  <si>
    <t>AE249</t>
  </si>
  <si>
    <t>AE250</t>
  </si>
  <si>
    <t>AE251</t>
  </si>
  <si>
    <t>AE252</t>
  </si>
  <si>
    <t>AE253</t>
  </si>
  <si>
    <t>56AL</t>
  </si>
  <si>
    <t>AE254</t>
  </si>
  <si>
    <t>56EL</t>
  </si>
  <si>
    <t>AE255</t>
  </si>
  <si>
    <t>F3</t>
  </si>
  <si>
    <t>BTT/Futebol</t>
  </si>
  <si>
    <t>99IL</t>
  </si>
  <si>
    <t>99IR</t>
  </si>
  <si>
    <t>101I</t>
  </si>
  <si>
    <t>102I</t>
  </si>
  <si>
    <t>102F</t>
  </si>
  <si>
    <t>104L</t>
  </si>
  <si>
    <t>104R</t>
  </si>
  <si>
    <t>AE256</t>
  </si>
  <si>
    <t>AE257</t>
  </si>
  <si>
    <t>AE258</t>
  </si>
  <si>
    <t>AE259</t>
  </si>
  <si>
    <t>AE260</t>
  </si>
  <si>
    <t>AE261</t>
  </si>
  <si>
    <t>AE262</t>
  </si>
  <si>
    <t>F1</t>
  </si>
  <si>
    <t>87B</t>
  </si>
  <si>
    <t>87L</t>
  </si>
  <si>
    <t>87R</t>
  </si>
  <si>
    <t>87I</t>
  </si>
  <si>
    <t>88L</t>
  </si>
  <si>
    <t>88R</t>
  </si>
  <si>
    <t>88I</t>
  </si>
  <si>
    <t>AE263</t>
  </si>
  <si>
    <t>AE264</t>
  </si>
  <si>
    <t>90L</t>
  </si>
  <si>
    <t>AE265</t>
  </si>
  <si>
    <t>AE266</t>
  </si>
  <si>
    <t>AE267</t>
  </si>
  <si>
    <t>90R</t>
  </si>
  <si>
    <t>91R</t>
  </si>
  <si>
    <t>AE268</t>
  </si>
  <si>
    <t>AE269</t>
  </si>
  <si>
    <t>Basquetebol/Ginásio</t>
  </si>
  <si>
    <t>AE270</t>
  </si>
  <si>
    <t>AE271</t>
  </si>
  <si>
    <t>Caminhadas</t>
  </si>
  <si>
    <t>AE272</t>
  </si>
  <si>
    <t>AE273</t>
  </si>
  <si>
    <t>B4</t>
  </si>
  <si>
    <t>Yoga/Caminhada/Chi-Kung</t>
  </si>
  <si>
    <t>DK201</t>
  </si>
  <si>
    <t>DK202</t>
  </si>
  <si>
    <t>DK20R</t>
  </si>
  <si>
    <t>DK20L</t>
  </si>
  <si>
    <t>DK30S</t>
  </si>
  <si>
    <t>DK40</t>
  </si>
  <si>
    <t>DK50R</t>
  </si>
  <si>
    <t>AE274</t>
  </si>
  <si>
    <t>DK50L</t>
  </si>
  <si>
    <t>AE275</t>
  </si>
  <si>
    <t>AE276</t>
  </si>
  <si>
    <t>AE277</t>
  </si>
  <si>
    <t>AE278</t>
  </si>
  <si>
    <t>F2</t>
  </si>
  <si>
    <t>93BL</t>
  </si>
  <si>
    <t>93BR</t>
  </si>
  <si>
    <t>95L</t>
  </si>
  <si>
    <t>95R</t>
  </si>
  <si>
    <t>96R</t>
  </si>
  <si>
    <t>97L</t>
  </si>
  <si>
    <t>97R</t>
  </si>
  <si>
    <t>AE279</t>
  </si>
  <si>
    <t>96L</t>
  </si>
  <si>
    <t>AE280</t>
  </si>
  <si>
    <t>AE281</t>
  </si>
  <si>
    <t>Agressive Rollers</t>
  </si>
  <si>
    <t>AE282</t>
  </si>
  <si>
    <t>AE283</t>
  </si>
  <si>
    <t>AE284</t>
  </si>
  <si>
    <t>Ginásio/Cardiofitness</t>
  </si>
  <si>
    <t>AE285</t>
  </si>
  <si>
    <t>Ginásio/Cardio/Musculação</t>
  </si>
  <si>
    <t>AE286</t>
  </si>
  <si>
    <t>AE287</t>
  </si>
  <si>
    <t>AE288</t>
  </si>
  <si>
    <t>Inderal</t>
  </si>
  <si>
    <t>Ginásio/Futebol/Outros</t>
  </si>
  <si>
    <t>AE289</t>
  </si>
  <si>
    <t>Coversyl 10mg</t>
  </si>
  <si>
    <t>AE290</t>
  </si>
  <si>
    <t>AE291</t>
  </si>
  <si>
    <t>AE292</t>
  </si>
  <si>
    <t>AE293</t>
  </si>
  <si>
    <t>AE294</t>
  </si>
  <si>
    <t>Caminhada/Exercicio ao ar livre</t>
  </si>
  <si>
    <t>AE295</t>
  </si>
  <si>
    <t>AE296</t>
  </si>
  <si>
    <t>Futebol/Corrida/Motocross</t>
  </si>
  <si>
    <t>AE297</t>
  </si>
  <si>
    <t>AE298</t>
  </si>
  <si>
    <t>Aldomet 500</t>
  </si>
  <si>
    <t>AE299</t>
  </si>
  <si>
    <t>Jogging</t>
  </si>
  <si>
    <t>AE300</t>
  </si>
  <si>
    <t>AE301</t>
  </si>
  <si>
    <t>Halterofilismo</t>
  </si>
  <si>
    <t>AE302</t>
  </si>
  <si>
    <t>AE303</t>
  </si>
  <si>
    <t>AE304</t>
  </si>
  <si>
    <t>AE305</t>
  </si>
  <si>
    <t>Yoga</t>
  </si>
  <si>
    <t>AE306</t>
  </si>
  <si>
    <t>AE307</t>
  </si>
  <si>
    <t>98IL</t>
  </si>
  <si>
    <t>AE308</t>
  </si>
  <si>
    <t>AE309</t>
  </si>
  <si>
    <t>AE310</t>
  </si>
  <si>
    <t>AE311</t>
  </si>
  <si>
    <t>36F</t>
  </si>
  <si>
    <t>AE312</t>
  </si>
  <si>
    <t>AE313</t>
  </si>
  <si>
    <t>AE314</t>
  </si>
  <si>
    <t>BodyJump, BodyPump, 3B</t>
  </si>
  <si>
    <t>AE315</t>
  </si>
  <si>
    <t>AE316</t>
  </si>
  <si>
    <t>AE317</t>
  </si>
  <si>
    <t>Ténis/BTT</t>
  </si>
  <si>
    <t>AE318</t>
  </si>
  <si>
    <t>Maleato de enalapril 20mg</t>
  </si>
  <si>
    <t>AE319</t>
  </si>
  <si>
    <t>Corrida/Ténis/Futebol</t>
  </si>
  <si>
    <t>AE320</t>
  </si>
  <si>
    <t>AE321</t>
  </si>
  <si>
    <t>AE322</t>
  </si>
  <si>
    <t>AE323</t>
  </si>
  <si>
    <t>56CR</t>
  </si>
  <si>
    <t>AE324</t>
  </si>
  <si>
    <t>AE325</t>
  </si>
  <si>
    <t>AE326</t>
  </si>
  <si>
    <t>Exercicios diversos</t>
  </si>
  <si>
    <t>AE327</t>
  </si>
  <si>
    <t>AE328</t>
  </si>
  <si>
    <t>Corrida/Surf/Condição física</t>
  </si>
  <si>
    <t>AE329</t>
  </si>
  <si>
    <t>SD</t>
  </si>
  <si>
    <t>Caminhada/Natação</t>
  </si>
  <si>
    <t>AE330</t>
  </si>
  <si>
    <t>AE331</t>
  </si>
  <si>
    <t>Pritor 40mg</t>
  </si>
  <si>
    <t>AE332</t>
  </si>
  <si>
    <t>AE333</t>
  </si>
  <si>
    <t>AE334</t>
  </si>
  <si>
    <t>AE335</t>
  </si>
  <si>
    <t>AE336</t>
  </si>
  <si>
    <t>musculação/Futebol</t>
  </si>
  <si>
    <t>AE337</t>
  </si>
  <si>
    <t>AE338</t>
  </si>
  <si>
    <t>AE339</t>
  </si>
  <si>
    <t>AE340</t>
  </si>
  <si>
    <t>AE341</t>
  </si>
  <si>
    <t>Musculação/Kickboxing</t>
  </si>
  <si>
    <t>AE342</t>
  </si>
  <si>
    <t>AE343</t>
  </si>
  <si>
    <t>AE344</t>
  </si>
  <si>
    <t>Canoagem/Corrida</t>
  </si>
  <si>
    <t>20F</t>
  </si>
  <si>
    <t>AE345</t>
  </si>
  <si>
    <t>AE346</t>
  </si>
  <si>
    <t>AE347</t>
  </si>
  <si>
    <t>AE348</t>
  </si>
  <si>
    <t>AE349</t>
  </si>
  <si>
    <t>AE350</t>
  </si>
  <si>
    <t>AE351</t>
  </si>
  <si>
    <t>AE352</t>
  </si>
  <si>
    <t>AE353</t>
  </si>
  <si>
    <t>AE354</t>
  </si>
  <si>
    <t>AE355</t>
  </si>
  <si>
    <t>Intensidade_Media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</si>
</sst>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dd/mm/yy;@"/>
    <numFmt numFmtId="166" formatCode="0.0"/>
  </numFmts>
  <fonts count="6" x14ac:knownFonts="1">
    <font>
      <sz val="11"/>
      <color rgb="FF000000"/>
      <name val="Arial"/>
      <family val="2"/>
      <charset val="1"/>
    </font>
    <font>
      <b/>
      <sz val="11"/>
      <color rgb="FF000000"/>
      <name val="Arial"/>
      <family val="2"/>
      <charset val="1"/>
    </font>
    <font>
      <b/>
      <sz val="11"/>
      <color rgb="FFFFFFFF"/>
      <name val="Arial"/>
      <family val="2"/>
      <charset val="1"/>
    </font>
    <font>
      <sz val="11"/>
      <color rgb="FFFF0000"/>
      <name val="Arial"/>
      <family val="2"/>
      <charset val="1"/>
    </font>
    <font>
      <b/>
      <sz val="9"/>
      <color rgb="FF000000"/>
      <name val="Tahoma"/>
      <family val="2"/>
      <charset val="1"/>
    </font>
    <font>
      <sz val="9"/>
      <color rgb="FF000000"/>
      <name val="Tahoma"/>
      <family val="2"/>
      <charset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/>
    <xf numFmtId="0" fontId="1" fillId="0" borderId="1" xfId="0" applyFont="1" applyBorder="1"/>
    <xf numFmtId="165" fontId="1" fillId="0" borderId="1" xfId="0" applyNumberFormat="1" applyFont="1" applyBorder="1"/>
    <xf numFmtId="0" fontId="1" fillId="0" borderId="0" xfId="0" applyFont="1"/>
    <xf numFmtId="2" fontId="1" fillId="0" borderId="0" xfId="0" applyNumberFormat="1" applyFont="1"/>
    <xf numFmtId="0" fontId="1" fillId="0" borderId="0" xfId="0" applyFont="1" applyAlignment="1">
      <alignment horizontal="center"/>
    </xf>
    <xf numFmtId="0" fontId="2" fillId="0" borderId="0" xfId="0" applyFont="1"/>
    <xf numFmtId="2" fontId="2" fillId="0" borderId="0" xfId="0" applyNumberFormat="1" applyFont="1"/>
    <xf numFmtId="0" fontId="2" fillId="0" borderId="0" xfId="0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166" fontId="0" fillId="0" borderId="0" xfId="0" applyNumberFormat="1"/>
    <xf numFmtId="0" fontId="0" fillId="0" borderId="0" xfId="0" applyFont="1"/>
    <xf numFmtId="2" fontId="0" fillId="0" borderId="0" xfId="0" applyNumberFormat="1"/>
    <xf numFmtId="2" fontId="0" fillId="0" borderId="0" xfId="0" applyNumberFormat="1" applyFont="1"/>
    <xf numFmtId="0" fontId="0" fillId="0" borderId="0" xfId="0" applyAlignment="1">
      <alignment horizontal="center"/>
    </xf>
    <xf numFmtId="1" fontId="0" fillId="0" borderId="0" xfId="0" applyNumberFormat="1"/>
    <xf numFmtId="0" fontId="0" fillId="0" borderId="0" xfId="0" applyAlignment="1">
      <alignment horizontal="right"/>
    </xf>
    <xf numFmtId="0" fontId="0" fillId="0" borderId="0" xfId="0" applyFont="1" applyBorder="1"/>
    <xf numFmtId="0" fontId="0" fillId="0" borderId="0" xfId="0" applyFont="1" applyBorder="1" applyAlignment="1">
      <alignment horizontal="center" vertical="center"/>
    </xf>
    <xf numFmtId="164" fontId="0" fillId="0" borderId="0" xfId="0" applyNumberFormat="1" applyBorder="1"/>
    <xf numFmtId="0" fontId="0" fillId="0" borderId="0" xfId="0" applyBorder="1"/>
    <xf numFmtId="14" fontId="0" fillId="0" borderId="0" xfId="0" applyNumberFormat="1" applyBorder="1"/>
    <xf numFmtId="1" fontId="0" fillId="0" borderId="0" xfId="0" applyNumberFormat="1" applyBorder="1"/>
    <xf numFmtId="2" fontId="0" fillId="0" borderId="0" xfId="0" applyNumberFormat="1" applyBorder="1"/>
    <xf numFmtId="0" fontId="0" fillId="0" borderId="0" xfId="0" applyBorder="1" applyAlignment="1">
      <alignment horizontal="center"/>
    </xf>
    <xf numFmtId="2" fontId="0" fillId="0" borderId="0" xfId="0" applyNumberFormat="1" applyFont="1" applyBorder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right"/>
    </xf>
    <xf numFmtId="165" fontId="0" fillId="0" borderId="0" xfId="0" applyNumberFormat="1" applyBorder="1"/>
    <xf numFmtId="165" fontId="0" fillId="0" borderId="0" xfId="0" applyNumberFormat="1"/>
    <xf numFmtId="0" fontId="3" fillId="0" borderId="0" xfId="0" applyFont="1"/>
    <xf numFmtId="1" fontId="0" fillId="0" borderId="0" xfId="0" applyNumberFormat="1" applyFont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Border="1" applyAlignment="1">
      <alignment horizontal="left"/>
    </xf>
    <xf numFmtId="0" fontId="0" fillId="0" borderId="2" xfId="0" applyFont="1" applyBorder="1"/>
    <xf numFmtId="2" fontId="0" fillId="0" borderId="2" xfId="0" applyNumberFormat="1" applyBorder="1"/>
    <xf numFmtId="0" fontId="0" fillId="0" borderId="2" xfId="0" applyBorder="1" applyAlignment="1">
      <alignment horizontal="center"/>
    </xf>
    <xf numFmtId="2" fontId="0" fillId="0" borderId="2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340" name="shapetype_202" hidden="1">
          <a:extLst>
            <a:ext uri="{FF2B5EF4-FFF2-40B4-BE49-F238E27FC236}">
              <a16:creationId xmlns:a16="http://schemas.microsoft.com/office/drawing/2014/main" id="{CD0C6E61-DFD4-4B25-9F05-0B0CEC7F55F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338" name="shapetype_202" hidden="1">
          <a:extLst>
            <a:ext uri="{FF2B5EF4-FFF2-40B4-BE49-F238E27FC236}">
              <a16:creationId xmlns:a16="http://schemas.microsoft.com/office/drawing/2014/main" id="{AF6745F6-6554-4C5D-A1F3-01FE9D9FA59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336" name="shapetype_202" hidden="1">
          <a:extLst>
            <a:ext uri="{FF2B5EF4-FFF2-40B4-BE49-F238E27FC236}">
              <a16:creationId xmlns:a16="http://schemas.microsoft.com/office/drawing/2014/main" id="{2351D36F-FEC3-4E08-B7F1-3BCA875CE81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334" name="shapetype_202" hidden="1">
          <a:extLst>
            <a:ext uri="{FF2B5EF4-FFF2-40B4-BE49-F238E27FC236}">
              <a16:creationId xmlns:a16="http://schemas.microsoft.com/office/drawing/2014/main" id="{3A35BF71-4D9E-45B1-AE92-50022E1A315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332" name="shapetype_202" hidden="1">
          <a:extLst>
            <a:ext uri="{FF2B5EF4-FFF2-40B4-BE49-F238E27FC236}">
              <a16:creationId xmlns:a16="http://schemas.microsoft.com/office/drawing/2014/main" id="{DE16FD63-E060-4706-9FDE-CA4A275F9FB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330" name="shapetype_202" hidden="1">
          <a:extLst>
            <a:ext uri="{FF2B5EF4-FFF2-40B4-BE49-F238E27FC236}">
              <a16:creationId xmlns:a16="http://schemas.microsoft.com/office/drawing/2014/main" id="{2ED37BFD-443C-4AC0-B880-705EFF40F60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328" name="shapetype_202" hidden="1">
          <a:extLst>
            <a:ext uri="{FF2B5EF4-FFF2-40B4-BE49-F238E27FC236}">
              <a16:creationId xmlns:a16="http://schemas.microsoft.com/office/drawing/2014/main" id="{442BB4C6-D958-416A-ACA1-4EA4CD9D15B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326" name="shapetype_202" hidden="1">
          <a:extLst>
            <a:ext uri="{FF2B5EF4-FFF2-40B4-BE49-F238E27FC236}">
              <a16:creationId xmlns:a16="http://schemas.microsoft.com/office/drawing/2014/main" id="{179DDB23-8DF1-4D00-9068-80359566259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324" name="shapetype_202" hidden="1">
          <a:extLst>
            <a:ext uri="{FF2B5EF4-FFF2-40B4-BE49-F238E27FC236}">
              <a16:creationId xmlns:a16="http://schemas.microsoft.com/office/drawing/2014/main" id="{4E997A5E-CA58-4F05-AEC2-76F5488C617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322" name="shapetype_202" hidden="1">
          <a:extLst>
            <a:ext uri="{FF2B5EF4-FFF2-40B4-BE49-F238E27FC236}">
              <a16:creationId xmlns:a16="http://schemas.microsoft.com/office/drawing/2014/main" id="{7A80038D-232A-48B4-9190-66CF45C1BE3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320" name="shapetype_202" hidden="1">
          <a:extLst>
            <a:ext uri="{FF2B5EF4-FFF2-40B4-BE49-F238E27FC236}">
              <a16:creationId xmlns:a16="http://schemas.microsoft.com/office/drawing/2014/main" id="{E54703FD-29E9-4AF1-A60F-41A47037CB7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318" name="shapetype_202" hidden="1">
          <a:extLst>
            <a:ext uri="{FF2B5EF4-FFF2-40B4-BE49-F238E27FC236}">
              <a16:creationId xmlns:a16="http://schemas.microsoft.com/office/drawing/2014/main" id="{6DBDCB28-A910-4279-A55D-21CE7C99DD6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316" name="shapetype_202" hidden="1">
          <a:extLst>
            <a:ext uri="{FF2B5EF4-FFF2-40B4-BE49-F238E27FC236}">
              <a16:creationId xmlns:a16="http://schemas.microsoft.com/office/drawing/2014/main" id="{346FD945-563A-4CDF-A359-1EAD3E75F14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314" name="shapetype_202" hidden="1">
          <a:extLst>
            <a:ext uri="{FF2B5EF4-FFF2-40B4-BE49-F238E27FC236}">
              <a16:creationId xmlns:a16="http://schemas.microsoft.com/office/drawing/2014/main" id="{B483185F-0A6C-40A3-A0DB-4F5A907FCF9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312" name="shapetype_202" hidden="1">
          <a:extLst>
            <a:ext uri="{FF2B5EF4-FFF2-40B4-BE49-F238E27FC236}">
              <a16:creationId xmlns:a16="http://schemas.microsoft.com/office/drawing/2014/main" id="{3AF7B172-C3DB-41E2-B7B5-B35550A5544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310" name="shapetype_202" hidden="1">
          <a:extLst>
            <a:ext uri="{FF2B5EF4-FFF2-40B4-BE49-F238E27FC236}">
              <a16:creationId xmlns:a16="http://schemas.microsoft.com/office/drawing/2014/main" id="{759A7D84-3EC2-421A-9482-1E8B4A228D1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308" name="shapetype_202" hidden="1">
          <a:extLst>
            <a:ext uri="{FF2B5EF4-FFF2-40B4-BE49-F238E27FC236}">
              <a16:creationId xmlns:a16="http://schemas.microsoft.com/office/drawing/2014/main" id="{4E7DAE9A-ACA0-45D9-A5E6-1D048F0374A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306" name="shapetype_202" hidden="1">
          <a:extLst>
            <a:ext uri="{FF2B5EF4-FFF2-40B4-BE49-F238E27FC236}">
              <a16:creationId xmlns:a16="http://schemas.microsoft.com/office/drawing/2014/main" id="{F26FEAFA-0DA3-4F6E-8BF5-1145713F64F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304" name="shapetype_202" hidden="1">
          <a:extLst>
            <a:ext uri="{FF2B5EF4-FFF2-40B4-BE49-F238E27FC236}">
              <a16:creationId xmlns:a16="http://schemas.microsoft.com/office/drawing/2014/main" id="{1B19043A-6D1E-4AA6-BF3C-6190D362E24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302" name="shapetype_202" hidden="1">
          <a:extLst>
            <a:ext uri="{FF2B5EF4-FFF2-40B4-BE49-F238E27FC236}">
              <a16:creationId xmlns:a16="http://schemas.microsoft.com/office/drawing/2014/main" id="{7CD42145-3BC7-4362-A21C-71F7618E04D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300" name="shapetype_202" hidden="1">
          <a:extLst>
            <a:ext uri="{FF2B5EF4-FFF2-40B4-BE49-F238E27FC236}">
              <a16:creationId xmlns:a16="http://schemas.microsoft.com/office/drawing/2014/main" id="{F700CFAA-4369-4DD9-8A29-8427623DD0F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98" name="shapetype_202" hidden="1">
          <a:extLst>
            <a:ext uri="{FF2B5EF4-FFF2-40B4-BE49-F238E27FC236}">
              <a16:creationId xmlns:a16="http://schemas.microsoft.com/office/drawing/2014/main" id="{A205B923-605D-4B74-97FB-958A4ADFC01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96" name="shapetype_202" hidden="1">
          <a:extLst>
            <a:ext uri="{FF2B5EF4-FFF2-40B4-BE49-F238E27FC236}">
              <a16:creationId xmlns:a16="http://schemas.microsoft.com/office/drawing/2014/main" id="{B93485E0-6404-416C-98E4-0283B105AF5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94" name="shapetype_202" hidden="1">
          <a:extLst>
            <a:ext uri="{FF2B5EF4-FFF2-40B4-BE49-F238E27FC236}">
              <a16:creationId xmlns:a16="http://schemas.microsoft.com/office/drawing/2014/main" id="{72AB7BFF-F29A-4ED5-9BE5-C54CE014BDD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92" name="shapetype_202" hidden="1">
          <a:extLst>
            <a:ext uri="{FF2B5EF4-FFF2-40B4-BE49-F238E27FC236}">
              <a16:creationId xmlns:a16="http://schemas.microsoft.com/office/drawing/2014/main" id="{58E68633-9E79-49C1-BFE3-93BC6A69AF3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90" name="shapetype_202" hidden="1">
          <a:extLst>
            <a:ext uri="{FF2B5EF4-FFF2-40B4-BE49-F238E27FC236}">
              <a16:creationId xmlns:a16="http://schemas.microsoft.com/office/drawing/2014/main" id="{410FABB3-4D4F-4832-A927-AE2A1D4F756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88" name="shapetype_202" hidden="1">
          <a:extLst>
            <a:ext uri="{FF2B5EF4-FFF2-40B4-BE49-F238E27FC236}">
              <a16:creationId xmlns:a16="http://schemas.microsoft.com/office/drawing/2014/main" id="{CB98A389-9CE5-4A07-9B75-9EB20E71CC8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86" name="shapetype_202" hidden="1">
          <a:extLst>
            <a:ext uri="{FF2B5EF4-FFF2-40B4-BE49-F238E27FC236}">
              <a16:creationId xmlns:a16="http://schemas.microsoft.com/office/drawing/2014/main" id="{5BDF2DFD-8F8F-453E-B469-E1171BB60DC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84" name="shapetype_202" hidden="1">
          <a:extLst>
            <a:ext uri="{FF2B5EF4-FFF2-40B4-BE49-F238E27FC236}">
              <a16:creationId xmlns:a16="http://schemas.microsoft.com/office/drawing/2014/main" id="{10F1DB9C-E749-414D-887B-561973E0EE8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82" name="shapetype_202" hidden="1">
          <a:extLst>
            <a:ext uri="{FF2B5EF4-FFF2-40B4-BE49-F238E27FC236}">
              <a16:creationId xmlns:a16="http://schemas.microsoft.com/office/drawing/2014/main" id="{8B4A3580-B01E-439F-9206-D9E0F112936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80" name="shapetype_202" hidden="1">
          <a:extLst>
            <a:ext uri="{FF2B5EF4-FFF2-40B4-BE49-F238E27FC236}">
              <a16:creationId xmlns:a16="http://schemas.microsoft.com/office/drawing/2014/main" id="{17228F5B-AB7F-4C49-8302-A3951C3DEB9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78" name="shapetype_202" hidden="1">
          <a:extLst>
            <a:ext uri="{FF2B5EF4-FFF2-40B4-BE49-F238E27FC236}">
              <a16:creationId xmlns:a16="http://schemas.microsoft.com/office/drawing/2014/main" id="{59B6C280-6521-4822-87DC-9033E094106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76" name="shapetype_202" hidden="1">
          <a:extLst>
            <a:ext uri="{FF2B5EF4-FFF2-40B4-BE49-F238E27FC236}">
              <a16:creationId xmlns:a16="http://schemas.microsoft.com/office/drawing/2014/main" id="{E1CE6D6A-A6E9-4DFB-845F-8DF8D4236D0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74" name="shapetype_202" hidden="1">
          <a:extLst>
            <a:ext uri="{FF2B5EF4-FFF2-40B4-BE49-F238E27FC236}">
              <a16:creationId xmlns:a16="http://schemas.microsoft.com/office/drawing/2014/main" id="{96E76676-59AF-44E9-BD68-EABD25F5B5C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72" name="shapetype_202" hidden="1">
          <a:extLst>
            <a:ext uri="{FF2B5EF4-FFF2-40B4-BE49-F238E27FC236}">
              <a16:creationId xmlns:a16="http://schemas.microsoft.com/office/drawing/2014/main" id="{C99A0F28-BCBF-4BA4-94B3-0D65A922B4A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70" name="shapetype_202" hidden="1">
          <a:extLst>
            <a:ext uri="{FF2B5EF4-FFF2-40B4-BE49-F238E27FC236}">
              <a16:creationId xmlns:a16="http://schemas.microsoft.com/office/drawing/2014/main" id="{5C10BCB9-B297-499B-B836-5DB5D56FC5E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68" name="shapetype_202" hidden="1">
          <a:extLst>
            <a:ext uri="{FF2B5EF4-FFF2-40B4-BE49-F238E27FC236}">
              <a16:creationId xmlns:a16="http://schemas.microsoft.com/office/drawing/2014/main" id="{60D9E4D9-1C7A-4164-9F1F-ABA2BAAFBFF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66" name="shapetype_202" hidden="1">
          <a:extLst>
            <a:ext uri="{FF2B5EF4-FFF2-40B4-BE49-F238E27FC236}">
              <a16:creationId xmlns:a16="http://schemas.microsoft.com/office/drawing/2014/main" id="{8D7D05C9-EFED-41AE-9950-B1E5060BEAB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64" name="shapetype_202" hidden="1">
          <a:extLst>
            <a:ext uri="{FF2B5EF4-FFF2-40B4-BE49-F238E27FC236}">
              <a16:creationId xmlns:a16="http://schemas.microsoft.com/office/drawing/2014/main" id="{E704E2F1-808D-481C-87D6-DE2A01C21AF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62" name="shapetype_202" hidden="1">
          <a:extLst>
            <a:ext uri="{FF2B5EF4-FFF2-40B4-BE49-F238E27FC236}">
              <a16:creationId xmlns:a16="http://schemas.microsoft.com/office/drawing/2014/main" id="{70E1C9F5-3580-4939-810A-1FCD4A68D25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60" name="shapetype_202" hidden="1">
          <a:extLst>
            <a:ext uri="{FF2B5EF4-FFF2-40B4-BE49-F238E27FC236}">
              <a16:creationId xmlns:a16="http://schemas.microsoft.com/office/drawing/2014/main" id="{4C5D0B37-F8A5-46CD-A55A-D387D3D6657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58" name="shapetype_202" hidden="1">
          <a:extLst>
            <a:ext uri="{FF2B5EF4-FFF2-40B4-BE49-F238E27FC236}">
              <a16:creationId xmlns:a16="http://schemas.microsoft.com/office/drawing/2014/main" id="{6CE4F122-4598-4819-B171-21551654FB5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56" name="shapetype_202" hidden="1">
          <a:extLst>
            <a:ext uri="{FF2B5EF4-FFF2-40B4-BE49-F238E27FC236}">
              <a16:creationId xmlns:a16="http://schemas.microsoft.com/office/drawing/2014/main" id="{1497C6C2-95C7-4F6E-8158-EE85F831E54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54" name="shapetype_202" hidden="1">
          <a:extLst>
            <a:ext uri="{FF2B5EF4-FFF2-40B4-BE49-F238E27FC236}">
              <a16:creationId xmlns:a16="http://schemas.microsoft.com/office/drawing/2014/main" id="{B696259C-CA80-443A-B325-68FB373E7CF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52" name="shapetype_202" hidden="1">
          <a:extLst>
            <a:ext uri="{FF2B5EF4-FFF2-40B4-BE49-F238E27FC236}">
              <a16:creationId xmlns:a16="http://schemas.microsoft.com/office/drawing/2014/main" id="{6749F722-A884-497F-B94E-FA3FFE741A6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50" name="shapetype_202" hidden="1">
          <a:extLst>
            <a:ext uri="{FF2B5EF4-FFF2-40B4-BE49-F238E27FC236}">
              <a16:creationId xmlns:a16="http://schemas.microsoft.com/office/drawing/2014/main" id="{7D9ACA9E-F86F-48DC-A7B9-2D5E9F7D612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48" name="shapetype_202" hidden="1">
          <a:extLst>
            <a:ext uri="{FF2B5EF4-FFF2-40B4-BE49-F238E27FC236}">
              <a16:creationId xmlns:a16="http://schemas.microsoft.com/office/drawing/2014/main" id="{5CC6EE6D-D3A9-4ECC-8538-85970F70037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46" name="shapetype_202" hidden="1">
          <a:extLst>
            <a:ext uri="{FF2B5EF4-FFF2-40B4-BE49-F238E27FC236}">
              <a16:creationId xmlns:a16="http://schemas.microsoft.com/office/drawing/2014/main" id="{A4734925-A6AC-4E9A-BACA-780A4AB0788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44" name="shapetype_202" hidden="1">
          <a:extLst>
            <a:ext uri="{FF2B5EF4-FFF2-40B4-BE49-F238E27FC236}">
              <a16:creationId xmlns:a16="http://schemas.microsoft.com/office/drawing/2014/main" id="{B50C816E-5FDB-463D-968B-9F6937A7633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42" name="shapetype_202" hidden="1">
          <a:extLst>
            <a:ext uri="{FF2B5EF4-FFF2-40B4-BE49-F238E27FC236}">
              <a16:creationId xmlns:a16="http://schemas.microsoft.com/office/drawing/2014/main" id="{5EFA5F5C-0618-4425-937F-EB4A528B48F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40" name="shapetype_202" hidden="1">
          <a:extLst>
            <a:ext uri="{FF2B5EF4-FFF2-40B4-BE49-F238E27FC236}">
              <a16:creationId xmlns:a16="http://schemas.microsoft.com/office/drawing/2014/main" id="{F03CAEDE-E504-4BEF-84CC-CF763D2B0DB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38" name="shapetype_202" hidden="1">
          <a:extLst>
            <a:ext uri="{FF2B5EF4-FFF2-40B4-BE49-F238E27FC236}">
              <a16:creationId xmlns:a16="http://schemas.microsoft.com/office/drawing/2014/main" id="{6BE75159-FBF5-44E8-BA96-E90D8DEC626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36" name="shapetype_202" hidden="1">
          <a:extLst>
            <a:ext uri="{FF2B5EF4-FFF2-40B4-BE49-F238E27FC236}">
              <a16:creationId xmlns:a16="http://schemas.microsoft.com/office/drawing/2014/main" id="{6FFAA5BB-41BF-4A04-987A-1E052C37285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34" name="shapetype_202" hidden="1">
          <a:extLst>
            <a:ext uri="{FF2B5EF4-FFF2-40B4-BE49-F238E27FC236}">
              <a16:creationId xmlns:a16="http://schemas.microsoft.com/office/drawing/2014/main" id="{E9775C15-B3D8-4632-92A3-CD3E3A0DC7C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32" name="shapetype_202" hidden="1">
          <a:extLst>
            <a:ext uri="{FF2B5EF4-FFF2-40B4-BE49-F238E27FC236}">
              <a16:creationId xmlns:a16="http://schemas.microsoft.com/office/drawing/2014/main" id="{56B4CC73-7193-48BA-9DF6-FB3845737AD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30" name="shapetype_202" hidden="1">
          <a:extLst>
            <a:ext uri="{FF2B5EF4-FFF2-40B4-BE49-F238E27FC236}">
              <a16:creationId xmlns:a16="http://schemas.microsoft.com/office/drawing/2014/main" id="{A4A0134E-809F-4C38-9794-E035C5B33CE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28" name="shapetype_202" hidden="1">
          <a:extLst>
            <a:ext uri="{FF2B5EF4-FFF2-40B4-BE49-F238E27FC236}">
              <a16:creationId xmlns:a16="http://schemas.microsoft.com/office/drawing/2014/main" id="{70DB7217-BC68-4BF0-94E7-7CD25B8F4C8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26" name="shapetype_202" hidden="1">
          <a:extLst>
            <a:ext uri="{FF2B5EF4-FFF2-40B4-BE49-F238E27FC236}">
              <a16:creationId xmlns:a16="http://schemas.microsoft.com/office/drawing/2014/main" id="{DC8AFC5E-A098-4072-AD42-3B540713754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24" name="shapetype_202" hidden="1">
          <a:extLst>
            <a:ext uri="{FF2B5EF4-FFF2-40B4-BE49-F238E27FC236}">
              <a16:creationId xmlns:a16="http://schemas.microsoft.com/office/drawing/2014/main" id="{613AA0BE-2128-4ED8-9655-B0E2399D4A1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22" name="shapetype_202" hidden="1">
          <a:extLst>
            <a:ext uri="{FF2B5EF4-FFF2-40B4-BE49-F238E27FC236}">
              <a16:creationId xmlns:a16="http://schemas.microsoft.com/office/drawing/2014/main" id="{08062E96-5C15-4A56-AD48-46B03A3380B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20" name="shapetype_202" hidden="1">
          <a:extLst>
            <a:ext uri="{FF2B5EF4-FFF2-40B4-BE49-F238E27FC236}">
              <a16:creationId xmlns:a16="http://schemas.microsoft.com/office/drawing/2014/main" id="{C6164725-D54B-4D3C-A21A-95ED5DF295B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18" name="shapetype_202" hidden="1">
          <a:extLst>
            <a:ext uri="{FF2B5EF4-FFF2-40B4-BE49-F238E27FC236}">
              <a16:creationId xmlns:a16="http://schemas.microsoft.com/office/drawing/2014/main" id="{346667D0-C6D8-494B-A98B-3C518634FE6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16" name="shapetype_202" hidden="1">
          <a:extLst>
            <a:ext uri="{FF2B5EF4-FFF2-40B4-BE49-F238E27FC236}">
              <a16:creationId xmlns:a16="http://schemas.microsoft.com/office/drawing/2014/main" id="{03C7DB84-0C6B-4D44-8CAC-D9F7D5BEE7C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14" name="shapetype_202" hidden="1">
          <a:extLst>
            <a:ext uri="{FF2B5EF4-FFF2-40B4-BE49-F238E27FC236}">
              <a16:creationId xmlns:a16="http://schemas.microsoft.com/office/drawing/2014/main" id="{FDC2D895-8E0A-48D8-9E62-BE27A37D491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12" name="shapetype_202" hidden="1">
          <a:extLst>
            <a:ext uri="{FF2B5EF4-FFF2-40B4-BE49-F238E27FC236}">
              <a16:creationId xmlns:a16="http://schemas.microsoft.com/office/drawing/2014/main" id="{72AC44D1-1AF2-4311-A214-A96E2A0AAB3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10" name="shapetype_202" hidden="1">
          <a:extLst>
            <a:ext uri="{FF2B5EF4-FFF2-40B4-BE49-F238E27FC236}">
              <a16:creationId xmlns:a16="http://schemas.microsoft.com/office/drawing/2014/main" id="{CC715A25-1D72-4F94-824F-9CCE15CAE7E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08" name="shapetype_202" hidden="1">
          <a:extLst>
            <a:ext uri="{FF2B5EF4-FFF2-40B4-BE49-F238E27FC236}">
              <a16:creationId xmlns:a16="http://schemas.microsoft.com/office/drawing/2014/main" id="{81EF09C8-CAFB-4201-B501-5A5AAB8254C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06" name="shapetype_202" hidden="1">
          <a:extLst>
            <a:ext uri="{FF2B5EF4-FFF2-40B4-BE49-F238E27FC236}">
              <a16:creationId xmlns:a16="http://schemas.microsoft.com/office/drawing/2014/main" id="{789D6940-2799-4445-85EB-5AA0666B827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04" name="shapetype_202" hidden="1">
          <a:extLst>
            <a:ext uri="{FF2B5EF4-FFF2-40B4-BE49-F238E27FC236}">
              <a16:creationId xmlns:a16="http://schemas.microsoft.com/office/drawing/2014/main" id="{CE40AE32-CEF4-4D71-AA12-DCD300992F8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02" name="shapetype_202" hidden="1">
          <a:extLst>
            <a:ext uri="{FF2B5EF4-FFF2-40B4-BE49-F238E27FC236}">
              <a16:creationId xmlns:a16="http://schemas.microsoft.com/office/drawing/2014/main" id="{0008AC2C-766B-4707-9700-4323CD50C1A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200" name="shapetype_202" hidden="1">
          <a:extLst>
            <a:ext uri="{FF2B5EF4-FFF2-40B4-BE49-F238E27FC236}">
              <a16:creationId xmlns:a16="http://schemas.microsoft.com/office/drawing/2014/main" id="{97279689-F079-453B-9369-DC0403BE72D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98" name="shapetype_202" hidden="1">
          <a:extLst>
            <a:ext uri="{FF2B5EF4-FFF2-40B4-BE49-F238E27FC236}">
              <a16:creationId xmlns:a16="http://schemas.microsoft.com/office/drawing/2014/main" id="{0D53FA2E-DCB1-4B3F-B367-7ACDC3089DB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96" name="shapetype_202" hidden="1">
          <a:extLst>
            <a:ext uri="{FF2B5EF4-FFF2-40B4-BE49-F238E27FC236}">
              <a16:creationId xmlns:a16="http://schemas.microsoft.com/office/drawing/2014/main" id="{2C574EA3-2164-46C1-93D8-1551C2F025B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94" name="shapetype_202" hidden="1">
          <a:extLst>
            <a:ext uri="{FF2B5EF4-FFF2-40B4-BE49-F238E27FC236}">
              <a16:creationId xmlns:a16="http://schemas.microsoft.com/office/drawing/2014/main" id="{1FBFF327-ADE9-4D52-AAA1-75450100FB7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92" name="shapetype_202" hidden="1">
          <a:extLst>
            <a:ext uri="{FF2B5EF4-FFF2-40B4-BE49-F238E27FC236}">
              <a16:creationId xmlns:a16="http://schemas.microsoft.com/office/drawing/2014/main" id="{7160CF27-DC12-4E28-A92A-88BA98234EC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90" name="shapetype_202" hidden="1">
          <a:extLst>
            <a:ext uri="{FF2B5EF4-FFF2-40B4-BE49-F238E27FC236}">
              <a16:creationId xmlns:a16="http://schemas.microsoft.com/office/drawing/2014/main" id="{5944C6E6-1C92-49C4-8D8F-A0982C6A857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88" name="shapetype_202" hidden="1">
          <a:extLst>
            <a:ext uri="{FF2B5EF4-FFF2-40B4-BE49-F238E27FC236}">
              <a16:creationId xmlns:a16="http://schemas.microsoft.com/office/drawing/2014/main" id="{8B0E1796-E5FE-421A-BFC6-A3EE16CCA2A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86" name="shapetype_202" hidden="1">
          <a:extLst>
            <a:ext uri="{FF2B5EF4-FFF2-40B4-BE49-F238E27FC236}">
              <a16:creationId xmlns:a16="http://schemas.microsoft.com/office/drawing/2014/main" id="{EE09D031-5DEB-4212-8C71-B5739C9CF5C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84" name="shapetype_202" hidden="1">
          <a:extLst>
            <a:ext uri="{FF2B5EF4-FFF2-40B4-BE49-F238E27FC236}">
              <a16:creationId xmlns:a16="http://schemas.microsoft.com/office/drawing/2014/main" id="{2B93A0D7-239D-445D-B8BA-B654FADD35A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82" name="shapetype_202" hidden="1">
          <a:extLst>
            <a:ext uri="{FF2B5EF4-FFF2-40B4-BE49-F238E27FC236}">
              <a16:creationId xmlns:a16="http://schemas.microsoft.com/office/drawing/2014/main" id="{8556DCC9-E40F-4525-B8FD-B7D226A679E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80" name="shapetype_202" hidden="1">
          <a:extLst>
            <a:ext uri="{FF2B5EF4-FFF2-40B4-BE49-F238E27FC236}">
              <a16:creationId xmlns:a16="http://schemas.microsoft.com/office/drawing/2014/main" id="{A91BE379-C5B4-4661-AB33-A3FCF6FD1C1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78" name="shapetype_202" hidden="1">
          <a:extLst>
            <a:ext uri="{FF2B5EF4-FFF2-40B4-BE49-F238E27FC236}">
              <a16:creationId xmlns:a16="http://schemas.microsoft.com/office/drawing/2014/main" id="{53CB047C-5A8B-4EE1-BF9B-2CB15B96061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76" name="shapetype_202" hidden="1">
          <a:extLst>
            <a:ext uri="{FF2B5EF4-FFF2-40B4-BE49-F238E27FC236}">
              <a16:creationId xmlns:a16="http://schemas.microsoft.com/office/drawing/2014/main" id="{D965E017-F14D-4D85-82D6-A339874B065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74" name="shapetype_202" hidden="1">
          <a:extLst>
            <a:ext uri="{FF2B5EF4-FFF2-40B4-BE49-F238E27FC236}">
              <a16:creationId xmlns:a16="http://schemas.microsoft.com/office/drawing/2014/main" id="{597250F8-C2F2-48E5-8448-FDEBE0F57C8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72" name="shapetype_202" hidden="1">
          <a:extLst>
            <a:ext uri="{FF2B5EF4-FFF2-40B4-BE49-F238E27FC236}">
              <a16:creationId xmlns:a16="http://schemas.microsoft.com/office/drawing/2014/main" id="{3DA729FF-2F0E-4616-8970-07CA0BAE450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70" name="shapetype_202" hidden="1">
          <a:extLst>
            <a:ext uri="{FF2B5EF4-FFF2-40B4-BE49-F238E27FC236}">
              <a16:creationId xmlns:a16="http://schemas.microsoft.com/office/drawing/2014/main" id="{6A8CB32E-A23D-484C-B24A-D5E86CD3289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68" name="shapetype_202" hidden="1">
          <a:extLst>
            <a:ext uri="{FF2B5EF4-FFF2-40B4-BE49-F238E27FC236}">
              <a16:creationId xmlns:a16="http://schemas.microsoft.com/office/drawing/2014/main" id="{35DB44DA-2265-439C-ACEB-DB654174DB8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66" name="shapetype_202" hidden="1">
          <a:extLst>
            <a:ext uri="{FF2B5EF4-FFF2-40B4-BE49-F238E27FC236}">
              <a16:creationId xmlns:a16="http://schemas.microsoft.com/office/drawing/2014/main" id="{6A4B4878-BA65-4DFC-B9BA-6704DAE113A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64" name="shapetype_202" hidden="1">
          <a:extLst>
            <a:ext uri="{FF2B5EF4-FFF2-40B4-BE49-F238E27FC236}">
              <a16:creationId xmlns:a16="http://schemas.microsoft.com/office/drawing/2014/main" id="{63344E13-FB89-4E59-9ABA-F39D07671FE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62" name="shapetype_202" hidden="1">
          <a:extLst>
            <a:ext uri="{FF2B5EF4-FFF2-40B4-BE49-F238E27FC236}">
              <a16:creationId xmlns:a16="http://schemas.microsoft.com/office/drawing/2014/main" id="{97279D32-F445-4B7D-A6E0-B03B97ABD67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60" name="shapetype_202" hidden="1">
          <a:extLst>
            <a:ext uri="{FF2B5EF4-FFF2-40B4-BE49-F238E27FC236}">
              <a16:creationId xmlns:a16="http://schemas.microsoft.com/office/drawing/2014/main" id="{8505C117-45FC-4527-8FCF-C57C5250F7C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58" name="shapetype_202" hidden="1">
          <a:extLst>
            <a:ext uri="{FF2B5EF4-FFF2-40B4-BE49-F238E27FC236}">
              <a16:creationId xmlns:a16="http://schemas.microsoft.com/office/drawing/2014/main" id="{2DF0200D-233E-4168-9751-3E27596B489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56" name="shapetype_202" hidden="1">
          <a:extLst>
            <a:ext uri="{FF2B5EF4-FFF2-40B4-BE49-F238E27FC236}">
              <a16:creationId xmlns:a16="http://schemas.microsoft.com/office/drawing/2014/main" id="{794431B5-EEC4-42C7-94E4-57BC280B745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54" name="shapetype_202" hidden="1">
          <a:extLst>
            <a:ext uri="{FF2B5EF4-FFF2-40B4-BE49-F238E27FC236}">
              <a16:creationId xmlns:a16="http://schemas.microsoft.com/office/drawing/2014/main" id="{78B3A307-4F65-4C13-8755-225EFA9B247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52" name="shapetype_202" hidden="1">
          <a:extLst>
            <a:ext uri="{FF2B5EF4-FFF2-40B4-BE49-F238E27FC236}">
              <a16:creationId xmlns:a16="http://schemas.microsoft.com/office/drawing/2014/main" id="{517E0D33-3F6B-4911-B75C-056F33AB811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50" name="shapetype_202" hidden="1">
          <a:extLst>
            <a:ext uri="{FF2B5EF4-FFF2-40B4-BE49-F238E27FC236}">
              <a16:creationId xmlns:a16="http://schemas.microsoft.com/office/drawing/2014/main" id="{6025309A-086A-41B7-AA21-959C1C33EAC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48" name="shapetype_202" hidden="1">
          <a:extLst>
            <a:ext uri="{FF2B5EF4-FFF2-40B4-BE49-F238E27FC236}">
              <a16:creationId xmlns:a16="http://schemas.microsoft.com/office/drawing/2014/main" id="{22556497-4FDB-449B-81F7-91D4C70A9C9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46" name="shapetype_202" hidden="1">
          <a:extLst>
            <a:ext uri="{FF2B5EF4-FFF2-40B4-BE49-F238E27FC236}">
              <a16:creationId xmlns:a16="http://schemas.microsoft.com/office/drawing/2014/main" id="{24E12EFF-6D24-4CB6-B7CF-B77784A1EE8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44" name="shapetype_202" hidden="1">
          <a:extLst>
            <a:ext uri="{FF2B5EF4-FFF2-40B4-BE49-F238E27FC236}">
              <a16:creationId xmlns:a16="http://schemas.microsoft.com/office/drawing/2014/main" id="{BE2B48C1-D7A1-45B0-B292-3948A5E861F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42" name="shapetype_202" hidden="1">
          <a:extLst>
            <a:ext uri="{FF2B5EF4-FFF2-40B4-BE49-F238E27FC236}">
              <a16:creationId xmlns:a16="http://schemas.microsoft.com/office/drawing/2014/main" id="{27345C7B-0C4B-48A6-87F3-8445CCE53F0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40" name="shapetype_202" hidden="1">
          <a:extLst>
            <a:ext uri="{FF2B5EF4-FFF2-40B4-BE49-F238E27FC236}">
              <a16:creationId xmlns:a16="http://schemas.microsoft.com/office/drawing/2014/main" id="{EC7999BB-689A-4173-8C59-A4F1B6166DD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38" name="shapetype_202" hidden="1">
          <a:extLst>
            <a:ext uri="{FF2B5EF4-FFF2-40B4-BE49-F238E27FC236}">
              <a16:creationId xmlns:a16="http://schemas.microsoft.com/office/drawing/2014/main" id="{C24FBD75-9F95-4B7A-BB26-A25509E4367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36" name="shapetype_202" hidden="1">
          <a:extLst>
            <a:ext uri="{FF2B5EF4-FFF2-40B4-BE49-F238E27FC236}">
              <a16:creationId xmlns:a16="http://schemas.microsoft.com/office/drawing/2014/main" id="{49B850D9-0E2F-449F-8047-C6C6F501DF8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34" name="shapetype_202" hidden="1">
          <a:extLst>
            <a:ext uri="{FF2B5EF4-FFF2-40B4-BE49-F238E27FC236}">
              <a16:creationId xmlns:a16="http://schemas.microsoft.com/office/drawing/2014/main" id="{01EB3800-2255-40E6-B63C-898BE5CFEE9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32" name="shapetype_202" hidden="1">
          <a:extLst>
            <a:ext uri="{FF2B5EF4-FFF2-40B4-BE49-F238E27FC236}">
              <a16:creationId xmlns:a16="http://schemas.microsoft.com/office/drawing/2014/main" id="{ABE1A766-5930-44EF-846D-29C25D05B90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30" name="shapetype_202" hidden="1">
          <a:extLst>
            <a:ext uri="{FF2B5EF4-FFF2-40B4-BE49-F238E27FC236}">
              <a16:creationId xmlns:a16="http://schemas.microsoft.com/office/drawing/2014/main" id="{02C25CC6-E3CF-435C-AC84-B4CA04C5753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28" name="shapetype_202" hidden="1">
          <a:extLst>
            <a:ext uri="{FF2B5EF4-FFF2-40B4-BE49-F238E27FC236}">
              <a16:creationId xmlns:a16="http://schemas.microsoft.com/office/drawing/2014/main" id="{FCB84EB2-21AB-4103-AE9C-87E33D4CE99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26" name="shapetype_202" hidden="1">
          <a:extLst>
            <a:ext uri="{FF2B5EF4-FFF2-40B4-BE49-F238E27FC236}">
              <a16:creationId xmlns:a16="http://schemas.microsoft.com/office/drawing/2014/main" id="{89C2194D-5810-4A45-9A5A-96ECF91D1CA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24" name="shapetype_202" hidden="1">
          <a:extLst>
            <a:ext uri="{FF2B5EF4-FFF2-40B4-BE49-F238E27FC236}">
              <a16:creationId xmlns:a16="http://schemas.microsoft.com/office/drawing/2014/main" id="{C11FAB48-8799-4CFE-AC4C-67FCB0F70CF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22" name="shapetype_202" hidden="1">
          <a:extLst>
            <a:ext uri="{FF2B5EF4-FFF2-40B4-BE49-F238E27FC236}">
              <a16:creationId xmlns:a16="http://schemas.microsoft.com/office/drawing/2014/main" id="{774C0F1D-7490-433A-AF06-34872D17C86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20" name="shapetype_202" hidden="1">
          <a:extLst>
            <a:ext uri="{FF2B5EF4-FFF2-40B4-BE49-F238E27FC236}">
              <a16:creationId xmlns:a16="http://schemas.microsoft.com/office/drawing/2014/main" id="{0F3C6E32-A925-48BC-96A5-CCA4150F469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18" name="shapetype_202" hidden="1">
          <a:extLst>
            <a:ext uri="{FF2B5EF4-FFF2-40B4-BE49-F238E27FC236}">
              <a16:creationId xmlns:a16="http://schemas.microsoft.com/office/drawing/2014/main" id="{9F640BDB-97DB-4963-8610-4BB5048E232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16" name="shapetype_202" hidden="1">
          <a:extLst>
            <a:ext uri="{FF2B5EF4-FFF2-40B4-BE49-F238E27FC236}">
              <a16:creationId xmlns:a16="http://schemas.microsoft.com/office/drawing/2014/main" id="{B77D2D05-A248-44FA-9605-15C4A3E8D0C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14" name="shapetype_202" hidden="1">
          <a:extLst>
            <a:ext uri="{FF2B5EF4-FFF2-40B4-BE49-F238E27FC236}">
              <a16:creationId xmlns:a16="http://schemas.microsoft.com/office/drawing/2014/main" id="{7521EE73-5C96-4C32-A609-C29DFBC188C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12" name="shapetype_202" hidden="1">
          <a:extLst>
            <a:ext uri="{FF2B5EF4-FFF2-40B4-BE49-F238E27FC236}">
              <a16:creationId xmlns:a16="http://schemas.microsoft.com/office/drawing/2014/main" id="{818D69AD-EAA4-4DF0-873F-48908D1CAD6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10" name="shapetype_202" hidden="1">
          <a:extLst>
            <a:ext uri="{FF2B5EF4-FFF2-40B4-BE49-F238E27FC236}">
              <a16:creationId xmlns:a16="http://schemas.microsoft.com/office/drawing/2014/main" id="{A89E55C0-FB01-40C0-AA3E-4BEDECF59FB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08" name="shapetype_202" hidden="1">
          <a:extLst>
            <a:ext uri="{FF2B5EF4-FFF2-40B4-BE49-F238E27FC236}">
              <a16:creationId xmlns:a16="http://schemas.microsoft.com/office/drawing/2014/main" id="{73326DA4-9003-41DE-B0B4-AA6FEBEB5F6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06" name="shapetype_202" hidden="1">
          <a:extLst>
            <a:ext uri="{FF2B5EF4-FFF2-40B4-BE49-F238E27FC236}">
              <a16:creationId xmlns:a16="http://schemas.microsoft.com/office/drawing/2014/main" id="{2098F894-8619-40C5-AB0B-11A3FA94930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04" name="shapetype_202" hidden="1">
          <a:extLst>
            <a:ext uri="{FF2B5EF4-FFF2-40B4-BE49-F238E27FC236}">
              <a16:creationId xmlns:a16="http://schemas.microsoft.com/office/drawing/2014/main" id="{9230F1AE-E039-4A6F-B809-86E3E5D5602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02" name="shapetype_202" hidden="1">
          <a:extLst>
            <a:ext uri="{FF2B5EF4-FFF2-40B4-BE49-F238E27FC236}">
              <a16:creationId xmlns:a16="http://schemas.microsoft.com/office/drawing/2014/main" id="{93E52579-43DC-4B74-8CD2-04EA22FB3B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100" name="shapetype_202" hidden="1">
          <a:extLst>
            <a:ext uri="{FF2B5EF4-FFF2-40B4-BE49-F238E27FC236}">
              <a16:creationId xmlns:a16="http://schemas.microsoft.com/office/drawing/2014/main" id="{2E9EA32A-A1AF-4ECB-B72F-AEC293E4775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98" name="shapetype_202" hidden="1">
          <a:extLst>
            <a:ext uri="{FF2B5EF4-FFF2-40B4-BE49-F238E27FC236}">
              <a16:creationId xmlns:a16="http://schemas.microsoft.com/office/drawing/2014/main" id="{C6DE3207-7DA8-4CB6-B583-22DBB42FD14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96" name="shapetype_202" hidden="1">
          <a:extLst>
            <a:ext uri="{FF2B5EF4-FFF2-40B4-BE49-F238E27FC236}">
              <a16:creationId xmlns:a16="http://schemas.microsoft.com/office/drawing/2014/main" id="{9E0A5D2C-D190-417E-89A9-0535C4C3C8F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94" name="shapetype_202" hidden="1">
          <a:extLst>
            <a:ext uri="{FF2B5EF4-FFF2-40B4-BE49-F238E27FC236}">
              <a16:creationId xmlns:a16="http://schemas.microsoft.com/office/drawing/2014/main" id="{AB245684-CCC7-48DB-A43C-9C43E5DFAB3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92" name="shapetype_202" hidden="1">
          <a:extLst>
            <a:ext uri="{FF2B5EF4-FFF2-40B4-BE49-F238E27FC236}">
              <a16:creationId xmlns:a16="http://schemas.microsoft.com/office/drawing/2014/main" id="{8817006F-FDCE-43AB-8B61-9BC64560F47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90" name="shapetype_202" hidden="1">
          <a:extLst>
            <a:ext uri="{FF2B5EF4-FFF2-40B4-BE49-F238E27FC236}">
              <a16:creationId xmlns:a16="http://schemas.microsoft.com/office/drawing/2014/main" id="{C98B8750-C80A-422A-9133-60CBED13CA7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88" name="shapetype_202" hidden="1">
          <a:extLst>
            <a:ext uri="{FF2B5EF4-FFF2-40B4-BE49-F238E27FC236}">
              <a16:creationId xmlns:a16="http://schemas.microsoft.com/office/drawing/2014/main" id="{79CC9B06-35C1-46B9-9E52-CFD6D4971FA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86" name="shapetype_202" hidden="1">
          <a:extLst>
            <a:ext uri="{FF2B5EF4-FFF2-40B4-BE49-F238E27FC236}">
              <a16:creationId xmlns:a16="http://schemas.microsoft.com/office/drawing/2014/main" id="{6401E28F-9B17-4DF6-BB2D-77B25D03053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84" name="shapetype_202" hidden="1">
          <a:extLst>
            <a:ext uri="{FF2B5EF4-FFF2-40B4-BE49-F238E27FC236}">
              <a16:creationId xmlns:a16="http://schemas.microsoft.com/office/drawing/2014/main" id="{4596A83E-3A2B-4B10-A09E-9CA69FCD3EC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82" name="shapetype_202" hidden="1">
          <a:extLst>
            <a:ext uri="{FF2B5EF4-FFF2-40B4-BE49-F238E27FC236}">
              <a16:creationId xmlns:a16="http://schemas.microsoft.com/office/drawing/2014/main" id="{74A25E31-C728-4FFD-A423-26B8260E319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80" name="shapetype_202" hidden="1">
          <a:extLst>
            <a:ext uri="{FF2B5EF4-FFF2-40B4-BE49-F238E27FC236}">
              <a16:creationId xmlns:a16="http://schemas.microsoft.com/office/drawing/2014/main" id="{FA7D83FF-8D79-48D9-9E54-723CFCEF736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78" name="shapetype_202" hidden="1">
          <a:extLst>
            <a:ext uri="{FF2B5EF4-FFF2-40B4-BE49-F238E27FC236}">
              <a16:creationId xmlns:a16="http://schemas.microsoft.com/office/drawing/2014/main" id="{18EDE73B-6CD1-438F-8427-0A16A8E4598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76" name="shapetype_202" hidden="1">
          <a:extLst>
            <a:ext uri="{FF2B5EF4-FFF2-40B4-BE49-F238E27FC236}">
              <a16:creationId xmlns:a16="http://schemas.microsoft.com/office/drawing/2014/main" id="{1BC956BF-94EE-4FB0-BBAD-8F27A4C8290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74" name="shapetype_202" hidden="1">
          <a:extLst>
            <a:ext uri="{FF2B5EF4-FFF2-40B4-BE49-F238E27FC236}">
              <a16:creationId xmlns:a16="http://schemas.microsoft.com/office/drawing/2014/main" id="{5D73379E-1878-420A-93DF-F76BF1A4DB1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72" name="shapetype_202" hidden="1">
          <a:extLst>
            <a:ext uri="{FF2B5EF4-FFF2-40B4-BE49-F238E27FC236}">
              <a16:creationId xmlns:a16="http://schemas.microsoft.com/office/drawing/2014/main" id="{3F0E990B-741A-46F6-801E-53570B1C0E8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70" name="shapetype_202" hidden="1">
          <a:extLst>
            <a:ext uri="{FF2B5EF4-FFF2-40B4-BE49-F238E27FC236}">
              <a16:creationId xmlns:a16="http://schemas.microsoft.com/office/drawing/2014/main" id="{1FAE2CBE-9F6C-4FB4-A505-7FEBD8C20F0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68" name="shapetype_202" hidden="1">
          <a:extLst>
            <a:ext uri="{FF2B5EF4-FFF2-40B4-BE49-F238E27FC236}">
              <a16:creationId xmlns:a16="http://schemas.microsoft.com/office/drawing/2014/main" id="{A93600E7-89B6-45F7-85E8-9F9F394AF7C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66" name="shapetype_202" hidden="1">
          <a:extLst>
            <a:ext uri="{FF2B5EF4-FFF2-40B4-BE49-F238E27FC236}">
              <a16:creationId xmlns:a16="http://schemas.microsoft.com/office/drawing/2014/main" id="{D0B707AF-F8DC-41FD-9325-2CAC794EAD7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64" name="shapetype_202" hidden="1">
          <a:extLst>
            <a:ext uri="{FF2B5EF4-FFF2-40B4-BE49-F238E27FC236}">
              <a16:creationId xmlns:a16="http://schemas.microsoft.com/office/drawing/2014/main" id="{5E99040D-5E43-41FA-8BEE-3855A9E6866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62" name="shapetype_202" hidden="1">
          <a:extLst>
            <a:ext uri="{FF2B5EF4-FFF2-40B4-BE49-F238E27FC236}">
              <a16:creationId xmlns:a16="http://schemas.microsoft.com/office/drawing/2014/main" id="{AD30937A-CE08-4696-8EE2-95966FFA3B5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60" name="shapetype_202" hidden="1">
          <a:extLst>
            <a:ext uri="{FF2B5EF4-FFF2-40B4-BE49-F238E27FC236}">
              <a16:creationId xmlns:a16="http://schemas.microsoft.com/office/drawing/2014/main" id="{FA741157-8247-4EC6-ACAA-F3B95B3D8ED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58" name="shapetype_202" hidden="1">
          <a:extLst>
            <a:ext uri="{FF2B5EF4-FFF2-40B4-BE49-F238E27FC236}">
              <a16:creationId xmlns:a16="http://schemas.microsoft.com/office/drawing/2014/main" id="{15A9F476-2A75-4A8A-BF9D-BD6A12BCE4D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56" name="shapetype_202" hidden="1">
          <a:extLst>
            <a:ext uri="{FF2B5EF4-FFF2-40B4-BE49-F238E27FC236}">
              <a16:creationId xmlns:a16="http://schemas.microsoft.com/office/drawing/2014/main" id="{309BC61B-0FAC-4BF0-977F-B66822E6393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54" name="shapetype_202" hidden="1">
          <a:extLst>
            <a:ext uri="{FF2B5EF4-FFF2-40B4-BE49-F238E27FC236}">
              <a16:creationId xmlns:a16="http://schemas.microsoft.com/office/drawing/2014/main" id="{EE5DD4F3-4EE1-441E-9219-BB4A8117C9A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52" name="shapetype_202" hidden="1">
          <a:extLst>
            <a:ext uri="{FF2B5EF4-FFF2-40B4-BE49-F238E27FC236}">
              <a16:creationId xmlns:a16="http://schemas.microsoft.com/office/drawing/2014/main" id="{564954E5-6D29-48D5-A322-B30F5488E55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50" name="shapetype_202" hidden="1">
          <a:extLst>
            <a:ext uri="{FF2B5EF4-FFF2-40B4-BE49-F238E27FC236}">
              <a16:creationId xmlns:a16="http://schemas.microsoft.com/office/drawing/2014/main" id="{F00CC6FA-83B6-4314-8833-2A21D0E5F38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48" name="shapetype_202" hidden="1">
          <a:extLst>
            <a:ext uri="{FF2B5EF4-FFF2-40B4-BE49-F238E27FC236}">
              <a16:creationId xmlns:a16="http://schemas.microsoft.com/office/drawing/2014/main" id="{CBE965AB-CDC5-4753-8810-33A638A043E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46" name="shapetype_202" hidden="1">
          <a:extLst>
            <a:ext uri="{FF2B5EF4-FFF2-40B4-BE49-F238E27FC236}">
              <a16:creationId xmlns:a16="http://schemas.microsoft.com/office/drawing/2014/main" id="{5BD08D89-1B97-4565-BB55-0D4EA36AA74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44" name="shapetype_202" hidden="1">
          <a:extLst>
            <a:ext uri="{FF2B5EF4-FFF2-40B4-BE49-F238E27FC236}">
              <a16:creationId xmlns:a16="http://schemas.microsoft.com/office/drawing/2014/main" id="{4CC6ED0A-0D75-422F-85C1-D36556C1877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42" name="shapetype_202" hidden="1">
          <a:extLst>
            <a:ext uri="{FF2B5EF4-FFF2-40B4-BE49-F238E27FC236}">
              <a16:creationId xmlns:a16="http://schemas.microsoft.com/office/drawing/2014/main" id="{37738BCD-5285-4704-BE8B-3B59AD299F3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40" name="shapetype_202" hidden="1">
          <a:extLst>
            <a:ext uri="{FF2B5EF4-FFF2-40B4-BE49-F238E27FC236}">
              <a16:creationId xmlns:a16="http://schemas.microsoft.com/office/drawing/2014/main" id="{E7A32082-28F4-4B43-B6A4-8B07BD27AC8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38" name="shapetype_202" hidden="1">
          <a:extLst>
            <a:ext uri="{FF2B5EF4-FFF2-40B4-BE49-F238E27FC236}">
              <a16:creationId xmlns:a16="http://schemas.microsoft.com/office/drawing/2014/main" id="{BECE58AB-62D1-4604-B78E-2F4203A8D14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36" name="shapetype_202" hidden="1">
          <a:extLst>
            <a:ext uri="{FF2B5EF4-FFF2-40B4-BE49-F238E27FC236}">
              <a16:creationId xmlns:a16="http://schemas.microsoft.com/office/drawing/2014/main" id="{E68DB996-185B-4F70-85D2-C9FDA58546C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34" name="shapetype_202" hidden="1">
          <a:extLst>
            <a:ext uri="{FF2B5EF4-FFF2-40B4-BE49-F238E27FC236}">
              <a16:creationId xmlns:a16="http://schemas.microsoft.com/office/drawing/2014/main" id="{C3B9ABD9-F6E4-4095-BECA-DFD2F9AB776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32" name="shapetype_202" hidden="1">
          <a:extLst>
            <a:ext uri="{FF2B5EF4-FFF2-40B4-BE49-F238E27FC236}">
              <a16:creationId xmlns:a16="http://schemas.microsoft.com/office/drawing/2014/main" id="{705A18A5-45D2-47C4-A585-10380F02212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30" name="shapetype_202" hidden="1">
          <a:extLst>
            <a:ext uri="{FF2B5EF4-FFF2-40B4-BE49-F238E27FC236}">
              <a16:creationId xmlns:a16="http://schemas.microsoft.com/office/drawing/2014/main" id="{12FBB73B-EC6B-4D8F-9A48-7C226076DC7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28" name="shapetype_202" hidden="1">
          <a:extLst>
            <a:ext uri="{FF2B5EF4-FFF2-40B4-BE49-F238E27FC236}">
              <a16:creationId xmlns:a16="http://schemas.microsoft.com/office/drawing/2014/main" id="{C49ED83C-3706-4D3A-85D6-46FAAB022F4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26" name="shapetype_202" hidden="1">
          <a:extLst>
            <a:ext uri="{FF2B5EF4-FFF2-40B4-BE49-F238E27FC236}">
              <a16:creationId xmlns:a16="http://schemas.microsoft.com/office/drawing/2014/main" id="{574AF5BD-DC0B-4D5D-A110-448BADA6C65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24" name="shapetype_202" hidden="1">
          <a:extLst>
            <a:ext uri="{FF2B5EF4-FFF2-40B4-BE49-F238E27FC236}">
              <a16:creationId xmlns:a16="http://schemas.microsoft.com/office/drawing/2014/main" id="{8CCEA598-492D-4ABE-8E81-0CAA882FD91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22" name="shapetype_202" hidden="1">
          <a:extLst>
            <a:ext uri="{FF2B5EF4-FFF2-40B4-BE49-F238E27FC236}">
              <a16:creationId xmlns:a16="http://schemas.microsoft.com/office/drawing/2014/main" id="{8A80C040-C1FA-4CC5-985F-74AA1B42A37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20" name="shapetype_202" hidden="1">
          <a:extLst>
            <a:ext uri="{FF2B5EF4-FFF2-40B4-BE49-F238E27FC236}">
              <a16:creationId xmlns:a16="http://schemas.microsoft.com/office/drawing/2014/main" id="{32597FE0-06BB-4B01-8DF6-E71CECBA942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18" name="shapetype_202" hidden="1">
          <a:extLst>
            <a:ext uri="{FF2B5EF4-FFF2-40B4-BE49-F238E27FC236}">
              <a16:creationId xmlns:a16="http://schemas.microsoft.com/office/drawing/2014/main" id="{DC201D18-2431-4963-85AE-DD7B439EACB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16" name="shapetype_202" hidden="1">
          <a:extLst>
            <a:ext uri="{FF2B5EF4-FFF2-40B4-BE49-F238E27FC236}">
              <a16:creationId xmlns:a16="http://schemas.microsoft.com/office/drawing/2014/main" id="{134C553D-116E-4A01-8C77-E3934FB1CD7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14" name="shapetype_202" hidden="1">
          <a:extLst>
            <a:ext uri="{FF2B5EF4-FFF2-40B4-BE49-F238E27FC236}">
              <a16:creationId xmlns:a16="http://schemas.microsoft.com/office/drawing/2014/main" id="{D9FC9462-3506-47A0-A8AB-AE9BB072CBE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12" name="shapetype_202" hidden="1">
          <a:extLst>
            <a:ext uri="{FF2B5EF4-FFF2-40B4-BE49-F238E27FC236}">
              <a16:creationId xmlns:a16="http://schemas.microsoft.com/office/drawing/2014/main" id="{CF27E508-4D36-4A6C-A752-9A3FB615632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10" name="shapetype_202" hidden="1">
          <a:extLst>
            <a:ext uri="{FF2B5EF4-FFF2-40B4-BE49-F238E27FC236}">
              <a16:creationId xmlns:a16="http://schemas.microsoft.com/office/drawing/2014/main" id="{2560EE83-1AC4-4EF6-B4DE-665D4DD17FE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08" name="shapetype_202" hidden="1">
          <a:extLst>
            <a:ext uri="{FF2B5EF4-FFF2-40B4-BE49-F238E27FC236}">
              <a16:creationId xmlns:a16="http://schemas.microsoft.com/office/drawing/2014/main" id="{18F5CB30-3DCA-42D7-8FF7-B509D33AFB7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06" name="shapetype_202" hidden="1">
          <a:extLst>
            <a:ext uri="{FF2B5EF4-FFF2-40B4-BE49-F238E27FC236}">
              <a16:creationId xmlns:a16="http://schemas.microsoft.com/office/drawing/2014/main" id="{88760BB6-B65E-42B7-BF19-DDD76BE9923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04" name="shapetype_202" hidden="1">
          <a:extLst>
            <a:ext uri="{FF2B5EF4-FFF2-40B4-BE49-F238E27FC236}">
              <a16:creationId xmlns:a16="http://schemas.microsoft.com/office/drawing/2014/main" id="{05C0B144-F706-4202-914A-7876D1BB48D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02" name="shapetype_202" hidden="1">
          <a:extLst>
            <a:ext uri="{FF2B5EF4-FFF2-40B4-BE49-F238E27FC236}">
              <a16:creationId xmlns:a16="http://schemas.microsoft.com/office/drawing/2014/main" id="{84979B1F-668F-444C-9017-D9F4256C931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2000" name="shapetype_202" hidden="1">
          <a:extLst>
            <a:ext uri="{FF2B5EF4-FFF2-40B4-BE49-F238E27FC236}">
              <a16:creationId xmlns:a16="http://schemas.microsoft.com/office/drawing/2014/main" id="{15177279-72A9-43A5-B9B9-D7F3E88E470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98" name="shapetype_202" hidden="1">
          <a:extLst>
            <a:ext uri="{FF2B5EF4-FFF2-40B4-BE49-F238E27FC236}">
              <a16:creationId xmlns:a16="http://schemas.microsoft.com/office/drawing/2014/main" id="{8E54CB13-34D2-466D-BA63-BAB8DDDB842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96" name="shapetype_202" hidden="1">
          <a:extLst>
            <a:ext uri="{FF2B5EF4-FFF2-40B4-BE49-F238E27FC236}">
              <a16:creationId xmlns:a16="http://schemas.microsoft.com/office/drawing/2014/main" id="{14B41EBA-A169-4744-9C96-E8EFFF0AAE1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94" name="shapetype_202" hidden="1">
          <a:extLst>
            <a:ext uri="{FF2B5EF4-FFF2-40B4-BE49-F238E27FC236}">
              <a16:creationId xmlns:a16="http://schemas.microsoft.com/office/drawing/2014/main" id="{B1E3516D-03B9-4402-B0C9-1D159F0A7E5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92" name="shapetype_202" hidden="1">
          <a:extLst>
            <a:ext uri="{FF2B5EF4-FFF2-40B4-BE49-F238E27FC236}">
              <a16:creationId xmlns:a16="http://schemas.microsoft.com/office/drawing/2014/main" id="{3882711B-F33C-4D22-ABD1-E70AF269C73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90" name="shapetype_202" hidden="1">
          <a:extLst>
            <a:ext uri="{FF2B5EF4-FFF2-40B4-BE49-F238E27FC236}">
              <a16:creationId xmlns:a16="http://schemas.microsoft.com/office/drawing/2014/main" id="{12B1ED2A-7B31-498B-9065-E1DA596596B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88" name="shapetype_202" hidden="1">
          <a:extLst>
            <a:ext uri="{FF2B5EF4-FFF2-40B4-BE49-F238E27FC236}">
              <a16:creationId xmlns:a16="http://schemas.microsoft.com/office/drawing/2014/main" id="{8163A220-FB75-4526-91BA-FEC08E9F48F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86" name="shapetype_202" hidden="1">
          <a:extLst>
            <a:ext uri="{FF2B5EF4-FFF2-40B4-BE49-F238E27FC236}">
              <a16:creationId xmlns:a16="http://schemas.microsoft.com/office/drawing/2014/main" id="{B9B88ECB-A8B2-4605-93FD-695409DDCD0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84" name="shapetype_202" hidden="1">
          <a:extLst>
            <a:ext uri="{FF2B5EF4-FFF2-40B4-BE49-F238E27FC236}">
              <a16:creationId xmlns:a16="http://schemas.microsoft.com/office/drawing/2014/main" id="{D904296E-C37D-4CBE-8F2A-A78B0FB81E6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82" name="shapetype_202" hidden="1">
          <a:extLst>
            <a:ext uri="{FF2B5EF4-FFF2-40B4-BE49-F238E27FC236}">
              <a16:creationId xmlns:a16="http://schemas.microsoft.com/office/drawing/2014/main" id="{D0E34F78-0EDA-4F80-9E95-E924A594095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80" name="shapetype_202" hidden="1">
          <a:extLst>
            <a:ext uri="{FF2B5EF4-FFF2-40B4-BE49-F238E27FC236}">
              <a16:creationId xmlns:a16="http://schemas.microsoft.com/office/drawing/2014/main" id="{471B8FF3-B724-4A4D-A2B5-0E9DD348D4C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78" name="shapetype_202" hidden="1">
          <a:extLst>
            <a:ext uri="{FF2B5EF4-FFF2-40B4-BE49-F238E27FC236}">
              <a16:creationId xmlns:a16="http://schemas.microsoft.com/office/drawing/2014/main" id="{63AD92B9-ADE3-454E-99F9-6CA6243F07D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76" name="shapetype_202" hidden="1">
          <a:extLst>
            <a:ext uri="{FF2B5EF4-FFF2-40B4-BE49-F238E27FC236}">
              <a16:creationId xmlns:a16="http://schemas.microsoft.com/office/drawing/2014/main" id="{778651B4-84BC-47AC-A4F1-79DC51417F1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74" name="shapetype_202" hidden="1">
          <a:extLst>
            <a:ext uri="{FF2B5EF4-FFF2-40B4-BE49-F238E27FC236}">
              <a16:creationId xmlns:a16="http://schemas.microsoft.com/office/drawing/2014/main" id="{141E87AE-45EE-414C-B397-3F463CC4803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72" name="shapetype_202" hidden="1">
          <a:extLst>
            <a:ext uri="{FF2B5EF4-FFF2-40B4-BE49-F238E27FC236}">
              <a16:creationId xmlns:a16="http://schemas.microsoft.com/office/drawing/2014/main" id="{34E8F2E5-E687-44F5-A0F8-04A874DF3F4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70" name="shapetype_202" hidden="1">
          <a:extLst>
            <a:ext uri="{FF2B5EF4-FFF2-40B4-BE49-F238E27FC236}">
              <a16:creationId xmlns:a16="http://schemas.microsoft.com/office/drawing/2014/main" id="{C2809EB2-E0ED-4DCD-8944-95C65D0303F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68" name="shapetype_202" hidden="1">
          <a:extLst>
            <a:ext uri="{FF2B5EF4-FFF2-40B4-BE49-F238E27FC236}">
              <a16:creationId xmlns:a16="http://schemas.microsoft.com/office/drawing/2014/main" id="{17704F59-5338-400B-988D-8F9EA4F5C3D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66" name="shapetype_202" hidden="1">
          <a:extLst>
            <a:ext uri="{FF2B5EF4-FFF2-40B4-BE49-F238E27FC236}">
              <a16:creationId xmlns:a16="http://schemas.microsoft.com/office/drawing/2014/main" id="{A057AE91-A7D5-445D-B58F-7963CF27AD4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64" name="shapetype_202" hidden="1">
          <a:extLst>
            <a:ext uri="{FF2B5EF4-FFF2-40B4-BE49-F238E27FC236}">
              <a16:creationId xmlns:a16="http://schemas.microsoft.com/office/drawing/2014/main" id="{2745C1DA-6535-4C8C-99C9-F212D410E10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62" name="shapetype_202" hidden="1">
          <a:extLst>
            <a:ext uri="{FF2B5EF4-FFF2-40B4-BE49-F238E27FC236}">
              <a16:creationId xmlns:a16="http://schemas.microsoft.com/office/drawing/2014/main" id="{1D0CE40D-03DD-4252-8C3F-369F74EB474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60" name="shapetype_202" hidden="1">
          <a:extLst>
            <a:ext uri="{FF2B5EF4-FFF2-40B4-BE49-F238E27FC236}">
              <a16:creationId xmlns:a16="http://schemas.microsoft.com/office/drawing/2014/main" id="{A82B08B7-783D-4131-B36F-19F00C92394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58" name="shapetype_202" hidden="1">
          <a:extLst>
            <a:ext uri="{FF2B5EF4-FFF2-40B4-BE49-F238E27FC236}">
              <a16:creationId xmlns:a16="http://schemas.microsoft.com/office/drawing/2014/main" id="{6B170413-6D86-467D-A69D-972D6B04F1D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56" name="shapetype_202" hidden="1">
          <a:extLst>
            <a:ext uri="{FF2B5EF4-FFF2-40B4-BE49-F238E27FC236}">
              <a16:creationId xmlns:a16="http://schemas.microsoft.com/office/drawing/2014/main" id="{DED4D356-B76E-415A-91F6-20EED80A4F4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54" name="shapetype_202" hidden="1">
          <a:extLst>
            <a:ext uri="{FF2B5EF4-FFF2-40B4-BE49-F238E27FC236}">
              <a16:creationId xmlns:a16="http://schemas.microsoft.com/office/drawing/2014/main" id="{BF5F1044-EC94-4D29-BE41-9A7105FDB8A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52" name="shapetype_202" hidden="1">
          <a:extLst>
            <a:ext uri="{FF2B5EF4-FFF2-40B4-BE49-F238E27FC236}">
              <a16:creationId xmlns:a16="http://schemas.microsoft.com/office/drawing/2014/main" id="{7A7AD0ED-B047-42F2-A2E9-FF836B80FE5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50" name="shapetype_202" hidden="1">
          <a:extLst>
            <a:ext uri="{FF2B5EF4-FFF2-40B4-BE49-F238E27FC236}">
              <a16:creationId xmlns:a16="http://schemas.microsoft.com/office/drawing/2014/main" id="{B146F80C-8160-4F5D-9E14-E72D2FE6072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48" name="shapetype_202" hidden="1">
          <a:extLst>
            <a:ext uri="{FF2B5EF4-FFF2-40B4-BE49-F238E27FC236}">
              <a16:creationId xmlns:a16="http://schemas.microsoft.com/office/drawing/2014/main" id="{F412E9D3-29CC-4C42-B073-9274876702F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46" name="shapetype_202" hidden="1">
          <a:extLst>
            <a:ext uri="{FF2B5EF4-FFF2-40B4-BE49-F238E27FC236}">
              <a16:creationId xmlns:a16="http://schemas.microsoft.com/office/drawing/2014/main" id="{69A65DFA-0AF0-4D5D-946A-60788A2D3C8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44" name="shapetype_202" hidden="1">
          <a:extLst>
            <a:ext uri="{FF2B5EF4-FFF2-40B4-BE49-F238E27FC236}">
              <a16:creationId xmlns:a16="http://schemas.microsoft.com/office/drawing/2014/main" id="{8A3C241E-24A7-4599-A2E5-BF9547799A9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42" name="shapetype_202" hidden="1">
          <a:extLst>
            <a:ext uri="{FF2B5EF4-FFF2-40B4-BE49-F238E27FC236}">
              <a16:creationId xmlns:a16="http://schemas.microsoft.com/office/drawing/2014/main" id="{1DD3825C-C699-44B2-839F-940716B15EF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40" name="shapetype_202" hidden="1">
          <a:extLst>
            <a:ext uri="{FF2B5EF4-FFF2-40B4-BE49-F238E27FC236}">
              <a16:creationId xmlns:a16="http://schemas.microsoft.com/office/drawing/2014/main" id="{4E8DB09E-330A-491E-8CD6-2E912D6CBAC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38" name="shapetype_202" hidden="1">
          <a:extLst>
            <a:ext uri="{FF2B5EF4-FFF2-40B4-BE49-F238E27FC236}">
              <a16:creationId xmlns:a16="http://schemas.microsoft.com/office/drawing/2014/main" id="{8BD22C34-AEEA-43A1-BC20-E1AAB292BBC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36" name="shapetype_202" hidden="1">
          <a:extLst>
            <a:ext uri="{FF2B5EF4-FFF2-40B4-BE49-F238E27FC236}">
              <a16:creationId xmlns:a16="http://schemas.microsoft.com/office/drawing/2014/main" id="{AA0A146D-194B-4D85-B432-BD6FFE48BB4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34" name="shapetype_202" hidden="1">
          <a:extLst>
            <a:ext uri="{FF2B5EF4-FFF2-40B4-BE49-F238E27FC236}">
              <a16:creationId xmlns:a16="http://schemas.microsoft.com/office/drawing/2014/main" id="{E69C3475-BE01-43F8-8555-F52B5593A19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32" name="shapetype_202" hidden="1">
          <a:extLst>
            <a:ext uri="{FF2B5EF4-FFF2-40B4-BE49-F238E27FC236}">
              <a16:creationId xmlns:a16="http://schemas.microsoft.com/office/drawing/2014/main" id="{D6219AA3-9FE6-4553-986D-A1E81BCE9C9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30" name="shapetype_202" hidden="1">
          <a:extLst>
            <a:ext uri="{FF2B5EF4-FFF2-40B4-BE49-F238E27FC236}">
              <a16:creationId xmlns:a16="http://schemas.microsoft.com/office/drawing/2014/main" id="{A4D6EF05-594F-4F37-B3B6-AA2352D4CEB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28" name="shapetype_202" hidden="1">
          <a:extLst>
            <a:ext uri="{FF2B5EF4-FFF2-40B4-BE49-F238E27FC236}">
              <a16:creationId xmlns:a16="http://schemas.microsoft.com/office/drawing/2014/main" id="{8A237781-8A43-46F0-B696-BFA52472722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26" name="shapetype_202" hidden="1">
          <a:extLst>
            <a:ext uri="{FF2B5EF4-FFF2-40B4-BE49-F238E27FC236}">
              <a16:creationId xmlns:a16="http://schemas.microsoft.com/office/drawing/2014/main" id="{BFC4CB9B-3DA7-48D5-BA10-72F0D438193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24" name="shapetype_202" hidden="1">
          <a:extLst>
            <a:ext uri="{FF2B5EF4-FFF2-40B4-BE49-F238E27FC236}">
              <a16:creationId xmlns:a16="http://schemas.microsoft.com/office/drawing/2014/main" id="{2E527B70-FE41-47A7-9340-4AE085174F3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22" name="shapetype_202" hidden="1">
          <a:extLst>
            <a:ext uri="{FF2B5EF4-FFF2-40B4-BE49-F238E27FC236}">
              <a16:creationId xmlns:a16="http://schemas.microsoft.com/office/drawing/2014/main" id="{6A38A405-F1F2-4B45-964C-6F164E3E3DC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20" name="shapetype_202" hidden="1">
          <a:extLst>
            <a:ext uri="{FF2B5EF4-FFF2-40B4-BE49-F238E27FC236}">
              <a16:creationId xmlns:a16="http://schemas.microsoft.com/office/drawing/2014/main" id="{37E06622-4044-4918-9840-831C7AA03D2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18" name="shapetype_202" hidden="1">
          <a:extLst>
            <a:ext uri="{FF2B5EF4-FFF2-40B4-BE49-F238E27FC236}">
              <a16:creationId xmlns:a16="http://schemas.microsoft.com/office/drawing/2014/main" id="{18456A10-8955-4624-BF07-3988A89D9ED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16" name="shapetype_202" hidden="1">
          <a:extLst>
            <a:ext uri="{FF2B5EF4-FFF2-40B4-BE49-F238E27FC236}">
              <a16:creationId xmlns:a16="http://schemas.microsoft.com/office/drawing/2014/main" id="{0C0E06DD-3425-4974-96D3-CA5948ADEAF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14" name="shapetype_202" hidden="1">
          <a:extLst>
            <a:ext uri="{FF2B5EF4-FFF2-40B4-BE49-F238E27FC236}">
              <a16:creationId xmlns:a16="http://schemas.microsoft.com/office/drawing/2014/main" id="{FB2F1B28-6C12-4165-870E-B89930F969F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12" name="shapetype_202" hidden="1">
          <a:extLst>
            <a:ext uri="{FF2B5EF4-FFF2-40B4-BE49-F238E27FC236}">
              <a16:creationId xmlns:a16="http://schemas.microsoft.com/office/drawing/2014/main" id="{E3111290-ED25-4ADD-839E-31670072960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10" name="shapetype_202" hidden="1">
          <a:extLst>
            <a:ext uri="{FF2B5EF4-FFF2-40B4-BE49-F238E27FC236}">
              <a16:creationId xmlns:a16="http://schemas.microsoft.com/office/drawing/2014/main" id="{1D37D4FD-336E-418A-ABEC-FB7ED764E81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08" name="shapetype_202" hidden="1">
          <a:extLst>
            <a:ext uri="{FF2B5EF4-FFF2-40B4-BE49-F238E27FC236}">
              <a16:creationId xmlns:a16="http://schemas.microsoft.com/office/drawing/2014/main" id="{3EBFBDFE-8274-45A9-9159-CA0E12845CB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06" name="shapetype_202" hidden="1">
          <a:extLst>
            <a:ext uri="{FF2B5EF4-FFF2-40B4-BE49-F238E27FC236}">
              <a16:creationId xmlns:a16="http://schemas.microsoft.com/office/drawing/2014/main" id="{1954E7D7-4C09-427D-996D-19A072CFC51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04" name="shapetype_202" hidden="1">
          <a:extLst>
            <a:ext uri="{FF2B5EF4-FFF2-40B4-BE49-F238E27FC236}">
              <a16:creationId xmlns:a16="http://schemas.microsoft.com/office/drawing/2014/main" id="{DD068E6A-DEB9-4F1F-842A-66108CEDC1B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02" name="shapetype_202" hidden="1">
          <a:extLst>
            <a:ext uri="{FF2B5EF4-FFF2-40B4-BE49-F238E27FC236}">
              <a16:creationId xmlns:a16="http://schemas.microsoft.com/office/drawing/2014/main" id="{84B3CAE0-53F3-4901-AC21-90A864CB45C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900" name="shapetype_202" hidden="1">
          <a:extLst>
            <a:ext uri="{FF2B5EF4-FFF2-40B4-BE49-F238E27FC236}">
              <a16:creationId xmlns:a16="http://schemas.microsoft.com/office/drawing/2014/main" id="{CD4EA3B6-F342-481F-BAF8-1DF0C9627FD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98" name="shapetype_202" hidden="1">
          <a:extLst>
            <a:ext uri="{FF2B5EF4-FFF2-40B4-BE49-F238E27FC236}">
              <a16:creationId xmlns:a16="http://schemas.microsoft.com/office/drawing/2014/main" id="{39EF0D3D-711B-4E35-ACDB-E47F6467430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96" name="shapetype_202" hidden="1">
          <a:extLst>
            <a:ext uri="{FF2B5EF4-FFF2-40B4-BE49-F238E27FC236}">
              <a16:creationId xmlns:a16="http://schemas.microsoft.com/office/drawing/2014/main" id="{BE769C92-D3D9-4171-8331-6E6B0EEEA23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94" name="shapetype_202" hidden="1">
          <a:extLst>
            <a:ext uri="{FF2B5EF4-FFF2-40B4-BE49-F238E27FC236}">
              <a16:creationId xmlns:a16="http://schemas.microsoft.com/office/drawing/2014/main" id="{DC474DCA-B86A-435C-B2DC-53C21646313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92" name="shapetype_202" hidden="1">
          <a:extLst>
            <a:ext uri="{FF2B5EF4-FFF2-40B4-BE49-F238E27FC236}">
              <a16:creationId xmlns:a16="http://schemas.microsoft.com/office/drawing/2014/main" id="{05DB4CB4-F908-44EE-9FAD-7400793E48F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90" name="shapetype_202" hidden="1">
          <a:extLst>
            <a:ext uri="{FF2B5EF4-FFF2-40B4-BE49-F238E27FC236}">
              <a16:creationId xmlns:a16="http://schemas.microsoft.com/office/drawing/2014/main" id="{BAD23F11-A151-43AC-976F-996DF99A5F1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88" name="shapetype_202" hidden="1">
          <a:extLst>
            <a:ext uri="{FF2B5EF4-FFF2-40B4-BE49-F238E27FC236}">
              <a16:creationId xmlns:a16="http://schemas.microsoft.com/office/drawing/2014/main" id="{529321AD-7169-4908-8A40-3547A92E8B7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86" name="shapetype_202" hidden="1">
          <a:extLst>
            <a:ext uri="{FF2B5EF4-FFF2-40B4-BE49-F238E27FC236}">
              <a16:creationId xmlns:a16="http://schemas.microsoft.com/office/drawing/2014/main" id="{B0AEF1E8-8D66-4E5D-A957-064A0A5BA1C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84" name="shapetype_202" hidden="1">
          <a:extLst>
            <a:ext uri="{FF2B5EF4-FFF2-40B4-BE49-F238E27FC236}">
              <a16:creationId xmlns:a16="http://schemas.microsoft.com/office/drawing/2014/main" id="{26AFB4EF-ECEC-4697-BE7A-47DD9438F64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82" name="shapetype_202" hidden="1">
          <a:extLst>
            <a:ext uri="{FF2B5EF4-FFF2-40B4-BE49-F238E27FC236}">
              <a16:creationId xmlns:a16="http://schemas.microsoft.com/office/drawing/2014/main" id="{0153D068-17A0-49CC-83B1-E0FF48422EF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80" name="shapetype_202" hidden="1">
          <a:extLst>
            <a:ext uri="{FF2B5EF4-FFF2-40B4-BE49-F238E27FC236}">
              <a16:creationId xmlns:a16="http://schemas.microsoft.com/office/drawing/2014/main" id="{0C6E118F-9C3B-45E4-A5DB-F3BE19776BF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78" name="shapetype_202" hidden="1">
          <a:extLst>
            <a:ext uri="{FF2B5EF4-FFF2-40B4-BE49-F238E27FC236}">
              <a16:creationId xmlns:a16="http://schemas.microsoft.com/office/drawing/2014/main" id="{7100946C-8FE9-4098-8C1F-98F9D2D0CEB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76" name="shapetype_202" hidden="1">
          <a:extLst>
            <a:ext uri="{FF2B5EF4-FFF2-40B4-BE49-F238E27FC236}">
              <a16:creationId xmlns:a16="http://schemas.microsoft.com/office/drawing/2014/main" id="{F644A654-C867-4C62-8015-C14D92E3EE9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74" name="shapetype_202" hidden="1">
          <a:extLst>
            <a:ext uri="{FF2B5EF4-FFF2-40B4-BE49-F238E27FC236}">
              <a16:creationId xmlns:a16="http://schemas.microsoft.com/office/drawing/2014/main" id="{7DB94BAC-FBC9-4C54-861F-9724B9E8953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72" name="shapetype_202" hidden="1">
          <a:extLst>
            <a:ext uri="{FF2B5EF4-FFF2-40B4-BE49-F238E27FC236}">
              <a16:creationId xmlns:a16="http://schemas.microsoft.com/office/drawing/2014/main" id="{23ED2B4B-FA2D-40BE-BD02-CBE5BE7E3F0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70" name="shapetype_202" hidden="1">
          <a:extLst>
            <a:ext uri="{FF2B5EF4-FFF2-40B4-BE49-F238E27FC236}">
              <a16:creationId xmlns:a16="http://schemas.microsoft.com/office/drawing/2014/main" id="{80957A40-ABA6-4C90-A6C6-E2A7D23C0AD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68" name="shapetype_202" hidden="1">
          <a:extLst>
            <a:ext uri="{FF2B5EF4-FFF2-40B4-BE49-F238E27FC236}">
              <a16:creationId xmlns:a16="http://schemas.microsoft.com/office/drawing/2014/main" id="{1E7A83A3-DAA7-4817-9C31-66B87E6D39A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66" name="shapetype_202" hidden="1">
          <a:extLst>
            <a:ext uri="{FF2B5EF4-FFF2-40B4-BE49-F238E27FC236}">
              <a16:creationId xmlns:a16="http://schemas.microsoft.com/office/drawing/2014/main" id="{768D1FE3-E232-4B8C-AD38-71225195821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64" name="shapetype_202" hidden="1">
          <a:extLst>
            <a:ext uri="{FF2B5EF4-FFF2-40B4-BE49-F238E27FC236}">
              <a16:creationId xmlns:a16="http://schemas.microsoft.com/office/drawing/2014/main" id="{436FE95B-3E03-43B5-A4C5-2959198274A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62" name="shapetype_202" hidden="1">
          <a:extLst>
            <a:ext uri="{FF2B5EF4-FFF2-40B4-BE49-F238E27FC236}">
              <a16:creationId xmlns:a16="http://schemas.microsoft.com/office/drawing/2014/main" id="{CD1E010D-EFF8-439A-9179-954876D4E5A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60" name="shapetype_202" hidden="1">
          <a:extLst>
            <a:ext uri="{FF2B5EF4-FFF2-40B4-BE49-F238E27FC236}">
              <a16:creationId xmlns:a16="http://schemas.microsoft.com/office/drawing/2014/main" id="{3827AFF7-A181-4B60-9E9F-E5CC973FBCB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58" name="shapetype_202" hidden="1">
          <a:extLst>
            <a:ext uri="{FF2B5EF4-FFF2-40B4-BE49-F238E27FC236}">
              <a16:creationId xmlns:a16="http://schemas.microsoft.com/office/drawing/2014/main" id="{06959F5F-AB0C-4AC5-A821-63AC66B79B6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56" name="shapetype_202" hidden="1">
          <a:extLst>
            <a:ext uri="{FF2B5EF4-FFF2-40B4-BE49-F238E27FC236}">
              <a16:creationId xmlns:a16="http://schemas.microsoft.com/office/drawing/2014/main" id="{5E906015-EE89-4C3F-B687-EE15C838054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54" name="shapetype_202" hidden="1">
          <a:extLst>
            <a:ext uri="{FF2B5EF4-FFF2-40B4-BE49-F238E27FC236}">
              <a16:creationId xmlns:a16="http://schemas.microsoft.com/office/drawing/2014/main" id="{83842F3C-456B-43A7-BC4B-E7808BFD016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52" name="shapetype_202" hidden="1">
          <a:extLst>
            <a:ext uri="{FF2B5EF4-FFF2-40B4-BE49-F238E27FC236}">
              <a16:creationId xmlns:a16="http://schemas.microsoft.com/office/drawing/2014/main" id="{C002641F-74B9-4A13-B658-5E8EDB6C1AB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50" name="shapetype_202" hidden="1">
          <a:extLst>
            <a:ext uri="{FF2B5EF4-FFF2-40B4-BE49-F238E27FC236}">
              <a16:creationId xmlns:a16="http://schemas.microsoft.com/office/drawing/2014/main" id="{45687E73-102C-477C-9E86-58414C1529E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48" name="shapetype_202" hidden="1">
          <a:extLst>
            <a:ext uri="{FF2B5EF4-FFF2-40B4-BE49-F238E27FC236}">
              <a16:creationId xmlns:a16="http://schemas.microsoft.com/office/drawing/2014/main" id="{F460E7DE-E341-493E-A531-7A28ED49C83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46" name="shapetype_202" hidden="1">
          <a:extLst>
            <a:ext uri="{FF2B5EF4-FFF2-40B4-BE49-F238E27FC236}">
              <a16:creationId xmlns:a16="http://schemas.microsoft.com/office/drawing/2014/main" id="{16534515-C9FC-488F-B4FC-CE51BB3E38D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44" name="shapetype_202" hidden="1">
          <a:extLst>
            <a:ext uri="{FF2B5EF4-FFF2-40B4-BE49-F238E27FC236}">
              <a16:creationId xmlns:a16="http://schemas.microsoft.com/office/drawing/2014/main" id="{2AACDC9A-C914-43BC-955E-9399BCB304C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42" name="shapetype_202" hidden="1">
          <a:extLst>
            <a:ext uri="{FF2B5EF4-FFF2-40B4-BE49-F238E27FC236}">
              <a16:creationId xmlns:a16="http://schemas.microsoft.com/office/drawing/2014/main" id="{92E7C703-938F-4471-9045-2DCDF98BB36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40" name="shapetype_202" hidden="1">
          <a:extLst>
            <a:ext uri="{FF2B5EF4-FFF2-40B4-BE49-F238E27FC236}">
              <a16:creationId xmlns:a16="http://schemas.microsoft.com/office/drawing/2014/main" id="{B6479D41-19EE-4685-87B1-252B45B7985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38" name="shapetype_202" hidden="1">
          <a:extLst>
            <a:ext uri="{FF2B5EF4-FFF2-40B4-BE49-F238E27FC236}">
              <a16:creationId xmlns:a16="http://schemas.microsoft.com/office/drawing/2014/main" id="{A7CAACA7-81BD-40D2-852B-A01BC917D2D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36" name="shapetype_202" hidden="1">
          <a:extLst>
            <a:ext uri="{FF2B5EF4-FFF2-40B4-BE49-F238E27FC236}">
              <a16:creationId xmlns:a16="http://schemas.microsoft.com/office/drawing/2014/main" id="{87C1E067-727D-4C97-8184-39C48E7DF52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34" name="shapetype_202" hidden="1">
          <a:extLst>
            <a:ext uri="{FF2B5EF4-FFF2-40B4-BE49-F238E27FC236}">
              <a16:creationId xmlns:a16="http://schemas.microsoft.com/office/drawing/2014/main" id="{FE48AFC5-0E19-4483-88B3-03F26A245E6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32" name="shapetype_202" hidden="1">
          <a:extLst>
            <a:ext uri="{FF2B5EF4-FFF2-40B4-BE49-F238E27FC236}">
              <a16:creationId xmlns:a16="http://schemas.microsoft.com/office/drawing/2014/main" id="{5D1E48CE-16B1-4F52-A31F-AED378CDF52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30" name="shapetype_202" hidden="1">
          <a:extLst>
            <a:ext uri="{FF2B5EF4-FFF2-40B4-BE49-F238E27FC236}">
              <a16:creationId xmlns:a16="http://schemas.microsoft.com/office/drawing/2014/main" id="{7528F0B0-4B5F-4A7F-93D8-9E7ADA88383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28" name="shapetype_202" hidden="1">
          <a:extLst>
            <a:ext uri="{FF2B5EF4-FFF2-40B4-BE49-F238E27FC236}">
              <a16:creationId xmlns:a16="http://schemas.microsoft.com/office/drawing/2014/main" id="{DC68AEDA-E471-4EA7-BE13-23721F52333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26" name="shapetype_202" hidden="1">
          <a:extLst>
            <a:ext uri="{FF2B5EF4-FFF2-40B4-BE49-F238E27FC236}">
              <a16:creationId xmlns:a16="http://schemas.microsoft.com/office/drawing/2014/main" id="{FDA8018A-BDD9-4188-AE61-7C5F8807273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24" name="shapetype_202" hidden="1">
          <a:extLst>
            <a:ext uri="{FF2B5EF4-FFF2-40B4-BE49-F238E27FC236}">
              <a16:creationId xmlns:a16="http://schemas.microsoft.com/office/drawing/2014/main" id="{80273D9F-0F89-427C-9999-1D83AD279E8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22" name="shapetype_202" hidden="1">
          <a:extLst>
            <a:ext uri="{FF2B5EF4-FFF2-40B4-BE49-F238E27FC236}">
              <a16:creationId xmlns:a16="http://schemas.microsoft.com/office/drawing/2014/main" id="{8B0D679D-14F7-4D18-BF6F-8196B5974BC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20" name="shapetype_202" hidden="1">
          <a:extLst>
            <a:ext uri="{FF2B5EF4-FFF2-40B4-BE49-F238E27FC236}">
              <a16:creationId xmlns:a16="http://schemas.microsoft.com/office/drawing/2014/main" id="{FD3C8ECD-7243-439F-80B2-83138CCDBEF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18" name="shapetype_202" hidden="1">
          <a:extLst>
            <a:ext uri="{FF2B5EF4-FFF2-40B4-BE49-F238E27FC236}">
              <a16:creationId xmlns:a16="http://schemas.microsoft.com/office/drawing/2014/main" id="{D4D9AF21-28BF-4DFC-98C2-17E9AB29348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16" name="shapetype_202" hidden="1">
          <a:extLst>
            <a:ext uri="{FF2B5EF4-FFF2-40B4-BE49-F238E27FC236}">
              <a16:creationId xmlns:a16="http://schemas.microsoft.com/office/drawing/2014/main" id="{47E449C9-8C8F-4631-A3D1-B0FB6F38B18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14" name="shapetype_202" hidden="1">
          <a:extLst>
            <a:ext uri="{FF2B5EF4-FFF2-40B4-BE49-F238E27FC236}">
              <a16:creationId xmlns:a16="http://schemas.microsoft.com/office/drawing/2014/main" id="{24200F52-2682-4E39-9A40-2201BA55EBA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12" name="shapetype_202" hidden="1">
          <a:extLst>
            <a:ext uri="{FF2B5EF4-FFF2-40B4-BE49-F238E27FC236}">
              <a16:creationId xmlns:a16="http://schemas.microsoft.com/office/drawing/2014/main" id="{31D001D0-3BB7-4F05-B902-BB3194A7D53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10" name="shapetype_202" hidden="1">
          <a:extLst>
            <a:ext uri="{FF2B5EF4-FFF2-40B4-BE49-F238E27FC236}">
              <a16:creationId xmlns:a16="http://schemas.microsoft.com/office/drawing/2014/main" id="{63C7E8D1-9AC2-4216-9A1E-D51FB05C6B0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08" name="shapetype_202" hidden="1">
          <a:extLst>
            <a:ext uri="{FF2B5EF4-FFF2-40B4-BE49-F238E27FC236}">
              <a16:creationId xmlns:a16="http://schemas.microsoft.com/office/drawing/2014/main" id="{60A2D29B-2F13-44BD-A70B-B093E5A29A2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06" name="shapetype_202" hidden="1">
          <a:extLst>
            <a:ext uri="{FF2B5EF4-FFF2-40B4-BE49-F238E27FC236}">
              <a16:creationId xmlns:a16="http://schemas.microsoft.com/office/drawing/2014/main" id="{5E112CAB-C773-41EB-A784-90E09FCFC36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04" name="shapetype_202" hidden="1">
          <a:extLst>
            <a:ext uri="{FF2B5EF4-FFF2-40B4-BE49-F238E27FC236}">
              <a16:creationId xmlns:a16="http://schemas.microsoft.com/office/drawing/2014/main" id="{2FE2810E-AE74-4333-988B-8D864BF2C7B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02" name="shapetype_202" hidden="1">
          <a:extLst>
            <a:ext uri="{FF2B5EF4-FFF2-40B4-BE49-F238E27FC236}">
              <a16:creationId xmlns:a16="http://schemas.microsoft.com/office/drawing/2014/main" id="{87816AFF-34FB-4475-9C5B-91A4B4D9C92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800" name="shapetype_202" hidden="1">
          <a:extLst>
            <a:ext uri="{FF2B5EF4-FFF2-40B4-BE49-F238E27FC236}">
              <a16:creationId xmlns:a16="http://schemas.microsoft.com/office/drawing/2014/main" id="{FC6D86C1-83FC-48EA-9FE3-EFC3CBED793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98" name="shapetype_202" hidden="1">
          <a:extLst>
            <a:ext uri="{FF2B5EF4-FFF2-40B4-BE49-F238E27FC236}">
              <a16:creationId xmlns:a16="http://schemas.microsoft.com/office/drawing/2014/main" id="{7CDAB88B-FBD6-41F7-AFC6-D22CE076968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96" name="shapetype_202" hidden="1">
          <a:extLst>
            <a:ext uri="{FF2B5EF4-FFF2-40B4-BE49-F238E27FC236}">
              <a16:creationId xmlns:a16="http://schemas.microsoft.com/office/drawing/2014/main" id="{EDB1C366-6434-4AA6-A36B-1C9495F2C75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94" name="shapetype_202" hidden="1">
          <a:extLst>
            <a:ext uri="{FF2B5EF4-FFF2-40B4-BE49-F238E27FC236}">
              <a16:creationId xmlns:a16="http://schemas.microsoft.com/office/drawing/2014/main" id="{473C069D-F669-4688-9630-9FCF08D0E6C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92" name="shapetype_202" hidden="1">
          <a:extLst>
            <a:ext uri="{FF2B5EF4-FFF2-40B4-BE49-F238E27FC236}">
              <a16:creationId xmlns:a16="http://schemas.microsoft.com/office/drawing/2014/main" id="{D15523D3-01E2-429A-BD49-CB9B06F8BE7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90" name="shapetype_202" hidden="1">
          <a:extLst>
            <a:ext uri="{FF2B5EF4-FFF2-40B4-BE49-F238E27FC236}">
              <a16:creationId xmlns:a16="http://schemas.microsoft.com/office/drawing/2014/main" id="{B82564DA-3C87-4822-9E74-9F2A24660FA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88" name="shapetype_202" hidden="1">
          <a:extLst>
            <a:ext uri="{FF2B5EF4-FFF2-40B4-BE49-F238E27FC236}">
              <a16:creationId xmlns:a16="http://schemas.microsoft.com/office/drawing/2014/main" id="{D16C717B-6A3E-4A27-A3C4-0FDDD0838A9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86" name="shapetype_202" hidden="1">
          <a:extLst>
            <a:ext uri="{FF2B5EF4-FFF2-40B4-BE49-F238E27FC236}">
              <a16:creationId xmlns:a16="http://schemas.microsoft.com/office/drawing/2014/main" id="{F5A337E2-7476-493E-8969-075E1BBD865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84" name="shapetype_202" hidden="1">
          <a:extLst>
            <a:ext uri="{FF2B5EF4-FFF2-40B4-BE49-F238E27FC236}">
              <a16:creationId xmlns:a16="http://schemas.microsoft.com/office/drawing/2014/main" id="{6612435B-8C56-448D-BE90-2A1B322A70A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82" name="shapetype_202" hidden="1">
          <a:extLst>
            <a:ext uri="{FF2B5EF4-FFF2-40B4-BE49-F238E27FC236}">
              <a16:creationId xmlns:a16="http://schemas.microsoft.com/office/drawing/2014/main" id="{FF6E26E2-A23D-4236-B4B5-3AB7E83BB8F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80" name="shapetype_202" hidden="1">
          <a:extLst>
            <a:ext uri="{FF2B5EF4-FFF2-40B4-BE49-F238E27FC236}">
              <a16:creationId xmlns:a16="http://schemas.microsoft.com/office/drawing/2014/main" id="{59ED13CA-AEB5-4622-8513-70922537E59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78" name="shapetype_202" hidden="1">
          <a:extLst>
            <a:ext uri="{FF2B5EF4-FFF2-40B4-BE49-F238E27FC236}">
              <a16:creationId xmlns:a16="http://schemas.microsoft.com/office/drawing/2014/main" id="{1113A7D1-450B-4707-80C4-018167221D4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76" name="shapetype_202" hidden="1">
          <a:extLst>
            <a:ext uri="{FF2B5EF4-FFF2-40B4-BE49-F238E27FC236}">
              <a16:creationId xmlns:a16="http://schemas.microsoft.com/office/drawing/2014/main" id="{1F4FB12A-413E-477A-BD45-D938792B816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74" name="shapetype_202" hidden="1">
          <a:extLst>
            <a:ext uri="{FF2B5EF4-FFF2-40B4-BE49-F238E27FC236}">
              <a16:creationId xmlns:a16="http://schemas.microsoft.com/office/drawing/2014/main" id="{8C570E72-1251-433F-9036-680ABDF732D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72" name="shapetype_202" hidden="1">
          <a:extLst>
            <a:ext uri="{FF2B5EF4-FFF2-40B4-BE49-F238E27FC236}">
              <a16:creationId xmlns:a16="http://schemas.microsoft.com/office/drawing/2014/main" id="{CC1BBAAF-9422-4353-9876-A546CF453ED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70" name="shapetype_202" hidden="1">
          <a:extLst>
            <a:ext uri="{FF2B5EF4-FFF2-40B4-BE49-F238E27FC236}">
              <a16:creationId xmlns:a16="http://schemas.microsoft.com/office/drawing/2014/main" id="{2DF5BEE8-2C1C-4685-8CDD-E9593F4A68D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68" name="shapetype_202" hidden="1">
          <a:extLst>
            <a:ext uri="{FF2B5EF4-FFF2-40B4-BE49-F238E27FC236}">
              <a16:creationId xmlns:a16="http://schemas.microsoft.com/office/drawing/2014/main" id="{35305AA6-8C87-458F-8BC1-6A6362B85B3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66" name="shapetype_202" hidden="1">
          <a:extLst>
            <a:ext uri="{FF2B5EF4-FFF2-40B4-BE49-F238E27FC236}">
              <a16:creationId xmlns:a16="http://schemas.microsoft.com/office/drawing/2014/main" id="{47F627B2-01E4-4078-8327-4952F6EA6F3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64" name="shapetype_202" hidden="1">
          <a:extLst>
            <a:ext uri="{FF2B5EF4-FFF2-40B4-BE49-F238E27FC236}">
              <a16:creationId xmlns:a16="http://schemas.microsoft.com/office/drawing/2014/main" id="{2D09C2C7-5837-4833-AE17-BA94A203ED4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62" name="shapetype_202" hidden="1">
          <a:extLst>
            <a:ext uri="{FF2B5EF4-FFF2-40B4-BE49-F238E27FC236}">
              <a16:creationId xmlns:a16="http://schemas.microsoft.com/office/drawing/2014/main" id="{2400F995-B7AE-49FB-8FAA-315175B7787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60" name="shapetype_202" hidden="1">
          <a:extLst>
            <a:ext uri="{FF2B5EF4-FFF2-40B4-BE49-F238E27FC236}">
              <a16:creationId xmlns:a16="http://schemas.microsoft.com/office/drawing/2014/main" id="{B42C63B6-B663-45BF-97F5-B848685F5E2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58" name="shapetype_202" hidden="1">
          <a:extLst>
            <a:ext uri="{FF2B5EF4-FFF2-40B4-BE49-F238E27FC236}">
              <a16:creationId xmlns:a16="http://schemas.microsoft.com/office/drawing/2014/main" id="{9E345D69-9141-4990-B203-4E75FC16317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56" name="shapetype_202" hidden="1">
          <a:extLst>
            <a:ext uri="{FF2B5EF4-FFF2-40B4-BE49-F238E27FC236}">
              <a16:creationId xmlns:a16="http://schemas.microsoft.com/office/drawing/2014/main" id="{FE7517AE-A6EF-40C6-879D-3FEDCF8D167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54" name="shapetype_202" hidden="1">
          <a:extLst>
            <a:ext uri="{FF2B5EF4-FFF2-40B4-BE49-F238E27FC236}">
              <a16:creationId xmlns:a16="http://schemas.microsoft.com/office/drawing/2014/main" id="{A0858EF8-8964-4CE2-9695-43D12D0B7BD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52" name="shapetype_202" hidden="1">
          <a:extLst>
            <a:ext uri="{FF2B5EF4-FFF2-40B4-BE49-F238E27FC236}">
              <a16:creationId xmlns:a16="http://schemas.microsoft.com/office/drawing/2014/main" id="{3AC51033-4D6B-4B05-9783-3ECC8DB6978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50" name="shapetype_202" hidden="1">
          <a:extLst>
            <a:ext uri="{FF2B5EF4-FFF2-40B4-BE49-F238E27FC236}">
              <a16:creationId xmlns:a16="http://schemas.microsoft.com/office/drawing/2014/main" id="{1D1987B1-FE2C-4E65-8914-D275010EE90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48" name="shapetype_202" hidden="1">
          <a:extLst>
            <a:ext uri="{FF2B5EF4-FFF2-40B4-BE49-F238E27FC236}">
              <a16:creationId xmlns:a16="http://schemas.microsoft.com/office/drawing/2014/main" id="{3D4C454A-1E9D-48B6-8B71-46E6301A55D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46" name="shapetype_202" hidden="1">
          <a:extLst>
            <a:ext uri="{FF2B5EF4-FFF2-40B4-BE49-F238E27FC236}">
              <a16:creationId xmlns:a16="http://schemas.microsoft.com/office/drawing/2014/main" id="{C8666922-F3C8-42FD-9D74-4314CAB4D6B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44" name="shapetype_202" hidden="1">
          <a:extLst>
            <a:ext uri="{FF2B5EF4-FFF2-40B4-BE49-F238E27FC236}">
              <a16:creationId xmlns:a16="http://schemas.microsoft.com/office/drawing/2014/main" id="{E3BBD717-7996-4BFF-B779-806E382B529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42" name="shapetype_202" hidden="1">
          <a:extLst>
            <a:ext uri="{FF2B5EF4-FFF2-40B4-BE49-F238E27FC236}">
              <a16:creationId xmlns:a16="http://schemas.microsoft.com/office/drawing/2014/main" id="{91344A89-79B5-46C6-87E5-64F681605EA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40" name="shapetype_202" hidden="1">
          <a:extLst>
            <a:ext uri="{FF2B5EF4-FFF2-40B4-BE49-F238E27FC236}">
              <a16:creationId xmlns:a16="http://schemas.microsoft.com/office/drawing/2014/main" id="{4D29EF00-F3D2-43CE-ADD5-1951AEA5A9F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38" name="shapetype_202" hidden="1">
          <a:extLst>
            <a:ext uri="{FF2B5EF4-FFF2-40B4-BE49-F238E27FC236}">
              <a16:creationId xmlns:a16="http://schemas.microsoft.com/office/drawing/2014/main" id="{A9DF54A1-2C6E-4E0D-9223-E575833194D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36" name="shapetype_202" hidden="1">
          <a:extLst>
            <a:ext uri="{FF2B5EF4-FFF2-40B4-BE49-F238E27FC236}">
              <a16:creationId xmlns:a16="http://schemas.microsoft.com/office/drawing/2014/main" id="{0FA498B2-4282-4D0B-B156-6D300CE4CA7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34" name="shapetype_202" hidden="1">
          <a:extLst>
            <a:ext uri="{FF2B5EF4-FFF2-40B4-BE49-F238E27FC236}">
              <a16:creationId xmlns:a16="http://schemas.microsoft.com/office/drawing/2014/main" id="{91310A05-6EEE-47DC-9B06-2B6D31BBDFF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32" name="shapetype_202" hidden="1">
          <a:extLst>
            <a:ext uri="{FF2B5EF4-FFF2-40B4-BE49-F238E27FC236}">
              <a16:creationId xmlns:a16="http://schemas.microsoft.com/office/drawing/2014/main" id="{FB915B2E-2446-4F64-B46D-4FA704204F8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30" name="shapetype_202" hidden="1">
          <a:extLst>
            <a:ext uri="{FF2B5EF4-FFF2-40B4-BE49-F238E27FC236}">
              <a16:creationId xmlns:a16="http://schemas.microsoft.com/office/drawing/2014/main" id="{E967C65D-1952-4070-BB67-A3657A46993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28" name="shapetype_202" hidden="1">
          <a:extLst>
            <a:ext uri="{FF2B5EF4-FFF2-40B4-BE49-F238E27FC236}">
              <a16:creationId xmlns:a16="http://schemas.microsoft.com/office/drawing/2014/main" id="{6C207690-08A2-42BE-82B9-0BAC3A7A5E2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26" name="shapetype_202" hidden="1">
          <a:extLst>
            <a:ext uri="{FF2B5EF4-FFF2-40B4-BE49-F238E27FC236}">
              <a16:creationId xmlns:a16="http://schemas.microsoft.com/office/drawing/2014/main" id="{07E85B31-57D4-4FCC-83D4-904A76458A5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24" name="shapetype_202" hidden="1">
          <a:extLst>
            <a:ext uri="{FF2B5EF4-FFF2-40B4-BE49-F238E27FC236}">
              <a16:creationId xmlns:a16="http://schemas.microsoft.com/office/drawing/2014/main" id="{E52C151D-403B-4B2A-B7CE-BDF69E59E5C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22" name="shapetype_202" hidden="1">
          <a:extLst>
            <a:ext uri="{FF2B5EF4-FFF2-40B4-BE49-F238E27FC236}">
              <a16:creationId xmlns:a16="http://schemas.microsoft.com/office/drawing/2014/main" id="{8C12C6F9-1505-4593-A723-2C891768BF0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20" name="shapetype_202" hidden="1">
          <a:extLst>
            <a:ext uri="{FF2B5EF4-FFF2-40B4-BE49-F238E27FC236}">
              <a16:creationId xmlns:a16="http://schemas.microsoft.com/office/drawing/2014/main" id="{06F15B62-85FC-477C-ABFD-C1E114E3A4B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18" name="shapetype_202" hidden="1">
          <a:extLst>
            <a:ext uri="{FF2B5EF4-FFF2-40B4-BE49-F238E27FC236}">
              <a16:creationId xmlns:a16="http://schemas.microsoft.com/office/drawing/2014/main" id="{4562523D-D054-4E9E-8BD5-34FA103272E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16" name="shapetype_202" hidden="1">
          <a:extLst>
            <a:ext uri="{FF2B5EF4-FFF2-40B4-BE49-F238E27FC236}">
              <a16:creationId xmlns:a16="http://schemas.microsoft.com/office/drawing/2014/main" id="{0536E15F-23A8-44A9-9C0B-93A68F4059D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14" name="shapetype_202" hidden="1">
          <a:extLst>
            <a:ext uri="{FF2B5EF4-FFF2-40B4-BE49-F238E27FC236}">
              <a16:creationId xmlns:a16="http://schemas.microsoft.com/office/drawing/2014/main" id="{5DA21257-A2FD-4FF1-A94C-1E68D2C8241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12" name="shapetype_202" hidden="1">
          <a:extLst>
            <a:ext uri="{FF2B5EF4-FFF2-40B4-BE49-F238E27FC236}">
              <a16:creationId xmlns:a16="http://schemas.microsoft.com/office/drawing/2014/main" id="{00017551-E155-4F45-9B3F-66697AA4FA0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10" name="shapetype_202" hidden="1">
          <a:extLst>
            <a:ext uri="{FF2B5EF4-FFF2-40B4-BE49-F238E27FC236}">
              <a16:creationId xmlns:a16="http://schemas.microsoft.com/office/drawing/2014/main" id="{C4CE9FA5-00EE-4815-952C-C43307155D9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08" name="shapetype_202" hidden="1">
          <a:extLst>
            <a:ext uri="{FF2B5EF4-FFF2-40B4-BE49-F238E27FC236}">
              <a16:creationId xmlns:a16="http://schemas.microsoft.com/office/drawing/2014/main" id="{2B1CCB81-06C2-4DDF-A002-68CF3798701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06" name="shapetype_202" hidden="1">
          <a:extLst>
            <a:ext uri="{FF2B5EF4-FFF2-40B4-BE49-F238E27FC236}">
              <a16:creationId xmlns:a16="http://schemas.microsoft.com/office/drawing/2014/main" id="{88897FAB-71E2-4498-B75E-5813AD1CF04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04" name="shapetype_202" hidden="1">
          <a:extLst>
            <a:ext uri="{FF2B5EF4-FFF2-40B4-BE49-F238E27FC236}">
              <a16:creationId xmlns:a16="http://schemas.microsoft.com/office/drawing/2014/main" id="{998DBF0B-66BF-47E6-BC9C-DA52F8A4F14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02" name="shapetype_202" hidden="1">
          <a:extLst>
            <a:ext uri="{FF2B5EF4-FFF2-40B4-BE49-F238E27FC236}">
              <a16:creationId xmlns:a16="http://schemas.microsoft.com/office/drawing/2014/main" id="{6265B99E-AE91-48E9-B066-8CBC7EDD521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700" name="shapetype_202" hidden="1">
          <a:extLst>
            <a:ext uri="{FF2B5EF4-FFF2-40B4-BE49-F238E27FC236}">
              <a16:creationId xmlns:a16="http://schemas.microsoft.com/office/drawing/2014/main" id="{0BAF60D8-BDFC-44B2-AC0F-29D53FD6C95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98" name="shapetype_202" hidden="1">
          <a:extLst>
            <a:ext uri="{FF2B5EF4-FFF2-40B4-BE49-F238E27FC236}">
              <a16:creationId xmlns:a16="http://schemas.microsoft.com/office/drawing/2014/main" id="{6163724F-1538-49F1-A8EC-55168342E92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96" name="shapetype_202" hidden="1">
          <a:extLst>
            <a:ext uri="{FF2B5EF4-FFF2-40B4-BE49-F238E27FC236}">
              <a16:creationId xmlns:a16="http://schemas.microsoft.com/office/drawing/2014/main" id="{31BEBABD-6B36-4E1B-A844-4479682A8AE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94" name="shapetype_202" hidden="1">
          <a:extLst>
            <a:ext uri="{FF2B5EF4-FFF2-40B4-BE49-F238E27FC236}">
              <a16:creationId xmlns:a16="http://schemas.microsoft.com/office/drawing/2014/main" id="{091671C5-682A-4012-A3C2-22977401399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92" name="shapetype_202" hidden="1">
          <a:extLst>
            <a:ext uri="{FF2B5EF4-FFF2-40B4-BE49-F238E27FC236}">
              <a16:creationId xmlns:a16="http://schemas.microsoft.com/office/drawing/2014/main" id="{903745E9-584D-416F-820C-3F5A59A288F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90" name="shapetype_202" hidden="1">
          <a:extLst>
            <a:ext uri="{FF2B5EF4-FFF2-40B4-BE49-F238E27FC236}">
              <a16:creationId xmlns:a16="http://schemas.microsoft.com/office/drawing/2014/main" id="{66C8850A-232F-4D12-8265-3C1FD1F2D7C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88" name="shapetype_202" hidden="1">
          <a:extLst>
            <a:ext uri="{FF2B5EF4-FFF2-40B4-BE49-F238E27FC236}">
              <a16:creationId xmlns:a16="http://schemas.microsoft.com/office/drawing/2014/main" id="{C25D1E2C-9751-44C5-A4DF-5393E8EC5C4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86" name="shapetype_202" hidden="1">
          <a:extLst>
            <a:ext uri="{FF2B5EF4-FFF2-40B4-BE49-F238E27FC236}">
              <a16:creationId xmlns:a16="http://schemas.microsoft.com/office/drawing/2014/main" id="{11EBE6AA-F781-41D6-BEAF-257F3C5AC40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84" name="shapetype_202" hidden="1">
          <a:extLst>
            <a:ext uri="{FF2B5EF4-FFF2-40B4-BE49-F238E27FC236}">
              <a16:creationId xmlns:a16="http://schemas.microsoft.com/office/drawing/2014/main" id="{8A991493-89F7-438F-9946-6EC30F60E4B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82" name="shapetype_202" hidden="1">
          <a:extLst>
            <a:ext uri="{FF2B5EF4-FFF2-40B4-BE49-F238E27FC236}">
              <a16:creationId xmlns:a16="http://schemas.microsoft.com/office/drawing/2014/main" id="{9138412F-C886-488B-99C3-89EFE584179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80" name="shapetype_202" hidden="1">
          <a:extLst>
            <a:ext uri="{FF2B5EF4-FFF2-40B4-BE49-F238E27FC236}">
              <a16:creationId xmlns:a16="http://schemas.microsoft.com/office/drawing/2014/main" id="{743730FD-58E4-49B8-8946-139F8135B40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78" name="shapetype_202" hidden="1">
          <a:extLst>
            <a:ext uri="{FF2B5EF4-FFF2-40B4-BE49-F238E27FC236}">
              <a16:creationId xmlns:a16="http://schemas.microsoft.com/office/drawing/2014/main" id="{FC0F1AE4-AB60-4F68-85AE-236A6B6BB86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76" name="shapetype_202" hidden="1">
          <a:extLst>
            <a:ext uri="{FF2B5EF4-FFF2-40B4-BE49-F238E27FC236}">
              <a16:creationId xmlns:a16="http://schemas.microsoft.com/office/drawing/2014/main" id="{C7551A63-AC09-419A-B873-4DF55987932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74" name="shapetype_202" hidden="1">
          <a:extLst>
            <a:ext uri="{FF2B5EF4-FFF2-40B4-BE49-F238E27FC236}">
              <a16:creationId xmlns:a16="http://schemas.microsoft.com/office/drawing/2014/main" id="{4702E8F5-16CD-4AC4-8372-EC9AF07831C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72" name="shapetype_202" hidden="1">
          <a:extLst>
            <a:ext uri="{FF2B5EF4-FFF2-40B4-BE49-F238E27FC236}">
              <a16:creationId xmlns:a16="http://schemas.microsoft.com/office/drawing/2014/main" id="{E1060101-08CA-4005-9DF2-9E854D8B223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70" name="shapetype_202" hidden="1">
          <a:extLst>
            <a:ext uri="{FF2B5EF4-FFF2-40B4-BE49-F238E27FC236}">
              <a16:creationId xmlns:a16="http://schemas.microsoft.com/office/drawing/2014/main" id="{C50959B0-BDCA-4FE1-BD19-EA54FAFE5AA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68" name="shapetype_202" hidden="1">
          <a:extLst>
            <a:ext uri="{FF2B5EF4-FFF2-40B4-BE49-F238E27FC236}">
              <a16:creationId xmlns:a16="http://schemas.microsoft.com/office/drawing/2014/main" id="{6B376E55-0922-4ADA-8F10-62769ED54C3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66" name="shapetype_202" hidden="1">
          <a:extLst>
            <a:ext uri="{FF2B5EF4-FFF2-40B4-BE49-F238E27FC236}">
              <a16:creationId xmlns:a16="http://schemas.microsoft.com/office/drawing/2014/main" id="{F1A0C5E2-4E36-4F8D-8246-9AF85C3E79E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64" name="shapetype_202" hidden="1">
          <a:extLst>
            <a:ext uri="{FF2B5EF4-FFF2-40B4-BE49-F238E27FC236}">
              <a16:creationId xmlns:a16="http://schemas.microsoft.com/office/drawing/2014/main" id="{949AEFEF-883F-495C-BDC3-4541C10D781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62" name="shapetype_202" hidden="1">
          <a:extLst>
            <a:ext uri="{FF2B5EF4-FFF2-40B4-BE49-F238E27FC236}">
              <a16:creationId xmlns:a16="http://schemas.microsoft.com/office/drawing/2014/main" id="{97E55000-1665-43D4-87BD-21CE289F76A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60" name="shapetype_202" hidden="1">
          <a:extLst>
            <a:ext uri="{FF2B5EF4-FFF2-40B4-BE49-F238E27FC236}">
              <a16:creationId xmlns:a16="http://schemas.microsoft.com/office/drawing/2014/main" id="{A0AE9CC0-605A-416B-A6A4-795ABF6167C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58" name="shapetype_202" hidden="1">
          <a:extLst>
            <a:ext uri="{FF2B5EF4-FFF2-40B4-BE49-F238E27FC236}">
              <a16:creationId xmlns:a16="http://schemas.microsoft.com/office/drawing/2014/main" id="{B0AB18A3-A7B6-4798-A680-059D04173A0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56" name="shapetype_202" hidden="1">
          <a:extLst>
            <a:ext uri="{FF2B5EF4-FFF2-40B4-BE49-F238E27FC236}">
              <a16:creationId xmlns:a16="http://schemas.microsoft.com/office/drawing/2014/main" id="{427AF7B0-E520-483E-A35C-9AE753E66DA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54" name="shapetype_202" hidden="1">
          <a:extLst>
            <a:ext uri="{FF2B5EF4-FFF2-40B4-BE49-F238E27FC236}">
              <a16:creationId xmlns:a16="http://schemas.microsoft.com/office/drawing/2014/main" id="{429E749B-E8D8-4185-9901-E2A28488100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52" name="shapetype_202" hidden="1">
          <a:extLst>
            <a:ext uri="{FF2B5EF4-FFF2-40B4-BE49-F238E27FC236}">
              <a16:creationId xmlns:a16="http://schemas.microsoft.com/office/drawing/2014/main" id="{2AA9C83E-E984-469B-AD03-4CB12137086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50" name="shapetype_202" hidden="1">
          <a:extLst>
            <a:ext uri="{FF2B5EF4-FFF2-40B4-BE49-F238E27FC236}">
              <a16:creationId xmlns:a16="http://schemas.microsoft.com/office/drawing/2014/main" id="{7B2C03D0-3CBB-46F2-9205-615FC90B52F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48" name="shapetype_202" hidden="1">
          <a:extLst>
            <a:ext uri="{FF2B5EF4-FFF2-40B4-BE49-F238E27FC236}">
              <a16:creationId xmlns:a16="http://schemas.microsoft.com/office/drawing/2014/main" id="{F80A03B5-6FF5-46D0-AAB6-A03BF256818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46" name="shapetype_202" hidden="1">
          <a:extLst>
            <a:ext uri="{FF2B5EF4-FFF2-40B4-BE49-F238E27FC236}">
              <a16:creationId xmlns:a16="http://schemas.microsoft.com/office/drawing/2014/main" id="{50904827-ADA4-4B3F-97D3-8099E440935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44" name="shapetype_202" hidden="1">
          <a:extLst>
            <a:ext uri="{FF2B5EF4-FFF2-40B4-BE49-F238E27FC236}">
              <a16:creationId xmlns:a16="http://schemas.microsoft.com/office/drawing/2014/main" id="{8D8F4747-B38C-4B0C-AA3F-D9C2CC957D1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42" name="shapetype_202" hidden="1">
          <a:extLst>
            <a:ext uri="{FF2B5EF4-FFF2-40B4-BE49-F238E27FC236}">
              <a16:creationId xmlns:a16="http://schemas.microsoft.com/office/drawing/2014/main" id="{B6F7A803-6D83-44C9-ABE6-874132AD354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40" name="shapetype_202" hidden="1">
          <a:extLst>
            <a:ext uri="{FF2B5EF4-FFF2-40B4-BE49-F238E27FC236}">
              <a16:creationId xmlns:a16="http://schemas.microsoft.com/office/drawing/2014/main" id="{D6A6BC78-DA5D-44EF-9F7C-1A2D2A505A6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38" name="shapetype_202" hidden="1">
          <a:extLst>
            <a:ext uri="{FF2B5EF4-FFF2-40B4-BE49-F238E27FC236}">
              <a16:creationId xmlns:a16="http://schemas.microsoft.com/office/drawing/2014/main" id="{BDE6188E-7A91-43E6-8515-3834D5BE0B9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36" name="shapetype_202" hidden="1">
          <a:extLst>
            <a:ext uri="{FF2B5EF4-FFF2-40B4-BE49-F238E27FC236}">
              <a16:creationId xmlns:a16="http://schemas.microsoft.com/office/drawing/2014/main" id="{86C0A164-3905-48BB-B8F1-CE24F253F83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34" name="shapetype_202" hidden="1">
          <a:extLst>
            <a:ext uri="{FF2B5EF4-FFF2-40B4-BE49-F238E27FC236}">
              <a16:creationId xmlns:a16="http://schemas.microsoft.com/office/drawing/2014/main" id="{4DCD001E-83C0-4EE5-9F15-A8E45A3C3D6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32" name="shapetype_202" hidden="1">
          <a:extLst>
            <a:ext uri="{FF2B5EF4-FFF2-40B4-BE49-F238E27FC236}">
              <a16:creationId xmlns:a16="http://schemas.microsoft.com/office/drawing/2014/main" id="{00A67A37-140E-46DA-9445-2C3A1DB1237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30" name="shapetype_202" hidden="1">
          <a:extLst>
            <a:ext uri="{FF2B5EF4-FFF2-40B4-BE49-F238E27FC236}">
              <a16:creationId xmlns:a16="http://schemas.microsoft.com/office/drawing/2014/main" id="{349BBB0B-21A2-4054-9678-620ACE300D2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28" name="shapetype_202" hidden="1">
          <a:extLst>
            <a:ext uri="{FF2B5EF4-FFF2-40B4-BE49-F238E27FC236}">
              <a16:creationId xmlns:a16="http://schemas.microsoft.com/office/drawing/2014/main" id="{3D2CFC94-AD46-487D-9AC6-CEDEDFA6F2E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26" name="shapetype_202" hidden="1">
          <a:extLst>
            <a:ext uri="{FF2B5EF4-FFF2-40B4-BE49-F238E27FC236}">
              <a16:creationId xmlns:a16="http://schemas.microsoft.com/office/drawing/2014/main" id="{3796050B-E2FE-47DC-8811-03BDBB425EC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24" name="shapetype_202" hidden="1">
          <a:extLst>
            <a:ext uri="{FF2B5EF4-FFF2-40B4-BE49-F238E27FC236}">
              <a16:creationId xmlns:a16="http://schemas.microsoft.com/office/drawing/2014/main" id="{8739602D-E70B-4FCB-A4B4-4F6E69D8E08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22" name="shapetype_202" hidden="1">
          <a:extLst>
            <a:ext uri="{FF2B5EF4-FFF2-40B4-BE49-F238E27FC236}">
              <a16:creationId xmlns:a16="http://schemas.microsoft.com/office/drawing/2014/main" id="{E43273D4-0EDF-4996-96B3-393A70E79BA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20" name="shapetype_202" hidden="1">
          <a:extLst>
            <a:ext uri="{FF2B5EF4-FFF2-40B4-BE49-F238E27FC236}">
              <a16:creationId xmlns:a16="http://schemas.microsoft.com/office/drawing/2014/main" id="{8EE70BD1-FFB7-422F-871E-0FC89D4265A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18" name="shapetype_202" hidden="1">
          <a:extLst>
            <a:ext uri="{FF2B5EF4-FFF2-40B4-BE49-F238E27FC236}">
              <a16:creationId xmlns:a16="http://schemas.microsoft.com/office/drawing/2014/main" id="{7089DC27-4844-4757-B062-E0055D22C18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16" name="shapetype_202" hidden="1">
          <a:extLst>
            <a:ext uri="{FF2B5EF4-FFF2-40B4-BE49-F238E27FC236}">
              <a16:creationId xmlns:a16="http://schemas.microsoft.com/office/drawing/2014/main" id="{89CF0C83-9715-4E6D-8565-6044C844811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14" name="shapetype_202" hidden="1">
          <a:extLst>
            <a:ext uri="{FF2B5EF4-FFF2-40B4-BE49-F238E27FC236}">
              <a16:creationId xmlns:a16="http://schemas.microsoft.com/office/drawing/2014/main" id="{373856C5-8FD3-4530-93F4-69CB8818487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12" name="shapetype_202" hidden="1">
          <a:extLst>
            <a:ext uri="{FF2B5EF4-FFF2-40B4-BE49-F238E27FC236}">
              <a16:creationId xmlns:a16="http://schemas.microsoft.com/office/drawing/2014/main" id="{9E906408-1C71-467B-BA5B-044D6F5EF19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10" name="shapetype_202" hidden="1">
          <a:extLst>
            <a:ext uri="{FF2B5EF4-FFF2-40B4-BE49-F238E27FC236}">
              <a16:creationId xmlns:a16="http://schemas.microsoft.com/office/drawing/2014/main" id="{A7C4DBD6-7E7D-4293-89EE-0EA572F4A9B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08" name="shapetype_202" hidden="1">
          <a:extLst>
            <a:ext uri="{FF2B5EF4-FFF2-40B4-BE49-F238E27FC236}">
              <a16:creationId xmlns:a16="http://schemas.microsoft.com/office/drawing/2014/main" id="{46F7DB33-7502-4DBB-94F0-9270B3A385B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06" name="shapetype_202" hidden="1">
          <a:extLst>
            <a:ext uri="{FF2B5EF4-FFF2-40B4-BE49-F238E27FC236}">
              <a16:creationId xmlns:a16="http://schemas.microsoft.com/office/drawing/2014/main" id="{0A465B44-D7C0-4BAF-9D5D-A1D7FAE2079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04" name="shapetype_202" hidden="1">
          <a:extLst>
            <a:ext uri="{FF2B5EF4-FFF2-40B4-BE49-F238E27FC236}">
              <a16:creationId xmlns:a16="http://schemas.microsoft.com/office/drawing/2014/main" id="{C2C55DC2-C94A-452F-89EF-0300BE319EF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02" name="shapetype_202" hidden="1">
          <a:extLst>
            <a:ext uri="{FF2B5EF4-FFF2-40B4-BE49-F238E27FC236}">
              <a16:creationId xmlns:a16="http://schemas.microsoft.com/office/drawing/2014/main" id="{C00F5283-8EC6-4459-8703-73E73CD9E55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600" name="shapetype_202" hidden="1">
          <a:extLst>
            <a:ext uri="{FF2B5EF4-FFF2-40B4-BE49-F238E27FC236}">
              <a16:creationId xmlns:a16="http://schemas.microsoft.com/office/drawing/2014/main" id="{D10554E9-7B35-4FBE-81FE-E955A701D92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98" name="shapetype_202" hidden="1">
          <a:extLst>
            <a:ext uri="{FF2B5EF4-FFF2-40B4-BE49-F238E27FC236}">
              <a16:creationId xmlns:a16="http://schemas.microsoft.com/office/drawing/2014/main" id="{D766D85E-D83B-449D-9E5E-C4A64068295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96" name="shapetype_202" hidden="1">
          <a:extLst>
            <a:ext uri="{FF2B5EF4-FFF2-40B4-BE49-F238E27FC236}">
              <a16:creationId xmlns:a16="http://schemas.microsoft.com/office/drawing/2014/main" id="{45496EFD-2AC3-4CF8-8C76-EAFB4E96574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94" name="shapetype_202" hidden="1">
          <a:extLst>
            <a:ext uri="{FF2B5EF4-FFF2-40B4-BE49-F238E27FC236}">
              <a16:creationId xmlns:a16="http://schemas.microsoft.com/office/drawing/2014/main" id="{AE336F9C-D9EB-4A92-B05D-7424D5BA633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92" name="shapetype_202" hidden="1">
          <a:extLst>
            <a:ext uri="{FF2B5EF4-FFF2-40B4-BE49-F238E27FC236}">
              <a16:creationId xmlns:a16="http://schemas.microsoft.com/office/drawing/2014/main" id="{E278A2C4-5E78-40D0-83F3-4F5C6665F9F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90" name="shapetype_202" hidden="1">
          <a:extLst>
            <a:ext uri="{FF2B5EF4-FFF2-40B4-BE49-F238E27FC236}">
              <a16:creationId xmlns:a16="http://schemas.microsoft.com/office/drawing/2014/main" id="{686B8931-9F0F-487E-AE96-C10977A720E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88" name="shapetype_202" hidden="1">
          <a:extLst>
            <a:ext uri="{FF2B5EF4-FFF2-40B4-BE49-F238E27FC236}">
              <a16:creationId xmlns:a16="http://schemas.microsoft.com/office/drawing/2014/main" id="{7C3D31F6-2DD5-4DEC-9274-D0911F7866E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86" name="shapetype_202" hidden="1">
          <a:extLst>
            <a:ext uri="{FF2B5EF4-FFF2-40B4-BE49-F238E27FC236}">
              <a16:creationId xmlns:a16="http://schemas.microsoft.com/office/drawing/2014/main" id="{69A9FBB2-D8DA-45BE-9AE3-73C94E8B1FC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84" name="shapetype_202" hidden="1">
          <a:extLst>
            <a:ext uri="{FF2B5EF4-FFF2-40B4-BE49-F238E27FC236}">
              <a16:creationId xmlns:a16="http://schemas.microsoft.com/office/drawing/2014/main" id="{4FE2DDB8-0CF7-42A5-A647-4B0827C0F48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82" name="shapetype_202" hidden="1">
          <a:extLst>
            <a:ext uri="{FF2B5EF4-FFF2-40B4-BE49-F238E27FC236}">
              <a16:creationId xmlns:a16="http://schemas.microsoft.com/office/drawing/2014/main" id="{F3E3C6EA-1A2F-42A8-B4D8-DC2F41C1096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80" name="shapetype_202" hidden="1">
          <a:extLst>
            <a:ext uri="{FF2B5EF4-FFF2-40B4-BE49-F238E27FC236}">
              <a16:creationId xmlns:a16="http://schemas.microsoft.com/office/drawing/2014/main" id="{846522D4-DB9B-473B-968B-5DB313ADFD0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78" name="shapetype_202" hidden="1">
          <a:extLst>
            <a:ext uri="{FF2B5EF4-FFF2-40B4-BE49-F238E27FC236}">
              <a16:creationId xmlns:a16="http://schemas.microsoft.com/office/drawing/2014/main" id="{C7FFAA1D-1DC8-43B8-BA85-F064D3A8E10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76" name="shapetype_202" hidden="1">
          <a:extLst>
            <a:ext uri="{FF2B5EF4-FFF2-40B4-BE49-F238E27FC236}">
              <a16:creationId xmlns:a16="http://schemas.microsoft.com/office/drawing/2014/main" id="{52AD7FC1-E18E-4078-8180-95A78DACC97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74" name="shapetype_202" hidden="1">
          <a:extLst>
            <a:ext uri="{FF2B5EF4-FFF2-40B4-BE49-F238E27FC236}">
              <a16:creationId xmlns:a16="http://schemas.microsoft.com/office/drawing/2014/main" id="{4B3D65EE-CFB5-4A30-9D1A-5C2B97971A0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72" name="shapetype_202" hidden="1">
          <a:extLst>
            <a:ext uri="{FF2B5EF4-FFF2-40B4-BE49-F238E27FC236}">
              <a16:creationId xmlns:a16="http://schemas.microsoft.com/office/drawing/2014/main" id="{5BC56B31-C3D1-42B5-84F5-5FE83481700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70" name="shapetype_202" hidden="1">
          <a:extLst>
            <a:ext uri="{FF2B5EF4-FFF2-40B4-BE49-F238E27FC236}">
              <a16:creationId xmlns:a16="http://schemas.microsoft.com/office/drawing/2014/main" id="{4CDE7DA9-D7F4-4AFE-AC17-ACA07537650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68" name="shapetype_202" hidden="1">
          <a:extLst>
            <a:ext uri="{FF2B5EF4-FFF2-40B4-BE49-F238E27FC236}">
              <a16:creationId xmlns:a16="http://schemas.microsoft.com/office/drawing/2014/main" id="{61BB9A2A-BD75-42A6-9728-4C1A3B23CC7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66" name="shapetype_202" hidden="1">
          <a:extLst>
            <a:ext uri="{FF2B5EF4-FFF2-40B4-BE49-F238E27FC236}">
              <a16:creationId xmlns:a16="http://schemas.microsoft.com/office/drawing/2014/main" id="{47C57BCF-8FBE-4950-A7C1-6AAD121ADF7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64" name="shapetype_202" hidden="1">
          <a:extLst>
            <a:ext uri="{FF2B5EF4-FFF2-40B4-BE49-F238E27FC236}">
              <a16:creationId xmlns:a16="http://schemas.microsoft.com/office/drawing/2014/main" id="{FD4BB7C5-376D-41D6-BC18-1CC5CE35CA2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62" name="shapetype_202" hidden="1">
          <a:extLst>
            <a:ext uri="{FF2B5EF4-FFF2-40B4-BE49-F238E27FC236}">
              <a16:creationId xmlns:a16="http://schemas.microsoft.com/office/drawing/2014/main" id="{86EC39E3-B0E3-4B2B-A901-6249733F21A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60" name="shapetype_202" hidden="1">
          <a:extLst>
            <a:ext uri="{FF2B5EF4-FFF2-40B4-BE49-F238E27FC236}">
              <a16:creationId xmlns:a16="http://schemas.microsoft.com/office/drawing/2014/main" id="{5F56D739-C59C-4C15-9375-6BD458FA3E4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58" name="shapetype_202" hidden="1">
          <a:extLst>
            <a:ext uri="{FF2B5EF4-FFF2-40B4-BE49-F238E27FC236}">
              <a16:creationId xmlns:a16="http://schemas.microsoft.com/office/drawing/2014/main" id="{8AEBA137-5F54-4812-86EC-55984FDB66A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56" name="shapetype_202" hidden="1">
          <a:extLst>
            <a:ext uri="{FF2B5EF4-FFF2-40B4-BE49-F238E27FC236}">
              <a16:creationId xmlns:a16="http://schemas.microsoft.com/office/drawing/2014/main" id="{C86B6444-A802-42A3-A4CB-D4D670721F1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54" name="shapetype_202" hidden="1">
          <a:extLst>
            <a:ext uri="{FF2B5EF4-FFF2-40B4-BE49-F238E27FC236}">
              <a16:creationId xmlns:a16="http://schemas.microsoft.com/office/drawing/2014/main" id="{3F4E0555-DCDA-4ED6-AF3B-925225BC65C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52" name="shapetype_202" hidden="1">
          <a:extLst>
            <a:ext uri="{FF2B5EF4-FFF2-40B4-BE49-F238E27FC236}">
              <a16:creationId xmlns:a16="http://schemas.microsoft.com/office/drawing/2014/main" id="{A8E8908E-9C3A-46C4-B5BC-CE9EEE257AE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50" name="shapetype_202" hidden="1">
          <a:extLst>
            <a:ext uri="{FF2B5EF4-FFF2-40B4-BE49-F238E27FC236}">
              <a16:creationId xmlns:a16="http://schemas.microsoft.com/office/drawing/2014/main" id="{A3801A81-05C6-4383-B02D-5ED928D373B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48" name="shapetype_202" hidden="1">
          <a:extLst>
            <a:ext uri="{FF2B5EF4-FFF2-40B4-BE49-F238E27FC236}">
              <a16:creationId xmlns:a16="http://schemas.microsoft.com/office/drawing/2014/main" id="{ADD15228-4F30-4288-82DB-8F98943D69A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46" name="shapetype_202" hidden="1">
          <a:extLst>
            <a:ext uri="{FF2B5EF4-FFF2-40B4-BE49-F238E27FC236}">
              <a16:creationId xmlns:a16="http://schemas.microsoft.com/office/drawing/2014/main" id="{55FA3500-4731-4C9A-966B-9B07EFAEB60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44" name="shapetype_202" hidden="1">
          <a:extLst>
            <a:ext uri="{FF2B5EF4-FFF2-40B4-BE49-F238E27FC236}">
              <a16:creationId xmlns:a16="http://schemas.microsoft.com/office/drawing/2014/main" id="{5226E82E-8DF9-4C37-9007-D154C3C4270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42" name="shapetype_202" hidden="1">
          <a:extLst>
            <a:ext uri="{FF2B5EF4-FFF2-40B4-BE49-F238E27FC236}">
              <a16:creationId xmlns:a16="http://schemas.microsoft.com/office/drawing/2014/main" id="{277E5475-51CB-4A12-AE28-4B8067092DE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40" name="shapetype_202" hidden="1">
          <a:extLst>
            <a:ext uri="{FF2B5EF4-FFF2-40B4-BE49-F238E27FC236}">
              <a16:creationId xmlns:a16="http://schemas.microsoft.com/office/drawing/2014/main" id="{163DD7E5-ED29-48AF-861C-C5D8797C5AA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38" name="shapetype_202" hidden="1">
          <a:extLst>
            <a:ext uri="{FF2B5EF4-FFF2-40B4-BE49-F238E27FC236}">
              <a16:creationId xmlns:a16="http://schemas.microsoft.com/office/drawing/2014/main" id="{6929B254-A2BC-4406-AD0C-A93BFD2FD35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36" name="shapetype_202" hidden="1">
          <a:extLst>
            <a:ext uri="{FF2B5EF4-FFF2-40B4-BE49-F238E27FC236}">
              <a16:creationId xmlns:a16="http://schemas.microsoft.com/office/drawing/2014/main" id="{D1BF55F4-3B57-4D87-AF1D-77B9717423F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34" name="shapetype_202" hidden="1">
          <a:extLst>
            <a:ext uri="{FF2B5EF4-FFF2-40B4-BE49-F238E27FC236}">
              <a16:creationId xmlns:a16="http://schemas.microsoft.com/office/drawing/2014/main" id="{D932B6BF-2908-4E62-B04D-DA63AA14F7E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32" name="shapetype_202" hidden="1">
          <a:extLst>
            <a:ext uri="{FF2B5EF4-FFF2-40B4-BE49-F238E27FC236}">
              <a16:creationId xmlns:a16="http://schemas.microsoft.com/office/drawing/2014/main" id="{B4E4318D-5246-4DE3-86F9-CD7474C3520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30" name="shapetype_202" hidden="1">
          <a:extLst>
            <a:ext uri="{FF2B5EF4-FFF2-40B4-BE49-F238E27FC236}">
              <a16:creationId xmlns:a16="http://schemas.microsoft.com/office/drawing/2014/main" id="{8B430EA4-80E0-4476-A7BC-C16CC8F8E47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28" name="shapetype_202" hidden="1">
          <a:extLst>
            <a:ext uri="{FF2B5EF4-FFF2-40B4-BE49-F238E27FC236}">
              <a16:creationId xmlns:a16="http://schemas.microsoft.com/office/drawing/2014/main" id="{CB15FDF4-21D0-4F9C-808A-3B0DA9EF0FF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26" name="shapetype_202" hidden="1">
          <a:extLst>
            <a:ext uri="{FF2B5EF4-FFF2-40B4-BE49-F238E27FC236}">
              <a16:creationId xmlns:a16="http://schemas.microsoft.com/office/drawing/2014/main" id="{3A461DBC-EB83-451D-B728-92F6981FEDA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24" name="shapetype_202" hidden="1">
          <a:extLst>
            <a:ext uri="{FF2B5EF4-FFF2-40B4-BE49-F238E27FC236}">
              <a16:creationId xmlns:a16="http://schemas.microsoft.com/office/drawing/2014/main" id="{67D22B4F-18F4-47B6-931B-9A4C35DDEFF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22" name="shapetype_202" hidden="1">
          <a:extLst>
            <a:ext uri="{FF2B5EF4-FFF2-40B4-BE49-F238E27FC236}">
              <a16:creationId xmlns:a16="http://schemas.microsoft.com/office/drawing/2014/main" id="{DAC458B6-AE77-46CD-808D-228C123A062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20" name="shapetype_202" hidden="1">
          <a:extLst>
            <a:ext uri="{FF2B5EF4-FFF2-40B4-BE49-F238E27FC236}">
              <a16:creationId xmlns:a16="http://schemas.microsoft.com/office/drawing/2014/main" id="{05A092AA-0ECB-4B19-822E-2937A5CF343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18" name="shapetype_202" hidden="1">
          <a:extLst>
            <a:ext uri="{FF2B5EF4-FFF2-40B4-BE49-F238E27FC236}">
              <a16:creationId xmlns:a16="http://schemas.microsoft.com/office/drawing/2014/main" id="{7FA5D5FD-E261-44BF-BFC6-C04FDE2304D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16" name="shapetype_202" hidden="1">
          <a:extLst>
            <a:ext uri="{FF2B5EF4-FFF2-40B4-BE49-F238E27FC236}">
              <a16:creationId xmlns:a16="http://schemas.microsoft.com/office/drawing/2014/main" id="{72014FAD-8739-41D9-98FC-26712D2B29B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14" name="shapetype_202" hidden="1">
          <a:extLst>
            <a:ext uri="{FF2B5EF4-FFF2-40B4-BE49-F238E27FC236}">
              <a16:creationId xmlns:a16="http://schemas.microsoft.com/office/drawing/2014/main" id="{9A44C158-233D-45B0-9406-94A1271CC0A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12" name="shapetype_202" hidden="1">
          <a:extLst>
            <a:ext uri="{FF2B5EF4-FFF2-40B4-BE49-F238E27FC236}">
              <a16:creationId xmlns:a16="http://schemas.microsoft.com/office/drawing/2014/main" id="{3F26FDAE-D521-4C87-B0D9-8A4829BFA2F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10" name="shapetype_202" hidden="1">
          <a:extLst>
            <a:ext uri="{FF2B5EF4-FFF2-40B4-BE49-F238E27FC236}">
              <a16:creationId xmlns:a16="http://schemas.microsoft.com/office/drawing/2014/main" id="{F508BE00-7124-4E6B-BF8A-61A552A4668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08" name="shapetype_202" hidden="1">
          <a:extLst>
            <a:ext uri="{FF2B5EF4-FFF2-40B4-BE49-F238E27FC236}">
              <a16:creationId xmlns:a16="http://schemas.microsoft.com/office/drawing/2014/main" id="{598678E5-7374-4603-AD41-417DB1DD416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06" name="shapetype_202" hidden="1">
          <a:extLst>
            <a:ext uri="{FF2B5EF4-FFF2-40B4-BE49-F238E27FC236}">
              <a16:creationId xmlns:a16="http://schemas.microsoft.com/office/drawing/2014/main" id="{6BFBC820-EF05-4167-B7A9-D028E0C3D19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04" name="shapetype_202" hidden="1">
          <a:extLst>
            <a:ext uri="{FF2B5EF4-FFF2-40B4-BE49-F238E27FC236}">
              <a16:creationId xmlns:a16="http://schemas.microsoft.com/office/drawing/2014/main" id="{A0D09F85-A38A-4C2A-8E1A-44A0709AFC8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02" name="shapetype_202" hidden="1">
          <a:extLst>
            <a:ext uri="{FF2B5EF4-FFF2-40B4-BE49-F238E27FC236}">
              <a16:creationId xmlns:a16="http://schemas.microsoft.com/office/drawing/2014/main" id="{CC407261-B25D-4F2D-9007-1BBB2F364D8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500" name="shapetype_202" hidden="1">
          <a:extLst>
            <a:ext uri="{FF2B5EF4-FFF2-40B4-BE49-F238E27FC236}">
              <a16:creationId xmlns:a16="http://schemas.microsoft.com/office/drawing/2014/main" id="{145CC2D5-DA05-4929-8C8F-13EBED791B6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98" name="shapetype_202" hidden="1">
          <a:extLst>
            <a:ext uri="{FF2B5EF4-FFF2-40B4-BE49-F238E27FC236}">
              <a16:creationId xmlns:a16="http://schemas.microsoft.com/office/drawing/2014/main" id="{A6C116AF-DA9F-4AB1-B1F1-D1CCF536B3B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96" name="shapetype_202" hidden="1">
          <a:extLst>
            <a:ext uri="{FF2B5EF4-FFF2-40B4-BE49-F238E27FC236}">
              <a16:creationId xmlns:a16="http://schemas.microsoft.com/office/drawing/2014/main" id="{B03AF0F9-47DE-41BF-BF0F-088185B502A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94" name="shapetype_202" hidden="1">
          <a:extLst>
            <a:ext uri="{FF2B5EF4-FFF2-40B4-BE49-F238E27FC236}">
              <a16:creationId xmlns:a16="http://schemas.microsoft.com/office/drawing/2014/main" id="{43D0BC15-5BC1-489A-ADC4-E1D84001785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92" name="shapetype_202" hidden="1">
          <a:extLst>
            <a:ext uri="{FF2B5EF4-FFF2-40B4-BE49-F238E27FC236}">
              <a16:creationId xmlns:a16="http://schemas.microsoft.com/office/drawing/2014/main" id="{B52CAA40-6E29-4C25-9F9A-68D9E8944D3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90" name="shapetype_202" hidden="1">
          <a:extLst>
            <a:ext uri="{FF2B5EF4-FFF2-40B4-BE49-F238E27FC236}">
              <a16:creationId xmlns:a16="http://schemas.microsoft.com/office/drawing/2014/main" id="{D95D0C9F-C644-4375-8452-1DE19237D2B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88" name="shapetype_202" hidden="1">
          <a:extLst>
            <a:ext uri="{FF2B5EF4-FFF2-40B4-BE49-F238E27FC236}">
              <a16:creationId xmlns:a16="http://schemas.microsoft.com/office/drawing/2014/main" id="{85DF0CE3-E57F-408F-AE4B-868CD712757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86" name="shapetype_202" hidden="1">
          <a:extLst>
            <a:ext uri="{FF2B5EF4-FFF2-40B4-BE49-F238E27FC236}">
              <a16:creationId xmlns:a16="http://schemas.microsoft.com/office/drawing/2014/main" id="{80FC9B3C-F14A-4943-873F-271F4285626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84" name="shapetype_202" hidden="1">
          <a:extLst>
            <a:ext uri="{FF2B5EF4-FFF2-40B4-BE49-F238E27FC236}">
              <a16:creationId xmlns:a16="http://schemas.microsoft.com/office/drawing/2014/main" id="{079256F9-FF9F-43FE-9752-53884768967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82" name="shapetype_202" hidden="1">
          <a:extLst>
            <a:ext uri="{FF2B5EF4-FFF2-40B4-BE49-F238E27FC236}">
              <a16:creationId xmlns:a16="http://schemas.microsoft.com/office/drawing/2014/main" id="{CDC9338D-91BE-4CF6-9865-8790167EF93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80" name="shapetype_202" hidden="1">
          <a:extLst>
            <a:ext uri="{FF2B5EF4-FFF2-40B4-BE49-F238E27FC236}">
              <a16:creationId xmlns:a16="http://schemas.microsoft.com/office/drawing/2014/main" id="{04561906-3269-4CB1-9DF5-D15F31E9AC2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78" name="shapetype_202" hidden="1">
          <a:extLst>
            <a:ext uri="{FF2B5EF4-FFF2-40B4-BE49-F238E27FC236}">
              <a16:creationId xmlns:a16="http://schemas.microsoft.com/office/drawing/2014/main" id="{8A5B084A-02B6-4FAB-88BF-9DF2B34A25A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76" name="shapetype_202" hidden="1">
          <a:extLst>
            <a:ext uri="{FF2B5EF4-FFF2-40B4-BE49-F238E27FC236}">
              <a16:creationId xmlns:a16="http://schemas.microsoft.com/office/drawing/2014/main" id="{948A4BCB-6CDF-415D-BCEB-930471412DD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74" name="shapetype_202" hidden="1">
          <a:extLst>
            <a:ext uri="{FF2B5EF4-FFF2-40B4-BE49-F238E27FC236}">
              <a16:creationId xmlns:a16="http://schemas.microsoft.com/office/drawing/2014/main" id="{47163A33-AD29-4B35-BB23-9E38B38DE37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72" name="shapetype_202" hidden="1">
          <a:extLst>
            <a:ext uri="{FF2B5EF4-FFF2-40B4-BE49-F238E27FC236}">
              <a16:creationId xmlns:a16="http://schemas.microsoft.com/office/drawing/2014/main" id="{E664D664-722F-4D10-B709-F087E1E60CB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70" name="shapetype_202" hidden="1">
          <a:extLst>
            <a:ext uri="{FF2B5EF4-FFF2-40B4-BE49-F238E27FC236}">
              <a16:creationId xmlns:a16="http://schemas.microsoft.com/office/drawing/2014/main" id="{30AA4314-D019-4745-8AA6-398CAC6CE16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68" name="shapetype_202" hidden="1">
          <a:extLst>
            <a:ext uri="{FF2B5EF4-FFF2-40B4-BE49-F238E27FC236}">
              <a16:creationId xmlns:a16="http://schemas.microsoft.com/office/drawing/2014/main" id="{3AE4B9C3-127A-436B-B983-3BC2ACFCFAA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66" name="shapetype_202" hidden="1">
          <a:extLst>
            <a:ext uri="{FF2B5EF4-FFF2-40B4-BE49-F238E27FC236}">
              <a16:creationId xmlns:a16="http://schemas.microsoft.com/office/drawing/2014/main" id="{F9B4074A-10AD-47FD-8CBB-A1FF745A6D0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64" name="shapetype_202" hidden="1">
          <a:extLst>
            <a:ext uri="{FF2B5EF4-FFF2-40B4-BE49-F238E27FC236}">
              <a16:creationId xmlns:a16="http://schemas.microsoft.com/office/drawing/2014/main" id="{29D3E9FA-AB7B-4560-AC7A-33870339081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62" name="shapetype_202" hidden="1">
          <a:extLst>
            <a:ext uri="{FF2B5EF4-FFF2-40B4-BE49-F238E27FC236}">
              <a16:creationId xmlns:a16="http://schemas.microsoft.com/office/drawing/2014/main" id="{0F600CC4-FD65-4AA6-B65A-CB2AED2BB68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60" name="shapetype_202" hidden="1">
          <a:extLst>
            <a:ext uri="{FF2B5EF4-FFF2-40B4-BE49-F238E27FC236}">
              <a16:creationId xmlns:a16="http://schemas.microsoft.com/office/drawing/2014/main" id="{A2DDEA9E-5421-4B7B-9E9C-96A772EACB7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58" name="shapetype_202" hidden="1">
          <a:extLst>
            <a:ext uri="{FF2B5EF4-FFF2-40B4-BE49-F238E27FC236}">
              <a16:creationId xmlns:a16="http://schemas.microsoft.com/office/drawing/2014/main" id="{9836ECA0-C819-4DAC-8E68-ECC1420A3C6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56" name="shapetype_202" hidden="1">
          <a:extLst>
            <a:ext uri="{FF2B5EF4-FFF2-40B4-BE49-F238E27FC236}">
              <a16:creationId xmlns:a16="http://schemas.microsoft.com/office/drawing/2014/main" id="{C2AECB05-9088-44AF-B1D7-CEC51D2788A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54" name="shapetype_202" hidden="1">
          <a:extLst>
            <a:ext uri="{FF2B5EF4-FFF2-40B4-BE49-F238E27FC236}">
              <a16:creationId xmlns:a16="http://schemas.microsoft.com/office/drawing/2014/main" id="{0D2F45E5-93C6-42B9-A45D-F8A2EEA0B97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52" name="shapetype_202" hidden="1">
          <a:extLst>
            <a:ext uri="{FF2B5EF4-FFF2-40B4-BE49-F238E27FC236}">
              <a16:creationId xmlns:a16="http://schemas.microsoft.com/office/drawing/2014/main" id="{CBE15395-7302-43BD-89A8-66293129FFC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50" name="shapetype_202" hidden="1">
          <a:extLst>
            <a:ext uri="{FF2B5EF4-FFF2-40B4-BE49-F238E27FC236}">
              <a16:creationId xmlns:a16="http://schemas.microsoft.com/office/drawing/2014/main" id="{2F477C75-B3A0-4733-BC8D-E5E7B769630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48" name="shapetype_202" hidden="1">
          <a:extLst>
            <a:ext uri="{FF2B5EF4-FFF2-40B4-BE49-F238E27FC236}">
              <a16:creationId xmlns:a16="http://schemas.microsoft.com/office/drawing/2014/main" id="{49752DA3-7067-4392-B75F-F7AFA36282F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46" name="shapetype_202" hidden="1">
          <a:extLst>
            <a:ext uri="{FF2B5EF4-FFF2-40B4-BE49-F238E27FC236}">
              <a16:creationId xmlns:a16="http://schemas.microsoft.com/office/drawing/2014/main" id="{8C005056-6B94-4ABD-820A-31F0726E22F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44" name="shapetype_202" hidden="1">
          <a:extLst>
            <a:ext uri="{FF2B5EF4-FFF2-40B4-BE49-F238E27FC236}">
              <a16:creationId xmlns:a16="http://schemas.microsoft.com/office/drawing/2014/main" id="{117D40F0-AD7E-4837-9369-9ED272E42CF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42" name="shapetype_202" hidden="1">
          <a:extLst>
            <a:ext uri="{FF2B5EF4-FFF2-40B4-BE49-F238E27FC236}">
              <a16:creationId xmlns:a16="http://schemas.microsoft.com/office/drawing/2014/main" id="{D6202FF2-05DF-43BB-B3EE-6241AB8A0AB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40" name="shapetype_202" hidden="1">
          <a:extLst>
            <a:ext uri="{FF2B5EF4-FFF2-40B4-BE49-F238E27FC236}">
              <a16:creationId xmlns:a16="http://schemas.microsoft.com/office/drawing/2014/main" id="{E5ABDDB9-8019-4E45-A679-5A135CAF861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38" name="shapetype_202" hidden="1">
          <a:extLst>
            <a:ext uri="{FF2B5EF4-FFF2-40B4-BE49-F238E27FC236}">
              <a16:creationId xmlns:a16="http://schemas.microsoft.com/office/drawing/2014/main" id="{50043B3B-F190-42D9-B30B-D4E96EF1C3C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36" name="shapetype_202" hidden="1">
          <a:extLst>
            <a:ext uri="{FF2B5EF4-FFF2-40B4-BE49-F238E27FC236}">
              <a16:creationId xmlns:a16="http://schemas.microsoft.com/office/drawing/2014/main" id="{79E220D6-9E0A-4F5E-816A-73687A6D96F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34" name="shapetype_202" hidden="1">
          <a:extLst>
            <a:ext uri="{FF2B5EF4-FFF2-40B4-BE49-F238E27FC236}">
              <a16:creationId xmlns:a16="http://schemas.microsoft.com/office/drawing/2014/main" id="{F9E6AD08-FBA5-4659-8C44-FC9477D2CC4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32" name="shapetype_202" hidden="1">
          <a:extLst>
            <a:ext uri="{FF2B5EF4-FFF2-40B4-BE49-F238E27FC236}">
              <a16:creationId xmlns:a16="http://schemas.microsoft.com/office/drawing/2014/main" id="{03FD661A-DAAB-4C87-99F7-B6C540C9229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30" name="shapetype_202" hidden="1">
          <a:extLst>
            <a:ext uri="{FF2B5EF4-FFF2-40B4-BE49-F238E27FC236}">
              <a16:creationId xmlns:a16="http://schemas.microsoft.com/office/drawing/2014/main" id="{67D27CCB-06D1-4F42-A09A-ED08CF1493C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28" name="shapetype_202" hidden="1">
          <a:extLst>
            <a:ext uri="{FF2B5EF4-FFF2-40B4-BE49-F238E27FC236}">
              <a16:creationId xmlns:a16="http://schemas.microsoft.com/office/drawing/2014/main" id="{AD7DA787-6AEF-41E6-9AC0-E9C17C318BC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26" name="shapetype_202" hidden="1">
          <a:extLst>
            <a:ext uri="{FF2B5EF4-FFF2-40B4-BE49-F238E27FC236}">
              <a16:creationId xmlns:a16="http://schemas.microsoft.com/office/drawing/2014/main" id="{9DF55B90-8DD7-4A4B-A91E-1CB35B767BD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24" name="shapetype_202" hidden="1">
          <a:extLst>
            <a:ext uri="{FF2B5EF4-FFF2-40B4-BE49-F238E27FC236}">
              <a16:creationId xmlns:a16="http://schemas.microsoft.com/office/drawing/2014/main" id="{87A2F4BC-67C5-47F4-9756-F994A835A62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22" name="shapetype_202" hidden="1">
          <a:extLst>
            <a:ext uri="{FF2B5EF4-FFF2-40B4-BE49-F238E27FC236}">
              <a16:creationId xmlns:a16="http://schemas.microsoft.com/office/drawing/2014/main" id="{FE4453BD-2258-4CC9-B3B4-9A4252C0D02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20" name="shapetype_202" hidden="1">
          <a:extLst>
            <a:ext uri="{FF2B5EF4-FFF2-40B4-BE49-F238E27FC236}">
              <a16:creationId xmlns:a16="http://schemas.microsoft.com/office/drawing/2014/main" id="{83B73F32-4E5B-4D98-9B1D-D44A6FEBD81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18" name="shapetype_202" hidden="1">
          <a:extLst>
            <a:ext uri="{FF2B5EF4-FFF2-40B4-BE49-F238E27FC236}">
              <a16:creationId xmlns:a16="http://schemas.microsoft.com/office/drawing/2014/main" id="{EA5F33D7-5DED-4BF1-A27B-F6A33B74E67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16" name="shapetype_202" hidden="1">
          <a:extLst>
            <a:ext uri="{FF2B5EF4-FFF2-40B4-BE49-F238E27FC236}">
              <a16:creationId xmlns:a16="http://schemas.microsoft.com/office/drawing/2014/main" id="{B9003D8D-35E4-4036-943C-A3403702789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14" name="shapetype_202" hidden="1">
          <a:extLst>
            <a:ext uri="{FF2B5EF4-FFF2-40B4-BE49-F238E27FC236}">
              <a16:creationId xmlns:a16="http://schemas.microsoft.com/office/drawing/2014/main" id="{F4D3672D-3339-4290-9C4C-D5D082509AE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12" name="shapetype_202" hidden="1">
          <a:extLst>
            <a:ext uri="{FF2B5EF4-FFF2-40B4-BE49-F238E27FC236}">
              <a16:creationId xmlns:a16="http://schemas.microsoft.com/office/drawing/2014/main" id="{95D2BDD6-D444-45BC-B11E-C3A3D1C69F3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10" name="shapetype_202" hidden="1">
          <a:extLst>
            <a:ext uri="{FF2B5EF4-FFF2-40B4-BE49-F238E27FC236}">
              <a16:creationId xmlns:a16="http://schemas.microsoft.com/office/drawing/2014/main" id="{BED547A9-4875-4658-B0BC-70D351BD0A0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08" name="shapetype_202" hidden="1">
          <a:extLst>
            <a:ext uri="{FF2B5EF4-FFF2-40B4-BE49-F238E27FC236}">
              <a16:creationId xmlns:a16="http://schemas.microsoft.com/office/drawing/2014/main" id="{2741AD18-9A75-4DCD-9D99-81AE4DA8C8C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06" name="shapetype_202" hidden="1">
          <a:extLst>
            <a:ext uri="{FF2B5EF4-FFF2-40B4-BE49-F238E27FC236}">
              <a16:creationId xmlns:a16="http://schemas.microsoft.com/office/drawing/2014/main" id="{2B009DE1-4C8F-47A4-9A10-E2FFF56FFCF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04" name="shapetype_202" hidden="1">
          <a:extLst>
            <a:ext uri="{FF2B5EF4-FFF2-40B4-BE49-F238E27FC236}">
              <a16:creationId xmlns:a16="http://schemas.microsoft.com/office/drawing/2014/main" id="{ADA18A7D-114C-4CC5-8D86-4CD2C86F444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02" name="shapetype_202" hidden="1">
          <a:extLst>
            <a:ext uri="{FF2B5EF4-FFF2-40B4-BE49-F238E27FC236}">
              <a16:creationId xmlns:a16="http://schemas.microsoft.com/office/drawing/2014/main" id="{BFBDE995-0132-421C-BA18-2039C2A7088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400" name="shapetype_202" hidden="1">
          <a:extLst>
            <a:ext uri="{FF2B5EF4-FFF2-40B4-BE49-F238E27FC236}">
              <a16:creationId xmlns:a16="http://schemas.microsoft.com/office/drawing/2014/main" id="{4B6D0CA8-4101-4623-890A-3254247128E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98" name="shapetype_202" hidden="1">
          <a:extLst>
            <a:ext uri="{FF2B5EF4-FFF2-40B4-BE49-F238E27FC236}">
              <a16:creationId xmlns:a16="http://schemas.microsoft.com/office/drawing/2014/main" id="{7EB195B3-8CE0-4DBD-B740-43C3FBE2439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96" name="shapetype_202" hidden="1">
          <a:extLst>
            <a:ext uri="{FF2B5EF4-FFF2-40B4-BE49-F238E27FC236}">
              <a16:creationId xmlns:a16="http://schemas.microsoft.com/office/drawing/2014/main" id="{406DA27F-FBD1-4ADB-A36E-5FFDC84F081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94" name="shapetype_202" hidden="1">
          <a:extLst>
            <a:ext uri="{FF2B5EF4-FFF2-40B4-BE49-F238E27FC236}">
              <a16:creationId xmlns:a16="http://schemas.microsoft.com/office/drawing/2014/main" id="{EE718597-0722-4EBA-9CE9-7883FF0764D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92" name="shapetype_202" hidden="1">
          <a:extLst>
            <a:ext uri="{FF2B5EF4-FFF2-40B4-BE49-F238E27FC236}">
              <a16:creationId xmlns:a16="http://schemas.microsoft.com/office/drawing/2014/main" id="{AA152B1E-9571-4533-AF96-E2E82593866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90" name="shapetype_202" hidden="1">
          <a:extLst>
            <a:ext uri="{FF2B5EF4-FFF2-40B4-BE49-F238E27FC236}">
              <a16:creationId xmlns:a16="http://schemas.microsoft.com/office/drawing/2014/main" id="{EAE891D1-9A68-4A97-98EA-FE0E267E64C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88" name="shapetype_202" hidden="1">
          <a:extLst>
            <a:ext uri="{FF2B5EF4-FFF2-40B4-BE49-F238E27FC236}">
              <a16:creationId xmlns:a16="http://schemas.microsoft.com/office/drawing/2014/main" id="{4FA3C228-B943-48B5-9783-BDE5056647B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86" name="shapetype_202" hidden="1">
          <a:extLst>
            <a:ext uri="{FF2B5EF4-FFF2-40B4-BE49-F238E27FC236}">
              <a16:creationId xmlns:a16="http://schemas.microsoft.com/office/drawing/2014/main" id="{296EA19B-8E9B-4823-987D-461B07B4B21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84" name="shapetype_202" hidden="1">
          <a:extLst>
            <a:ext uri="{FF2B5EF4-FFF2-40B4-BE49-F238E27FC236}">
              <a16:creationId xmlns:a16="http://schemas.microsoft.com/office/drawing/2014/main" id="{789F9CE8-E051-4C7D-A7A1-89DF5DB79D6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82" name="shapetype_202" hidden="1">
          <a:extLst>
            <a:ext uri="{FF2B5EF4-FFF2-40B4-BE49-F238E27FC236}">
              <a16:creationId xmlns:a16="http://schemas.microsoft.com/office/drawing/2014/main" id="{D0D763EA-4D8F-477A-8E2D-853996F8346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80" name="shapetype_202" hidden="1">
          <a:extLst>
            <a:ext uri="{FF2B5EF4-FFF2-40B4-BE49-F238E27FC236}">
              <a16:creationId xmlns:a16="http://schemas.microsoft.com/office/drawing/2014/main" id="{12B1E7D5-3B84-4365-B712-FDDDD5FB1D2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78" name="shapetype_202" hidden="1">
          <a:extLst>
            <a:ext uri="{FF2B5EF4-FFF2-40B4-BE49-F238E27FC236}">
              <a16:creationId xmlns:a16="http://schemas.microsoft.com/office/drawing/2014/main" id="{1D1968BE-C8B5-4FFD-84E6-1E77661B47F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76" name="shapetype_202" hidden="1">
          <a:extLst>
            <a:ext uri="{FF2B5EF4-FFF2-40B4-BE49-F238E27FC236}">
              <a16:creationId xmlns:a16="http://schemas.microsoft.com/office/drawing/2014/main" id="{D8DC5DD4-EBF7-42C4-B139-C207A04EA49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74" name="shapetype_202" hidden="1">
          <a:extLst>
            <a:ext uri="{FF2B5EF4-FFF2-40B4-BE49-F238E27FC236}">
              <a16:creationId xmlns:a16="http://schemas.microsoft.com/office/drawing/2014/main" id="{759CD4A1-862A-4893-AA08-5BF39A0FE94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72" name="shapetype_202" hidden="1">
          <a:extLst>
            <a:ext uri="{FF2B5EF4-FFF2-40B4-BE49-F238E27FC236}">
              <a16:creationId xmlns:a16="http://schemas.microsoft.com/office/drawing/2014/main" id="{7C23B436-1BCF-48D2-BAD5-3A61A75A6EC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70" name="shapetype_202" hidden="1">
          <a:extLst>
            <a:ext uri="{FF2B5EF4-FFF2-40B4-BE49-F238E27FC236}">
              <a16:creationId xmlns:a16="http://schemas.microsoft.com/office/drawing/2014/main" id="{11E06E52-373D-4B09-BEB0-9D52B17ACBB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68" name="shapetype_202" hidden="1">
          <a:extLst>
            <a:ext uri="{FF2B5EF4-FFF2-40B4-BE49-F238E27FC236}">
              <a16:creationId xmlns:a16="http://schemas.microsoft.com/office/drawing/2014/main" id="{982536B8-09B7-43D2-B588-C524685A41A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66" name="shapetype_202" hidden="1">
          <a:extLst>
            <a:ext uri="{FF2B5EF4-FFF2-40B4-BE49-F238E27FC236}">
              <a16:creationId xmlns:a16="http://schemas.microsoft.com/office/drawing/2014/main" id="{E75487B5-D721-47A7-9A9D-095B4D1ACE1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64" name="shapetype_202" hidden="1">
          <a:extLst>
            <a:ext uri="{FF2B5EF4-FFF2-40B4-BE49-F238E27FC236}">
              <a16:creationId xmlns:a16="http://schemas.microsoft.com/office/drawing/2014/main" id="{AABDEA5A-39DD-499B-BA02-6E6D41ECD41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62" name="shapetype_202" hidden="1">
          <a:extLst>
            <a:ext uri="{FF2B5EF4-FFF2-40B4-BE49-F238E27FC236}">
              <a16:creationId xmlns:a16="http://schemas.microsoft.com/office/drawing/2014/main" id="{69C3FA74-921B-44D5-9C70-44B77E35900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60" name="shapetype_202" hidden="1">
          <a:extLst>
            <a:ext uri="{FF2B5EF4-FFF2-40B4-BE49-F238E27FC236}">
              <a16:creationId xmlns:a16="http://schemas.microsoft.com/office/drawing/2014/main" id="{99B0948E-6179-4E6A-8A94-DF80D1D38CB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58" name="shapetype_202" hidden="1">
          <a:extLst>
            <a:ext uri="{FF2B5EF4-FFF2-40B4-BE49-F238E27FC236}">
              <a16:creationId xmlns:a16="http://schemas.microsoft.com/office/drawing/2014/main" id="{9445617A-D6D7-4FE6-9833-E7C96E96CA0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56" name="shapetype_202" hidden="1">
          <a:extLst>
            <a:ext uri="{FF2B5EF4-FFF2-40B4-BE49-F238E27FC236}">
              <a16:creationId xmlns:a16="http://schemas.microsoft.com/office/drawing/2014/main" id="{3437B9ED-A002-49B3-91B1-D7A0C293544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54" name="shapetype_202" hidden="1">
          <a:extLst>
            <a:ext uri="{FF2B5EF4-FFF2-40B4-BE49-F238E27FC236}">
              <a16:creationId xmlns:a16="http://schemas.microsoft.com/office/drawing/2014/main" id="{2B4DAEED-7E94-44CA-A287-6E51C52B413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52" name="shapetype_202" hidden="1">
          <a:extLst>
            <a:ext uri="{FF2B5EF4-FFF2-40B4-BE49-F238E27FC236}">
              <a16:creationId xmlns:a16="http://schemas.microsoft.com/office/drawing/2014/main" id="{89C02167-6EA4-4954-A3D8-9F5ACC65722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50" name="shapetype_202" hidden="1">
          <a:extLst>
            <a:ext uri="{FF2B5EF4-FFF2-40B4-BE49-F238E27FC236}">
              <a16:creationId xmlns:a16="http://schemas.microsoft.com/office/drawing/2014/main" id="{7010C867-E602-494D-9AEA-22FF4C383EC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48" name="shapetype_202" hidden="1">
          <a:extLst>
            <a:ext uri="{FF2B5EF4-FFF2-40B4-BE49-F238E27FC236}">
              <a16:creationId xmlns:a16="http://schemas.microsoft.com/office/drawing/2014/main" id="{C8306A20-5BD7-40A2-99FB-F4FF3C307BF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46" name="shapetype_202" hidden="1">
          <a:extLst>
            <a:ext uri="{FF2B5EF4-FFF2-40B4-BE49-F238E27FC236}">
              <a16:creationId xmlns:a16="http://schemas.microsoft.com/office/drawing/2014/main" id="{B93A19C7-B957-40E4-80CB-34461B63128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44" name="shapetype_202" hidden="1">
          <a:extLst>
            <a:ext uri="{FF2B5EF4-FFF2-40B4-BE49-F238E27FC236}">
              <a16:creationId xmlns:a16="http://schemas.microsoft.com/office/drawing/2014/main" id="{DABAA980-7C1F-4D69-B81E-D1BD53DC612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42" name="shapetype_202" hidden="1">
          <a:extLst>
            <a:ext uri="{FF2B5EF4-FFF2-40B4-BE49-F238E27FC236}">
              <a16:creationId xmlns:a16="http://schemas.microsoft.com/office/drawing/2014/main" id="{D5D102E2-3A96-490D-BFE9-53F143EB114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40" name="shapetype_202" hidden="1">
          <a:extLst>
            <a:ext uri="{FF2B5EF4-FFF2-40B4-BE49-F238E27FC236}">
              <a16:creationId xmlns:a16="http://schemas.microsoft.com/office/drawing/2014/main" id="{0BCA08FE-2D68-4660-9C3B-233BD81CFD4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38" name="shapetype_202" hidden="1">
          <a:extLst>
            <a:ext uri="{FF2B5EF4-FFF2-40B4-BE49-F238E27FC236}">
              <a16:creationId xmlns:a16="http://schemas.microsoft.com/office/drawing/2014/main" id="{3E2C730C-34F4-418E-966E-6EEF71E8003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36" name="shapetype_202" hidden="1">
          <a:extLst>
            <a:ext uri="{FF2B5EF4-FFF2-40B4-BE49-F238E27FC236}">
              <a16:creationId xmlns:a16="http://schemas.microsoft.com/office/drawing/2014/main" id="{6704868B-991D-4EB2-A9D0-F3339E926A2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34" name="shapetype_202" hidden="1">
          <a:extLst>
            <a:ext uri="{FF2B5EF4-FFF2-40B4-BE49-F238E27FC236}">
              <a16:creationId xmlns:a16="http://schemas.microsoft.com/office/drawing/2014/main" id="{94FF3990-F38D-4F80-B715-695C210E18C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32" name="shapetype_202" hidden="1">
          <a:extLst>
            <a:ext uri="{FF2B5EF4-FFF2-40B4-BE49-F238E27FC236}">
              <a16:creationId xmlns:a16="http://schemas.microsoft.com/office/drawing/2014/main" id="{5845F907-5C44-4DBD-B256-90F5B12D3AF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30" name="shapetype_202" hidden="1">
          <a:extLst>
            <a:ext uri="{FF2B5EF4-FFF2-40B4-BE49-F238E27FC236}">
              <a16:creationId xmlns:a16="http://schemas.microsoft.com/office/drawing/2014/main" id="{B803A157-47B2-4C74-A3DE-B7F6A170BFA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28" name="shapetype_202" hidden="1">
          <a:extLst>
            <a:ext uri="{FF2B5EF4-FFF2-40B4-BE49-F238E27FC236}">
              <a16:creationId xmlns:a16="http://schemas.microsoft.com/office/drawing/2014/main" id="{207FD5C0-26F0-4C0A-B00D-F54211A78AC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26" name="shapetype_202" hidden="1">
          <a:extLst>
            <a:ext uri="{FF2B5EF4-FFF2-40B4-BE49-F238E27FC236}">
              <a16:creationId xmlns:a16="http://schemas.microsoft.com/office/drawing/2014/main" id="{197C8969-100D-4CBC-B855-32B240EE4A7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24" name="shapetype_202" hidden="1">
          <a:extLst>
            <a:ext uri="{FF2B5EF4-FFF2-40B4-BE49-F238E27FC236}">
              <a16:creationId xmlns:a16="http://schemas.microsoft.com/office/drawing/2014/main" id="{7D9D3CC7-65E9-4573-8A81-877931F6C1A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22" name="shapetype_202" hidden="1">
          <a:extLst>
            <a:ext uri="{FF2B5EF4-FFF2-40B4-BE49-F238E27FC236}">
              <a16:creationId xmlns:a16="http://schemas.microsoft.com/office/drawing/2014/main" id="{35D136A1-76F6-42BA-B9A4-864A6F136EF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20" name="shapetype_202" hidden="1">
          <a:extLst>
            <a:ext uri="{FF2B5EF4-FFF2-40B4-BE49-F238E27FC236}">
              <a16:creationId xmlns:a16="http://schemas.microsoft.com/office/drawing/2014/main" id="{208320AC-3EC2-4D90-8C40-79899C51B84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18" name="shapetype_202" hidden="1">
          <a:extLst>
            <a:ext uri="{FF2B5EF4-FFF2-40B4-BE49-F238E27FC236}">
              <a16:creationId xmlns:a16="http://schemas.microsoft.com/office/drawing/2014/main" id="{738BA866-30F0-45FF-A6CF-2365DE8C71C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16" name="shapetype_202" hidden="1">
          <a:extLst>
            <a:ext uri="{FF2B5EF4-FFF2-40B4-BE49-F238E27FC236}">
              <a16:creationId xmlns:a16="http://schemas.microsoft.com/office/drawing/2014/main" id="{FB52D122-97FB-4A96-81FC-E0AA6AFC758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14" name="shapetype_202" hidden="1">
          <a:extLst>
            <a:ext uri="{FF2B5EF4-FFF2-40B4-BE49-F238E27FC236}">
              <a16:creationId xmlns:a16="http://schemas.microsoft.com/office/drawing/2014/main" id="{628ED72B-FFE8-4FC5-8DE9-72024303553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12" name="shapetype_202" hidden="1">
          <a:extLst>
            <a:ext uri="{FF2B5EF4-FFF2-40B4-BE49-F238E27FC236}">
              <a16:creationId xmlns:a16="http://schemas.microsoft.com/office/drawing/2014/main" id="{83952959-6996-4678-A2D3-205CCF9EE48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10" name="shapetype_202" hidden="1">
          <a:extLst>
            <a:ext uri="{FF2B5EF4-FFF2-40B4-BE49-F238E27FC236}">
              <a16:creationId xmlns:a16="http://schemas.microsoft.com/office/drawing/2014/main" id="{11393B8B-A426-4B4E-B2EF-AC4DF8006DA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08" name="shapetype_202" hidden="1">
          <a:extLst>
            <a:ext uri="{FF2B5EF4-FFF2-40B4-BE49-F238E27FC236}">
              <a16:creationId xmlns:a16="http://schemas.microsoft.com/office/drawing/2014/main" id="{FD08CFD1-9732-42EF-8716-9BA9DF1034B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06" name="shapetype_202" hidden="1">
          <a:extLst>
            <a:ext uri="{FF2B5EF4-FFF2-40B4-BE49-F238E27FC236}">
              <a16:creationId xmlns:a16="http://schemas.microsoft.com/office/drawing/2014/main" id="{F0C91FCD-4000-4DAD-8485-B7C3123DED5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04" name="shapetype_202" hidden="1">
          <a:extLst>
            <a:ext uri="{FF2B5EF4-FFF2-40B4-BE49-F238E27FC236}">
              <a16:creationId xmlns:a16="http://schemas.microsoft.com/office/drawing/2014/main" id="{C2E1DE69-9A20-46D7-B640-D876B390D0A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02" name="shapetype_202" hidden="1">
          <a:extLst>
            <a:ext uri="{FF2B5EF4-FFF2-40B4-BE49-F238E27FC236}">
              <a16:creationId xmlns:a16="http://schemas.microsoft.com/office/drawing/2014/main" id="{033E80FA-D9A3-4C52-B211-2216CA52C8E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300" name="shapetype_202" hidden="1">
          <a:extLst>
            <a:ext uri="{FF2B5EF4-FFF2-40B4-BE49-F238E27FC236}">
              <a16:creationId xmlns:a16="http://schemas.microsoft.com/office/drawing/2014/main" id="{DD018E6C-0D1F-430F-9FE0-E8B95A57D79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98" name="shapetype_202" hidden="1">
          <a:extLst>
            <a:ext uri="{FF2B5EF4-FFF2-40B4-BE49-F238E27FC236}">
              <a16:creationId xmlns:a16="http://schemas.microsoft.com/office/drawing/2014/main" id="{16F55429-8A7B-48E5-ACDB-95E8C6C5F66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96" name="shapetype_202" hidden="1">
          <a:extLst>
            <a:ext uri="{FF2B5EF4-FFF2-40B4-BE49-F238E27FC236}">
              <a16:creationId xmlns:a16="http://schemas.microsoft.com/office/drawing/2014/main" id="{15811D7F-2638-4963-8A54-F787BAC56F5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94" name="shapetype_202" hidden="1">
          <a:extLst>
            <a:ext uri="{FF2B5EF4-FFF2-40B4-BE49-F238E27FC236}">
              <a16:creationId xmlns:a16="http://schemas.microsoft.com/office/drawing/2014/main" id="{7DEF9B5F-E8EA-4AD4-928C-07337E27DAF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92" name="shapetype_202" hidden="1">
          <a:extLst>
            <a:ext uri="{FF2B5EF4-FFF2-40B4-BE49-F238E27FC236}">
              <a16:creationId xmlns:a16="http://schemas.microsoft.com/office/drawing/2014/main" id="{5BABDA9F-A4AB-40B2-B434-A39C0D29549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90" name="shapetype_202" hidden="1">
          <a:extLst>
            <a:ext uri="{FF2B5EF4-FFF2-40B4-BE49-F238E27FC236}">
              <a16:creationId xmlns:a16="http://schemas.microsoft.com/office/drawing/2014/main" id="{51020AD5-8AF6-480E-BAC2-DE7C80AAEB7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88" name="shapetype_202" hidden="1">
          <a:extLst>
            <a:ext uri="{FF2B5EF4-FFF2-40B4-BE49-F238E27FC236}">
              <a16:creationId xmlns:a16="http://schemas.microsoft.com/office/drawing/2014/main" id="{F19EF5D1-9EFA-4149-A7E1-9CD46148C1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86" name="shapetype_202" hidden="1">
          <a:extLst>
            <a:ext uri="{FF2B5EF4-FFF2-40B4-BE49-F238E27FC236}">
              <a16:creationId xmlns:a16="http://schemas.microsoft.com/office/drawing/2014/main" id="{5F3E4B00-8E7D-4C02-8079-2823F588288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84" name="shapetype_202" hidden="1">
          <a:extLst>
            <a:ext uri="{FF2B5EF4-FFF2-40B4-BE49-F238E27FC236}">
              <a16:creationId xmlns:a16="http://schemas.microsoft.com/office/drawing/2014/main" id="{D48CA31C-1A75-4DAF-8467-0775373C75C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82" name="shapetype_202" hidden="1">
          <a:extLst>
            <a:ext uri="{FF2B5EF4-FFF2-40B4-BE49-F238E27FC236}">
              <a16:creationId xmlns:a16="http://schemas.microsoft.com/office/drawing/2014/main" id="{FCBF6022-C1F1-4679-A158-94D5BA3CBD9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80" name="shapetype_202" hidden="1">
          <a:extLst>
            <a:ext uri="{FF2B5EF4-FFF2-40B4-BE49-F238E27FC236}">
              <a16:creationId xmlns:a16="http://schemas.microsoft.com/office/drawing/2014/main" id="{B25B7B3B-FC6A-4ECC-8EFF-8260BD1C88D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78" name="shapetype_202" hidden="1">
          <a:extLst>
            <a:ext uri="{FF2B5EF4-FFF2-40B4-BE49-F238E27FC236}">
              <a16:creationId xmlns:a16="http://schemas.microsoft.com/office/drawing/2014/main" id="{D0B777EF-5554-452F-83F9-3D3FF95EDFA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76" name="shapetype_202" hidden="1">
          <a:extLst>
            <a:ext uri="{FF2B5EF4-FFF2-40B4-BE49-F238E27FC236}">
              <a16:creationId xmlns:a16="http://schemas.microsoft.com/office/drawing/2014/main" id="{120A241F-B1CE-4136-827B-642E88C94B3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74" name="shapetype_202" hidden="1">
          <a:extLst>
            <a:ext uri="{FF2B5EF4-FFF2-40B4-BE49-F238E27FC236}">
              <a16:creationId xmlns:a16="http://schemas.microsoft.com/office/drawing/2014/main" id="{6CAC9278-BE0C-4B5E-8DF2-0AA7879DD87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72" name="shapetype_202" hidden="1">
          <a:extLst>
            <a:ext uri="{FF2B5EF4-FFF2-40B4-BE49-F238E27FC236}">
              <a16:creationId xmlns:a16="http://schemas.microsoft.com/office/drawing/2014/main" id="{7D975CD9-D948-4C76-A8B2-0E347947BE5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70" name="shapetype_202" hidden="1">
          <a:extLst>
            <a:ext uri="{FF2B5EF4-FFF2-40B4-BE49-F238E27FC236}">
              <a16:creationId xmlns:a16="http://schemas.microsoft.com/office/drawing/2014/main" id="{55316124-0D80-4BF1-8F22-C041D573B4B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68" name="shapetype_202" hidden="1">
          <a:extLst>
            <a:ext uri="{FF2B5EF4-FFF2-40B4-BE49-F238E27FC236}">
              <a16:creationId xmlns:a16="http://schemas.microsoft.com/office/drawing/2014/main" id="{C2A6BC5E-C757-4492-BC74-2962ED38FEB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66" name="shapetype_202" hidden="1">
          <a:extLst>
            <a:ext uri="{FF2B5EF4-FFF2-40B4-BE49-F238E27FC236}">
              <a16:creationId xmlns:a16="http://schemas.microsoft.com/office/drawing/2014/main" id="{8A3E572C-6709-4DD0-85C0-CD562006B79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64" name="shapetype_202" hidden="1">
          <a:extLst>
            <a:ext uri="{FF2B5EF4-FFF2-40B4-BE49-F238E27FC236}">
              <a16:creationId xmlns:a16="http://schemas.microsoft.com/office/drawing/2014/main" id="{0B2C11D5-FAC2-4875-A6D0-85FEEA4B46D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62" name="shapetype_202" hidden="1">
          <a:extLst>
            <a:ext uri="{FF2B5EF4-FFF2-40B4-BE49-F238E27FC236}">
              <a16:creationId xmlns:a16="http://schemas.microsoft.com/office/drawing/2014/main" id="{9556A587-65BC-4933-B07C-F2868FBA6AC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60" name="shapetype_202" hidden="1">
          <a:extLst>
            <a:ext uri="{FF2B5EF4-FFF2-40B4-BE49-F238E27FC236}">
              <a16:creationId xmlns:a16="http://schemas.microsoft.com/office/drawing/2014/main" id="{4AADC411-3442-456A-899C-5DFD9110CF3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58" name="shapetype_202" hidden="1">
          <a:extLst>
            <a:ext uri="{FF2B5EF4-FFF2-40B4-BE49-F238E27FC236}">
              <a16:creationId xmlns:a16="http://schemas.microsoft.com/office/drawing/2014/main" id="{8886D859-A4D8-4C1E-87F1-3A6587EB367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56" name="shapetype_202" hidden="1">
          <a:extLst>
            <a:ext uri="{FF2B5EF4-FFF2-40B4-BE49-F238E27FC236}">
              <a16:creationId xmlns:a16="http://schemas.microsoft.com/office/drawing/2014/main" id="{8E964705-1AE5-459C-92B8-ADAB8438AD9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54" name="shapetype_202" hidden="1">
          <a:extLst>
            <a:ext uri="{FF2B5EF4-FFF2-40B4-BE49-F238E27FC236}">
              <a16:creationId xmlns:a16="http://schemas.microsoft.com/office/drawing/2014/main" id="{6DB59989-D9EE-45C2-BFB7-9AFF2147073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52" name="shapetype_202" hidden="1">
          <a:extLst>
            <a:ext uri="{FF2B5EF4-FFF2-40B4-BE49-F238E27FC236}">
              <a16:creationId xmlns:a16="http://schemas.microsoft.com/office/drawing/2014/main" id="{F8094B81-66F9-410A-904F-F7F161CD931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50" name="shapetype_202" hidden="1">
          <a:extLst>
            <a:ext uri="{FF2B5EF4-FFF2-40B4-BE49-F238E27FC236}">
              <a16:creationId xmlns:a16="http://schemas.microsoft.com/office/drawing/2014/main" id="{94AF4741-09CF-4B94-A668-82EFE1D8747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48" name="shapetype_202" hidden="1">
          <a:extLst>
            <a:ext uri="{FF2B5EF4-FFF2-40B4-BE49-F238E27FC236}">
              <a16:creationId xmlns:a16="http://schemas.microsoft.com/office/drawing/2014/main" id="{11F57E92-EB5E-4840-8D82-0A392F06150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46" name="shapetype_202" hidden="1">
          <a:extLst>
            <a:ext uri="{FF2B5EF4-FFF2-40B4-BE49-F238E27FC236}">
              <a16:creationId xmlns:a16="http://schemas.microsoft.com/office/drawing/2014/main" id="{AEA5A00D-95E9-4DBD-A956-9213D3E4F18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44" name="shapetype_202" hidden="1">
          <a:extLst>
            <a:ext uri="{FF2B5EF4-FFF2-40B4-BE49-F238E27FC236}">
              <a16:creationId xmlns:a16="http://schemas.microsoft.com/office/drawing/2014/main" id="{C66C48B9-89B1-4BA0-B840-72A6DBC000F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42" name="shapetype_202" hidden="1">
          <a:extLst>
            <a:ext uri="{FF2B5EF4-FFF2-40B4-BE49-F238E27FC236}">
              <a16:creationId xmlns:a16="http://schemas.microsoft.com/office/drawing/2014/main" id="{13D84572-B278-4458-BC5F-C92900F1831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40" name="shapetype_202" hidden="1">
          <a:extLst>
            <a:ext uri="{FF2B5EF4-FFF2-40B4-BE49-F238E27FC236}">
              <a16:creationId xmlns:a16="http://schemas.microsoft.com/office/drawing/2014/main" id="{8F595368-E866-48F1-8321-0528BF66A14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38" name="shapetype_202" hidden="1">
          <a:extLst>
            <a:ext uri="{FF2B5EF4-FFF2-40B4-BE49-F238E27FC236}">
              <a16:creationId xmlns:a16="http://schemas.microsoft.com/office/drawing/2014/main" id="{05166DB6-1649-4588-BE10-8668F6A2DE5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36" name="shapetype_202" hidden="1">
          <a:extLst>
            <a:ext uri="{FF2B5EF4-FFF2-40B4-BE49-F238E27FC236}">
              <a16:creationId xmlns:a16="http://schemas.microsoft.com/office/drawing/2014/main" id="{B7B5D6E6-7EE6-4CD0-A4C6-4E507365DE0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34" name="shapetype_202" hidden="1">
          <a:extLst>
            <a:ext uri="{FF2B5EF4-FFF2-40B4-BE49-F238E27FC236}">
              <a16:creationId xmlns:a16="http://schemas.microsoft.com/office/drawing/2014/main" id="{57EBCEB5-BCCE-456E-AE81-8B1C0A88E9C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32" name="shapetype_202" hidden="1">
          <a:extLst>
            <a:ext uri="{FF2B5EF4-FFF2-40B4-BE49-F238E27FC236}">
              <a16:creationId xmlns:a16="http://schemas.microsoft.com/office/drawing/2014/main" id="{9ABC1CAD-A1B9-4E6B-A235-1A9C075B97D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30" name="shapetype_202" hidden="1">
          <a:extLst>
            <a:ext uri="{FF2B5EF4-FFF2-40B4-BE49-F238E27FC236}">
              <a16:creationId xmlns:a16="http://schemas.microsoft.com/office/drawing/2014/main" id="{490A4277-E5C8-4B5B-864F-621A2E67DDD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28" name="shapetype_202" hidden="1">
          <a:extLst>
            <a:ext uri="{FF2B5EF4-FFF2-40B4-BE49-F238E27FC236}">
              <a16:creationId xmlns:a16="http://schemas.microsoft.com/office/drawing/2014/main" id="{98256484-5624-49FD-9F1C-D8985B08A1D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26" name="shapetype_202" hidden="1">
          <a:extLst>
            <a:ext uri="{FF2B5EF4-FFF2-40B4-BE49-F238E27FC236}">
              <a16:creationId xmlns:a16="http://schemas.microsoft.com/office/drawing/2014/main" id="{665A2C81-8359-4469-B1C7-45E4D390339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24" name="shapetype_202" hidden="1">
          <a:extLst>
            <a:ext uri="{FF2B5EF4-FFF2-40B4-BE49-F238E27FC236}">
              <a16:creationId xmlns:a16="http://schemas.microsoft.com/office/drawing/2014/main" id="{3A4E870B-10B3-4BA6-9892-B3D8CF9BD59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22" name="shapetype_202" hidden="1">
          <a:extLst>
            <a:ext uri="{FF2B5EF4-FFF2-40B4-BE49-F238E27FC236}">
              <a16:creationId xmlns:a16="http://schemas.microsoft.com/office/drawing/2014/main" id="{1316CA25-8452-44BA-9647-DEF342AF4F3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20" name="shapetype_202" hidden="1">
          <a:extLst>
            <a:ext uri="{FF2B5EF4-FFF2-40B4-BE49-F238E27FC236}">
              <a16:creationId xmlns:a16="http://schemas.microsoft.com/office/drawing/2014/main" id="{FB630E16-4880-43C9-B3BE-E8FBEEAC59C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18" name="shapetype_202" hidden="1">
          <a:extLst>
            <a:ext uri="{FF2B5EF4-FFF2-40B4-BE49-F238E27FC236}">
              <a16:creationId xmlns:a16="http://schemas.microsoft.com/office/drawing/2014/main" id="{9C10611A-6073-40AA-A567-03756AE184E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16" name="shapetype_202" hidden="1">
          <a:extLst>
            <a:ext uri="{FF2B5EF4-FFF2-40B4-BE49-F238E27FC236}">
              <a16:creationId xmlns:a16="http://schemas.microsoft.com/office/drawing/2014/main" id="{932AEC37-E4A5-432E-AF0D-EB939CE3F81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14" name="shapetype_202" hidden="1">
          <a:extLst>
            <a:ext uri="{FF2B5EF4-FFF2-40B4-BE49-F238E27FC236}">
              <a16:creationId xmlns:a16="http://schemas.microsoft.com/office/drawing/2014/main" id="{C831C06E-684B-4E37-9542-6EE8D1FDD5F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12" name="shapetype_202" hidden="1">
          <a:extLst>
            <a:ext uri="{FF2B5EF4-FFF2-40B4-BE49-F238E27FC236}">
              <a16:creationId xmlns:a16="http://schemas.microsoft.com/office/drawing/2014/main" id="{9C0DEB68-481C-4853-86CD-4AA401B6BD9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10" name="shapetype_202" hidden="1">
          <a:extLst>
            <a:ext uri="{FF2B5EF4-FFF2-40B4-BE49-F238E27FC236}">
              <a16:creationId xmlns:a16="http://schemas.microsoft.com/office/drawing/2014/main" id="{1AE75E37-530A-448C-8392-B610A59B7ED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08" name="shapetype_202" hidden="1">
          <a:extLst>
            <a:ext uri="{FF2B5EF4-FFF2-40B4-BE49-F238E27FC236}">
              <a16:creationId xmlns:a16="http://schemas.microsoft.com/office/drawing/2014/main" id="{53CE5463-CA40-4375-9FA6-F9CD6A60FE5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06" name="shapetype_202" hidden="1">
          <a:extLst>
            <a:ext uri="{FF2B5EF4-FFF2-40B4-BE49-F238E27FC236}">
              <a16:creationId xmlns:a16="http://schemas.microsoft.com/office/drawing/2014/main" id="{3C4E8D9C-881A-448C-AEE6-87D24AB092A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04" name="shapetype_202" hidden="1">
          <a:extLst>
            <a:ext uri="{FF2B5EF4-FFF2-40B4-BE49-F238E27FC236}">
              <a16:creationId xmlns:a16="http://schemas.microsoft.com/office/drawing/2014/main" id="{58DDF4EC-81C4-4736-933B-BA51B90389C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02" name="shapetype_202" hidden="1">
          <a:extLst>
            <a:ext uri="{FF2B5EF4-FFF2-40B4-BE49-F238E27FC236}">
              <a16:creationId xmlns:a16="http://schemas.microsoft.com/office/drawing/2014/main" id="{7B356241-1AD9-4616-A4BD-A41D17DA376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200" name="shapetype_202" hidden="1">
          <a:extLst>
            <a:ext uri="{FF2B5EF4-FFF2-40B4-BE49-F238E27FC236}">
              <a16:creationId xmlns:a16="http://schemas.microsoft.com/office/drawing/2014/main" id="{3845900B-158B-4C42-B5E6-BF25007A72C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98" name="shapetype_202" hidden="1">
          <a:extLst>
            <a:ext uri="{FF2B5EF4-FFF2-40B4-BE49-F238E27FC236}">
              <a16:creationId xmlns:a16="http://schemas.microsoft.com/office/drawing/2014/main" id="{EC652105-54B3-4EA2-B460-C6BB9CDB42D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96" name="shapetype_202" hidden="1">
          <a:extLst>
            <a:ext uri="{FF2B5EF4-FFF2-40B4-BE49-F238E27FC236}">
              <a16:creationId xmlns:a16="http://schemas.microsoft.com/office/drawing/2014/main" id="{D3137480-292D-49FB-9515-AAD472D2FF0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94" name="shapetype_202" hidden="1">
          <a:extLst>
            <a:ext uri="{FF2B5EF4-FFF2-40B4-BE49-F238E27FC236}">
              <a16:creationId xmlns:a16="http://schemas.microsoft.com/office/drawing/2014/main" id="{26DB57A2-142A-49B3-BAB1-97EDD06B8ED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92" name="shapetype_202" hidden="1">
          <a:extLst>
            <a:ext uri="{FF2B5EF4-FFF2-40B4-BE49-F238E27FC236}">
              <a16:creationId xmlns:a16="http://schemas.microsoft.com/office/drawing/2014/main" id="{391CAFAD-450E-4750-B908-76C333A9A12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90" name="shapetype_202" hidden="1">
          <a:extLst>
            <a:ext uri="{FF2B5EF4-FFF2-40B4-BE49-F238E27FC236}">
              <a16:creationId xmlns:a16="http://schemas.microsoft.com/office/drawing/2014/main" id="{E2CAA0F4-2C93-4BF2-A0C8-BACBF1DDCF1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88" name="shapetype_202" hidden="1">
          <a:extLst>
            <a:ext uri="{FF2B5EF4-FFF2-40B4-BE49-F238E27FC236}">
              <a16:creationId xmlns:a16="http://schemas.microsoft.com/office/drawing/2014/main" id="{0831534F-95C2-4F76-AEE7-31F13FFAF20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86" name="shapetype_202" hidden="1">
          <a:extLst>
            <a:ext uri="{FF2B5EF4-FFF2-40B4-BE49-F238E27FC236}">
              <a16:creationId xmlns:a16="http://schemas.microsoft.com/office/drawing/2014/main" id="{534F3AE5-4D01-49BF-864C-EC42F8ABAC9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84" name="shapetype_202" hidden="1">
          <a:extLst>
            <a:ext uri="{FF2B5EF4-FFF2-40B4-BE49-F238E27FC236}">
              <a16:creationId xmlns:a16="http://schemas.microsoft.com/office/drawing/2014/main" id="{D67B5CB0-4C98-4DB3-915C-3BD11510F1E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82" name="shapetype_202" hidden="1">
          <a:extLst>
            <a:ext uri="{FF2B5EF4-FFF2-40B4-BE49-F238E27FC236}">
              <a16:creationId xmlns:a16="http://schemas.microsoft.com/office/drawing/2014/main" id="{8A65C0B7-DDD3-47F9-8387-2DD33EA352A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80" name="shapetype_202" hidden="1">
          <a:extLst>
            <a:ext uri="{FF2B5EF4-FFF2-40B4-BE49-F238E27FC236}">
              <a16:creationId xmlns:a16="http://schemas.microsoft.com/office/drawing/2014/main" id="{C9B58FDD-E756-452B-9E83-A92A8DF3026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78" name="shapetype_202" hidden="1">
          <a:extLst>
            <a:ext uri="{FF2B5EF4-FFF2-40B4-BE49-F238E27FC236}">
              <a16:creationId xmlns:a16="http://schemas.microsoft.com/office/drawing/2014/main" id="{D42F3B99-1C72-4DDE-B3D8-F3A810DAA8C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76" name="shapetype_202" hidden="1">
          <a:extLst>
            <a:ext uri="{FF2B5EF4-FFF2-40B4-BE49-F238E27FC236}">
              <a16:creationId xmlns:a16="http://schemas.microsoft.com/office/drawing/2014/main" id="{84409043-E143-4B32-98AA-31E3DF3C8EF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74" name="shapetype_202" hidden="1">
          <a:extLst>
            <a:ext uri="{FF2B5EF4-FFF2-40B4-BE49-F238E27FC236}">
              <a16:creationId xmlns:a16="http://schemas.microsoft.com/office/drawing/2014/main" id="{44D15E16-9E11-469C-B5E6-B458359DDBB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72" name="shapetype_202" hidden="1">
          <a:extLst>
            <a:ext uri="{FF2B5EF4-FFF2-40B4-BE49-F238E27FC236}">
              <a16:creationId xmlns:a16="http://schemas.microsoft.com/office/drawing/2014/main" id="{FBC7D911-57FB-492F-9FD7-2A2EC02201D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70" name="shapetype_202" hidden="1">
          <a:extLst>
            <a:ext uri="{FF2B5EF4-FFF2-40B4-BE49-F238E27FC236}">
              <a16:creationId xmlns:a16="http://schemas.microsoft.com/office/drawing/2014/main" id="{82B76160-B723-440E-A690-71E37E11C6E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68" name="shapetype_202" hidden="1">
          <a:extLst>
            <a:ext uri="{FF2B5EF4-FFF2-40B4-BE49-F238E27FC236}">
              <a16:creationId xmlns:a16="http://schemas.microsoft.com/office/drawing/2014/main" id="{60A9DB47-5077-46D5-8AB0-7B274B4F191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66" name="shapetype_202" hidden="1">
          <a:extLst>
            <a:ext uri="{FF2B5EF4-FFF2-40B4-BE49-F238E27FC236}">
              <a16:creationId xmlns:a16="http://schemas.microsoft.com/office/drawing/2014/main" id="{EA1281E1-87B4-4C48-8B39-08DCC29821D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64" name="shapetype_202" hidden="1">
          <a:extLst>
            <a:ext uri="{FF2B5EF4-FFF2-40B4-BE49-F238E27FC236}">
              <a16:creationId xmlns:a16="http://schemas.microsoft.com/office/drawing/2014/main" id="{B27267B9-09BC-444B-BB11-7267FA85137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62" name="shapetype_202" hidden="1">
          <a:extLst>
            <a:ext uri="{FF2B5EF4-FFF2-40B4-BE49-F238E27FC236}">
              <a16:creationId xmlns:a16="http://schemas.microsoft.com/office/drawing/2014/main" id="{2D684907-C321-4DCA-8ED8-DAE011C38B6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60" name="shapetype_202" hidden="1">
          <a:extLst>
            <a:ext uri="{FF2B5EF4-FFF2-40B4-BE49-F238E27FC236}">
              <a16:creationId xmlns:a16="http://schemas.microsoft.com/office/drawing/2014/main" id="{E9D31863-9EF4-4F42-B660-4419ABE42B1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58" name="shapetype_202" hidden="1">
          <a:extLst>
            <a:ext uri="{FF2B5EF4-FFF2-40B4-BE49-F238E27FC236}">
              <a16:creationId xmlns:a16="http://schemas.microsoft.com/office/drawing/2014/main" id="{C1E7606D-5E67-4718-89B2-F6244D23264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56" name="shapetype_202" hidden="1">
          <a:extLst>
            <a:ext uri="{FF2B5EF4-FFF2-40B4-BE49-F238E27FC236}">
              <a16:creationId xmlns:a16="http://schemas.microsoft.com/office/drawing/2014/main" id="{A77BFE00-060D-4540-9B83-2026EEF00C0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54" name="shapetype_202" hidden="1">
          <a:extLst>
            <a:ext uri="{FF2B5EF4-FFF2-40B4-BE49-F238E27FC236}">
              <a16:creationId xmlns:a16="http://schemas.microsoft.com/office/drawing/2014/main" id="{3A99351A-B480-4B9E-BD18-45B722B1C35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52" name="shapetype_202" hidden="1">
          <a:extLst>
            <a:ext uri="{FF2B5EF4-FFF2-40B4-BE49-F238E27FC236}">
              <a16:creationId xmlns:a16="http://schemas.microsoft.com/office/drawing/2014/main" id="{FAC2F4D1-F52A-4C3F-A3C7-C3F368A0B2E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50" name="shapetype_202" hidden="1">
          <a:extLst>
            <a:ext uri="{FF2B5EF4-FFF2-40B4-BE49-F238E27FC236}">
              <a16:creationId xmlns:a16="http://schemas.microsoft.com/office/drawing/2014/main" id="{688C80F7-461D-4442-A6AF-90CAA232D7C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48" name="shapetype_202" hidden="1">
          <a:extLst>
            <a:ext uri="{FF2B5EF4-FFF2-40B4-BE49-F238E27FC236}">
              <a16:creationId xmlns:a16="http://schemas.microsoft.com/office/drawing/2014/main" id="{39692B85-5E57-491A-B0C3-719681949DE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46" name="shapetype_202" hidden="1">
          <a:extLst>
            <a:ext uri="{FF2B5EF4-FFF2-40B4-BE49-F238E27FC236}">
              <a16:creationId xmlns:a16="http://schemas.microsoft.com/office/drawing/2014/main" id="{33C8BFA0-17F3-4EE4-A04D-67EF7FF7590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44" name="shapetype_202" hidden="1">
          <a:extLst>
            <a:ext uri="{FF2B5EF4-FFF2-40B4-BE49-F238E27FC236}">
              <a16:creationId xmlns:a16="http://schemas.microsoft.com/office/drawing/2014/main" id="{E3BC4AF8-517B-4864-ACAF-0130C68FA2A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42" name="shapetype_202" hidden="1">
          <a:extLst>
            <a:ext uri="{FF2B5EF4-FFF2-40B4-BE49-F238E27FC236}">
              <a16:creationId xmlns:a16="http://schemas.microsoft.com/office/drawing/2014/main" id="{E6625DB7-E084-4C50-938F-D5B5701FE0F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40" name="shapetype_202" hidden="1">
          <a:extLst>
            <a:ext uri="{FF2B5EF4-FFF2-40B4-BE49-F238E27FC236}">
              <a16:creationId xmlns:a16="http://schemas.microsoft.com/office/drawing/2014/main" id="{D0497638-543B-4EAA-874B-CD42C5611BF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38" name="shapetype_202" hidden="1">
          <a:extLst>
            <a:ext uri="{FF2B5EF4-FFF2-40B4-BE49-F238E27FC236}">
              <a16:creationId xmlns:a16="http://schemas.microsoft.com/office/drawing/2014/main" id="{59417DC3-2589-42E3-ABDF-E87867C15CD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36" name="shapetype_202" hidden="1">
          <a:extLst>
            <a:ext uri="{FF2B5EF4-FFF2-40B4-BE49-F238E27FC236}">
              <a16:creationId xmlns:a16="http://schemas.microsoft.com/office/drawing/2014/main" id="{FA220BF9-DEE0-446F-BBBA-49D58369C82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34" name="shapetype_202" hidden="1">
          <a:extLst>
            <a:ext uri="{FF2B5EF4-FFF2-40B4-BE49-F238E27FC236}">
              <a16:creationId xmlns:a16="http://schemas.microsoft.com/office/drawing/2014/main" id="{BC96F6C4-6C6D-4680-A225-A0511D86F3F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32" name="shapetype_202" hidden="1">
          <a:extLst>
            <a:ext uri="{FF2B5EF4-FFF2-40B4-BE49-F238E27FC236}">
              <a16:creationId xmlns:a16="http://schemas.microsoft.com/office/drawing/2014/main" id="{8941D359-6577-481A-A83A-8A9A76E8A1A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30" name="shapetype_202" hidden="1">
          <a:extLst>
            <a:ext uri="{FF2B5EF4-FFF2-40B4-BE49-F238E27FC236}">
              <a16:creationId xmlns:a16="http://schemas.microsoft.com/office/drawing/2014/main" id="{B97377CC-C394-4A9F-BA4C-6719E17B66C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28" name="shapetype_202" hidden="1">
          <a:extLst>
            <a:ext uri="{FF2B5EF4-FFF2-40B4-BE49-F238E27FC236}">
              <a16:creationId xmlns:a16="http://schemas.microsoft.com/office/drawing/2014/main" id="{5CFD4C86-4CC8-4C70-923B-BB18A78385E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26" name="shapetype_202" hidden="1">
          <a:extLst>
            <a:ext uri="{FF2B5EF4-FFF2-40B4-BE49-F238E27FC236}">
              <a16:creationId xmlns:a16="http://schemas.microsoft.com/office/drawing/2014/main" id="{1D91A89B-B0A3-45D3-8FC1-F78C2022538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24" name="shapetype_202" hidden="1">
          <a:extLst>
            <a:ext uri="{FF2B5EF4-FFF2-40B4-BE49-F238E27FC236}">
              <a16:creationId xmlns:a16="http://schemas.microsoft.com/office/drawing/2014/main" id="{29EC4800-C823-4999-9A26-0E15428452E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22" name="shapetype_202" hidden="1">
          <a:extLst>
            <a:ext uri="{FF2B5EF4-FFF2-40B4-BE49-F238E27FC236}">
              <a16:creationId xmlns:a16="http://schemas.microsoft.com/office/drawing/2014/main" id="{C3D25162-8AF8-4643-9D7A-ADFFAB96C4F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20" name="shapetype_202" hidden="1">
          <a:extLst>
            <a:ext uri="{FF2B5EF4-FFF2-40B4-BE49-F238E27FC236}">
              <a16:creationId xmlns:a16="http://schemas.microsoft.com/office/drawing/2014/main" id="{BB02E6FB-B7D6-4E65-9794-7032F542B57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18" name="shapetype_202" hidden="1">
          <a:extLst>
            <a:ext uri="{FF2B5EF4-FFF2-40B4-BE49-F238E27FC236}">
              <a16:creationId xmlns:a16="http://schemas.microsoft.com/office/drawing/2014/main" id="{FB539CF9-AE53-4764-BDB4-7F0EF7DE89A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16" name="shapetype_202" hidden="1">
          <a:extLst>
            <a:ext uri="{FF2B5EF4-FFF2-40B4-BE49-F238E27FC236}">
              <a16:creationId xmlns:a16="http://schemas.microsoft.com/office/drawing/2014/main" id="{E04D63FE-26FC-4BC5-88AB-D70FC798366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14" name="shapetype_202" hidden="1">
          <a:extLst>
            <a:ext uri="{FF2B5EF4-FFF2-40B4-BE49-F238E27FC236}">
              <a16:creationId xmlns:a16="http://schemas.microsoft.com/office/drawing/2014/main" id="{BE33A633-2C44-4EEE-B5B3-C5EC223ED32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12" name="shapetype_202" hidden="1">
          <a:extLst>
            <a:ext uri="{FF2B5EF4-FFF2-40B4-BE49-F238E27FC236}">
              <a16:creationId xmlns:a16="http://schemas.microsoft.com/office/drawing/2014/main" id="{65A1D971-2A92-4D10-A541-FEE9A004B58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10" name="shapetype_202" hidden="1">
          <a:extLst>
            <a:ext uri="{FF2B5EF4-FFF2-40B4-BE49-F238E27FC236}">
              <a16:creationId xmlns:a16="http://schemas.microsoft.com/office/drawing/2014/main" id="{D68D47AC-A827-4AEE-8BDC-518DE4A3505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08" name="shapetype_202" hidden="1">
          <a:extLst>
            <a:ext uri="{FF2B5EF4-FFF2-40B4-BE49-F238E27FC236}">
              <a16:creationId xmlns:a16="http://schemas.microsoft.com/office/drawing/2014/main" id="{061A359E-69B3-4540-981B-479F437916D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06" name="shapetype_202" hidden="1">
          <a:extLst>
            <a:ext uri="{FF2B5EF4-FFF2-40B4-BE49-F238E27FC236}">
              <a16:creationId xmlns:a16="http://schemas.microsoft.com/office/drawing/2014/main" id="{1C03A735-93B5-4692-90B5-BF25FB751AC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04" name="shapetype_202" hidden="1">
          <a:extLst>
            <a:ext uri="{FF2B5EF4-FFF2-40B4-BE49-F238E27FC236}">
              <a16:creationId xmlns:a16="http://schemas.microsoft.com/office/drawing/2014/main" id="{FD2224F9-747B-4C27-9966-7ACA2F2B73F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02" name="shapetype_202" hidden="1">
          <a:extLst>
            <a:ext uri="{FF2B5EF4-FFF2-40B4-BE49-F238E27FC236}">
              <a16:creationId xmlns:a16="http://schemas.microsoft.com/office/drawing/2014/main" id="{A43A3127-8660-4A08-BD34-1D31B69E83C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100" name="shapetype_202" hidden="1">
          <a:extLst>
            <a:ext uri="{FF2B5EF4-FFF2-40B4-BE49-F238E27FC236}">
              <a16:creationId xmlns:a16="http://schemas.microsoft.com/office/drawing/2014/main" id="{FAE90A21-9046-4AD7-B5B2-4DCA3BEC1E6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98" name="shapetype_202" hidden="1">
          <a:extLst>
            <a:ext uri="{FF2B5EF4-FFF2-40B4-BE49-F238E27FC236}">
              <a16:creationId xmlns:a16="http://schemas.microsoft.com/office/drawing/2014/main" id="{94E45213-4DF4-4E05-AE10-2233B559F1F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96" name="shapetype_202" hidden="1">
          <a:extLst>
            <a:ext uri="{FF2B5EF4-FFF2-40B4-BE49-F238E27FC236}">
              <a16:creationId xmlns:a16="http://schemas.microsoft.com/office/drawing/2014/main" id="{23A2F5B8-3B36-4607-80C0-295AD53BCBC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94" name="shapetype_202" hidden="1">
          <a:extLst>
            <a:ext uri="{FF2B5EF4-FFF2-40B4-BE49-F238E27FC236}">
              <a16:creationId xmlns:a16="http://schemas.microsoft.com/office/drawing/2014/main" id="{7F36888A-719D-4697-BC08-10F46EA75D8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92" name="shapetype_202" hidden="1">
          <a:extLst>
            <a:ext uri="{FF2B5EF4-FFF2-40B4-BE49-F238E27FC236}">
              <a16:creationId xmlns:a16="http://schemas.microsoft.com/office/drawing/2014/main" id="{6E9C2D33-66E0-4DA5-8777-729CBD28187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90" name="shapetype_202" hidden="1">
          <a:extLst>
            <a:ext uri="{FF2B5EF4-FFF2-40B4-BE49-F238E27FC236}">
              <a16:creationId xmlns:a16="http://schemas.microsoft.com/office/drawing/2014/main" id="{B0C6B0F8-BCFA-497E-BA3C-A48F6A63CFD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88" name="shapetype_202" hidden="1">
          <a:extLst>
            <a:ext uri="{FF2B5EF4-FFF2-40B4-BE49-F238E27FC236}">
              <a16:creationId xmlns:a16="http://schemas.microsoft.com/office/drawing/2014/main" id="{BF4212DA-1BE8-4957-9ACE-6D5D2301607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86" name="shapetype_202" hidden="1">
          <a:extLst>
            <a:ext uri="{FF2B5EF4-FFF2-40B4-BE49-F238E27FC236}">
              <a16:creationId xmlns:a16="http://schemas.microsoft.com/office/drawing/2014/main" id="{7620E44D-96D0-4214-B45A-EB895504E57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84" name="shapetype_202" hidden="1">
          <a:extLst>
            <a:ext uri="{FF2B5EF4-FFF2-40B4-BE49-F238E27FC236}">
              <a16:creationId xmlns:a16="http://schemas.microsoft.com/office/drawing/2014/main" id="{1C4F9FAF-BB35-432B-8659-1F6C5E5B285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82" name="shapetype_202" hidden="1">
          <a:extLst>
            <a:ext uri="{FF2B5EF4-FFF2-40B4-BE49-F238E27FC236}">
              <a16:creationId xmlns:a16="http://schemas.microsoft.com/office/drawing/2014/main" id="{763851ED-C2E8-444E-8A4C-0E52D6593CE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80" name="shapetype_202" hidden="1">
          <a:extLst>
            <a:ext uri="{FF2B5EF4-FFF2-40B4-BE49-F238E27FC236}">
              <a16:creationId xmlns:a16="http://schemas.microsoft.com/office/drawing/2014/main" id="{47C3D5C4-4F62-4F51-9972-247B07A37A5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78" name="shapetype_202" hidden="1">
          <a:extLst>
            <a:ext uri="{FF2B5EF4-FFF2-40B4-BE49-F238E27FC236}">
              <a16:creationId xmlns:a16="http://schemas.microsoft.com/office/drawing/2014/main" id="{C09A3B3D-3BF1-481E-AA20-7DE9093ED05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76" name="shapetype_202" hidden="1">
          <a:extLst>
            <a:ext uri="{FF2B5EF4-FFF2-40B4-BE49-F238E27FC236}">
              <a16:creationId xmlns:a16="http://schemas.microsoft.com/office/drawing/2014/main" id="{23F5C058-40B4-41CB-A916-95591ED3532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74" name="shapetype_202" hidden="1">
          <a:extLst>
            <a:ext uri="{FF2B5EF4-FFF2-40B4-BE49-F238E27FC236}">
              <a16:creationId xmlns:a16="http://schemas.microsoft.com/office/drawing/2014/main" id="{023FFA87-ADB7-43A3-B5FD-467EB5FE65E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72" name="shapetype_202" hidden="1">
          <a:extLst>
            <a:ext uri="{FF2B5EF4-FFF2-40B4-BE49-F238E27FC236}">
              <a16:creationId xmlns:a16="http://schemas.microsoft.com/office/drawing/2014/main" id="{9C6B539B-F9E5-4F6E-8E0A-1C4571490B1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70" name="shapetype_202" hidden="1">
          <a:extLst>
            <a:ext uri="{FF2B5EF4-FFF2-40B4-BE49-F238E27FC236}">
              <a16:creationId xmlns:a16="http://schemas.microsoft.com/office/drawing/2014/main" id="{BB50FC83-D4A7-40FA-AFED-6D7C5861131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68" name="shapetype_202" hidden="1">
          <a:extLst>
            <a:ext uri="{FF2B5EF4-FFF2-40B4-BE49-F238E27FC236}">
              <a16:creationId xmlns:a16="http://schemas.microsoft.com/office/drawing/2014/main" id="{D61075CD-5223-4C8F-8139-0A998976D1B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66" name="shapetype_202" hidden="1">
          <a:extLst>
            <a:ext uri="{FF2B5EF4-FFF2-40B4-BE49-F238E27FC236}">
              <a16:creationId xmlns:a16="http://schemas.microsoft.com/office/drawing/2014/main" id="{AF9BB036-AC46-4119-ACF4-E15B0D10A52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64" name="shapetype_202" hidden="1">
          <a:extLst>
            <a:ext uri="{FF2B5EF4-FFF2-40B4-BE49-F238E27FC236}">
              <a16:creationId xmlns:a16="http://schemas.microsoft.com/office/drawing/2014/main" id="{861EDC67-C45A-421C-A8BE-D38C9DF0E87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62" name="shapetype_202" hidden="1">
          <a:extLst>
            <a:ext uri="{FF2B5EF4-FFF2-40B4-BE49-F238E27FC236}">
              <a16:creationId xmlns:a16="http://schemas.microsoft.com/office/drawing/2014/main" id="{6AFE4896-A671-4949-9C20-CAD1F3F9731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60" name="shapetype_202" hidden="1">
          <a:extLst>
            <a:ext uri="{FF2B5EF4-FFF2-40B4-BE49-F238E27FC236}">
              <a16:creationId xmlns:a16="http://schemas.microsoft.com/office/drawing/2014/main" id="{83541585-C69F-455F-805B-72B92CB0C34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58" name="shapetype_202" hidden="1">
          <a:extLst>
            <a:ext uri="{FF2B5EF4-FFF2-40B4-BE49-F238E27FC236}">
              <a16:creationId xmlns:a16="http://schemas.microsoft.com/office/drawing/2014/main" id="{467E652D-2148-4B48-A445-ADAD5B46465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56" name="shapetype_202" hidden="1">
          <a:extLst>
            <a:ext uri="{FF2B5EF4-FFF2-40B4-BE49-F238E27FC236}">
              <a16:creationId xmlns:a16="http://schemas.microsoft.com/office/drawing/2014/main" id="{93ECE655-1014-4B79-9A35-6959D75D0A5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54" name="shapetype_202" hidden="1">
          <a:extLst>
            <a:ext uri="{FF2B5EF4-FFF2-40B4-BE49-F238E27FC236}">
              <a16:creationId xmlns:a16="http://schemas.microsoft.com/office/drawing/2014/main" id="{7E9FCC4A-5192-4C92-9396-FA017A72D8C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52" name="shapetype_202" hidden="1">
          <a:extLst>
            <a:ext uri="{FF2B5EF4-FFF2-40B4-BE49-F238E27FC236}">
              <a16:creationId xmlns:a16="http://schemas.microsoft.com/office/drawing/2014/main" id="{52644F6D-8230-4856-8391-2604284CFDC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50" name="shapetype_202" hidden="1">
          <a:extLst>
            <a:ext uri="{FF2B5EF4-FFF2-40B4-BE49-F238E27FC236}">
              <a16:creationId xmlns:a16="http://schemas.microsoft.com/office/drawing/2014/main" id="{BBCF42B8-F68F-4280-94E7-83EF81399E5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48" name="shapetype_202" hidden="1">
          <a:extLst>
            <a:ext uri="{FF2B5EF4-FFF2-40B4-BE49-F238E27FC236}">
              <a16:creationId xmlns:a16="http://schemas.microsoft.com/office/drawing/2014/main" id="{367977AD-878F-4AF7-AD07-797C9466884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46" name="shapetype_202" hidden="1">
          <a:extLst>
            <a:ext uri="{FF2B5EF4-FFF2-40B4-BE49-F238E27FC236}">
              <a16:creationId xmlns:a16="http://schemas.microsoft.com/office/drawing/2014/main" id="{073589F3-8C34-4B4F-BF7D-E834655FFD6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44" name="shapetype_202" hidden="1">
          <a:extLst>
            <a:ext uri="{FF2B5EF4-FFF2-40B4-BE49-F238E27FC236}">
              <a16:creationId xmlns:a16="http://schemas.microsoft.com/office/drawing/2014/main" id="{BEA68D55-05E5-46A5-99C1-66E146652D6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42" name="shapetype_202" hidden="1">
          <a:extLst>
            <a:ext uri="{FF2B5EF4-FFF2-40B4-BE49-F238E27FC236}">
              <a16:creationId xmlns:a16="http://schemas.microsoft.com/office/drawing/2014/main" id="{79BEE0F8-FE3A-4D06-AFCD-2A41AC0C54D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40" name="shapetype_202" hidden="1">
          <a:extLst>
            <a:ext uri="{FF2B5EF4-FFF2-40B4-BE49-F238E27FC236}">
              <a16:creationId xmlns:a16="http://schemas.microsoft.com/office/drawing/2014/main" id="{B1ADA062-1ED8-496D-92F2-27CBB68968C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38" name="shapetype_202" hidden="1">
          <a:extLst>
            <a:ext uri="{FF2B5EF4-FFF2-40B4-BE49-F238E27FC236}">
              <a16:creationId xmlns:a16="http://schemas.microsoft.com/office/drawing/2014/main" id="{B1C7A67C-BFB3-48EB-BB3F-1AE44F90205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36" name="shapetype_202" hidden="1">
          <a:extLst>
            <a:ext uri="{FF2B5EF4-FFF2-40B4-BE49-F238E27FC236}">
              <a16:creationId xmlns:a16="http://schemas.microsoft.com/office/drawing/2014/main" id="{2C586EF1-BF47-4D0A-9445-B8A6AEE33CE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34" name="shapetype_202" hidden="1">
          <a:extLst>
            <a:ext uri="{FF2B5EF4-FFF2-40B4-BE49-F238E27FC236}">
              <a16:creationId xmlns:a16="http://schemas.microsoft.com/office/drawing/2014/main" id="{D8E44908-E851-4021-B963-B21ECD9741F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32" name="shapetype_202" hidden="1">
          <a:extLst>
            <a:ext uri="{FF2B5EF4-FFF2-40B4-BE49-F238E27FC236}">
              <a16:creationId xmlns:a16="http://schemas.microsoft.com/office/drawing/2014/main" id="{CF4A87AA-5DAA-40D9-B81D-955109CC9C7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30" name="shapetype_202" hidden="1">
          <a:extLst>
            <a:ext uri="{FF2B5EF4-FFF2-40B4-BE49-F238E27FC236}">
              <a16:creationId xmlns:a16="http://schemas.microsoft.com/office/drawing/2014/main" id="{A1A2353D-07E1-4E1D-9E29-7B6E6C573DE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28" name="shapetype_202" hidden="1">
          <a:extLst>
            <a:ext uri="{FF2B5EF4-FFF2-40B4-BE49-F238E27FC236}">
              <a16:creationId xmlns:a16="http://schemas.microsoft.com/office/drawing/2014/main" id="{4335F9BC-60E1-4FCC-A05D-2244F19AEE7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600075</xdr:colOff>
      <xdr:row>52</xdr:row>
      <xdr:rowOff>104775</xdr:rowOff>
    </xdr:to>
    <xdr:sp macro="" textlink="">
      <xdr:nvSpPr>
        <xdr:cNvPr id="1026" name="shapetype_202" hidden="1">
          <a:extLst>
            <a:ext uri="{FF2B5EF4-FFF2-40B4-BE49-F238E27FC236}">
              <a16:creationId xmlns:a16="http://schemas.microsoft.com/office/drawing/2014/main" id="{889462E1-E22B-4E34-BC0B-58998A7C705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204" name="shapetype_202" hidden="1">
          <a:extLst>
            <a:ext uri="{FF2B5EF4-FFF2-40B4-BE49-F238E27FC236}">
              <a16:creationId xmlns:a16="http://schemas.microsoft.com/office/drawing/2014/main" id="{DC24F6D3-6375-421D-9B62-A571FEEF625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202" name="shapetype_202" hidden="1">
          <a:extLst>
            <a:ext uri="{FF2B5EF4-FFF2-40B4-BE49-F238E27FC236}">
              <a16:creationId xmlns:a16="http://schemas.microsoft.com/office/drawing/2014/main" id="{D7A51770-D23F-45FC-8B41-1F3BDD5775F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200" name="shapetype_202" hidden="1">
          <a:extLst>
            <a:ext uri="{FF2B5EF4-FFF2-40B4-BE49-F238E27FC236}">
              <a16:creationId xmlns:a16="http://schemas.microsoft.com/office/drawing/2014/main" id="{6A2CD62F-72FD-49BF-8F34-C19E86FCBC4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98" name="shapetype_202" hidden="1">
          <a:extLst>
            <a:ext uri="{FF2B5EF4-FFF2-40B4-BE49-F238E27FC236}">
              <a16:creationId xmlns:a16="http://schemas.microsoft.com/office/drawing/2014/main" id="{61FF0313-5A1A-4187-A229-9278F48FFDC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96" name="shapetype_202" hidden="1">
          <a:extLst>
            <a:ext uri="{FF2B5EF4-FFF2-40B4-BE49-F238E27FC236}">
              <a16:creationId xmlns:a16="http://schemas.microsoft.com/office/drawing/2014/main" id="{2BBEE741-758D-4EE0-9A06-C9126050239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94" name="shapetype_202" hidden="1">
          <a:extLst>
            <a:ext uri="{FF2B5EF4-FFF2-40B4-BE49-F238E27FC236}">
              <a16:creationId xmlns:a16="http://schemas.microsoft.com/office/drawing/2014/main" id="{C2081389-EBB7-4105-923A-9198A29E74E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92" name="shapetype_202" hidden="1">
          <a:extLst>
            <a:ext uri="{FF2B5EF4-FFF2-40B4-BE49-F238E27FC236}">
              <a16:creationId xmlns:a16="http://schemas.microsoft.com/office/drawing/2014/main" id="{B7028BDC-D596-410E-BDC5-274A8EB00F1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90" name="shapetype_202" hidden="1">
          <a:extLst>
            <a:ext uri="{FF2B5EF4-FFF2-40B4-BE49-F238E27FC236}">
              <a16:creationId xmlns:a16="http://schemas.microsoft.com/office/drawing/2014/main" id="{1C070070-3EA6-400E-AC3D-467961D1F6B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88" name="shapetype_202" hidden="1">
          <a:extLst>
            <a:ext uri="{FF2B5EF4-FFF2-40B4-BE49-F238E27FC236}">
              <a16:creationId xmlns:a16="http://schemas.microsoft.com/office/drawing/2014/main" id="{5B9E69E0-2369-4754-B0EA-A5B1C7FB979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86" name="shapetype_202" hidden="1">
          <a:extLst>
            <a:ext uri="{FF2B5EF4-FFF2-40B4-BE49-F238E27FC236}">
              <a16:creationId xmlns:a16="http://schemas.microsoft.com/office/drawing/2014/main" id="{91EAC0C1-744C-4CA1-8768-EF3872DECDA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84" name="shapetype_202" hidden="1">
          <a:extLst>
            <a:ext uri="{FF2B5EF4-FFF2-40B4-BE49-F238E27FC236}">
              <a16:creationId xmlns:a16="http://schemas.microsoft.com/office/drawing/2014/main" id="{745BED7B-FD73-412F-9562-567FE440DDA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82" name="shapetype_202" hidden="1">
          <a:extLst>
            <a:ext uri="{FF2B5EF4-FFF2-40B4-BE49-F238E27FC236}">
              <a16:creationId xmlns:a16="http://schemas.microsoft.com/office/drawing/2014/main" id="{60EDF692-49D1-479D-B11E-B94BFE8EA1C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80" name="shapetype_202" hidden="1">
          <a:extLst>
            <a:ext uri="{FF2B5EF4-FFF2-40B4-BE49-F238E27FC236}">
              <a16:creationId xmlns:a16="http://schemas.microsoft.com/office/drawing/2014/main" id="{EC20E80D-3964-4C98-8946-6663CAEAE3B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78" name="shapetype_202" hidden="1">
          <a:extLst>
            <a:ext uri="{FF2B5EF4-FFF2-40B4-BE49-F238E27FC236}">
              <a16:creationId xmlns:a16="http://schemas.microsoft.com/office/drawing/2014/main" id="{91296CEC-059D-49E1-88E7-99DEDAF7A06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76" name="shapetype_202" hidden="1">
          <a:extLst>
            <a:ext uri="{FF2B5EF4-FFF2-40B4-BE49-F238E27FC236}">
              <a16:creationId xmlns:a16="http://schemas.microsoft.com/office/drawing/2014/main" id="{9499F6BD-182B-429C-8625-7F77C059907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74" name="shapetype_202" hidden="1">
          <a:extLst>
            <a:ext uri="{FF2B5EF4-FFF2-40B4-BE49-F238E27FC236}">
              <a16:creationId xmlns:a16="http://schemas.microsoft.com/office/drawing/2014/main" id="{A4C2B6A2-368C-465F-8FD3-A92ACBD34BD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72" name="shapetype_202" hidden="1">
          <a:extLst>
            <a:ext uri="{FF2B5EF4-FFF2-40B4-BE49-F238E27FC236}">
              <a16:creationId xmlns:a16="http://schemas.microsoft.com/office/drawing/2014/main" id="{7A0350DF-04B7-46A2-AF2E-55328FC6D8B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70" name="shapetype_202" hidden="1">
          <a:extLst>
            <a:ext uri="{FF2B5EF4-FFF2-40B4-BE49-F238E27FC236}">
              <a16:creationId xmlns:a16="http://schemas.microsoft.com/office/drawing/2014/main" id="{77F8A8A5-6304-4A85-BDF2-406E6504E41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68" name="shapetype_202" hidden="1">
          <a:extLst>
            <a:ext uri="{FF2B5EF4-FFF2-40B4-BE49-F238E27FC236}">
              <a16:creationId xmlns:a16="http://schemas.microsoft.com/office/drawing/2014/main" id="{0E451317-2D5E-41E7-8B7B-32B0E1F6FA7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66" name="shapetype_202" hidden="1">
          <a:extLst>
            <a:ext uri="{FF2B5EF4-FFF2-40B4-BE49-F238E27FC236}">
              <a16:creationId xmlns:a16="http://schemas.microsoft.com/office/drawing/2014/main" id="{8BBA1CFE-77B6-411C-9867-85D3BF967A8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64" name="shapetype_202" hidden="1">
          <a:extLst>
            <a:ext uri="{FF2B5EF4-FFF2-40B4-BE49-F238E27FC236}">
              <a16:creationId xmlns:a16="http://schemas.microsoft.com/office/drawing/2014/main" id="{1DDDA7A9-021C-469A-80A1-EAF9D4DE325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62" name="shapetype_202" hidden="1">
          <a:extLst>
            <a:ext uri="{FF2B5EF4-FFF2-40B4-BE49-F238E27FC236}">
              <a16:creationId xmlns:a16="http://schemas.microsoft.com/office/drawing/2014/main" id="{F82151AF-F896-45B8-9878-CD642022048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60" name="shapetype_202" hidden="1">
          <a:extLst>
            <a:ext uri="{FF2B5EF4-FFF2-40B4-BE49-F238E27FC236}">
              <a16:creationId xmlns:a16="http://schemas.microsoft.com/office/drawing/2014/main" id="{4A143093-3316-44C9-BA7A-A338C81453E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58" name="shapetype_202" hidden="1">
          <a:extLst>
            <a:ext uri="{FF2B5EF4-FFF2-40B4-BE49-F238E27FC236}">
              <a16:creationId xmlns:a16="http://schemas.microsoft.com/office/drawing/2014/main" id="{590E542A-5DAA-4410-9497-8AA0839318C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56" name="shapetype_202" hidden="1">
          <a:extLst>
            <a:ext uri="{FF2B5EF4-FFF2-40B4-BE49-F238E27FC236}">
              <a16:creationId xmlns:a16="http://schemas.microsoft.com/office/drawing/2014/main" id="{5599FBDA-782F-4D8B-8753-8F87B0C127B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54" name="shapetype_202" hidden="1">
          <a:extLst>
            <a:ext uri="{FF2B5EF4-FFF2-40B4-BE49-F238E27FC236}">
              <a16:creationId xmlns:a16="http://schemas.microsoft.com/office/drawing/2014/main" id="{E8131762-FEC7-4B6B-8DD4-F793EE0A3D5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52" name="shapetype_202" hidden="1">
          <a:extLst>
            <a:ext uri="{FF2B5EF4-FFF2-40B4-BE49-F238E27FC236}">
              <a16:creationId xmlns:a16="http://schemas.microsoft.com/office/drawing/2014/main" id="{5E39EB33-1130-45B1-95DB-C2A7A7BD996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50" name="shapetype_202" hidden="1">
          <a:extLst>
            <a:ext uri="{FF2B5EF4-FFF2-40B4-BE49-F238E27FC236}">
              <a16:creationId xmlns:a16="http://schemas.microsoft.com/office/drawing/2014/main" id="{7A14FB4F-7225-490B-A1E2-1BBEE4AC7E0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48" name="shapetype_202" hidden="1">
          <a:extLst>
            <a:ext uri="{FF2B5EF4-FFF2-40B4-BE49-F238E27FC236}">
              <a16:creationId xmlns:a16="http://schemas.microsoft.com/office/drawing/2014/main" id="{BD0E9D5F-1305-4B4E-8197-A815B42D827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46" name="shapetype_202" hidden="1">
          <a:extLst>
            <a:ext uri="{FF2B5EF4-FFF2-40B4-BE49-F238E27FC236}">
              <a16:creationId xmlns:a16="http://schemas.microsoft.com/office/drawing/2014/main" id="{CF315AE1-80CA-4BCA-A360-EFC553E983C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44" name="shapetype_202" hidden="1">
          <a:extLst>
            <a:ext uri="{FF2B5EF4-FFF2-40B4-BE49-F238E27FC236}">
              <a16:creationId xmlns:a16="http://schemas.microsoft.com/office/drawing/2014/main" id="{A6D15D62-6D10-4A27-956A-72442058AAB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42" name="shapetype_202" hidden="1">
          <a:extLst>
            <a:ext uri="{FF2B5EF4-FFF2-40B4-BE49-F238E27FC236}">
              <a16:creationId xmlns:a16="http://schemas.microsoft.com/office/drawing/2014/main" id="{1D422815-2A4A-4FC0-BBA6-F5B205E0173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40" name="shapetype_202" hidden="1">
          <a:extLst>
            <a:ext uri="{FF2B5EF4-FFF2-40B4-BE49-F238E27FC236}">
              <a16:creationId xmlns:a16="http://schemas.microsoft.com/office/drawing/2014/main" id="{3DFCFFED-771B-41FA-A5F7-2A99EEC9462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38" name="shapetype_202" hidden="1">
          <a:extLst>
            <a:ext uri="{FF2B5EF4-FFF2-40B4-BE49-F238E27FC236}">
              <a16:creationId xmlns:a16="http://schemas.microsoft.com/office/drawing/2014/main" id="{087182E0-C2A6-45B8-9547-227C2F43688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36" name="shapetype_202" hidden="1">
          <a:extLst>
            <a:ext uri="{FF2B5EF4-FFF2-40B4-BE49-F238E27FC236}">
              <a16:creationId xmlns:a16="http://schemas.microsoft.com/office/drawing/2014/main" id="{6C8EF3C7-1E05-4E16-AE1C-029F9734F6F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34" name="shapetype_202" hidden="1">
          <a:extLst>
            <a:ext uri="{FF2B5EF4-FFF2-40B4-BE49-F238E27FC236}">
              <a16:creationId xmlns:a16="http://schemas.microsoft.com/office/drawing/2014/main" id="{21EE67F6-76E5-4781-9018-A5AD7831623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32" name="shapetype_202" hidden="1">
          <a:extLst>
            <a:ext uri="{FF2B5EF4-FFF2-40B4-BE49-F238E27FC236}">
              <a16:creationId xmlns:a16="http://schemas.microsoft.com/office/drawing/2014/main" id="{4E172BAC-AC1F-49B3-A725-221EC3FF75D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30" name="shapetype_202" hidden="1">
          <a:extLst>
            <a:ext uri="{FF2B5EF4-FFF2-40B4-BE49-F238E27FC236}">
              <a16:creationId xmlns:a16="http://schemas.microsoft.com/office/drawing/2014/main" id="{067DF1D3-6254-4306-BEAC-7083B5D926B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28" name="shapetype_202" hidden="1">
          <a:extLst>
            <a:ext uri="{FF2B5EF4-FFF2-40B4-BE49-F238E27FC236}">
              <a16:creationId xmlns:a16="http://schemas.microsoft.com/office/drawing/2014/main" id="{FF5F35E9-8339-4CE0-8FF1-A3B2C805928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26" name="shapetype_202" hidden="1">
          <a:extLst>
            <a:ext uri="{FF2B5EF4-FFF2-40B4-BE49-F238E27FC236}">
              <a16:creationId xmlns:a16="http://schemas.microsoft.com/office/drawing/2014/main" id="{D7D4FFC5-B5E1-4707-84ED-94BDE390B1A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24" name="shapetype_202" hidden="1">
          <a:extLst>
            <a:ext uri="{FF2B5EF4-FFF2-40B4-BE49-F238E27FC236}">
              <a16:creationId xmlns:a16="http://schemas.microsoft.com/office/drawing/2014/main" id="{178E9D93-E507-4E26-81E3-DAE33051E41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22" name="shapetype_202" hidden="1">
          <a:extLst>
            <a:ext uri="{FF2B5EF4-FFF2-40B4-BE49-F238E27FC236}">
              <a16:creationId xmlns:a16="http://schemas.microsoft.com/office/drawing/2014/main" id="{968FB95F-976A-403B-81DF-A9447E4A440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20" name="shapetype_202" hidden="1">
          <a:extLst>
            <a:ext uri="{FF2B5EF4-FFF2-40B4-BE49-F238E27FC236}">
              <a16:creationId xmlns:a16="http://schemas.microsoft.com/office/drawing/2014/main" id="{16BFD344-E57B-4D0F-9C2B-B7D87000BAF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18" name="shapetype_202" hidden="1">
          <a:extLst>
            <a:ext uri="{FF2B5EF4-FFF2-40B4-BE49-F238E27FC236}">
              <a16:creationId xmlns:a16="http://schemas.microsoft.com/office/drawing/2014/main" id="{EF42F15B-0C60-45F6-928B-88DF35EE849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16" name="shapetype_202" hidden="1">
          <a:extLst>
            <a:ext uri="{FF2B5EF4-FFF2-40B4-BE49-F238E27FC236}">
              <a16:creationId xmlns:a16="http://schemas.microsoft.com/office/drawing/2014/main" id="{7ECF1A5D-349A-4FE0-809D-9AAB867367B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14" name="shapetype_202" hidden="1">
          <a:extLst>
            <a:ext uri="{FF2B5EF4-FFF2-40B4-BE49-F238E27FC236}">
              <a16:creationId xmlns:a16="http://schemas.microsoft.com/office/drawing/2014/main" id="{059953FF-7340-4AC4-8090-7E1103503F0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12" name="shapetype_202" hidden="1">
          <a:extLst>
            <a:ext uri="{FF2B5EF4-FFF2-40B4-BE49-F238E27FC236}">
              <a16:creationId xmlns:a16="http://schemas.microsoft.com/office/drawing/2014/main" id="{E31FB2F2-A73A-4A65-A0CF-95DC6644514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10" name="shapetype_202" hidden="1">
          <a:extLst>
            <a:ext uri="{FF2B5EF4-FFF2-40B4-BE49-F238E27FC236}">
              <a16:creationId xmlns:a16="http://schemas.microsoft.com/office/drawing/2014/main" id="{2EF5E057-B8E9-42A9-9356-9F10C83AC56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08" name="shapetype_202" hidden="1">
          <a:extLst>
            <a:ext uri="{FF2B5EF4-FFF2-40B4-BE49-F238E27FC236}">
              <a16:creationId xmlns:a16="http://schemas.microsoft.com/office/drawing/2014/main" id="{38E6003B-7BBD-4DD6-A8BD-CECC75E92EC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06" name="shapetype_202" hidden="1">
          <a:extLst>
            <a:ext uri="{FF2B5EF4-FFF2-40B4-BE49-F238E27FC236}">
              <a16:creationId xmlns:a16="http://schemas.microsoft.com/office/drawing/2014/main" id="{ADD8674B-EB02-444E-97E7-F5A1E8C1ACE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04" name="shapetype_202" hidden="1">
          <a:extLst>
            <a:ext uri="{FF2B5EF4-FFF2-40B4-BE49-F238E27FC236}">
              <a16:creationId xmlns:a16="http://schemas.microsoft.com/office/drawing/2014/main" id="{14B5B9FC-CC91-460D-9951-C47BE008B27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02" name="shapetype_202" hidden="1">
          <a:extLst>
            <a:ext uri="{FF2B5EF4-FFF2-40B4-BE49-F238E27FC236}">
              <a16:creationId xmlns:a16="http://schemas.microsoft.com/office/drawing/2014/main" id="{6B82D864-D709-4267-9F10-F91B592ADA8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100" name="shapetype_202" hidden="1">
          <a:extLst>
            <a:ext uri="{FF2B5EF4-FFF2-40B4-BE49-F238E27FC236}">
              <a16:creationId xmlns:a16="http://schemas.microsoft.com/office/drawing/2014/main" id="{8B11E7E1-9153-48DD-B90B-0F6AB22EB9D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098" name="shapetype_202" hidden="1">
          <a:extLst>
            <a:ext uri="{FF2B5EF4-FFF2-40B4-BE49-F238E27FC236}">
              <a16:creationId xmlns:a16="http://schemas.microsoft.com/office/drawing/2014/main" id="{AB8BCE89-0F55-405F-99D4-373B99E2151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096" name="shapetype_202" hidden="1">
          <a:extLst>
            <a:ext uri="{FF2B5EF4-FFF2-40B4-BE49-F238E27FC236}">
              <a16:creationId xmlns:a16="http://schemas.microsoft.com/office/drawing/2014/main" id="{7432B95A-A261-46A5-9DA0-B4CF7D483CF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094" name="shapetype_202" hidden="1">
          <a:extLst>
            <a:ext uri="{FF2B5EF4-FFF2-40B4-BE49-F238E27FC236}">
              <a16:creationId xmlns:a16="http://schemas.microsoft.com/office/drawing/2014/main" id="{6F090C81-D442-47B6-BBCF-2C55945BA31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092" name="shapetype_202" hidden="1">
          <a:extLst>
            <a:ext uri="{FF2B5EF4-FFF2-40B4-BE49-F238E27FC236}">
              <a16:creationId xmlns:a16="http://schemas.microsoft.com/office/drawing/2014/main" id="{74A6C0E1-B88F-476F-B8D4-5CB48A50541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090" name="shapetype_202" hidden="1">
          <a:extLst>
            <a:ext uri="{FF2B5EF4-FFF2-40B4-BE49-F238E27FC236}">
              <a16:creationId xmlns:a16="http://schemas.microsoft.com/office/drawing/2014/main" id="{78F4186C-DC10-434B-A2C7-8B89F8786F9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088" name="shapetype_202" hidden="1">
          <a:extLst>
            <a:ext uri="{FF2B5EF4-FFF2-40B4-BE49-F238E27FC236}">
              <a16:creationId xmlns:a16="http://schemas.microsoft.com/office/drawing/2014/main" id="{08261B39-9496-4569-99EF-D26716C9C7A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086" name="shapetype_202" hidden="1">
          <a:extLst>
            <a:ext uri="{FF2B5EF4-FFF2-40B4-BE49-F238E27FC236}">
              <a16:creationId xmlns:a16="http://schemas.microsoft.com/office/drawing/2014/main" id="{537A59B0-15A8-49E7-923E-4496A227564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084" name="shapetype_202" hidden="1">
          <a:extLst>
            <a:ext uri="{FF2B5EF4-FFF2-40B4-BE49-F238E27FC236}">
              <a16:creationId xmlns:a16="http://schemas.microsoft.com/office/drawing/2014/main" id="{F682F4AD-5E0B-4121-B074-4FB55C5FE18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082" name="shapetype_202" hidden="1">
          <a:extLst>
            <a:ext uri="{FF2B5EF4-FFF2-40B4-BE49-F238E27FC236}">
              <a16:creationId xmlns:a16="http://schemas.microsoft.com/office/drawing/2014/main" id="{A4FC8223-9B40-450A-A0F1-A251A3200CD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080" name="shapetype_202" hidden="1">
          <a:extLst>
            <a:ext uri="{FF2B5EF4-FFF2-40B4-BE49-F238E27FC236}">
              <a16:creationId xmlns:a16="http://schemas.microsoft.com/office/drawing/2014/main" id="{4C52BD20-87BF-4164-AB4E-CEEC7528B3F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078" name="shapetype_202" hidden="1">
          <a:extLst>
            <a:ext uri="{FF2B5EF4-FFF2-40B4-BE49-F238E27FC236}">
              <a16:creationId xmlns:a16="http://schemas.microsoft.com/office/drawing/2014/main" id="{D7BEEFAB-3BA8-46AB-9F87-B66C0CD849F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076" name="shapetype_202" hidden="1">
          <a:extLst>
            <a:ext uri="{FF2B5EF4-FFF2-40B4-BE49-F238E27FC236}">
              <a16:creationId xmlns:a16="http://schemas.microsoft.com/office/drawing/2014/main" id="{593EF10F-62FD-4A47-897C-5D7793B2ADF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561975</xdr:colOff>
      <xdr:row>52</xdr:row>
      <xdr:rowOff>104775</xdr:rowOff>
    </xdr:to>
    <xdr:sp macro="" textlink="">
      <xdr:nvSpPr>
        <xdr:cNvPr id="3074" name="shapetype_202" hidden="1">
          <a:extLst>
            <a:ext uri="{FF2B5EF4-FFF2-40B4-BE49-F238E27FC236}">
              <a16:creationId xmlns:a16="http://schemas.microsoft.com/office/drawing/2014/main" id="{2701743E-2B3B-45A0-9FB1-CC426A76276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hyperlink" Target="http://www.apotheken-umschau.de/Medikamente/Beipackzettel/Lisinopril-ratiopharm-10mg-Tabletten-601455.html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355"/>
  <sheetViews>
    <sheetView topLeftCell="M1" zoomScale="90" zoomScaleNormal="90" workbookViewId="0">
      <pane ySplit="1" topLeftCell="A236" activePane="bottomLeft" state="frozen"/>
      <selection activeCell="M1" sqref="M1"/>
      <selection pane="bottomLeft" activeCell="J1" sqref="J1"/>
    </sheetView>
  </sheetViews>
  <sheetFormatPr defaultRowHeight="14.25" x14ac:dyDescent="0.2"/>
  <cols>
    <col min="1" max="1" width="11.5" style="1"/>
    <col min="2" max="2" width="10.875"/>
    <col min="3" max="3" width="7.625"/>
    <col min="4" max="4" width="14.375"/>
    <col min="5" max="5" width="16.375"/>
    <col min="6" max="6" width="8.625"/>
    <col min="7" max="7" width="11.375"/>
    <col min="8" max="9" width="5.125"/>
    <col min="10" max="10" width="5.875"/>
    <col min="11" max="11" width="6.875"/>
    <col min="12" max="12" width="7.375"/>
    <col min="13" max="13" width="6"/>
    <col min="14" max="14" width="10.375"/>
    <col min="15" max="15" width="11.5"/>
    <col min="16" max="16" width="12.625"/>
    <col min="17" max="17" width="17.625"/>
    <col min="18" max="18" width="8.5"/>
    <col min="19" max="19" width="12.625"/>
    <col min="20" max="20" width="17.625"/>
    <col min="21" max="21" width="11.375"/>
    <col min="22" max="22" width="8.5"/>
    <col min="23" max="23" width="13.625"/>
    <col min="24" max="24" width="13.375"/>
    <col min="25" max="25" width="14.875"/>
    <col min="26" max="26" width="14.25"/>
    <col min="27" max="27" width="11.25"/>
    <col min="28" max="28" width="10.625"/>
    <col min="29" max="29" width="5.625"/>
    <col min="30" max="30" width="11.75"/>
    <col min="31" max="31" width="13.125"/>
    <col min="32" max="32" width="25.875"/>
    <col min="33" max="33" width="14.25"/>
    <col min="34" max="34" width="20.125"/>
    <col min="35" max="35" width="11.375"/>
    <col min="36" max="36" width="25.125"/>
    <col min="37" max="37" width="12.5"/>
    <col min="38" max="39" width="18.5"/>
    <col min="40" max="40" width="13.625"/>
    <col min="41" max="41" width="26.375"/>
    <col min="42" max="42" width="14.75"/>
    <col min="43" max="44" width="20.625"/>
    <col min="45" max="45" width="15"/>
    <col min="46" max="46" width="27.75"/>
    <col min="47" max="47" width="16.125"/>
    <col min="48" max="49" width="22.125"/>
    <col min="50" max="50" width="13.125"/>
    <col min="51" max="51" width="21.25"/>
    <col min="52" max="52" width="14.25"/>
    <col min="53" max="53" width="20.125"/>
    <col min="54" max="54" width="12"/>
    <col min="55" max="55" width="20.125"/>
    <col min="56" max="56" width="13.25"/>
    <col min="57" max="57" width="19.125"/>
    <col min="58" max="58" width="15.25"/>
    <col min="59" max="59" width="23.375"/>
    <col min="60" max="60" width="16.375"/>
    <col min="61" max="61" width="22.375"/>
    <col min="62" max="62" width="12.375"/>
    <col min="63" max="63" width="20.5"/>
    <col min="64" max="64" width="13.625"/>
    <col min="65" max="65" width="19.5"/>
    <col min="66" max="66" width="18.125"/>
    <col min="67" max="67" width="26.25"/>
    <col min="68" max="68" width="18.5"/>
    <col min="69" max="69" width="25.125"/>
    <col min="70" max="70" width="20.75"/>
    <col min="71" max="71" width="16.125"/>
    <col min="72" max="72" width="16.5"/>
    <col min="73" max="73" width="18"/>
    <col min="74" max="74" width="16.625"/>
    <col min="75" max="75" width="19.75"/>
    <col min="76" max="76" width="18"/>
    <col min="77" max="77" width="8.25"/>
    <col min="78" max="78" width="13.5"/>
    <col min="79" max="79" width="23.625"/>
    <col min="80" max="80" width="9.875"/>
    <col min="81" max="81" width="17.375"/>
    <col min="82" max="82" width="18.75"/>
    <col min="83" max="83" width="16.5"/>
    <col min="84" max="84" width="14.5"/>
    <col min="85" max="85" width="17.625"/>
    <col min="86" max="86" width="30.75"/>
    <col min="87" max="87" width="20.875"/>
    <col min="88" max="88" width="9.75"/>
    <col min="89" max="89" width="8.75"/>
    <col min="90" max="90" width="7.875"/>
    <col min="91" max="91" width="6.125"/>
    <col min="92" max="92" width="14.5"/>
    <col min="93" max="93" width="12.125"/>
    <col min="94" max="94" width="14.25"/>
    <col min="95" max="95" width="11.875"/>
    <col min="96" max="96" width="20.5"/>
    <col min="97" max="97" width="23.125"/>
    <col min="98" max="98" width="19.375"/>
    <col min="99" max="99" width="13.375"/>
    <col min="100" max="100" width="22"/>
    <col min="101" max="101" width="5.25"/>
    <col min="102" max="102" width="20.25"/>
    <col min="103" max="103" width="16.25"/>
    <col min="104" max="104" width="10.5"/>
    <col min="105" max="105" width="19.125"/>
    <col min="106" max="106" width="14.625"/>
    <col min="107" max="108" width="11.25"/>
    <col min="109" max="109" width="12.25"/>
    <col min="110" max="110" width="22.125"/>
    <col min="111" max="111" width="11.75"/>
    <col min="112" max="112" width="10.25"/>
    <col min="113" max="113" width="13.5"/>
    <col min="114" max="114" width="15.125"/>
    <col min="115" max="115" width="16.5"/>
    <col min="116" max="116" width="13.5"/>
    <col min="117" max="117" width="15.125"/>
    <col min="118" max="118" width="16.5"/>
    <col min="119" max="119" width="13.5"/>
    <col min="120" max="120" width="15.125"/>
    <col min="121" max="121" width="16.5"/>
    <col min="122" max="122" width="13.5"/>
    <col min="123" max="123" width="15.125"/>
    <col min="124" max="124" width="16.5"/>
    <col min="125" max="125" width="12.25"/>
    <col min="126" max="126" width="11.625"/>
    <col min="127" max="127" width="8.375"/>
    <col min="128" max="128" width="9.75"/>
    <col min="129" max="129" width="8.5"/>
    <col min="130" max="130" width="4.375"/>
    <col min="131" max="131" width="8.375"/>
    <col min="132" max="132" width="9.75"/>
    <col min="133" max="133" width="8.5"/>
    <col min="134" max="134" width="4.375"/>
    <col min="135" max="135" width="8.375"/>
    <col min="136" max="136" width="9.75"/>
    <col min="137" max="137" width="8.5"/>
    <col min="138" max="138" width="4.375"/>
    <col min="139" max="139" width="8.375"/>
    <col min="140" max="140" width="9.75"/>
    <col min="141" max="141" width="8.5"/>
    <col min="142" max="142" width="4.375"/>
    <col min="143" max="143" width="8.375"/>
    <col min="144" max="144" width="9.75"/>
    <col min="145" max="145" width="8.5"/>
    <col min="146" max="146" width="4.375"/>
    <col min="147" max="147" width="8.375"/>
    <col min="148" max="148" width="9.75"/>
    <col min="149" max="149" width="8.5"/>
    <col min="150" max="150" width="4.375"/>
    <col min="151" max="151" width="8.375"/>
    <col min="152" max="152" width="9.75"/>
    <col min="153" max="153" width="8.5"/>
    <col min="154" max="154" width="4.375"/>
    <col min="155" max="155" width="14"/>
    <col min="156" max="156" width="10.375"/>
    <col min="157" max="157" width="11.75"/>
    <col min="158" max="158" width="9.5"/>
    <col min="159" max="159" width="13"/>
    <col min="160" max="160" width="10.375"/>
    <col min="161" max="161" width="11.75"/>
    <col min="162" max="162" width="10.5"/>
    <col min="163" max="163" width="13"/>
    <col min="164" max="164" width="10.375"/>
    <col min="165" max="165" width="11.75"/>
    <col min="166" max="166" width="10.5"/>
    <col min="167" max="167" width="13"/>
    <col min="168" max="168" width="10.375"/>
    <col min="169" max="169" width="11.75"/>
    <col min="170" max="170" width="10.5"/>
    <col min="171" max="171" width="13"/>
    <col min="172" max="172" width="10.375"/>
    <col min="173" max="173" width="11.75"/>
    <col min="174" max="174" width="10.5"/>
    <col min="175" max="175" width="13"/>
    <col min="176" max="176" width="10.375"/>
    <col min="177" max="177" width="11.75"/>
    <col min="178" max="178" width="10.5"/>
    <col min="179" max="179" width="13"/>
    <col min="180" max="180" width="10.375"/>
    <col min="181" max="181" width="11.75"/>
    <col min="182" max="182" width="10.5"/>
    <col min="183" max="183" width="13"/>
    <col min="184" max="184" width="10.375"/>
    <col min="185" max="185" width="11.75"/>
    <col min="186" max="186" width="10.5"/>
    <col min="187" max="187" width="13"/>
    <col min="188" max="188" width="10.375"/>
    <col min="189" max="189" width="11.75"/>
    <col min="190" max="190" width="10.5"/>
    <col min="191" max="191" width="13"/>
    <col min="192" max="192" width="16.875"/>
    <col min="193" max="193" width="10.5"/>
    <col min="194" max="194" width="15"/>
    <col min="195" max="195" width="17.625"/>
    <col min="196" max="196" width="17.25"/>
    <col min="197" max="197" width="15"/>
    <col min="198" max="198" width="17.625"/>
    <col min="199" max="199" width="17.25"/>
    <col min="200" max="200" width="15"/>
    <col min="201" max="201" width="17.625"/>
    <col min="202" max="202" width="17.25"/>
    <col min="203" max="203" width="18.375"/>
    <col min="204" max="205" width="15"/>
    <col min="206" max="206" width="16"/>
    <col min="207" max="207" width="25.125"/>
    <col min="208" max="208" width="20.25"/>
    <col min="209" max="209" width="21.25"/>
    <col min="210" max="210" width="12.5"/>
    <col min="211" max="211" width="10.5"/>
    <col min="213" max="213" width="12.75"/>
    <col min="214" max="215" width="8.75"/>
    <col min="216" max="216" width="15.625"/>
    <col min="217" max="217" width="5.25"/>
    <col min="218" max="218" width="5"/>
    <col min="219" max="219" width="10.5"/>
    <col min="221" max="221" width="12.75"/>
    <col min="222" max="223" width="8.75"/>
    <col min="224" max="224" width="15.625"/>
    <col min="225" max="225" width="5.25"/>
    <col min="226" max="226" width="5"/>
    <col min="227" max="227" width="10.5"/>
    <col min="229" max="229" width="12.75"/>
    <col min="230" max="231" width="8.75"/>
    <col min="232" max="232" width="15.625"/>
    <col min="233" max="233" width="5.25"/>
    <col min="234" max="234" width="5"/>
    <col min="235" max="235" width="10.5"/>
    <col min="237" max="237" width="12.75"/>
    <col min="238" max="239" width="8.75"/>
    <col min="240" max="240" width="15.625"/>
    <col min="241" max="241" width="5.25"/>
    <col min="242" max="242" width="5"/>
    <col min="243" max="243" width="10.5"/>
    <col min="245" max="245" width="12.75"/>
    <col min="246" max="247" width="8.75"/>
    <col min="248" max="248" width="15.625"/>
    <col min="249" max="249" width="5.25"/>
    <col min="250" max="250" width="5"/>
    <col min="251" max="251" width="10.5"/>
    <col min="253" max="253" width="12.75"/>
    <col min="254" max="255" width="8.75"/>
    <col min="256" max="256" width="15.625"/>
    <col min="257" max="257" width="5.25"/>
    <col min="258" max="258" width="5"/>
    <col min="259" max="259" width="10.5"/>
    <col min="261" max="261" width="12.75"/>
    <col min="262" max="263" width="8.75"/>
    <col min="264" max="264" width="15.625"/>
    <col min="265" max="265" width="5.25"/>
    <col min="266" max="266" width="5"/>
    <col min="267" max="267" width="10.5"/>
    <col min="269" max="269" width="12.75"/>
    <col min="270" max="271" width="8.75"/>
    <col min="272" max="272" width="15.625"/>
    <col min="273" max="273" width="5.25"/>
    <col min="274" max="274" width="5"/>
    <col min="275" max="275" width="10.5"/>
    <col min="277" max="277" width="12.75"/>
    <col min="278" max="279" width="8.75"/>
    <col min="280" max="280" width="15.625"/>
    <col min="281" max="281" width="5.25"/>
    <col min="282" max="282" width="5"/>
    <col min="283" max="283" width="10.5"/>
    <col min="285" max="285" width="12.75"/>
    <col min="286" max="287" width="8.75"/>
    <col min="288" max="288" width="15.625"/>
    <col min="289" max="289" width="5.25"/>
    <col min="290" max="290" width="5"/>
    <col min="291" max="291" width="10.5"/>
    <col min="293" max="293" width="12.75"/>
    <col min="294" max="295" width="8.75"/>
    <col min="296" max="296" width="15.625"/>
    <col min="297" max="297" width="5.25"/>
    <col min="298" max="298" width="5"/>
    <col min="299" max="299" width="10.5"/>
    <col min="301" max="301" width="12.75"/>
    <col min="302" max="303" width="8.75"/>
    <col min="304" max="304" width="15.625"/>
    <col min="305" max="305" width="5.25"/>
    <col min="306" max="306" width="5"/>
    <col min="307" max="307" width="10.5"/>
    <col min="309" max="309" width="12.75"/>
    <col min="310" max="311" width="8.75"/>
    <col min="312" max="312" width="15.625"/>
    <col min="313" max="313" width="5.25"/>
    <col min="314" max="314" width="5"/>
    <col min="315" max="315" width="10.5"/>
    <col min="317" max="317" width="12.75"/>
    <col min="318" max="319" width="8.75"/>
    <col min="320" max="320" width="15.625"/>
    <col min="321" max="321" width="5.25"/>
    <col min="322" max="322" width="5"/>
    <col min="323" max="323" width="10.5"/>
    <col min="325" max="325" width="12.75"/>
    <col min="326" max="327" width="8.75"/>
    <col min="328" max="328" width="15.625"/>
    <col min="329" max="329" width="5.25"/>
    <col min="330" max="330" width="5"/>
    <col min="331" max="331" width="10.5"/>
    <col min="333" max="333" width="12.75"/>
    <col min="334" max="335" width="8.75"/>
    <col min="336" max="336" width="15.625"/>
    <col min="337" max="337" width="5.25"/>
    <col min="338" max="338" width="5"/>
    <col min="339" max="339" width="10.5"/>
    <col min="341" max="341" width="12.75"/>
    <col min="342" max="343" width="8.75"/>
    <col min="344" max="344" width="15.625"/>
    <col min="345" max="345" width="5.25"/>
    <col min="346" max="346" width="5"/>
    <col min="347" max="347" width="10.5"/>
    <col min="349" max="349" width="12.75"/>
    <col min="350" max="351" width="8.75"/>
    <col min="352" max="352" width="15.625"/>
    <col min="353" max="353" width="5.25"/>
    <col min="354" max="354" width="5"/>
    <col min="355" max="355" width="10.5"/>
    <col min="357" max="357" width="12.75"/>
    <col min="358" max="359" width="8.75"/>
    <col min="360" max="360" width="15.625"/>
    <col min="361" max="361" width="5.25"/>
    <col min="362" max="362" width="5"/>
    <col min="363" max="363" width="10.5"/>
    <col min="365" max="365" width="12.75"/>
    <col min="366" max="367" width="8.75"/>
    <col min="368" max="368" width="15.625"/>
    <col min="369" max="369" width="5.25"/>
    <col min="370" max="370" width="5"/>
    <col min="371" max="371" width="10.5"/>
    <col min="373" max="373" width="12.75"/>
    <col min="374" max="375" width="8.75"/>
    <col min="376" max="376" width="15.625"/>
    <col min="377" max="377" width="5.25"/>
    <col min="378" max="378" width="5"/>
    <col min="379" max="379" width="10.5"/>
    <col min="381" max="381" width="12.75"/>
    <col min="382" max="383" width="8.75"/>
    <col min="384" max="384" width="15.625"/>
    <col min="385" max="385" width="5.25"/>
    <col min="386" max="386" width="5"/>
    <col min="387" max="387" width="10.5"/>
    <col min="389" max="389" width="12.75"/>
    <col min="390" max="391" width="8.75"/>
    <col min="392" max="392" width="15.625"/>
    <col min="393" max="393" width="5.25"/>
    <col min="394" max="394" width="5"/>
    <col min="395" max="395" width="10.5"/>
    <col min="397" max="397" width="12.75"/>
    <col min="398" max="399" width="8.75"/>
    <col min="400" max="400" width="15.625"/>
    <col min="401" max="401" width="5.25"/>
    <col min="402" max="402" width="5"/>
    <col min="403" max="403" width="10.5"/>
    <col min="405" max="405" width="12.75"/>
    <col min="406" max="407" width="8.75"/>
    <col min="408" max="408" width="15.625"/>
    <col min="409" max="409" width="5.25"/>
    <col min="410" max="410" width="5"/>
    <col min="411" max="411" width="10.5"/>
    <col min="413" max="413" width="12.75"/>
    <col min="414" max="415" width="8.75"/>
    <col min="416" max="416" width="15.625"/>
    <col min="417" max="417" width="5.25"/>
    <col min="418" max="418" width="5"/>
    <col min="419" max="419" width="10.5"/>
    <col min="421" max="421" width="12.75"/>
    <col min="422" max="423" width="8.75"/>
    <col min="424" max="424" width="15.625"/>
    <col min="425" max="425" width="5.25"/>
    <col min="426" max="426" width="5"/>
    <col min="427" max="427" width="10.5"/>
    <col min="429" max="429" width="12.75"/>
    <col min="430" max="431" width="8.75"/>
    <col min="432" max="432" width="15.625"/>
    <col min="433" max="433" width="5.25"/>
    <col min="434" max="434" width="5"/>
    <col min="435" max="435" width="10.5"/>
    <col min="437" max="437" width="12.75"/>
    <col min="438" max="439" width="8.75"/>
    <col min="440" max="440" width="15.625"/>
    <col min="441" max="441" width="5.25"/>
    <col min="442" max="442" width="5"/>
    <col min="443" max="443" width="10.5"/>
    <col min="445" max="445" width="12.75"/>
    <col min="446" max="447" width="8.75"/>
    <col min="448" max="448" width="15.625"/>
    <col min="449" max="449" width="5.25"/>
    <col min="450" max="450" width="5"/>
    <col min="451" max="451" width="10.5"/>
    <col min="453" max="453" width="12.75"/>
    <col min="454" max="455" width="8.75"/>
    <col min="456" max="456" width="15.625"/>
    <col min="457" max="457" width="5.25"/>
    <col min="458" max="458" width="5"/>
    <col min="459" max="459" width="10.5"/>
    <col min="461" max="461" width="12.75"/>
    <col min="462" max="463" width="8.75"/>
    <col min="464" max="464" width="15.625"/>
    <col min="465" max="465" width="5.25"/>
    <col min="466" max="466" width="5"/>
    <col min="467" max="467" width="10.5"/>
    <col min="469" max="469" width="12.75"/>
    <col min="470" max="471" width="8.75"/>
    <col min="472" max="472" width="15.625"/>
    <col min="473" max="473" width="5.25"/>
    <col min="474" max="474" width="5"/>
    <col min="475" max="475" width="10.5"/>
    <col min="477" max="477" width="12.75"/>
    <col min="478" max="479" width="8.75"/>
    <col min="480" max="480" width="15.625"/>
    <col min="481" max="481" width="5.25"/>
    <col min="482" max="482" width="5"/>
    <col min="483" max="483" width="10.5"/>
    <col min="485" max="485" width="12.75"/>
    <col min="486" max="487" width="8.75"/>
    <col min="488" max="488" width="15.625"/>
    <col min="489" max="489" width="5.25"/>
    <col min="490" max="490" width="5"/>
    <col min="491" max="491" width="10.5"/>
    <col min="493" max="493" width="12.75"/>
    <col min="494" max="495" width="8.75"/>
    <col min="496" max="496" width="15.625"/>
    <col min="497" max="497" width="5.25"/>
    <col min="498" max="498" width="5"/>
    <col min="499" max="499" width="10.5"/>
    <col min="501" max="501" width="12.75"/>
    <col min="502" max="503" width="8.75"/>
    <col min="504" max="504" width="15.625"/>
    <col min="505" max="505" width="5.25"/>
    <col min="506" max="506" width="5"/>
    <col min="507" max="507" width="10.5"/>
    <col min="509" max="509" width="12.75"/>
    <col min="510" max="511" width="8.75"/>
    <col min="512" max="512" width="15.625"/>
    <col min="513" max="513" width="5.25"/>
    <col min="514" max="514" width="5"/>
    <col min="515" max="515" width="10.5"/>
    <col min="517" max="517" width="12.75"/>
    <col min="518" max="519" width="8.75"/>
    <col min="520" max="520" width="15.625"/>
    <col min="521" max="521" width="5.25"/>
    <col min="522" max="522" width="5"/>
    <col min="523" max="523" width="10.5"/>
    <col min="525" max="525" width="12.75"/>
    <col min="526" max="527" width="8.75"/>
    <col min="528" max="528" width="15.625"/>
    <col min="529" max="529" width="5.25"/>
    <col min="530" max="530" width="5"/>
    <col min="531" max="531" width="10.5"/>
    <col min="533" max="533" width="12.75"/>
    <col min="534" max="535" width="8.75"/>
    <col min="536" max="536" width="15.625"/>
    <col min="537" max="537" width="5.25"/>
    <col min="538" max="538" width="5"/>
    <col min="539" max="539" width="10.5"/>
    <col min="541" max="541" width="12.75"/>
    <col min="542" max="543" width="8.75"/>
    <col min="544" max="544" width="15.625"/>
    <col min="545" max="545" width="5.25"/>
    <col min="546" max="546" width="5"/>
    <col min="547" max="547" width="10.5"/>
    <col min="549" max="549" width="12.75"/>
    <col min="550" max="551" width="8.75"/>
    <col min="552" max="552" width="15.625"/>
    <col min="553" max="553" width="5.25"/>
    <col min="554" max="554" width="5"/>
    <col min="555" max="555" width="10.5"/>
    <col min="557" max="557" width="12.75"/>
    <col min="558" max="559" width="8.75"/>
    <col min="560" max="560" width="15.625"/>
    <col min="561" max="561" width="5.25"/>
    <col min="562" max="562" width="5"/>
    <col min="563" max="563" width="10.5"/>
    <col min="565" max="565" width="12.75"/>
    <col min="566" max="567" width="8.75"/>
    <col min="568" max="568" width="15.625"/>
    <col min="569" max="569" width="5.25"/>
    <col min="570" max="570" width="5"/>
    <col min="571" max="571" width="10.5"/>
    <col min="573" max="573" width="12.75"/>
    <col min="574" max="575" width="8.75"/>
    <col min="576" max="576" width="15.625"/>
    <col min="577" max="577" width="5.25"/>
    <col min="578" max="578" width="5"/>
    <col min="579" max="579" width="10.5"/>
    <col min="581" max="581" width="12.75"/>
    <col min="582" max="583" width="8.75"/>
    <col min="584" max="584" width="15.625"/>
    <col min="585" max="585" width="5.25"/>
    <col min="586" max="586" width="5"/>
    <col min="587" max="587" width="10.5"/>
    <col min="589" max="589" width="12.75"/>
    <col min="590" max="591" width="8.75"/>
    <col min="592" max="592" width="15.625"/>
    <col min="593" max="593" width="5.25"/>
    <col min="594" max="594" width="5"/>
    <col min="595" max="595" width="10.5"/>
    <col min="597" max="597" width="12.75"/>
    <col min="598" max="599" width="8.75"/>
    <col min="600" max="600" width="15.625"/>
    <col min="601" max="601" width="5.25"/>
    <col min="602" max="602" width="5"/>
    <col min="603" max="603" width="10.5"/>
    <col min="605" max="605" width="12.75"/>
    <col min="606" max="607" width="8.75"/>
    <col min="608" max="608" width="15.625"/>
    <col min="609" max="609" width="5.25"/>
    <col min="610" max="610" width="5"/>
    <col min="611" max="611" width="10.5"/>
    <col min="613" max="613" width="12.75"/>
    <col min="614" max="615" width="8.75"/>
    <col min="616" max="616" width="15.625"/>
    <col min="617" max="617" width="5.25"/>
    <col min="618" max="618" width="5"/>
    <col min="619" max="619" width="10.5"/>
    <col min="621" max="621" width="12.75"/>
    <col min="622" max="623" width="8.75"/>
    <col min="624" max="624" width="15.625"/>
    <col min="625" max="625" width="5.25"/>
    <col min="626" max="626" width="5"/>
    <col min="627" max="627" width="10.5"/>
    <col min="629" max="629" width="12.75"/>
    <col min="630" max="631" width="8.75"/>
    <col min="632" max="632" width="15.625"/>
    <col min="633" max="633" width="5.25"/>
    <col min="634" max="634" width="5"/>
    <col min="635" max="635" width="10.5"/>
    <col min="637" max="637" width="12.75"/>
    <col min="638" max="639" width="8.75"/>
    <col min="640" max="640" width="15.625"/>
    <col min="641" max="641" width="5.25"/>
    <col min="642" max="642" width="5"/>
    <col min="643" max="643" width="10.5"/>
    <col min="645" max="645" width="12.75"/>
    <col min="646" max="647" width="8.75"/>
    <col min="648" max="648" width="15.625"/>
    <col min="649" max="649" width="5.25"/>
    <col min="650" max="650" width="5"/>
    <col min="651" max="651" width="10.5"/>
    <col min="653" max="653" width="12.75"/>
    <col min="654" max="655" width="8.75"/>
    <col min="656" max="656" width="15.625"/>
    <col min="657" max="657" width="5.25"/>
    <col min="658" max="658" width="5"/>
    <col min="659" max="659" width="10.5"/>
    <col min="661" max="661" width="12.75"/>
    <col min="662" max="663" width="8.75"/>
    <col min="664" max="664" width="15.625"/>
    <col min="665" max="665" width="5.25"/>
    <col min="666" max="666" width="5"/>
    <col min="667" max="667" width="10.5"/>
    <col min="669" max="669" width="12.75"/>
    <col min="670" max="671" width="8.75"/>
    <col min="672" max="672" width="15.625"/>
    <col min="673" max="673" width="5.25"/>
    <col min="674" max="674" width="5"/>
    <col min="675" max="675" width="10.5"/>
    <col min="677" max="677" width="12.75"/>
    <col min="678" max="679" width="8.75"/>
    <col min="680" max="680" width="15.625"/>
    <col min="681" max="681" width="5.25"/>
    <col min="682" max="682" width="5"/>
    <col min="683" max="683" width="10.5"/>
    <col min="685" max="685" width="12.75"/>
    <col min="686" max="687" width="8.75"/>
    <col min="688" max="688" width="15.625"/>
    <col min="689" max="689" width="5.25"/>
    <col min="690" max="690" width="5"/>
    <col min="691" max="691" width="10.5"/>
    <col min="693" max="693" width="12.75"/>
    <col min="694" max="695" width="8.75"/>
    <col min="696" max="696" width="6.125"/>
    <col min="697" max="697" width="5.25"/>
    <col min="698" max="698" width="5"/>
    <col min="699" max="699" width="10.5"/>
    <col min="701" max="701" width="12.75"/>
    <col min="702" max="703" width="8.75"/>
    <col min="704" max="704" width="15.625"/>
    <col min="705" max="705" width="5.25"/>
    <col min="706" max="706" width="5"/>
    <col min="707" max="707" width="10.5"/>
    <col min="709" max="709" width="12.75"/>
    <col min="710" max="711" width="8.75"/>
    <col min="712" max="712" width="15.625"/>
    <col min="713" max="713" width="5.25"/>
    <col min="714" max="714" width="5"/>
    <col min="715" max="715" width="10.5"/>
    <col min="717" max="717" width="12.75"/>
    <col min="718" max="719" width="8.75"/>
    <col min="720" max="720" width="15.625"/>
    <col min="721" max="721" width="5.25"/>
    <col min="722" max="722" width="5"/>
    <col min="723" max="723" width="10.5"/>
    <col min="725" max="725" width="12.75"/>
    <col min="726" max="727" width="8.75"/>
    <col min="728" max="728" width="15.625"/>
    <col min="729" max="729" width="5.25"/>
    <col min="730" max="730" width="5"/>
    <col min="731" max="731" width="10.5"/>
    <col min="733" max="733" width="12.75"/>
    <col min="734" max="735" width="8.75"/>
    <col min="736" max="736" width="15.625"/>
    <col min="737" max="737" width="5.25"/>
    <col min="738" max="738" width="5"/>
    <col min="739" max="739" width="10.5"/>
    <col min="741" max="741" width="12.75"/>
    <col min="742" max="743" width="8.75"/>
    <col min="744" max="744" width="15.625"/>
    <col min="745" max="745" width="5.25"/>
    <col min="746" max="746" width="5"/>
    <col min="747" max="747" width="10.5"/>
    <col min="749" max="749" width="12.75"/>
    <col min="750" max="751" width="8.75"/>
    <col min="752" max="752" width="15.625"/>
    <col min="753" max="753" width="5.25"/>
    <col min="754" max="754" width="5"/>
    <col min="755" max="755" width="10.5"/>
    <col min="757" max="757" width="12.75"/>
    <col min="758" max="759" width="8.75"/>
    <col min="760" max="760" width="15.625"/>
    <col min="761" max="761" width="5.25"/>
    <col min="762" max="762" width="5"/>
    <col min="763" max="763" width="10.5"/>
    <col min="765" max="765" width="12.75"/>
    <col min="766" max="767" width="8.75"/>
    <col min="768" max="768" width="15.625"/>
    <col min="769" max="769" width="5.25"/>
    <col min="770" max="770" width="5"/>
    <col min="771" max="771" width="10.5"/>
    <col min="773" max="773" width="12.75"/>
    <col min="774" max="775" width="8.75"/>
    <col min="776" max="776" width="15.625"/>
    <col min="777" max="777" width="5.25"/>
    <col min="778" max="778" width="5"/>
    <col min="779" max="779" width="10.5"/>
    <col min="781" max="781" width="12.75"/>
    <col min="782" max="783" width="8.75"/>
    <col min="784" max="784" width="15.625"/>
    <col min="785" max="785" width="5.25"/>
    <col min="786" max="786" width="5"/>
    <col min="787" max="787" width="10.5"/>
    <col min="789" max="789" width="12.75"/>
    <col min="790" max="791" width="8.75"/>
    <col min="792" max="792" width="15.625"/>
    <col min="793" max="793" width="5.25"/>
    <col min="794" max="794" width="5"/>
    <col min="795" max="795" width="10.5"/>
    <col min="797" max="797" width="12.75"/>
    <col min="798" max="799" width="8.75"/>
    <col min="800" max="800" width="15.625"/>
    <col min="801" max="801" width="5.25"/>
    <col min="802" max="802" width="5"/>
    <col min="803" max="803" width="10.5"/>
    <col min="805" max="805" width="12.75"/>
    <col min="806" max="807" width="8.75"/>
    <col min="808" max="808" width="15.625"/>
    <col min="809" max="809" width="5.25"/>
    <col min="810" max="810" width="5"/>
    <col min="811" max="811" width="10.5"/>
    <col min="813" max="813" width="12.75"/>
    <col min="814" max="815" width="8.75"/>
    <col min="816" max="816" width="15.625"/>
    <col min="817" max="817" width="5.25"/>
    <col min="818" max="818" width="6.125"/>
    <col min="819" max="819" width="10.5"/>
    <col min="821" max="821" width="12.75"/>
    <col min="822" max="823" width="8.75"/>
    <col min="824" max="824" width="15.625"/>
    <col min="825" max="825" width="5.25"/>
    <col min="826" max="826" width="5"/>
    <col min="827" max="827" width="10.5"/>
    <col min="829" max="829" width="12.75"/>
    <col min="830" max="831" width="8.75"/>
    <col min="832" max="832" width="15.625"/>
    <col min="833" max="833" width="5.25"/>
    <col min="834" max="834" width="5"/>
    <col min="835" max="835" width="10.5"/>
    <col min="837" max="837" width="12.75"/>
    <col min="838" max="839" width="8.75"/>
    <col min="840" max="840" width="15.625"/>
    <col min="841" max="841" width="5.25"/>
    <col min="842" max="842" width="5"/>
    <col min="843" max="843" width="10.5"/>
    <col min="845" max="845" width="12.75"/>
    <col min="846" max="847" width="8.75"/>
    <col min="848" max="848" width="15.625"/>
    <col min="849" max="849" width="5.25"/>
    <col min="850" max="850" width="5"/>
    <col min="851" max="851" width="10.5"/>
    <col min="853" max="853" width="12.75"/>
    <col min="854" max="855" width="8.75"/>
    <col min="856" max="856" width="15.625"/>
    <col min="857" max="857" width="5.25"/>
    <col min="858" max="858" width="5"/>
    <col min="859" max="859" width="10.5"/>
    <col min="861" max="861" width="12.75"/>
    <col min="862" max="863" width="8.75"/>
    <col min="864" max="864" width="15.625"/>
    <col min="865" max="865" width="5.25"/>
    <col min="866" max="866" width="5"/>
    <col min="867" max="867" width="10.5"/>
    <col min="869" max="869" width="12.75"/>
    <col min="870" max="871" width="8.75"/>
    <col min="872" max="872" width="15.625"/>
    <col min="873" max="873" width="5.25"/>
    <col min="874" max="874" width="5"/>
    <col min="875" max="875" width="10.5"/>
    <col min="877" max="877" width="12.75"/>
    <col min="878" max="879" width="8.75"/>
    <col min="880" max="880" width="15.625"/>
    <col min="881" max="881" width="5.25"/>
    <col min="882" max="882" width="5"/>
    <col min="883" max="883" width="10.5"/>
    <col min="885" max="885" width="12.75"/>
    <col min="886" max="887" width="8.75"/>
    <col min="888" max="888" width="15.625"/>
    <col min="889" max="889" width="5.25"/>
    <col min="890" max="890" width="5"/>
    <col min="891" max="891" width="10.5"/>
    <col min="893" max="893" width="12.75"/>
    <col min="894" max="895" width="8.75"/>
    <col min="896" max="896" width="15.625"/>
    <col min="897" max="897" width="5.25"/>
    <col min="898" max="898" width="5"/>
    <col min="899" max="899" width="10.5"/>
    <col min="901" max="901" width="12.75"/>
    <col min="902" max="903" width="8.75"/>
    <col min="904" max="904" width="15.625"/>
    <col min="905" max="905" width="5.25"/>
    <col min="906" max="906" width="5"/>
    <col min="907" max="907" width="10.5"/>
    <col min="909" max="909" width="12.75"/>
    <col min="910" max="911" width="8.75"/>
    <col min="912" max="912" width="15.625"/>
    <col min="913" max="913" width="5.25"/>
    <col min="914" max="914" width="5"/>
    <col min="915" max="915" width="10.5"/>
    <col min="917" max="917" width="12.75"/>
    <col min="918" max="919" width="8.75"/>
    <col min="920" max="920" width="15.625"/>
    <col min="921" max="921" width="5.25"/>
    <col min="922" max="922" width="5"/>
    <col min="923" max="923" width="10.5"/>
    <col min="925" max="925" width="12.75"/>
    <col min="926" max="927" width="8.75"/>
    <col min="928" max="928" width="15.625"/>
    <col min="929" max="929" width="5.25"/>
    <col min="930" max="930" width="5"/>
    <col min="931" max="931" width="10.5"/>
    <col min="933" max="933" width="12.75"/>
    <col min="934" max="935" width="8.75"/>
    <col min="936" max="936" width="15.625"/>
    <col min="937" max="937" width="5.25"/>
    <col min="938" max="938" width="5"/>
    <col min="939" max="939" width="10.5"/>
    <col min="941" max="941" width="12.75"/>
    <col min="942" max="943" width="8.75"/>
    <col min="944" max="944" width="15.625"/>
    <col min="945" max="945" width="5.25"/>
    <col min="946" max="946" width="5"/>
    <col min="947" max="947" width="10.5"/>
    <col min="949" max="949" width="12.75"/>
    <col min="950" max="951" width="8.75"/>
    <col min="952" max="952" width="15.625"/>
    <col min="953" max="953" width="5.25"/>
    <col min="954" max="954" width="5"/>
    <col min="955" max="955" width="10.5"/>
    <col min="957" max="957" width="12.75"/>
    <col min="958" max="959" width="8.75"/>
    <col min="960" max="960" width="15.625"/>
    <col min="961" max="961" width="5.25"/>
    <col min="962" max="962" width="5"/>
    <col min="963" max="963" width="10.5"/>
    <col min="965" max="965" width="12.75"/>
    <col min="966" max="967" width="8.75"/>
    <col min="968" max="968" width="15.625"/>
    <col min="969" max="969" width="5.25"/>
    <col min="970" max="970" width="5"/>
    <col min="971" max="971" width="10.5"/>
    <col min="973" max="973" width="12.75"/>
    <col min="974" max="975" width="8.75"/>
    <col min="976" max="976" width="15.625"/>
    <col min="977" max="977" width="5.25"/>
    <col min="978" max="978" width="5"/>
    <col min="979" max="979" width="10.5"/>
    <col min="981" max="981" width="12.75"/>
    <col min="982" max="983" width="8.75"/>
    <col min="984" max="984" width="15.625"/>
    <col min="985" max="985" width="5.25"/>
    <col min="986" max="986" width="5"/>
    <col min="987" max="987" width="10.5"/>
    <col min="989" max="989" width="12.75"/>
    <col min="990" max="991" width="8.75"/>
    <col min="992" max="992" width="15.625"/>
    <col min="993" max="993" width="5.25"/>
    <col min="994" max="994" width="5"/>
    <col min="995" max="995" width="10.5"/>
    <col min="997" max="997" width="12.75"/>
    <col min="998" max="999" width="8.75"/>
    <col min="1000" max="1000" width="15.625"/>
    <col min="1001" max="1001" width="5.25"/>
    <col min="1002" max="1002" width="5"/>
    <col min="1003" max="1003" width="10.5"/>
    <col min="1005" max="1005" width="12.75"/>
    <col min="1006" max="1007" width="8.75"/>
    <col min="1008" max="1008" width="15.625"/>
    <col min="1009" max="1009" width="5.25"/>
    <col min="1010" max="1010" width="5"/>
    <col min="1011" max="1011" width="10.5"/>
    <col min="1013" max="1013" width="12.75"/>
    <col min="1014" max="1015" width="8.75"/>
    <col min="1016" max="1016" width="15.625"/>
    <col min="1017" max="1017" width="5.25"/>
    <col min="1018" max="1018" width="5"/>
    <col min="1019" max="1019" width="10.5"/>
    <col min="1021" max="1021" width="12.75"/>
    <col min="1022" max="1023" width="8.75"/>
    <col min="1024" max="1025" width="15.625"/>
  </cols>
  <sheetData>
    <row r="1" spans="1:1024" ht="15" x14ac:dyDescent="0.25">
      <c r="A1" s="2" t="s">
        <v>0</v>
      </c>
      <c r="B1" s="3" t="s">
        <v>1</v>
      </c>
      <c r="C1" s="4" t="s">
        <v>2</v>
      </c>
      <c r="D1" s="4" t="s">
        <v>3</v>
      </c>
      <c r="E1" s="5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4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4" t="s">
        <v>21</v>
      </c>
      <c r="W1" s="4" t="s">
        <v>22</v>
      </c>
      <c r="X1" s="4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6" t="s">
        <v>89</v>
      </c>
      <c r="CM1" s="6" t="s">
        <v>90</v>
      </c>
      <c r="CN1" s="7" t="s">
        <v>91</v>
      </c>
      <c r="CO1" s="7" t="s">
        <v>92</v>
      </c>
      <c r="CP1" s="7" t="s">
        <v>93</v>
      </c>
      <c r="CQ1" s="6" t="s">
        <v>94</v>
      </c>
      <c r="CR1" s="6" t="s">
        <v>95</v>
      </c>
      <c r="CS1" s="6" t="s">
        <v>96</v>
      </c>
      <c r="CT1" s="6" t="s">
        <v>97</v>
      </c>
      <c r="CU1" s="6" t="s">
        <v>98</v>
      </c>
      <c r="CV1" s="6" t="s">
        <v>99</v>
      </c>
      <c r="CW1" s="6" t="s">
        <v>100</v>
      </c>
      <c r="CX1" s="6" t="s">
        <v>101</v>
      </c>
      <c r="CY1" s="6" t="s">
        <v>102</v>
      </c>
      <c r="CZ1" s="6" t="s">
        <v>103</v>
      </c>
      <c r="DA1" s="6" t="s">
        <v>104</v>
      </c>
      <c r="DB1" s="6" t="s">
        <v>105</v>
      </c>
      <c r="DC1" s="6" t="s">
        <v>106</v>
      </c>
      <c r="DD1" s="6" t="s">
        <v>107</v>
      </c>
      <c r="DE1" s="6" t="s">
        <v>108</v>
      </c>
      <c r="DF1" s="6" t="s">
        <v>109</v>
      </c>
      <c r="DG1" s="6" t="s">
        <v>110</v>
      </c>
      <c r="DH1" s="6" t="s">
        <v>111</v>
      </c>
      <c r="DI1" s="6" t="s">
        <v>112</v>
      </c>
      <c r="DJ1" s="6" t="s">
        <v>113</v>
      </c>
      <c r="DK1" s="6" t="s">
        <v>114</v>
      </c>
      <c r="DL1" s="6" t="s">
        <v>115</v>
      </c>
      <c r="DM1" s="6" t="s">
        <v>116</v>
      </c>
      <c r="DN1" s="6" t="s">
        <v>117</v>
      </c>
      <c r="DO1" s="6" t="s">
        <v>118</v>
      </c>
      <c r="DP1" s="6" t="s">
        <v>119</v>
      </c>
      <c r="DQ1" s="6" t="s">
        <v>120</v>
      </c>
      <c r="DR1" s="6" t="s">
        <v>121</v>
      </c>
      <c r="DS1" s="6" t="s">
        <v>122</v>
      </c>
      <c r="DT1" s="6" t="s">
        <v>123</v>
      </c>
      <c r="DU1" s="6" t="s">
        <v>124</v>
      </c>
      <c r="DV1" s="6" t="s">
        <v>125</v>
      </c>
      <c r="DW1" s="6" t="s">
        <v>126</v>
      </c>
      <c r="DX1" s="6" t="s">
        <v>127</v>
      </c>
      <c r="DY1" s="6" t="s">
        <v>128</v>
      </c>
      <c r="DZ1" s="6" t="s">
        <v>129</v>
      </c>
      <c r="EA1" s="6" t="s">
        <v>126</v>
      </c>
      <c r="EB1" s="6" t="s">
        <v>127</v>
      </c>
      <c r="EC1" s="6" t="s">
        <v>128</v>
      </c>
      <c r="ED1" s="6" t="s">
        <v>129</v>
      </c>
      <c r="EE1" s="6" t="s">
        <v>126</v>
      </c>
      <c r="EF1" s="6" t="s">
        <v>127</v>
      </c>
      <c r="EG1" s="8" t="s">
        <v>128</v>
      </c>
      <c r="EH1" s="6" t="s">
        <v>129</v>
      </c>
      <c r="EI1" s="6" t="s">
        <v>126</v>
      </c>
      <c r="EJ1" s="6" t="s">
        <v>127</v>
      </c>
      <c r="EK1" s="8" t="s">
        <v>128</v>
      </c>
      <c r="EL1" s="6" t="s">
        <v>129</v>
      </c>
      <c r="EM1" s="6" t="s">
        <v>126</v>
      </c>
      <c r="EN1" s="6" t="s">
        <v>127</v>
      </c>
      <c r="EO1" s="8" t="s">
        <v>128</v>
      </c>
      <c r="EP1" s="6" t="s">
        <v>129</v>
      </c>
      <c r="EQ1" s="6" t="s">
        <v>126</v>
      </c>
      <c r="ER1" s="6" t="s">
        <v>127</v>
      </c>
      <c r="ES1" s="8" t="s">
        <v>128</v>
      </c>
      <c r="ET1" s="6" t="s">
        <v>129</v>
      </c>
      <c r="EU1" s="6" t="s">
        <v>126</v>
      </c>
      <c r="EV1" s="6" t="s">
        <v>127</v>
      </c>
      <c r="EW1" s="8" t="s">
        <v>128</v>
      </c>
      <c r="EX1" s="6" t="s">
        <v>129</v>
      </c>
      <c r="EY1" s="6" t="s">
        <v>130</v>
      </c>
      <c r="EZ1" s="6" t="s">
        <v>131</v>
      </c>
      <c r="FA1" s="6" t="s">
        <v>132</v>
      </c>
      <c r="FB1" s="6" t="s">
        <v>133</v>
      </c>
      <c r="FC1" s="6" t="s">
        <v>134</v>
      </c>
      <c r="FD1" s="6" t="s">
        <v>135</v>
      </c>
      <c r="FE1" s="6" t="s">
        <v>136</v>
      </c>
      <c r="FF1" s="6" t="s">
        <v>137</v>
      </c>
      <c r="FG1" s="6" t="s">
        <v>138</v>
      </c>
      <c r="FH1" s="6" t="s">
        <v>139</v>
      </c>
      <c r="FI1" s="6" t="s">
        <v>140</v>
      </c>
      <c r="FJ1" s="6" t="s">
        <v>141</v>
      </c>
      <c r="FK1" s="6" t="s">
        <v>142</v>
      </c>
      <c r="FL1" s="6" t="s">
        <v>143</v>
      </c>
      <c r="FM1" s="6" t="s">
        <v>144</v>
      </c>
      <c r="FN1" s="6" t="s">
        <v>145</v>
      </c>
      <c r="FO1" s="6" t="s">
        <v>146</v>
      </c>
      <c r="FP1" s="6" t="s">
        <v>147</v>
      </c>
      <c r="FQ1" s="6" t="s">
        <v>148</v>
      </c>
      <c r="FR1" s="6" t="s">
        <v>149</v>
      </c>
      <c r="FS1" s="6" t="s">
        <v>150</v>
      </c>
      <c r="FT1" s="6" t="s">
        <v>151</v>
      </c>
      <c r="FU1" s="6" t="s">
        <v>152</v>
      </c>
      <c r="FV1" s="6" t="s">
        <v>153</v>
      </c>
      <c r="FW1" s="6" t="s">
        <v>154</v>
      </c>
      <c r="FX1" s="6" t="s">
        <v>155</v>
      </c>
      <c r="FY1" s="6" t="s">
        <v>156</v>
      </c>
      <c r="FZ1" s="6" t="s">
        <v>157</v>
      </c>
      <c r="GA1" s="6" t="s">
        <v>158</v>
      </c>
      <c r="GB1" s="6" t="s">
        <v>159</v>
      </c>
      <c r="GC1" s="6" t="s">
        <v>160</v>
      </c>
      <c r="GD1" s="6" t="s">
        <v>161</v>
      </c>
      <c r="GE1" s="6" t="s">
        <v>162</v>
      </c>
      <c r="GF1" s="6" t="s">
        <v>163</v>
      </c>
      <c r="GG1" s="6" t="s">
        <v>164</v>
      </c>
      <c r="GH1" s="6" t="s">
        <v>165</v>
      </c>
      <c r="GI1" s="6" t="s">
        <v>166</v>
      </c>
      <c r="GJ1" s="6" t="s">
        <v>167</v>
      </c>
      <c r="GK1" s="6" t="s">
        <v>168</v>
      </c>
      <c r="GL1" s="6" t="s">
        <v>169</v>
      </c>
      <c r="GM1" s="6" t="s">
        <v>170</v>
      </c>
      <c r="GN1" s="6" t="s">
        <v>171</v>
      </c>
      <c r="GO1" s="6" t="s">
        <v>169</v>
      </c>
      <c r="GP1" s="6" t="s">
        <v>170</v>
      </c>
      <c r="GQ1" s="6" t="s">
        <v>171</v>
      </c>
      <c r="GR1" s="6" t="s">
        <v>169</v>
      </c>
      <c r="GS1" s="6" t="s">
        <v>170</v>
      </c>
      <c r="GT1" s="6" t="s">
        <v>171</v>
      </c>
      <c r="GU1" s="6" t="s">
        <v>172</v>
      </c>
      <c r="GV1" s="6" t="s">
        <v>173</v>
      </c>
      <c r="GW1" s="6" t="s">
        <v>174</v>
      </c>
      <c r="GX1" s="6" t="s">
        <v>175</v>
      </c>
      <c r="GY1" s="6" t="s">
        <v>176</v>
      </c>
      <c r="GZ1" s="6" t="s">
        <v>177</v>
      </c>
      <c r="HA1" s="6" t="s">
        <v>178</v>
      </c>
      <c r="HB1" s="6" t="s">
        <v>179</v>
      </c>
      <c r="HC1" s="9" t="s">
        <v>89</v>
      </c>
      <c r="HD1" s="9" t="s">
        <v>90</v>
      </c>
      <c r="HE1" s="10" t="s">
        <v>91</v>
      </c>
      <c r="HF1" s="10" t="s">
        <v>92</v>
      </c>
      <c r="HG1" s="10" t="s">
        <v>93</v>
      </c>
      <c r="HH1" s="9" t="s">
        <v>94</v>
      </c>
      <c r="HI1" s="9" t="s">
        <v>95</v>
      </c>
      <c r="HJ1" s="9" t="s">
        <v>96</v>
      </c>
      <c r="HK1" s="9" t="s">
        <v>97</v>
      </c>
      <c r="HL1" s="9" t="s">
        <v>98</v>
      </c>
      <c r="HM1" s="9" t="s">
        <v>99</v>
      </c>
      <c r="HN1" s="9" t="s">
        <v>100</v>
      </c>
      <c r="HO1" s="9" t="s">
        <v>101</v>
      </c>
      <c r="HP1" s="9" t="s">
        <v>102</v>
      </c>
      <c r="HQ1" s="9" t="s">
        <v>103</v>
      </c>
      <c r="HR1" s="9" t="s">
        <v>104</v>
      </c>
      <c r="HS1" s="9" t="s">
        <v>105</v>
      </c>
      <c r="HT1" s="9" t="s">
        <v>106</v>
      </c>
      <c r="HU1" s="9" t="s">
        <v>107</v>
      </c>
      <c r="HV1" s="9" t="s">
        <v>108</v>
      </c>
      <c r="HW1" s="9" t="s">
        <v>109</v>
      </c>
      <c r="HX1" s="9" t="s">
        <v>110</v>
      </c>
      <c r="HY1" s="9" t="s">
        <v>111</v>
      </c>
      <c r="HZ1" s="9" t="s">
        <v>112</v>
      </c>
      <c r="IA1" s="9" t="s">
        <v>113</v>
      </c>
      <c r="IB1" s="9" t="s">
        <v>114</v>
      </c>
      <c r="IC1" s="9" t="s">
        <v>115</v>
      </c>
      <c r="ID1" s="9" t="s">
        <v>116</v>
      </c>
      <c r="IE1" s="9" t="s">
        <v>117</v>
      </c>
      <c r="IF1" s="9" t="s">
        <v>118</v>
      </c>
      <c r="IG1" s="9" t="s">
        <v>119</v>
      </c>
      <c r="IH1" s="9" t="s">
        <v>120</v>
      </c>
      <c r="II1" s="9" t="s">
        <v>121</v>
      </c>
      <c r="IJ1" s="9" t="s">
        <v>122</v>
      </c>
      <c r="IK1" s="9" t="s">
        <v>123</v>
      </c>
      <c r="IL1" s="9" t="s">
        <v>124</v>
      </c>
      <c r="IM1" s="9" t="s">
        <v>125</v>
      </c>
      <c r="IN1" s="9" t="s">
        <v>126</v>
      </c>
      <c r="IO1" s="9" t="s">
        <v>127</v>
      </c>
      <c r="IP1" s="9" t="s">
        <v>128</v>
      </c>
      <c r="IQ1" s="9" t="s">
        <v>129</v>
      </c>
      <c r="IR1" s="9" t="s">
        <v>126</v>
      </c>
      <c r="IS1" s="9" t="s">
        <v>127</v>
      </c>
      <c r="IT1" s="9" t="s">
        <v>128</v>
      </c>
      <c r="IU1" s="9" t="s">
        <v>129</v>
      </c>
      <c r="IV1" s="9" t="s">
        <v>126</v>
      </c>
      <c r="IW1" s="9" t="s">
        <v>127</v>
      </c>
      <c r="IX1" s="11" t="s">
        <v>128</v>
      </c>
      <c r="IY1" s="9" t="s">
        <v>129</v>
      </c>
      <c r="IZ1" s="9" t="s">
        <v>126</v>
      </c>
      <c r="JA1" s="9" t="s">
        <v>127</v>
      </c>
      <c r="JB1" s="11" t="s">
        <v>128</v>
      </c>
      <c r="JC1" s="9" t="s">
        <v>129</v>
      </c>
      <c r="JD1" s="9" t="s">
        <v>126</v>
      </c>
      <c r="JE1" s="9" t="s">
        <v>127</v>
      </c>
      <c r="JF1" s="11" t="s">
        <v>128</v>
      </c>
      <c r="JG1" s="9" t="s">
        <v>129</v>
      </c>
      <c r="JH1" s="9" t="s">
        <v>126</v>
      </c>
      <c r="JI1" s="9" t="s">
        <v>127</v>
      </c>
      <c r="JJ1" s="11" t="s">
        <v>128</v>
      </c>
      <c r="JK1" s="9" t="s">
        <v>129</v>
      </c>
      <c r="JL1" s="9" t="s">
        <v>126</v>
      </c>
      <c r="JM1" s="9" t="s">
        <v>127</v>
      </c>
      <c r="JN1" s="11" t="s">
        <v>128</v>
      </c>
      <c r="JO1" s="9" t="s">
        <v>129</v>
      </c>
      <c r="JP1" s="9" t="s">
        <v>130</v>
      </c>
      <c r="JQ1" s="9" t="s">
        <v>131</v>
      </c>
      <c r="JR1" s="9" t="s">
        <v>132</v>
      </c>
      <c r="JS1" s="9" t="s">
        <v>133</v>
      </c>
      <c r="JT1" s="9" t="s">
        <v>134</v>
      </c>
      <c r="JU1" s="9" t="s">
        <v>135</v>
      </c>
      <c r="JV1" s="9" t="s">
        <v>136</v>
      </c>
      <c r="JW1" s="9" t="s">
        <v>137</v>
      </c>
      <c r="JX1" s="9" t="s">
        <v>138</v>
      </c>
      <c r="JY1" s="9" t="s">
        <v>139</v>
      </c>
      <c r="JZ1" s="9" t="s">
        <v>140</v>
      </c>
      <c r="KA1" s="9" t="s">
        <v>141</v>
      </c>
      <c r="KB1" s="9" t="s">
        <v>142</v>
      </c>
      <c r="KC1" s="9" t="s">
        <v>143</v>
      </c>
      <c r="KD1" s="9" t="s">
        <v>144</v>
      </c>
      <c r="KE1" s="9" t="s">
        <v>145</v>
      </c>
      <c r="KF1" s="9" t="s">
        <v>146</v>
      </c>
      <c r="KG1" s="9" t="s">
        <v>147</v>
      </c>
      <c r="KH1" s="9" t="s">
        <v>148</v>
      </c>
      <c r="KI1" s="9" t="s">
        <v>149</v>
      </c>
      <c r="KJ1" s="9" t="s">
        <v>150</v>
      </c>
      <c r="KK1" s="9" t="s">
        <v>151</v>
      </c>
      <c r="KL1" s="9" t="s">
        <v>152</v>
      </c>
      <c r="KM1" s="9" t="s">
        <v>153</v>
      </c>
      <c r="KN1" s="9" t="s">
        <v>154</v>
      </c>
      <c r="KO1" s="9" t="s">
        <v>155</v>
      </c>
      <c r="KP1" s="9" t="s">
        <v>156</v>
      </c>
      <c r="KQ1" s="9" t="s">
        <v>157</v>
      </c>
      <c r="KR1" s="9" t="s">
        <v>158</v>
      </c>
      <c r="KS1" s="9" t="s">
        <v>159</v>
      </c>
      <c r="KT1" s="9" t="s">
        <v>160</v>
      </c>
      <c r="KU1" s="9" t="s">
        <v>161</v>
      </c>
      <c r="KV1" s="9" t="s">
        <v>162</v>
      </c>
      <c r="KW1" s="9" t="s">
        <v>163</v>
      </c>
      <c r="KX1" s="9" t="s">
        <v>164</v>
      </c>
      <c r="KY1" s="9" t="s">
        <v>165</v>
      </c>
      <c r="KZ1" s="9" t="s">
        <v>166</v>
      </c>
      <c r="LA1" s="9" t="s">
        <v>167</v>
      </c>
      <c r="LB1" s="9" t="s">
        <v>168</v>
      </c>
      <c r="LC1" s="9" t="s">
        <v>169</v>
      </c>
      <c r="LD1" s="9" t="s">
        <v>170</v>
      </c>
      <c r="LE1" s="9" t="s">
        <v>171</v>
      </c>
      <c r="LF1" s="9" t="s">
        <v>169</v>
      </c>
      <c r="LG1" s="9" t="s">
        <v>170</v>
      </c>
      <c r="LH1" s="9" t="s">
        <v>171</v>
      </c>
      <c r="LI1" s="9" t="s">
        <v>169</v>
      </c>
      <c r="LJ1" s="9" t="s">
        <v>170</v>
      </c>
      <c r="LK1" s="9" t="s">
        <v>171</v>
      </c>
      <c r="LL1" s="9" t="s">
        <v>172</v>
      </c>
      <c r="LM1" s="9" t="s">
        <v>173</v>
      </c>
      <c r="LN1" s="9" t="s">
        <v>174</v>
      </c>
      <c r="LO1" s="9" t="s">
        <v>175</v>
      </c>
      <c r="LP1" s="9" t="s">
        <v>176</v>
      </c>
      <c r="LQ1" s="9" t="s">
        <v>177</v>
      </c>
      <c r="LR1" s="9" t="s">
        <v>178</v>
      </c>
      <c r="LS1" s="9" t="s">
        <v>179</v>
      </c>
      <c r="LT1" s="6" t="s">
        <v>89</v>
      </c>
      <c r="LU1" s="6" t="s">
        <v>90</v>
      </c>
      <c r="LV1" s="7" t="s">
        <v>91</v>
      </c>
      <c r="LW1" s="7" t="s">
        <v>92</v>
      </c>
      <c r="LX1" s="7" t="s">
        <v>93</v>
      </c>
      <c r="LY1" s="6" t="s">
        <v>94</v>
      </c>
      <c r="LZ1" s="6" t="s">
        <v>95</v>
      </c>
      <c r="MA1" s="6" t="s">
        <v>96</v>
      </c>
      <c r="MB1" s="6" t="s">
        <v>97</v>
      </c>
      <c r="MC1" s="6" t="s">
        <v>98</v>
      </c>
      <c r="MD1" s="6" t="s">
        <v>99</v>
      </c>
      <c r="ME1" s="6" t="s">
        <v>100</v>
      </c>
      <c r="MF1" s="6" t="s">
        <v>101</v>
      </c>
      <c r="MG1" s="6" t="s">
        <v>102</v>
      </c>
      <c r="MH1" s="6" t="s">
        <v>103</v>
      </c>
      <c r="MI1" s="6" t="s">
        <v>104</v>
      </c>
      <c r="MJ1" s="6" t="s">
        <v>105</v>
      </c>
      <c r="MK1" s="6" t="s">
        <v>106</v>
      </c>
      <c r="ML1" s="6" t="s">
        <v>107</v>
      </c>
      <c r="MM1" s="6" t="s">
        <v>108</v>
      </c>
      <c r="MN1" s="6" t="s">
        <v>109</v>
      </c>
      <c r="MO1" s="6" t="s">
        <v>110</v>
      </c>
      <c r="MP1" s="6" t="s">
        <v>111</v>
      </c>
      <c r="MQ1" s="6" t="s">
        <v>112</v>
      </c>
      <c r="MR1" s="6" t="s">
        <v>113</v>
      </c>
      <c r="MS1" s="6" t="s">
        <v>114</v>
      </c>
      <c r="MT1" s="6" t="s">
        <v>115</v>
      </c>
      <c r="MU1" s="6" t="s">
        <v>116</v>
      </c>
      <c r="MV1" s="6" t="s">
        <v>117</v>
      </c>
      <c r="MW1" s="6" t="s">
        <v>118</v>
      </c>
      <c r="MX1" s="6" t="s">
        <v>119</v>
      </c>
      <c r="MY1" s="6" t="s">
        <v>120</v>
      </c>
      <c r="MZ1" s="6" t="s">
        <v>121</v>
      </c>
      <c r="NA1" s="6" t="s">
        <v>122</v>
      </c>
      <c r="NB1" s="6" t="s">
        <v>123</v>
      </c>
      <c r="NC1" s="6" t="s">
        <v>124</v>
      </c>
      <c r="ND1" s="6" t="s">
        <v>125</v>
      </c>
      <c r="NE1" s="6" t="s">
        <v>126</v>
      </c>
      <c r="NF1" s="6" t="s">
        <v>127</v>
      </c>
      <c r="NG1" s="6" t="s">
        <v>128</v>
      </c>
      <c r="NH1" s="6" t="s">
        <v>129</v>
      </c>
      <c r="NI1" s="6" t="s">
        <v>126</v>
      </c>
      <c r="NJ1" s="6" t="s">
        <v>127</v>
      </c>
      <c r="NK1" s="6" t="s">
        <v>128</v>
      </c>
      <c r="NL1" s="6" t="s">
        <v>129</v>
      </c>
      <c r="NM1" s="6" t="s">
        <v>126</v>
      </c>
      <c r="NN1" s="6" t="s">
        <v>127</v>
      </c>
      <c r="NO1" s="8" t="s">
        <v>128</v>
      </c>
      <c r="NP1" s="6" t="s">
        <v>129</v>
      </c>
      <c r="NQ1" s="6" t="s">
        <v>126</v>
      </c>
      <c r="NR1" s="6" t="s">
        <v>127</v>
      </c>
      <c r="NS1" s="8" t="s">
        <v>128</v>
      </c>
      <c r="NT1" s="6" t="s">
        <v>129</v>
      </c>
      <c r="NU1" s="6" t="s">
        <v>126</v>
      </c>
      <c r="NV1" s="6" t="s">
        <v>127</v>
      </c>
      <c r="NW1" s="8" t="s">
        <v>128</v>
      </c>
      <c r="NX1" s="6" t="s">
        <v>129</v>
      </c>
      <c r="NY1" s="6" t="s">
        <v>126</v>
      </c>
      <c r="NZ1" s="6" t="s">
        <v>127</v>
      </c>
      <c r="OA1" s="8" t="s">
        <v>128</v>
      </c>
      <c r="OB1" s="6" t="s">
        <v>129</v>
      </c>
      <c r="OC1" s="6" t="s">
        <v>126</v>
      </c>
      <c r="OD1" s="6" t="s">
        <v>127</v>
      </c>
      <c r="OE1" s="8" t="s">
        <v>128</v>
      </c>
      <c r="OF1" s="6" t="s">
        <v>129</v>
      </c>
      <c r="OG1" s="6" t="s">
        <v>130</v>
      </c>
      <c r="OH1" s="6" t="s">
        <v>131</v>
      </c>
      <c r="OI1" s="6" t="s">
        <v>132</v>
      </c>
      <c r="OJ1" s="6" t="s">
        <v>133</v>
      </c>
      <c r="OK1" s="6" t="s">
        <v>134</v>
      </c>
      <c r="OL1" s="6" t="s">
        <v>135</v>
      </c>
      <c r="OM1" s="6" t="s">
        <v>136</v>
      </c>
      <c r="ON1" s="6" t="s">
        <v>137</v>
      </c>
      <c r="OO1" s="6" t="s">
        <v>138</v>
      </c>
      <c r="OP1" s="6" t="s">
        <v>139</v>
      </c>
      <c r="OQ1" s="6" t="s">
        <v>140</v>
      </c>
      <c r="OR1" s="6" t="s">
        <v>141</v>
      </c>
      <c r="OS1" s="6" t="s">
        <v>142</v>
      </c>
      <c r="OT1" s="6" t="s">
        <v>143</v>
      </c>
      <c r="OU1" s="6" t="s">
        <v>144</v>
      </c>
      <c r="OV1" s="6" t="s">
        <v>145</v>
      </c>
      <c r="OW1" s="6" t="s">
        <v>146</v>
      </c>
      <c r="OX1" s="6" t="s">
        <v>147</v>
      </c>
      <c r="OY1" s="6" t="s">
        <v>148</v>
      </c>
      <c r="OZ1" s="6" t="s">
        <v>149</v>
      </c>
      <c r="PA1" s="6" t="s">
        <v>150</v>
      </c>
      <c r="PB1" s="6" t="s">
        <v>151</v>
      </c>
      <c r="PC1" s="6" t="s">
        <v>152</v>
      </c>
      <c r="PD1" s="6" t="s">
        <v>153</v>
      </c>
      <c r="PE1" s="6" t="s">
        <v>154</v>
      </c>
      <c r="PF1" s="6" t="s">
        <v>155</v>
      </c>
      <c r="PG1" s="6" t="s">
        <v>156</v>
      </c>
      <c r="PH1" s="6" t="s">
        <v>157</v>
      </c>
      <c r="PI1" s="6" t="s">
        <v>158</v>
      </c>
      <c r="PJ1" s="6" t="s">
        <v>159</v>
      </c>
      <c r="PK1" s="6" t="s">
        <v>160</v>
      </c>
      <c r="PL1" s="6" t="s">
        <v>161</v>
      </c>
      <c r="PM1" s="6" t="s">
        <v>162</v>
      </c>
      <c r="PN1" s="6" t="s">
        <v>163</v>
      </c>
      <c r="PO1" s="6" t="s">
        <v>164</v>
      </c>
      <c r="PP1" s="6" t="s">
        <v>165</v>
      </c>
      <c r="PQ1" s="6" t="s">
        <v>166</v>
      </c>
      <c r="PR1" s="6" t="s">
        <v>167</v>
      </c>
      <c r="PS1" s="6" t="s">
        <v>168</v>
      </c>
      <c r="PT1" s="6" t="s">
        <v>169</v>
      </c>
      <c r="PU1" s="6" t="s">
        <v>170</v>
      </c>
      <c r="PV1" s="6" t="s">
        <v>171</v>
      </c>
      <c r="PW1" s="6" t="s">
        <v>169</v>
      </c>
      <c r="PX1" s="6" t="s">
        <v>170</v>
      </c>
      <c r="PY1" s="6" t="s">
        <v>171</v>
      </c>
      <c r="PZ1" s="6" t="s">
        <v>169</v>
      </c>
      <c r="QA1" s="6" t="s">
        <v>170</v>
      </c>
      <c r="QB1" s="6" t="s">
        <v>171</v>
      </c>
      <c r="QC1" s="6" t="s">
        <v>172</v>
      </c>
      <c r="QD1" s="6" t="s">
        <v>173</v>
      </c>
      <c r="QE1" s="6" t="s">
        <v>174</v>
      </c>
      <c r="QF1" s="6" t="s">
        <v>175</v>
      </c>
      <c r="QG1" s="6" t="s">
        <v>176</v>
      </c>
      <c r="QH1" s="6" t="s">
        <v>177</v>
      </c>
      <c r="QI1" s="6" t="s">
        <v>178</v>
      </c>
      <c r="QJ1" s="6" t="s">
        <v>179</v>
      </c>
      <c r="QK1" s="9" t="s">
        <v>89</v>
      </c>
      <c r="QL1" s="9" t="s">
        <v>90</v>
      </c>
      <c r="QM1" s="10" t="s">
        <v>91</v>
      </c>
      <c r="QN1" s="10" t="s">
        <v>92</v>
      </c>
      <c r="QO1" s="10" t="s">
        <v>93</v>
      </c>
      <c r="QP1" s="9" t="s">
        <v>94</v>
      </c>
      <c r="QQ1" s="9" t="s">
        <v>95</v>
      </c>
      <c r="QR1" s="9" t="s">
        <v>96</v>
      </c>
      <c r="QS1" s="9" t="s">
        <v>97</v>
      </c>
      <c r="QT1" s="9" t="s">
        <v>98</v>
      </c>
      <c r="QU1" s="9" t="s">
        <v>99</v>
      </c>
      <c r="QV1" s="9" t="s">
        <v>100</v>
      </c>
      <c r="QW1" s="9" t="s">
        <v>101</v>
      </c>
      <c r="QX1" s="9" t="s">
        <v>102</v>
      </c>
      <c r="QY1" s="9" t="s">
        <v>103</v>
      </c>
      <c r="QZ1" s="9" t="s">
        <v>104</v>
      </c>
      <c r="RA1" s="9" t="s">
        <v>105</v>
      </c>
      <c r="RB1" s="9" t="s">
        <v>106</v>
      </c>
      <c r="RC1" s="9" t="s">
        <v>107</v>
      </c>
      <c r="RD1" s="9" t="s">
        <v>108</v>
      </c>
      <c r="RE1" s="9" t="s">
        <v>109</v>
      </c>
      <c r="RF1" s="9" t="s">
        <v>110</v>
      </c>
      <c r="RG1" s="9" t="s">
        <v>111</v>
      </c>
      <c r="RH1" s="9" t="s">
        <v>112</v>
      </c>
      <c r="RI1" s="9" t="s">
        <v>113</v>
      </c>
      <c r="RJ1" s="9" t="s">
        <v>114</v>
      </c>
      <c r="RK1" s="9" t="s">
        <v>115</v>
      </c>
      <c r="RL1" s="9" t="s">
        <v>116</v>
      </c>
      <c r="RM1" s="9" t="s">
        <v>117</v>
      </c>
      <c r="RN1" s="9" t="s">
        <v>118</v>
      </c>
      <c r="RO1" s="9" t="s">
        <v>119</v>
      </c>
      <c r="RP1" s="9" t="s">
        <v>120</v>
      </c>
      <c r="RQ1" s="9" t="s">
        <v>121</v>
      </c>
      <c r="RR1" s="9" t="s">
        <v>122</v>
      </c>
      <c r="RS1" s="9" t="s">
        <v>123</v>
      </c>
      <c r="RT1" s="9" t="s">
        <v>124</v>
      </c>
      <c r="RU1" s="9" t="s">
        <v>125</v>
      </c>
      <c r="RV1" s="9" t="s">
        <v>126</v>
      </c>
      <c r="RW1" s="9" t="s">
        <v>127</v>
      </c>
      <c r="RX1" s="9" t="s">
        <v>128</v>
      </c>
      <c r="RY1" s="9" t="s">
        <v>129</v>
      </c>
      <c r="RZ1" s="9" t="s">
        <v>126</v>
      </c>
      <c r="SA1" s="9" t="s">
        <v>127</v>
      </c>
      <c r="SB1" s="9" t="s">
        <v>128</v>
      </c>
      <c r="SC1" s="9" t="s">
        <v>129</v>
      </c>
      <c r="SD1" s="9" t="s">
        <v>126</v>
      </c>
      <c r="SE1" s="9" t="s">
        <v>127</v>
      </c>
      <c r="SF1" s="11" t="s">
        <v>128</v>
      </c>
      <c r="SG1" s="9" t="s">
        <v>129</v>
      </c>
      <c r="SH1" s="9" t="s">
        <v>126</v>
      </c>
      <c r="SI1" s="9" t="s">
        <v>127</v>
      </c>
      <c r="SJ1" s="11" t="s">
        <v>128</v>
      </c>
      <c r="SK1" s="9" t="s">
        <v>129</v>
      </c>
      <c r="SL1" s="9" t="s">
        <v>126</v>
      </c>
      <c r="SM1" s="9" t="s">
        <v>127</v>
      </c>
      <c r="SN1" s="11" t="s">
        <v>128</v>
      </c>
      <c r="SO1" s="9" t="s">
        <v>129</v>
      </c>
      <c r="SP1" s="9" t="s">
        <v>126</v>
      </c>
      <c r="SQ1" s="9" t="s">
        <v>127</v>
      </c>
      <c r="SR1" s="11" t="s">
        <v>128</v>
      </c>
      <c r="SS1" s="9" t="s">
        <v>129</v>
      </c>
      <c r="ST1" s="9" t="s">
        <v>126</v>
      </c>
      <c r="SU1" s="9" t="s">
        <v>127</v>
      </c>
      <c r="SV1" s="11" t="s">
        <v>128</v>
      </c>
      <c r="SW1" s="9" t="s">
        <v>129</v>
      </c>
      <c r="SX1" s="9" t="s">
        <v>130</v>
      </c>
      <c r="SY1" s="9" t="s">
        <v>131</v>
      </c>
      <c r="SZ1" s="9" t="s">
        <v>132</v>
      </c>
      <c r="TA1" s="9" t="s">
        <v>133</v>
      </c>
      <c r="TB1" s="9" t="s">
        <v>134</v>
      </c>
      <c r="TC1" s="9" t="s">
        <v>135</v>
      </c>
      <c r="TD1" s="9" t="s">
        <v>136</v>
      </c>
      <c r="TE1" s="9" t="s">
        <v>137</v>
      </c>
      <c r="TF1" s="9" t="s">
        <v>138</v>
      </c>
      <c r="TG1" s="9" t="s">
        <v>139</v>
      </c>
      <c r="TH1" s="9" t="s">
        <v>140</v>
      </c>
      <c r="TI1" s="9" t="s">
        <v>141</v>
      </c>
      <c r="TJ1" s="9" t="s">
        <v>142</v>
      </c>
      <c r="TK1" s="9" t="s">
        <v>143</v>
      </c>
      <c r="TL1" s="9" t="s">
        <v>144</v>
      </c>
      <c r="TM1" s="9" t="s">
        <v>145</v>
      </c>
      <c r="TN1" s="9" t="s">
        <v>146</v>
      </c>
      <c r="TO1" s="9" t="s">
        <v>147</v>
      </c>
      <c r="TP1" s="9" t="s">
        <v>148</v>
      </c>
      <c r="TQ1" s="9" t="s">
        <v>149</v>
      </c>
      <c r="TR1" s="9" t="s">
        <v>150</v>
      </c>
      <c r="TS1" s="9" t="s">
        <v>151</v>
      </c>
      <c r="TT1" s="9" t="s">
        <v>152</v>
      </c>
      <c r="TU1" s="9" t="s">
        <v>153</v>
      </c>
      <c r="TV1" s="9" t="s">
        <v>154</v>
      </c>
      <c r="TW1" s="9" t="s">
        <v>155</v>
      </c>
      <c r="TX1" s="9" t="s">
        <v>156</v>
      </c>
      <c r="TY1" s="9" t="s">
        <v>157</v>
      </c>
      <c r="TZ1" s="9" t="s">
        <v>158</v>
      </c>
      <c r="UA1" s="9" t="s">
        <v>159</v>
      </c>
      <c r="UB1" s="9" t="s">
        <v>160</v>
      </c>
      <c r="UC1" s="9" t="s">
        <v>161</v>
      </c>
      <c r="UD1" s="9" t="s">
        <v>162</v>
      </c>
      <c r="UE1" s="9" t="s">
        <v>163</v>
      </c>
      <c r="UF1" s="9" t="s">
        <v>164</v>
      </c>
      <c r="UG1" s="9" t="s">
        <v>165</v>
      </c>
      <c r="UH1" s="9" t="s">
        <v>166</v>
      </c>
      <c r="UI1" s="9" t="s">
        <v>167</v>
      </c>
      <c r="UJ1" s="9" t="s">
        <v>168</v>
      </c>
      <c r="UK1" s="9" t="s">
        <v>169</v>
      </c>
      <c r="UL1" s="9" t="s">
        <v>170</v>
      </c>
      <c r="UM1" s="9" t="s">
        <v>171</v>
      </c>
      <c r="UN1" s="9" t="s">
        <v>169</v>
      </c>
      <c r="UO1" s="9" t="s">
        <v>170</v>
      </c>
      <c r="UP1" s="9" t="s">
        <v>171</v>
      </c>
      <c r="UQ1" s="9" t="s">
        <v>169</v>
      </c>
      <c r="UR1" s="9" t="s">
        <v>170</v>
      </c>
      <c r="US1" s="9" t="s">
        <v>171</v>
      </c>
      <c r="UT1" s="9" t="s">
        <v>172</v>
      </c>
      <c r="UU1" s="9" t="s">
        <v>173</v>
      </c>
      <c r="UV1" s="9" t="s">
        <v>174</v>
      </c>
      <c r="UW1" s="9" t="s">
        <v>175</v>
      </c>
      <c r="UX1" s="9" t="s">
        <v>176</v>
      </c>
      <c r="UY1" s="9" t="s">
        <v>177</v>
      </c>
      <c r="UZ1" s="9" t="s">
        <v>178</v>
      </c>
      <c r="VA1" s="9" t="s">
        <v>179</v>
      </c>
      <c r="VB1" s="9" t="s">
        <v>89</v>
      </c>
      <c r="VC1" s="9" t="s">
        <v>90</v>
      </c>
      <c r="VD1" s="10" t="s">
        <v>91</v>
      </c>
      <c r="VE1" s="10" t="s">
        <v>92</v>
      </c>
      <c r="VF1" s="10" t="s">
        <v>93</v>
      </c>
      <c r="VG1" s="9" t="s">
        <v>94</v>
      </c>
      <c r="VH1" s="9" t="s">
        <v>95</v>
      </c>
      <c r="VI1" s="9" t="s">
        <v>96</v>
      </c>
      <c r="VJ1" s="9" t="s">
        <v>97</v>
      </c>
      <c r="VK1" s="9" t="s">
        <v>98</v>
      </c>
      <c r="VL1" s="9" t="s">
        <v>99</v>
      </c>
      <c r="VM1" s="9" t="s">
        <v>100</v>
      </c>
      <c r="VN1" s="9" t="s">
        <v>101</v>
      </c>
      <c r="VO1" s="9" t="s">
        <v>102</v>
      </c>
      <c r="VP1" s="9" t="s">
        <v>103</v>
      </c>
      <c r="VQ1" s="9" t="s">
        <v>104</v>
      </c>
      <c r="VR1" s="9" t="s">
        <v>105</v>
      </c>
      <c r="VS1" s="9" t="s">
        <v>106</v>
      </c>
      <c r="VT1" s="9" t="s">
        <v>107</v>
      </c>
      <c r="VU1" s="9" t="s">
        <v>108</v>
      </c>
      <c r="VV1" s="9" t="s">
        <v>109</v>
      </c>
      <c r="VW1" s="9" t="s">
        <v>110</v>
      </c>
      <c r="VX1" s="9" t="s">
        <v>111</v>
      </c>
      <c r="VY1" s="9" t="s">
        <v>112</v>
      </c>
      <c r="VZ1" s="9" t="s">
        <v>113</v>
      </c>
      <c r="WA1" s="9" t="s">
        <v>114</v>
      </c>
      <c r="WB1" s="9" t="s">
        <v>115</v>
      </c>
      <c r="WC1" s="9" t="s">
        <v>116</v>
      </c>
      <c r="WD1" s="9" t="s">
        <v>117</v>
      </c>
      <c r="WE1" s="9" t="s">
        <v>118</v>
      </c>
      <c r="WF1" s="9" t="s">
        <v>119</v>
      </c>
      <c r="WG1" s="9" t="s">
        <v>120</v>
      </c>
      <c r="WH1" s="9" t="s">
        <v>121</v>
      </c>
      <c r="WI1" s="9" t="s">
        <v>122</v>
      </c>
      <c r="WJ1" s="9" t="s">
        <v>123</v>
      </c>
      <c r="WK1" s="9" t="s">
        <v>124</v>
      </c>
      <c r="WL1" s="9" t="s">
        <v>125</v>
      </c>
      <c r="WM1" s="9" t="s">
        <v>126</v>
      </c>
      <c r="WN1" s="9" t="s">
        <v>127</v>
      </c>
      <c r="WO1" s="9" t="s">
        <v>128</v>
      </c>
      <c r="WP1" s="9" t="s">
        <v>129</v>
      </c>
      <c r="WQ1" s="9" t="s">
        <v>126</v>
      </c>
      <c r="WR1" s="9" t="s">
        <v>127</v>
      </c>
      <c r="WS1" s="9" t="s">
        <v>128</v>
      </c>
      <c r="WT1" s="9" t="s">
        <v>129</v>
      </c>
      <c r="WU1" s="9" t="s">
        <v>126</v>
      </c>
      <c r="WV1" s="9" t="s">
        <v>127</v>
      </c>
      <c r="WW1" s="11" t="s">
        <v>128</v>
      </c>
      <c r="WX1" s="9" t="s">
        <v>129</v>
      </c>
      <c r="WY1" s="9" t="s">
        <v>126</v>
      </c>
      <c r="WZ1" s="9" t="s">
        <v>127</v>
      </c>
      <c r="XA1" s="11" t="s">
        <v>128</v>
      </c>
      <c r="XB1" s="9" t="s">
        <v>129</v>
      </c>
      <c r="XC1" s="9" t="s">
        <v>126</v>
      </c>
      <c r="XD1" s="9" t="s">
        <v>127</v>
      </c>
      <c r="XE1" s="11" t="s">
        <v>128</v>
      </c>
      <c r="XF1" s="9" t="s">
        <v>129</v>
      </c>
      <c r="XG1" s="9" t="s">
        <v>126</v>
      </c>
      <c r="XH1" s="9" t="s">
        <v>127</v>
      </c>
      <c r="XI1" s="11" t="s">
        <v>128</v>
      </c>
      <c r="XJ1" s="9" t="s">
        <v>129</v>
      </c>
      <c r="XK1" s="9" t="s">
        <v>126</v>
      </c>
      <c r="XL1" s="9" t="s">
        <v>127</v>
      </c>
      <c r="XM1" s="11" t="s">
        <v>128</v>
      </c>
      <c r="XN1" s="9" t="s">
        <v>129</v>
      </c>
      <c r="XO1" s="9" t="s">
        <v>130</v>
      </c>
      <c r="XP1" s="9" t="s">
        <v>131</v>
      </c>
      <c r="XQ1" s="9" t="s">
        <v>132</v>
      </c>
      <c r="XR1" s="9" t="s">
        <v>133</v>
      </c>
      <c r="XS1" s="9" t="s">
        <v>134</v>
      </c>
      <c r="XT1" s="9" t="s">
        <v>135</v>
      </c>
      <c r="XU1" s="9" t="s">
        <v>136</v>
      </c>
      <c r="XV1" s="9" t="s">
        <v>137</v>
      </c>
      <c r="XW1" s="9" t="s">
        <v>138</v>
      </c>
      <c r="XX1" s="9" t="s">
        <v>139</v>
      </c>
      <c r="XY1" s="9" t="s">
        <v>140</v>
      </c>
      <c r="XZ1" s="9" t="s">
        <v>141</v>
      </c>
      <c r="YA1" s="9" t="s">
        <v>142</v>
      </c>
      <c r="YB1" s="9" t="s">
        <v>143</v>
      </c>
      <c r="YC1" s="9" t="s">
        <v>144</v>
      </c>
      <c r="YD1" s="9" t="s">
        <v>145</v>
      </c>
      <c r="YE1" s="9" t="s">
        <v>146</v>
      </c>
      <c r="YF1" s="9" t="s">
        <v>147</v>
      </c>
      <c r="YG1" s="9" t="s">
        <v>148</v>
      </c>
      <c r="YH1" s="9" t="s">
        <v>149</v>
      </c>
      <c r="YI1" s="9" t="s">
        <v>150</v>
      </c>
      <c r="YJ1" s="9" t="s">
        <v>151</v>
      </c>
      <c r="YK1" s="9" t="s">
        <v>152</v>
      </c>
      <c r="YL1" s="9" t="s">
        <v>153</v>
      </c>
      <c r="YM1" s="9" t="s">
        <v>154</v>
      </c>
      <c r="YN1" s="9" t="s">
        <v>155</v>
      </c>
      <c r="YO1" s="9" t="s">
        <v>156</v>
      </c>
      <c r="YP1" s="9" t="s">
        <v>157</v>
      </c>
      <c r="YQ1" s="9" t="s">
        <v>158</v>
      </c>
      <c r="YR1" s="9" t="s">
        <v>159</v>
      </c>
      <c r="YS1" s="9" t="s">
        <v>160</v>
      </c>
      <c r="YT1" s="9" t="s">
        <v>161</v>
      </c>
      <c r="YU1" s="9" t="s">
        <v>162</v>
      </c>
      <c r="YV1" s="9" t="s">
        <v>163</v>
      </c>
      <c r="YW1" s="9" t="s">
        <v>164</v>
      </c>
      <c r="YX1" s="9" t="s">
        <v>165</v>
      </c>
      <c r="YY1" s="9" t="s">
        <v>166</v>
      </c>
      <c r="YZ1" s="9" t="s">
        <v>167</v>
      </c>
      <c r="ZA1" s="9" t="s">
        <v>168</v>
      </c>
      <c r="ZB1" s="9" t="s">
        <v>169</v>
      </c>
      <c r="ZC1" s="9" t="s">
        <v>170</v>
      </c>
      <c r="ZD1" s="9" t="s">
        <v>171</v>
      </c>
      <c r="ZE1" s="9" t="s">
        <v>169</v>
      </c>
      <c r="ZF1" s="9" t="s">
        <v>170</v>
      </c>
      <c r="ZG1" s="9" t="s">
        <v>171</v>
      </c>
      <c r="ZH1" s="9" t="s">
        <v>169</v>
      </c>
      <c r="ZI1" s="9" t="s">
        <v>170</v>
      </c>
      <c r="ZJ1" s="9" t="s">
        <v>171</v>
      </c>
      <c r="ZK1" s="9" t="s">
        <v>172</v>
      </c>
      <c r="ZL1" s="9" t="s">
        <v>173</v>
      </c>
      <c r="ZM1" s="9" t="s">
        <v>174</v>
      </c>
      <c r="ZN1" s="9" t="s">
        <v>175</v>
      </c>
      <c r="ZO1" s="9" t="s">
        <v>176</v>
      </c>
      <c r="ZP1" s="9" t="s">
        <v>177</v>
      </c>
      <c r="ZQ1" s="9" t="s">
        <v>178</v>
      </c>
      <c r="ZR1" s="9" t="s">
        <v>179</v>
      </c>
      <c r="ZS1" s="9" t="s">
        <v>89</v>
      </c>
      <c r="ZT1" s="9" t="s">
        <v>90</v>
      </c>
      <c r="ZU1" s="10" t="s">
        <v>91</v>
      </c>
      <c r="ZV1" s="10" t="s">
        <v>92</v>
      </c>
      <c r="ZW1" s="10" t="s">
        <v>93</v>
      </c>
      <c r="ZX1" s="9" t="s">
        <v>94</v>
      </c>
      <c r="ZY1" s="9" t="s">
        <v>95</v>
      </c>
      <c r="ZZ1" s="9" t="s">
        <v>96</v>
      </c>
      <c r="AAA1" s="9" t="s">
        <v>97</v>
      </c>
      <c r="AAB1" s="9" t="s">
        <v>98</v>
      </c>
      <c r="AAC1" s="9" t="s">
        <v>99</v>
      </c>
      <c r="AAD1" s="9" t="s">
        <v>100</v>
      </c>
      <c r="AAE1" s="9" t="s">
        <v>101</v>
      </c>
      <c r="AAF1" s="9" t="s">
        <v>102</v>
      </c>
      <c r="AAG1" s="9" t="s">
        <v>103</v>
      </c>
      <c r="AAH1" s="9" t="s">
        <v>104</v>
      </c>
      <c r="AAI1" s="9" t="s">
        <v>105</v>
      </c>
      <c r="AAJ1" s="9" t="s">
        <v>106</v>
      </c>
      <c r="AAK1" s="9" t="s">
        <v>107</v>
      </c>
      <c r="AAL1" s="9" t="s">
        <v>108</v>
      </c>
      <c r="AAM1" s="9" t="s">
        <v>109</v>
      </c>
      <c r="AAN1" s="9" t="s">
        <v>110</v>
      </c>
      <c r="AAO1" s="9" t="s">
        <v>111</v>
      </c>
      <c r="AAP1" s="9" t="s">
        <v>112</v>
      </c>
      <c r="AAQ1" s="9" t="s">
        <v>113</v>
      </c>
      <c r="AAR1" s="9" t="s">
        <v>114</v>
      </c>
      <c r="AAS1" s="9" t="s">
        <v>115</v>
      </c>
      <c r="AAT1" s="9" t="s">
        <v>116</v>
      </c>
      <c r="AAU1" s="9" t="s">
        <v>117</v>
      </c>
      <c r="AAV1" s="9" t="s">
        <v>118</v>
      </c>
      <c r="AAW1" s="9" t="s">
        <v>119</v>
      </c>
      <c r="AAX1" s="9" t="s">
        <v>120</v>
      </c>
      <c r="AAY1" s="9" t="s">
        <v>121</v>
      </c>
      <c r="AAZ1" s="9" t="s">
        <v>122</v>
      </c>
      <c r="ABA1" s="9" t="s">
        <v>123</v>
      </c>
      <c r="ABB1" s="9" t="s">
        <v>124</v>
      </c>
      <c r="ABC1" s="9" t="s">
        <v>125</v>
      </c>
      <c r="ABD1" s="9" t="s">
        <v>126</v>
      </c>
      <c r="ABE1" s="9" t="s">
        <v>127</v>
      </c>
      <c r="ABF1" s="9" t="s">
        <v>128</v>
      </c>
      <c r="ABG1" s="9" t="s">
        <v>129</v>
      </c>
      <c r="ABH1" s="9" t="s">
        <v>126</v>
      </c>
      <c r="ABI1" s="9" t="s">
        <v>127</v>
      </c>
      <c r="ABJ1" s="9" t="s">
        <v>128</v>
      </c>
      <c r="ABK1" s="9" t="s">
        <v>129</v>
      </c>
      <c r="ABL1" s="9" t="s">
        <v>126</v>
      </c>
      <c r="ABM1" s="9" t="s">
        <v>127</v>
      </c>
      <c r="ABN1" s="11" t="s">
        <v>128</v>
      </c>
      <c r="ABO1" s="9" t="s">
        <v>129</v>
      </c>
      <c r="ABP1" s="9" t="s">
        <v>126</v>
      </c>
      <c r="ABQ1" s="9" t="s">
        <v>127</v>
      </c>
      <c r="ABR1" s="11" t="s">
        <v>128</v>
      </c>
      <c r="ABS1" s="9" t="s">
        <v>129</v>
      </c>
      <c r="ABT1" s="9" t="s">
        <v>126</v>
      </c>
      <c r="ABU1" s="9" t="s">
        <v>127</v>
      </c>
      <c r="ABV1" s="11" t="s">
        <v>128</v>
      </c>
      <c r="ABW1" s="9" t="s">
        <v>129</v>
      </c>
      <c r="ABX1" s="9" t="s">
        <v>126</v>
      </c>
      <c r="ABY1" s="9" t="s">
        <v>127</v>
      </c>
      <c r="ABZ1" s="11" t="s">
        <v>128</v>
      </c>
      <c r="ACA1" s="9" t="s">
        <v>129</v>
      </c>
      <c r="ACB1" s="9" t="s">
        <v>126</v>
      </c>
      <c r="ACC1" s="9" t="s">
        <v>127</v>
      </c>
      <c r="ACD1" s="11" t="s">
        <v>128</v>
      </c>
      <c r="ACE1" s="9" t="s">
        <v>129</v>
      </c>
      <c r="ACF1" s="9" t="s">
        <v>130</v>
      </c>
      <c r="ACG1" s="9" t="s">
        <v>131</v>
      </c>
      <c r="ACH1" s="9" t="s">
        <v>132</v>
      </c>
      <c r="ACI1" s="9" t="s">
        <v>133</v>
      </c>
      <c r="ACJ1" s="9" t="s">
        <v>134</v>
      </c>
      <c r="ACK1" s="9" t="s">
        <v>135</v>
      </c>
      <c r="ACL1" s="9" t="s">
        <v>136</v>
      </c>
      <c r="ACM1" s="9" t="s">
        <v>137</v>
      </c>
      <c r="ACN1" s="9" t="s">
        <v>138</v>
      </c>
      <c r="ACO1" s="9" t="s">
        <v>139</v>
      </c>
      <c r="ACP1" s="9" t="s">
        <v>140</v>
      </c>
      <c r="ACQ1" s="9" t="s">
        <v>141</v>
      </c>
      <c r="ACR1" s="9" t="s">
        <v>142</v>
      </c>
      <c r="ACS1" s="9" t="s">
        <v>143</v>
      </c>
      <c r="ACT1" s="9" t="s">
        <v>144</v>
      </c>
      <c r="ACU1" s="9" t="s">
        <v>145</v>
      </c>
      <c r="ACV1" s="9" t="s">
        <v>146</v>
      </c>
      <c r="ACW1" s="9" t="s">
        <v>147</v>
      </c>
      <c r="ACX1" s="9" t="s">
        <v>148</v>
      </c>
      <c r="ACY1" s="9" t="s">
        <v>149</v>
      </c>
      <c r="ACZ1" s="9" t="s">
        <v>150</v>
      </c>
      <c r="ADA1" s="9" t="s">
        <v>151</v>
      </c>
      <c r="ADB1" s="9" t="s">
        <v>152</v>
      </c>
      <c r="ADC1" s="9" t="s">
        <v>153</v>
      </c>
      <c r="ADD1" s="9" t="s">
        <v>154</v>
      </c>
      <c r="ADE1" s="9" t="s">
        <v>155</v>
      </c>
      <c r="ADF1" s="9" t="s">
        <v>156</v>
      </c>
      <c r="ADG1" s="9" t="s">
        <v>157</v>
      </c>
      <c r="ADH1" s="9" t="s">
        <v>158</v>
      </c>
      <c r="ADI1" s="9" t="s">
        <v>159</v>
      </c>
      <c r="ADJ1" s="9" t="s">
        <v>160</v>
      </c>
      <c r="ADK1" s="9" t="s">
        <v>161</v>
      </c>
      <c r="ADL1" s="9" t="s">
        <v>162</v>
      </c>
      <c r="ADM1" s="9" t="s">
        <v>163</v>
      </c>
      <c r="ADN1" s="9" t="s">
        <v>164</v>
      </c>
      <c r="ADO1" s="9" t="s">
        <v>165</v>
      </c>
      <c r="ADP1" s="9" t="s">
        <v>166</v>
      </c>
      <c r="ADQ1" s="9" t="s">
        <v>167</v>
      </c>
      <c r="ADR1" s="9" t="s">
        <v>168</v>
      </c>
      <c r="ADS1" s="9" t="s">
        <v>169</v>
      </c>
      <c r="ADT1" s="9" t="s">
        <v>170</v>
      </c>
      <c r="ADU1" s="9" t="s">
        <v>171</v>
      </c>
      <c r="ADV1" s="9" t="s">
        <v>169</v>
      </c>
      <c r="ADW1" s="9" t="s">
        <v>170</v>
      </c>
      <c r="ADX1" s="9" t="s">
        <v>171</v>
      </c>
      <c r="ADY1" s="9" t="s">
        <v>169</v>
      </c>
      <c r="ADZ1" s="9" t="s">
        <v>170</v>
      </c>
      <c r="AEA1" s="9" t="s">
        <v>171</v>
      </c>
      <c r="AEB1" s="9" t="s">
        <v>172</v>
      </c>
      <c r="AEC1" s="9" t="s">
        <v>173</v>
      </c>
      <c r="AED1" s="9" t="s">
        <v>174</v>
      </c>
      <c r="AEE1" s="9" t="s">
        <v>175</v>
      </c>
      <c r="AEF1" s="9" t="s">
        <v>176</v>
      </c>
      <c r="AEG1" s="9" t="s">
        <v>177</v>
      </c>
      <c r="AEH1" s="9" t="s">
        <v>178</v>
      </c>
      <c r="AEI1" s="9" t="s">
        <v>179</v>
      </c>
      <c r="AEJ1" s="9" t="s">
        <v>89</v>
      </c>
      <c r="AEK1" s="9" t="s">
        <v>90</v>
      </c>
      <c r="AEL1" s="10" t="s">
        <v>91</v>
      </c>
      <c r="AEM1" s="10" t="s">
        <v>92</v>
      </c>
      <c r="AEN1" s="10" t="s">
        <v>93</v>
      </c>
      <c r="AEO1" s="9" t="s">
        <v>94</v>
      </c>
      <c r="AEP1" s="9" t="s">
        <v>95</v>
      </c>
      <c r="AEQ1" s="9" t="s">
        <v>96</v>
      </c>
      <c r="AER1" s="9" t="s">
        <v>97</v>
      </c>
      <c r="AES1" s="9" t="s">
        <v>98</v>
      </c>
      <c r="AET1" s="9" t="s">
        <v>99</v>
      </c>
      <c r="AEU1" s="9" t="s">
        <v>100</v>
      </c>
      <c r="AEV1" s="9" t="s">
        <v>101</v>
      </c>
      <c r="AEW1" s="9" t="s">
        <v>102</v>
      </c>
      <c r="AEX1" s="9" t="s">
        <v>103</v>
      </c>
      <c r="AEY1" s="9" t="s">
        <v>104</v>
      </c>
      <c r="AEZ1" s="9" t="s">
        <v>105</v>
      </c>
      <c r="AFA1" s="9" t="s">
        <v>106</v>
      </c>
      <c r="AFB1" s="9" t="s">
        <v>107</v>
      </c>
      <c r="AFC1" s="9" t="s">
        <v>108</v>
      </c>
      <c r="AFD1" s="9" t="s">
        <v>109</v>
      </c>
      <c r="AFE1" s="9" t="s">
        <v>110</v>
      </c>
      <c r="AFF1" s="9" t="s">
        <v>111</v>
      </c>
      <c r="AFG1" s="9" t="s">
        <v>112</v>
      </c>
      <c r="AFH1" s="9" t="s">
        <v>113</v>
      </c>
      <c r="AFI1" s="9" t="s">
        <v>114</v>
      </c>
      <c r="AFJ1" s="9" t="s">
        <v>115</v>
      </c>
      <c r="AFK1" s="9" t="s">
        <v>116</v>
      </c>
      <c r="AFL1" s="9" t="s">
        <v>117</v>
      </c>
      <c r="AFM1" s="9" t="s">
        <v>118</v>
      </c>
      <c r="AFN1" s="9" t="s">
        <v>119</v>
      </c>
      <c r="AFO1" s="9" t="s">
        <v>120</v>
      </c>
      <c r="AFP1" s="9" t="s">
        <v>121</v>
      </c>
      <c r="AFQ1" s="9" t="s">
        <v>122</v>
      </c>
      <c r="AFR1" s="9" t="s">
        <v>123</v>
      </c>
      <c r="AFS1" s="9" t="s">
        <v>124</v>
      </c>
      <c r="AFT1" s="9" t="s">
        <v>125</v>
      </c>
      <c r="AFU1" s="9" t="s">
        <v>126</v>
      </c>
      <c r="AFV1" s="9" t="s">
        <v>127</v>
      </c>
      <c r="AFW1" s="9" t="s">
        <v>128</v>
      </c>
      <c r="AFX1" s="9" t="s">
        <v>129</v>
      </c>
      <c r="AFY1" s="9" t="s">
        <v>126</v>
      </c>
      <c r="AFZ1" s="9" t="s">
        <v>127</v>
      </c>
      <c r="AGA1" s="9" t="s">
        <v>128</v>
      </c>
      <c r="AGB1" s="9" t="s">
        <v>129</v>
      </c>
      <c r="AGC1" s="9" t="s">
        <v>126</v>
      </c>
      <c r="AGD1" s="9" t="s">
        <v>127</v>
      </c>
      <c r="AGE1" s="11" t="s">
        <v>128</v>
      </c>
      <c r="AGF1" s="9" t="s">
        <v>129</v>
      </c>
      <c r="AGG1" s="9" t="s">
        <v>126</v>
      </c>
      <c r="AGH1" s="9" t="s">
        <v>127</v>
      </c>
      <c r="AGI1" s="11" t="s">
        <v>128</v>
      </c>
      <c r="AGJ1" s="9" t="s">
        <v>129</v>
      </c>
      <c r="AGK1" s="9" t="s">
        <v>126</v>
      </c>
      <c r="AGL1" s="9" t="s">
        <v>127</v>
      </c>
      <c r="AGM1" s="11" t="s">
        <v>128</v>
      </c>
      <c r="AGN1" s="9" t="s">
        <v>129</v>
      </c>
      <c r="AGO1" s="9" t="s">
        <v>126</v>
      </c>
      <c r="AGP1" s="9" t="s">
        <v>127</v>
      </c>
      <c r="AGQ1" s="11" t="s">
        <v>128</v>
      </c>
      <c r="AGR1" s="9" t="s">
        <v>129</v>
      </c>
      <c r="AGS1" s="9" t="s">
        <v>126</v>
      </c>
      <c r="AGT1" s="9" t="s">
        <v>127</v>
      </c>
      <c r="AGU1" s="11" t="s">
        <v>128</v>
      </c>
      <c r="AGV1" s="9" t="s">
        <v>129</v>
      </c>
      <c r="AGW1" s="9" t="s">
        <v>130</v>
      </c>
      <c r="AGX1" s="9" t="s">
        <v>131</v>
      </c>
      <c r="AGY1" s="9" t="s">
        <v>132</v>
      </c>
      <c r="AGZ1" s="9" t="s">
        <v>133</v>
      </c>
      <c r="AHA1" s="9" t="s">
        <v>134</v>
      </c>
      <c r="AHB1" s="9" t="s">
        <v>135</v>
      </c>
      <c r="AHC1" s="9" t="s">
        <v>136</v>
      </c>
      <c r="AHD1" s="9" t="s">
        <v>137</v>
      </c>
      <c r="AHE1" s="9" t="s">
        <v>138</v>
      </c>
      <c r="AHF1" s="9" t="s">
        <v>139</v>
      </c>
      <c r="AHG1" s="9" t="s">
        <v>140</v>
      </c>
      <c r="AHH1" s="9" t="s">
        <v>141</v>
      </c>
      <c r="AHI1" s="9" t="s">
        <v>142</v>
      </c>
      <c r="AHJ1" s="9" t="s">
        <v>143</v>
      </c>
      <c r="AHK1" s="9" t="s">
        <v>144</v>
      </c>
      <c r="AHL1" s="9" t="s">
        <v>145</v>
      </c>
      <c r="AHM1" s="9" t="s">
        <v>146</v>
      </c>
      <c r="AHN1" s="9" t="s">
        <v>147</v>
      </c>
      <c r="AHO1" s="9" t="s">
        <v>148</v>
      </c>
      <c r="AHP1" s="9" t="s">
        <v>149</v>
      </c>
      <c r="AHQ1" s="9" t="s">
        <v>150</v>
      </c>
      <c r="AHR1" s="9" t="s">
        <v>151</v>
      </c>
      <c r="AHS1" s="9" t="s">
        <v>152</v>
      </c>
      <c r="AHT1" s="9" t="s">
        <v>153</v>
      </c>
      <c r="AHU1" s="9" t="s">
        <v>154</v>
      </c>
      <c r="AHV1" s="9" t="s">
        <v>155</v>
      </c>
      <c r="AHW1" s="9" t="s">
        <v>156</v>
      </c>
      <c r="AHX1" s="9" t="s">
        <v>157</v>
      </c>
      <c r="AHY1" s="9" t="s">
        <v>158</v>
      </c>
      <c r="AHZ1" s="9" t="s">
        <v>159</v>
      </c>
      <c r="AIA1" s="9" t="s">
        <v>160</v>
      </c>
      <c r="AIB1" s="9" t="s">
        <v>161</v>
      </c>
      <c r="AIC1" s="9" t="s">
        <v>162</v>
      </c>
      <c r="AID1" s="9" t="s">
        <v>163</v>
      </c>
      <c r="AIE1" s="9" t="s">
        <v>164</v>
      </c>
      <c r="AIF1" s="9" t="s">
        <v>165</v>
      </c>
      <c r="AIG1" s="9" t="s">
        <v>166</v>
      </c>
      <c r="AIH1" s="9" t="s">
        <v>167</v>
      </c>
      <c r="AII1" s="9" t="s">
        <v>168</v>
      </c>
      <c r="AIJ1" s="9" t="s">
        <v>169</v>
      </c>
      <c r="AIK1" s="9" t="s">
        <v>170</v>
      </c>
      <c r="AIL1" s="9" t="s">
        <v>171</v>
      </c>
      <c r="AIM1" s="9" t="s">
        <v>169</v>
      </c>
      <c r="AIN1" s="9" t="s">
        <v>170</v>
      </c>
      <c r="AIO1" s="9" t="s">
        <v>171</v>
      </c>
      <c r="AIP1" s="9" t="s">
        <v>169</v>
      </c>
      <c r="AIQ1" s="9" t="s">
        <v>170</v>
      </c>
      <c r="AIR1" s="9" t="s">
        <v>171</v>
      </c>
      <c r="AIS1" s="9" t="s">
        <v>172</v>
      </c>
      <c r="AIT1" s="9" t="s">
        <v>173</v>
      </c>
      <c r="AIU1" s="9" t="s">
        <v>174</v>
      </c>
      <c r="AIV1" s="9" t="s">
        <v>175</v>
      </c>
      <c r="AIW1" s="9" t="s">
        <v>176</v>
      </c>
      <c r="AIX1" s="9" t="s">
        <v>177</v>
      </c>
      <c r="AIY1" s="9" t="s">
        <v>178</v>
      </c>
      <c r="AIZ1" s="9" t="s">
        <v>179</v>
      </c>
      <c r="AJA1" s="9" t="s">
        <v>89</v>
      </c>
      <c r="AJB1" s="9" t="s">
        <v>90</v>
      </c>
      <c r="AJC1" s="10" t="s">
        <v>91</v>
      </c>
      <c r="AJD1" s="10" t="s">
        <v>92</v>
      </c>
      <c r="AJE1" s="10" t="s">
        <v>93</v>
      </c>
      <c r="AJF1" s="9" t="s">
        <v>94</v>
      </c>
      <c r="AJG1" s="9" t="s">
        <v>95</v>
      </c>
      <c r="AJH1" s="9" t="s">
        <v>96</v>
      </c>
      <c r="AJI1" s="9" t="s">
        <v>97</v>
      </c>
      <c r="AJJ1" s="9" t="s">
        <v>98</v>
      </c>
      <c r="AJK1" s="9" t="s">
        <v>99</v>
      </c>
      <c r="AJL1" s="9" t="s">
        <v>100</v>
      </c>
      <c r="AJM1" s="9" t="s">
        <v>101</v>
      </c>
      <c r="AJN1" s="9" t="s">
        <v>102</v>
      </c>
      <c r="AJO1" s="9" t="s">
        <v>103</v>
      </c>
      <c r="AJP1" s="9" t="s">
        <v>104</v>
      </c>
      <c r="AJQ1" s="9" t="s">
        <v>105</v>
      </c>
      <c r="AJR1" s="9" t="s">
        <v>106</v>
      </c>
      <c r="AJS1" s="9" t="s">
        <v>107</v>
      </c>
      <c r="AJT1" s="9" t="s">
        <v>108</v>
      </c>
      <c r="AJU1" s="9" t="s">
        <v>109</v>
      </c>
      <c r="AJV1" s="9" t="s">
        <v>110</v>
      </c>
      <c r="AJW1" s="9" t="s">
        <v>111</v>
      </c>
      <c r="AJX1" s="9" t="s">
        <v>112</v>
      </c>
      <c r="AJY1" s="9" t="s">
        <v>113</v>
      </c>
      <c r="AJZ1" s="9" t="s">
        <v>114</v>
      </c>
      <c r="AKA1" s="9" t="s">
        <v>115</v>
      </c>
      <c r="AKB1" s="9" t="s">
        <v>116</v>
      </c>
      <c r="AKC1" s="9" t="s">
        <v>117</v>
      </c>
      <c r="AKD1" s="9" t="s">
        <v>118</v>
      </c>
      <c r="AKE1" s="9" t="s">
        <v>119</v>
      </c>
      <c r="AKF1" s="9" t="s">
        <v>120</v>
      </c>
      <c r="AKG1" s="9" t="s">
        <v>121</v>
      </c>
      <c r="AKH1" s="9" t="s">
        <v>122</v>
      </c>
      <c r="AKI1" s="9" t="s">
        <v>123</v>
      </c>
      <c r="AKJ1" s="9" t="s">
        <v>124</v>
      </c>
      <c r="AKK1" s="9" t="s">
        <v>125</v>
      </c>
      <c r="AKL1" s="9" t="s">
        <v>126</v>
      </c>
      <c r="AKM1" s="9" t="s">
        <v>127</v>
      </c>
      <c r="AKN1" s="9" t="s">
        <v>128</v>
      </c>
      <c r="AKO1" s="9" t="s">
        <v>129</v>
      </c>
      <c r="AKP1" s="9" t="s">
        <v>126</v>
      </c>
      <c r="AKQ1" s="9" t="s">
        <v>127</v>
      </c>
      <c r="AKR1" s="9" t="s">
        <v>128</v>
      </c>
      <c r="AKS1" s="9" t="s">
        <v>129</v>
      </c>
      <c r="AKT1" s="9" t="s">
        <v>126</v>
      </c>
      <c r="AKU1" s="9" t="s">
        <v>127</v>
      </c>
      <c r="AKV1" s="11" t="s">
        <v>128</v>
      </c>
      <c r="AKW1" s="9" t="s">
        <v>129</v>
      </c>
      <c r="AKX1" s="9" t="s">
        <v>126</v>
      </c>
      <c r="AKY1" s="9" t="s">
        <v>127</v>
      </c>
      <c r="AKZ1" s="11" t="s">
        <v>128</v>
      </c>
      <c r="ALA1" s="9" t="s">
        <v>129</v>
      </c>
      <c r="ALB1" s="9" t="s">
        <v>126</v>
      </c>
      <c r="ALC1" s="9" t="s">
        <v>127</v>
      </c>
      <c r="ALD1" s="11" t="s">
        <v>128</v>
      </c>
      <c r="ALE1" s="9" t="s">
        <v>129</v>
      </c>
      <c r="ALF1" s="9" t="s">
        <v>126</v>
      </c>
      <c r="ALG1" s="9" t="s">
        <v>127</v>
      </c>
      <c r="ALH1" s="11" t="s">
        <v>128</v>
      </c>
      <c r="ALI1" s="9" t="s">
        <v>129</v>
      </c>
      <c r="ALJ1" s="9" t="s">
        <v>126</v>
      </c>
      <c r="ALK1" s="9" t="s">
        <v>127</v>
      </c>
      <c r="ALL1" s="11" t="s">
        <v>128</v>
      </c>
      <c r="ALM1" s="9" t="s">
        <v>129</v>
      </c>
      <c r="ALN1" s="9" t="s">
        <v>130</v>
      </c>
      <c r="ALO1" s="9" t="s">
        <v>131</v>
      </c>
      <c r="ALP1" s="9" t="s">
        <v>132</v>
      </c>
      <c r="ALQ1" s="9" t="s">
        <v>133</v>
      </c>
      <c r="ALR1" s="9" t="s">
        <v>134</v>
      </c>
      <c r="ALS1" s="9" t="s">
        <v>135</v>
      </c>
      <c r="ALT1" s="9" t="s">
        <v>136</v>
      </c>
      <c r="ALU1" s="9" t="s">
        <v>137</v>
      </c>
      <c r="ALV1" s="9" t="s">
        <v>138</v>
      </c>
      <c r="ALW1" s="9" t="s">
        <v>139</v>
      </c>
      <c r="ALX1" s="9" t="s">
        <v>140</v>
      </c>
      <c r="ALY1" s="9" t="s">
        <v>141</v>
      </c>
      <c r="ALZ1" s="9" t="s">
        <v>142</v>
      </c>
      <c r="AMA1" s="9" t="s">
        <v>143</v>
      </c>
      <c r="AMB1" s="9" t="s">
        <v>144</v>
      </c>
      <c r="AMC1" s="9" t="s">
        <v>145</v>
      </c>
      <c r="AMD1" s="9" t="s">
        <v>146</v>
      </c>
      <c r="AME1" s="9" t="s">
        <v>147</v>
      </c>
      <c r="AMF1" s="9" t="s">
        <v>148</v>
      </c>
      <c r="AMG1" s="9" t="s">
        <v>149</v>
      </c>
      <c r="AMH1" s="9" t="s">
        <v>150</v>
      </c>
      <c r="AMI1" s="9" t="s">
        <v>151</v>
      </c>
      <c r="AMJ1" s="9" t="s">
        <v>152</v>
      </c>
    </row>
    <row r="2" spans="1:1024" x14ac:dyDescent="0.2">
      <c r="A2" s="1" t="s">
        <v>180</v>
      </c>
      <c r="B2" s="12">
        <v>42892</v>
      </c>
      <c r="C2">
        <v>2</v>
      </c>
      <c r="D2" s="13">
        <v>35002</v>
      </c>
      <c r="E2" s="12">
        <v>24397</v>
      </c>
      <c r="F2" s="14">
        <f t="shared" ref="F2:F65" si="0">(B2-E2)/365.25</f>
        <v>50.636550308008211</v>
      </c>
      <c r="G2" s="14">
        <f t="shared" ref="G2:G65" si="1">(B2-D2)/365.25</f>
        <v>21.60164271047228</v>
      </c>
      <c r="H2" s="15" t="s">
        <v>181</v>
      </c>
      <c r="I2" s="15" t="s">
        <v>182</v>
      </c>
      <c r="J2" s="15" t="s">
        <v>183</v>
      </c>
      <c r="K2" s="15">
        <v>8</v>
      </c>
      <c r="L2" s="15">
        <v>95</v>
      </c>
      <c r="M2">
        <v>1.78</v>
      </c>
      <c r="N2" s="16">
        <f t="shared" ref="N2:N65" si="2">L2/(M2*M2)</f>
        <v>29.983587930816814</v>
      </c>
      <c r="O2" s="15">
        <v>1</v>
      </c>
      <c r="P2" s="15">
        <v>0</v>
      </c>
      <c r="Q2" s="15">
        <v>0</v>
      </c>
      <c r="R2" s="15">
        <v>0</v>
      </c>
      <c r="S2" s="15">
        <v>0</v>
      </c>
      <c r="T2" s="15">
        <v>0</v>
      </c>
      <c r="U2" s="15">
        <v>0</v>
      </c>
      <c r="V2" s="15">
        <v>0</v>
      </c>
      <c r="W2" s="15">
        <v>0</v>
      </c>
      <c r="X2" s="15">
        <v>0</v>
      </c>
      <c r="Y2" s="15">
        <v>1</v>
      </c>
      <c r="Z2" s="15">
        <v>2</v>
      </c>
      <c r="AA2" s="15">
        <v>60</v>
      </c>
      <c r="AB2" s="15" t="s">
        <v>184</v>
      </c>
      <c r="AC2" s="15">
        <v>0</v>
      </c>
      <c r="AD2" s="15">
        <v>0</v>
      </c>
      <c r="AE2" s="15">
        <v>0</v>
      </c>
      <c r="AF2" s="15">
        <v>0</v>
      </c>
      <c r="AG2" s="15">
        <v>0</v>
      </c>
      <c r="AH2" s="15">
        <v>0</v>
      </c>
      <c r="AI2" s="15">
        <v>0</v>
      </c>
      <c r="AJ2" s="15">
        <v>0</v>
      </c>
      <c r="AK2" s="15">
        <v>0</v>
      </c>
      <c r="AL2" s="15">
        <v>0</v>
      </c>
      <c r="AM2" s="15">
        <v>0</v>
      </c>
      <c r="AN2" s="15">
        <v>0</v>
      </c>
      <c r="AO2" s="15">
        <v>0</v>
      </c>
      <c r="AP2" s="15">
        <v>0</v>
      </c>
      <c r="AQ2" s="15">
        <v>0</v>
      </c>
      <c r="AR2" s="15">
        <v>0</v>
      </c>
      <c r="AS2" s="15">
        <v>0</v>
      </c>
      <c r="AT2" s="15">
        <v>0</v>
      </c>
      <c r="AU2" s="15">
        <v>0</v>
      </c>
      <c r="AV2" s="15">
        <v>0</v>
      </c>
      <c r="AW2" s="15">
        <v>0</v>
      </c>
      <c r="AX2" s="15">
        <v>0</v>
      </c>
      <c r="AY2" s="15">
        <v>0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5">
        <v>0</v>
      </c>
      <c r="BK2" s="15">
        <v>0</v>
      </c>
      <c r="BL2" s="15">
        <v>0</v>
      </c>
      <c r="BM2" s="15">
        <v>0</v>
      </c>
      <c r="BN2" s="15">
        <v>0</v>
      </c>
      <c r="BO2" s="15">
        <v>0</v>
      </c>
      <c r="BP2" s="15">
        <v>0</v>
      </c>
      <c r="BQ2" s="15">
        <v>0</v>
      </c>
      <c r="BR2" s="15">
        <v>1</v>
      </c>
      <c r="BS2" s="15">
        <v>3</v>
      </c>
      <c r="BT2" s="15">
        <v>3</v>
      </c>
      <c r="BU2" s="15">
        <v>4</v>
      </c>
      <c r="BV2" s="15">
        <v>3</v>
      </c>
      <c r="BW2" s="15">
        <v>3</v>
      </c>
      <c r="BX2" s="15">
        <v>4</v>
      </c>
      <c r="BY2" s="15">
        <v>4</v>
      </c>
      <c r="BZ2" s="15">
        <v>3</v>
      </c>
      <c r="CA2" s="15">
        <v>3</v>
      </c>
      <c r="CB2" s="15">
        <v>3</v>
      </c>
      <c r="CC2" s="15">
        <v>5</v>
      </c>
      <c r="CD2" s="15">
        <v>2</v>
      </c>
      <c r="CE2" s="15">
        <v>3</v>
      </c>
      <c r="CF2" s="15">
        <v>3</v>
      </c>
      <c r="CG2" s="15">
        <v>3</v>
      </c>
      <c r="CH2" s="15">
        <v>3</v>
      </c>
      <c r="CI2" s="15">
        <v>3</v>
      </c>
      <c r="CJ2" s="15">
        <v>3</v>
      </c>
      <c r="CK2" s="15">
        <v>10</v>
      </c>
      <c r="CL2" t="s">
        <v>185</v>
      </c>
      <c r="CM2">
        <v>21.5</v>
      </c>
      <c r="CN2" s="16">
        <v>54.9</v>
      </c>
      <c r="CO2" s="16">
        <v>80.400000000000006</v>
      </c>
      <c r="CP2" s="16">
        <v>17.899999999999999</v>
      </c>
      <c r="CQ2">
        <v>90.61</v>
      </c>
      <c r="CR2" s="17">
        <v>0</v>
      </c>
      <c r="CS2">
        <v>0</v>
      </c>
      <c r="CT2">
        <v>2.4500000000000002</v>
      </c>
      <c r="CU2">
        <v>6.94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12.16</v>
      </c>
      <c r="DC2">
        <v>24.45</v>
      </c>
      <c r="DD2">
        <v>4.8</v>
      </c>
      <c r="DE2">
        <v>5.1100000000000003</v>
      </c>
      <c r="DF2">
        <v>0</v>
      </c>
      <c r="DG2">
        <v>0</v>
      </c>
      <c r="DH2">
        <v>0</v>
      </c>
      <c r="DU2">
        <v>2.9</v>
      </c>
      <c r="DV2">
        <v>1</v>
      </c>
      <c r="DW2">
        <v>68</v>
      </c>
      <c r="DX2">
        <v>2</v>
      </c>
      <c r="DY2">
        <f>0.38+0.07</f>
        <v>0.45</v>
      </c>
      <c r="DZ2">
        <v>1</v>
      </c>
      <c r="EG2" s="18"/>
      <c r="EY2">
        <v>1</v>
      </c>
      <c r="EZ2">
        <v>40</v>
      </c>
      <c r="FA2">
        <v>1</v>
      </c>
      <c r="FB2">
        <v>0.06</v>
      </c>
      <c r="FC2">
        <v>1</v>
      </c>
      <c r="FD2">
        <v>60</v>
      </c>
      <c r="FE2">
        <v>1</v>
      </c>
      <c r="FF2">
        <v>0.11</v>
      </c>
      <c r="FG2">
        <v>1</v>
      </c>
      <c r="FH2">
        <v>40</v>
      </c>
      <c r="FI2">
        <v>1</v>
      </c>
      <c r="FJ2">
        <v>0.57999999999999996</v>
      </c>
      <c r="FK2">
        <v>6</v>
      </c>
      <c r="GJ2" s="16">
        <v>0</v>
      </c>
      <c r="GK2" s="16">
        <v>0</v>
      </c>
      <c r="GL2" s="16"/>
      <c r="GM2" s="16"/>
      <c r="GN2" s="16"/>
      <c r="GO2" s="16"/>
      <c r="GP2" s="16"/>
      <c r="GQ2" s="16"/>
      <c r="GR2" s="16"/>
      <c r="GS2" s="16"/>
      <c r="GT2" s="16"/>
      <c r="GU2" s="16">
        <v>0.67</v>
      </c>
      <c r="GV2" s="16">
        <v>0.65</v>
      </c>
      <c r="GW2" s="16"/>
      <c r="GX2" s="16"/>
      <c r="GY2" s="16">
        <v>0</v>
      </c>
      <c r="GZ2" s="16">
        <v>0</v>
      </c>
      <c r="HA2" s="16">
        <v>0</v>
      </c>
      <c r="HB2">
        <v>0</v>
      </c>
      <c r="HC2" t="s">
        <v>186</v>
      </c>
      <c r="HD2">
        <v>52.5</v>
      </c>
      <c r="HE2" s="16">
        <v>78.3</v>
      </c>
      <c r="HF2" s="16">
        <v>80.400000000000006</v>
      </c>
      <c r="HG2" s="16">
        <v>33.200000000000003</v>
      </c>
      <c r="HH2">
        <v>67.5</v>
      </c>
      <c r="HI2" s="17">
        <v>0</v>
      </c>
      <c r="HJ2">
        <v>21.37</v>
      </c>
      <c r="HK2">
        <v>0</v>
      </c>
      <c r="HL2">
        <v>3.99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5.93</v>
      </c>
      <c r="HU2">
        <v>42.2</v>
      </c>
      <c r="HV2">
        <v>15.97</v>
      </c>
      <c r="HW2">
        <v>7.14</v>
      </c>
      <c r="HX2">
        <v>0</v>
      </c>
      <c r="HY2">
        <v>0</v>
      </c>
      <c r="IL2">
        <v>1.7</v>
      </c>
      <c r="IM2">
        <v>1</v>
      </c>
      <c r="IN2">
        <v>34</v>
      </c>
      <c r="IO2">
        <v>5</v>
      </c>
      <c r="IP2">
        <v>0.21</v>
      </c>
      <c r="IQ2">
        <v>1</v>
      </c>
      <c r="IR2">
        <v>68</v>
      </c>
      <c r="IS2">
        <v>3</v>
      </c>
      <c r="IT2">
        <v>0.3</v>
      </c>
      <c r="IU2">
        <v>1</v>
      </c>
      <c r="IV2">
        <v>47</v>
      </c>
      <c r="IW2">
        <v>4</v>
      </c>
      <c r="IX2" s="18">
        <v>0.11</v>
      </c>
      <c r="IY2">
        <v>1</v>
      </c>
      <c r="IZ2">
        <v>35</v>
      </c>
      <c r="JA2">
        <v>2</v>
      </c>
      <c r="JB2">
        <v>0.1</v>
      </c>
      <c r="JC2">
        <v>1</v>
      </c>
      <c r="JP2">
        <v>0</v>
      </c>
      <c r="LA2" s="16">
        <v>1.04</v>
      </c>
      <c r="LB2" s="16">
        <v>1</v>
      </c>
      <c r="LC2" s="16">
        <v>1</v>
      </c>
      <c r="LD2" s="16"/>
      <c r="LE2" s="16">
        <f>3.74+3.17+0.1</f>
        <v>7.01</v>
      </c>
      <c r="LF2" s="16"/>
      <c r="LG2" s="16"/>
      <c r="LH2" s="16"/>
      <c r="LI2" s="16"/>
      <c r="LJ2" s="16"/>
      <c r="LK2" s="16"/>
      <c r="LL2" s="16">
        <v>8.9</v>
      </c>
      <c r="LM2" s="16">
        <v>9.7899999999999991</v>
      </c>
      <c r="LN2" s="16"/>
      <c r="LO2" s="16"/>
      <c r="LP2" s="16">
        <v>2.99</v>
      </c>
      <c r="LQ2" s="16">
        <v>4</v>
      </c>
      <c r="LR2" s="16">
        <v>3</v>
      </c>
      <c r="LS2">
        <v>0</v>
      </c>
      <c r="LT2" t="s">
        <v>187</v>
      </c>
      <c r="LU2">
        <v>53.5</v>
      </c>
      <c r="LV2" s="16">
        <v>73.5</v>
      </c>
      <c r="LW2" s="16">
        <v>80.400000000000006</v>
      </c>
      <c r="LX2" s="16">
        <v>26.1</v>
      </c>
      <c r="LY2">
        <v>78.89</v>
      </c>
      <c r="LZ2" s="17">
        <v>0</v>
      </c>
      <c r="MA2">
        <v>2.36</v>
      </c>
      <c r="MB2">
        <v>0</v>
      </c>
      <c r="MC2">
        <v>11.6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7.86</v>
      </c>
      <c r="MK2">
        <v>12.08</v>
      </c>
      <c r="ML2">
        <v>18.100000000000001</v>
      </c>
      <c r="MM2">
        <v>28.51</v>
      </c>
      <c r="MN2">
        <v>7.14</v>
      </c>
      <c r="MO2">
        <v>0</v>
      </c>
      <c r="MP2">
        <v>0</v>
      </c>
      <c r="NC2">
        <v>11.6</v>
      </c>
      <c r="ND2">
        <v>1</v>
      </c>
      <c r="NE2">
        <v>47</v>
      </c>
      <c r="NF2">
        <v>4</v>
      </c>
      <c r="NG2">
        <f>1.15+0.34</f>
        <v>1.49</v>
      </c>
      <c r="NH2">
        <v>3</v>
      </c>
      <c r="NO2" s="18"/>
      <c r="OG2">
        <v>1</v>
      </c>
      <c r="OH2">
        <v>50</v>
      </c>
      <c r="OI2">
        <v>1</v>
      </c>
      <c r="OJ2">
        <v>0.19</v>
      </c>
      <c r="OK2">
        <v>3</v>
      </c>
      <c r="PR2" s="16">
        <v>7.27</v>
      </c>
      <c r="PS2" s="16">
        <v>1</v>
      </c>
      <c r="PT2" s="16">
        <v>1</v>
      </c>
      <c r="PU2" s="16"/>
      <c r="PV2" s="16">
        <f>2.11*2+0.37*2</f>
        <v>4.96</v>
      </c>
      <c r="PW2" s="16">
        <v>3</v>
      </c>
      <c r="PX2" s="16"/>
      <c r="PY2" s="16">
        <f>1.44+0.72</f>
        <v>2.16</v>
      </c>
      <c r="PZ2" s="16"/>
      <c r="QA2" s="16"/>
      <c r="QB2" s="16"/>
      <c r="QC2" s="16">
        <v>5.39</v>
      </c>
      <c r="QD2" s="16">
        <v>8.11</v>
      </c>
      <c r="QE2" s="16"/>
      <c r="QF2" s="16"/>
      <c r="QG2" s="16">
        <v>0</v>
      </c>
      <c r="QH2" s="16">
        <v>0</v>
      </c>
      <c r="QI2" s="16">
        <v>3</v>
      </c>
      <c r="QJ2">
        <v>0</v>
      </c>
      <c r="QK2" t="s">
        <v>188</v>
      </c>
      <c r="QL2">
        <v>40</v>
      </c>
      <c r="QM2" s="16">
        <v>84.1</v>
      </c>
      <c r="QN2" s="16">
        <v>80.400000000000006</v>
      </c>
      <c r="QO2" s="16">
        <v>35.1</v>
      </c>
      <c r="QP2">
        <v>66.11</v>
      </c>
      <c r="QQ2" s="17">
        <v>0</v>
      </c>
      <c r="QR2">
        <v>13.11</v>
      </c>
      <c r="QS2">
        <v>6.27</v>
      </c>
      <c r="QT2">
        <v>8.02</v>
      </c>
      <c r="QU2">
        <v>0</v>
      </c>
      <c r="QV2">
        <v>6.47</v>
      </c>
      <c r="QW2">
        <v>2.85</v>
      </c>
      <c r="QX2">
        <v>3.1</v>
      </c>
      <c r="QY2">
        <v>0</v>
      </c>
      <c r="QZ2">
        <v>0</v>
      </c>
      <c r="RA2">
        <v>10.49</v>
      </c>
      <c r="RB2">
        <v>26.72</v>
      </c>
      <c r="RC2">
        <v>13.38</v>
      </c>
      <c r="RD2">
        <v>10.67</v>
      </c>
      <c r="RE2">
        <v>0</v>
      </c>
      <c r="RF2">
        <v>0</v>
      </c>
      <c r="RG2">
        <v>0</v>
      </c>
      <c r="RT2">
        <v>3.9</v>
      </c>
      <c r="RU2">
        <v>1</v>
      </c>
      <c r="RV2">
        <v>68</v>
      </c>
      <c r="RW2">
        <v>4</v>
      </c>
      <c r="RX2">
        <f>1.9+0.34</f>
        <v>2.2399999999999998</v>
      </c>
      <c r="RY2">
        <v>1</v>
      </c>
      <c r="RZ2">
        <v>34</v>
      </c>
      <c r="SA2">
        <v>8</v>
      </c>
      <c r="SB2">
        <v>0.27</v>
      </c>
      <c r="SC2">
        <v>1</v>
      </c>
      <c r="SF2" s="18"/>
      <c r="SX2">
        <v>1</v>
      </c>
      <c r="SY2">
        <v>50</v>
      </c>
      <c r="SZ2">
        <v>4</v>
      </c>
      <c r="TA2">
        <f>1.52*2</f>
        <v>3.04</v>
      </c>
      <c r="TB2">
        <v>3</v>
      </c>
      <c r="UI2" s="16">
        <v>0.04</v>
      </c>
      <c r="UJ2" s="16">
        <v>1</v>
      </c>
      <c r="UK2" s="16">
        <v>1</v>
      </c>
      <c r="UL2" s="16"/>
      <c r="UM2" s="16">
        <f>0.3</f>
        <v>0.3</v>
      </c>
      <c r="UN2" s="16"/>
      <c r="UO2" s="16"/>
      <c r="UP2" s="16"/>
      <c r="UQ2" s="16"/>
      <c r="UR2" s="16"/>
      <c r="US2" s="16"/>
      <c r="UT2" s="16">
        <v>0.03</v>
      </c>
      <c r="UU2" s="16">
        <v>0.03</v>
      </c>
      <c r="UV2" s="16"/>
      <c r="UW2" s="16"/>
      <c r="UX2" s="16">
        <v>0</v>
      </c>
      <c r="UY2" s="16">
        <v>0</v>
      </c>
      <c r="UZ2" s="16">
        <v>0</v>
      </c>
      <c r="VA2">
        <v>0</v>
      </c>
      <c r="VB2" t="s">
        <v>189</v>
      </c>
      <c r="VC2">
        <v>31</v>
      </c>
      <c r="VD2" s="16">
        <v>80.2</v>
      </c>
      <c r="VE2" s="16">
        <v>80.400000000000006</v>
      </c>
      <c r="VF2" s="16">
        <v>6.5</v>
      </c>
      <c r="VG2">
        <v>99.3</v>
      </c>
      <c r="VH2" s="17">
        <v>0</v>
      </c>
      <c r="VI2">
        <v>0.7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31.92</v>
      </c>
      <c r="VT2">
        <v>23.7</v>
      </c>
      <c r="VU2">
        <v>1.95</v>
      </c>
      <c r="VV2">
        <v>0</v>
      </c>
      <c r="VW2">
        <v>18.7</v>
      </c>
      <c r="VX2">
        <v>4</v>
      </c>
      <c r="VY2">
        <v>49</v>
      </c>
      <c r="WA2">
        <v>1</v>
      </c>
      <c r="WE2">
        <v>49</v>
      </c>
      <c r="WG2">
        <v>1</v>
      </c>
      <c r="WK2">
        <v>0</v>
      </c>
      <c r="WL2">
        <v>0</v>
      </c>
      <c r="WW2" s="18"/>
      <c r="XO2">
        <v>0</v>
      </c>
      <c r="YZ2" s="16">
        <v>0</v>
      </c>
      <c r="ZA2" s="16">
        <v>0</v>
      </c>
      <c r="ZB2" s="16"/>
      <c r="ZC2" s="16"/>
      <c r="ZD2" s="16"/>
      <c r="ZE2" s="16"/>
      <c r="ZF2" s="16"/>
      <c r="ZG2" s="16"/>
      <c r="ZH2" s="16"/>
      <c r="ZI2" s="16"/>
      <c r="ZJ2" s="16"/>
      <c r="ZK2" s="16">
        <v>5.42</v>
      </c>
      <c r="ZL2" s="16">
        <v>6.61</v>
      </c>
      <c r="ZM2" s="16"/>
      <c r="ZN2" s="16"/>
      <c r="ZO2" s="16">
        <v>0</v>
      </c>
      <c r="ZP2" s="16">
        <v>0</v>
      </c>
      <c r="ZQ2" s="16">
        <v>0</v>
      </c>
      <c r="ZR2">
        <v>0</v>
      </c>
      <c r="ZS2" t="s">
        <v>190</v>
      </c>
      <c r="ZT2">
        <v>38.5</v>
      </c>
      <c r="ZU2" s="16">
        <v>92</v>
      </c>
      <c r="ZV2" s="16">
        <v>80.400000000000006</v>
      </c>
      <c r="ZW2" s="16">
        <v>11</v>
      </c>
      <c r="ZX2">
        <v>95.37</v>
      </c>
      <c r="ZY2" s="17">
        <v>0</v>
      </c>
      <c r="ZZ2">
        <v>4.63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2.85</v>
      </c>
      <c r="AAJ2">
        <v>16.149999999999999</v>
      </c>
      <c r="AAK2">
        <v>42.55</v>
      </c>
      <c r="AAL2">
        <v>4.63</v>
      </c>
      <c r="AAM2">
        <v>0</v>
      </c>
      <c r="AAN2">
        <v>5.7</v>
      </c>
      <c r="AAO2">
        <v>1</v>
      </c>
      <c r="AAP2">
        <v>3</v>
      </c>
      <c r="AAR2">
        <v>1</v>
      </c>
      <c r="AAV2">
        <v>3</v>
      </c>
      <c r="AAX2">
        <v>1</v>
      </c>
      <c r="ABB2">
        <v>4.8</v>
      </c>
      <c r="ABC2">
        <v>0</v>
      </c>
      <c r="ABN2" s="18"/>
      <c r="ACF2">
        <v>1</v>
      </c>
      <c r="ACG2">
        <v>70</v>
      </c>
      <c r="ACH2">
        <v>3</v>
      </c>
      <c r="ACI2">
        <f>14.97+0.86+0.7</f>
        <v>16.53</v>
      </c>
      <c r="ACJ2">
        <v>3</v>
      </c>
      <c r="ACK2">
        <v>60</v>
      </c>
      <c r="ACL2">
        <v>3</v>
      </c>
      <c r="ACM2">
        <f>3.02+0.97+0.6</f>
        <v>4.59</v>
      </c>
      <c r="ACN2">
        <v>3</v>
      </c>
      <c r="ADQ2" s="16">
        <v>2.82</v>
      </c>
      <c r="ADR2" s="16">
        <v>1</v>
      </c>
      <c r="ADS2" s="16">
        <v>1</v>
      </c>
      <c r="ADT2" s="16"/>
      <c r="ADU2" s="16">
        <f>0.93*2</f>
        <v>1.86</v>
      </c>
      <c r="ADV2" s="16">
        <v>2</v>
      </c>
      <c r="ADW2" s="16"/>
      <c r="ADX2" s="16">
        <f>9.6+1.93</f>
        <v>11.53</v>
      </c>
      <c r="ADY2" s="16"/>
      <c r="ADZ2" s="16"/>
      <c r="AEA2" s="16"/>
      <c r="AEB2" s="16">
        <v>13.91</v>
      </c>
      <c r="AEC2" s="16">
        <v>17.309999999999999</v>
      </c>
      <c r="AED2" s="16"/>
      <c r="AEE2" s="16"/>
      <c r="AEF2" s="16">
        <v>0</v>
      </c>
      <c r="AEG2" s="16">
        <v>0</v>
      </c>
      <c r="AEH2" s="16">
        <v>0</v>
      </c>
      <c r="AEI2">
        <v>0</v>
      </c>
      <c r="AEJ2" t="s">
        <v>191</v>
      </c>
      <c r="AEK2">
        <v>44</v>
      </c>
      <c r="AEL2" s="16">
        <v>75.8</v>
      </c>
      <c r="AEM2" s="16">
        <v>80.400000000000006</v>
      </c>
      <c r="AEN2" s="16">
        <v>12.2</v>
      </c>
      <c r="AEO2">
        <v>90.24</v>
      </c>
      <c r="AEP2" s="17">
        <v>0</v>
      </c>
      <c r="AEQ2">
        <v>6.27</v>
      </c>
      <c r="AER2">
        <v>0</v>
      </c>
      <c r="AES2">
        <v>3.49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24.37</v>
      </c>
      <c r="AFB2">
        <v>32.21</v>
      </c>
      <c r="AFC2">
        <v>3.56</v>
      </c>
      <c r="AFD2">
        <v>0</v>
      </c>
      <c r="AFE2">
        <v>0</v>
      </c>
      <c r="AFF2">
        <v>0</v>
      </c>
      <c r="AFS2">
        <v>20.3</v>
      </c>
      <c r="AFT2">
        <v>1</v>
      </c>
      <c r="AFU2">
        <v>30</v>
      </c>
      <c r="AFV2">
        <v>4</v>
      </c>
      <c r="AFW2">
        <v>3.01</v>
      </c>
      <c r="AFX2">
        <v>5</v>
      </c>
      <c r="AFY2">
        <v>68</v>
      </c>
      <c r="AFZ2">
        <v>2</v>
      </c>
      <c r="AGA2">
        <v>1.52</v>
      </c>
      <c r="AGB2">
        <v>1</v>
      </c>
      <c r="AGC2">
        <v>47</v>
      </c>
      <c r="AGD2">
        <v>1</v>
      </c>
      <c r="AGE2" s="18">
        <v>7.0000000000000007E-2</v>
      </c>
      <c r="AGF2">
        <v>3</v>
      </c>
      <c r="AGW2">
        <v>0</v>
      </c>
      <c r="AIH2" s="16">
        <v>1.88</v>
      </c>
      <c r="AII2" s="16">
        <v>1</v>
      </c>
      <c r="AIJ2" s="16">
        <v>2</v>
      </c>
      <c r="AIK2" s="16"/>
      <c r="AIL2" s="16">
        <v>4.18</v>
      </c>
      <c r="AIM2" s="16"/>
      <c r="AIN2" s="16"/>
      <c r="AIO2" s="16"/>
      <c r="AIP2" s="16"/>
      <c r="AIQ2" s="16"/>
      <c r="AIR2" s="16"/>
      <c r="AIS2" s="16">
        <v>7.15</v>
      </c>
      <c r="AIT2" s="16">
        <v>6.06</v>
      </c>
      <c r="AIU2" s="16"/>
      <c r="AIV2" s="16"/>
      <c r="AIW2" s="16">
        <v>0</v>
      </c>
      <c r="AIX2" s="16">
        <v>0</v>
      </c>
      <c r="AIY2" s="16">
        <v>0</v>
      </c>
      <c r="AIZ2">
        <v>0</v>
      </c>
      <c r="AJA2" t="s">
        <v>192</v>
      </c>
      <c r="AJB2">
        <v>47.5</v>
      </c>
      <c r="AJC2" s="16">
        <v>79.3</v>
      </c>
      <c r="AJD2" s="16">
        <v>80.400000000000006</v>
      </c>
      <c r="AJE2" s="16">
        <v>36.299999999999997</v>
      </c>
      <c r="AJF2">
        <v>66.23</v>
      </c>
      <c r="AJG2" s="17">
        <v>0</v>
      </c>
      <c r="AJH2">
        <v>33.770000000000003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38.369999999999997</v>
      </c>
      <c r="AJS2">
        <v>20.04</v>
      </c>
      <c r="AJT2">
        <v>11.21</v>
      </c>
      <c r="AJU2">
        <v>0</v>
      </c>
      <c r="AJV2">
        <v>0</v>
      </c>
      <c r="AJW2">
        <v>0</v>
      </c>
      <c r="AKJ2">
        <v>6.9</v>
      </c>
      <c r="AKK2">
        <v>1</v>
      </c>
      <c r="AKL2">
        <v>47</v>
      </c>
      <c r="AKM2">
        <v>3</v>
      </c>
      <c r="AKN2">
        <f>0.11+0.74+0.08</f>
        <v>0.92999999999999994</v>
      </c>
      <c r="AKO2">
        <v>3</v>
      </c>
      <c r="AKP2">
        <v>68</v>
      </c>
      <c r="AKQ2">
        <v>1</v>
      </c>
      <c r="AKR2">
        <v>0.76</v>
      </c>
      <c r="AKS2">
        <v>1</v>
      </c>
      <c r="AKV2" s="18"/>
      <c r="ALN2">
        <v>0</v>
      </c>
    </row>
    <row r="3" spans="1:1024" x14ac:dyDescent="0.2">
      <c r="A3" s="1" t="s">
        <v>193</v>
      </c>
      <c r="B3" s="12">
        <v>42892</v>
      </c>
      <c r="C3">
        <v>2</v>
      </c>
      <c r="D3" s="13">
        <v>36259</v>
      </c>
      <c r="E3" s="12">
        <v>28301</v>
      </c>
      <c r="F3" s="14">
        <f t="shared" si="0"/>
        <v>39.94798083504449</v>
      </c>
      <c r="G3" s="14">
        <f t="shared" si="1"/>
        <v>18.160164271047229</v>
      </c>
      <c r="H3" s="15" t="s">
        <v>181</v>
      </c>
      <c r="I3" s="15" t="s">
        <v>194</v>
      </c>
      <c r="J3" s="15" t="s">
        <v>183</v>
      </c>
      <c r="K3" s="15">
        <v>8</v>
      </c>
      <c r="L3" s="19">
        <v>80</v>
      </c>
      <c r="M3" s="16">
        <v>1.8</v>
      </c>
      <c r="N3" s="16">
        <f t="shared" si="2"/>
        <v>24.691358024691358</v>
      </c>
      <c r="O3" s="19">
        <v>0</v>
      </c>
      <c r="P3" s="19">
        <v>0</v>
      </c>
      <c r="Q3" s="19">
        <v>0</v>
      </c>
      <c r="R3" s="19">
        <v>0</v>
      </c>
      <c r="S3" s="19">
        <v>0</v>
      </c>
      <c r="T3" s="19">
        <v>0</v>
      </c>
      <c r="U3" s="19">
        <v>0</v>
      </c>
      <c r="V3" s="19">
        <v>0</v>
      </c>
      <c r="W3" s="19">
        <v>0</v>
      </c>
      <c r="X3" s="19">
        <v>0</v>
      </c>
      <c r="Y3" s="19">
        <v>0</v>
      </c>
      <c r="Z3" s="19">
        <v>0</v>
      </c>
      <c r="AA3" s="19">
        <v>0</v>
      </c>
      <c r="AB3" s="19">
        <v>0</v>
      </c>
      <c r="AC3" s="19">
        <v>0</v>
      </c>
      <c r="AD3" s="19">
        <v>0</v>
      </c>
      <c r="AE3" s="19">
        <v>0</v>
      </c>
      <c r="AF3" s="19">
        <v>0</v>
      </c>
      <c r="AG3" s="19">
        <v>0</v>
      </c>
      <c r="AH3" s="19">
        <v>0</v>
      </c>
      <c r="AI3" s="15">
        <v>0</v>
      </c>
      <c r="AJ3" s="15">
        <v>0</v>
      </c>
      <c r="AK3" s="15">
        <v>0</v>
      </c>
      <c r="AL3" s="15">
        <v>0</v>
      </c>
      <c r="AM3" s="19">
        <v>0</v>
      </c>
      <c r="AN3" s="19">
        <v>0</v>
      </c>
      <c r="AO3" s="19">
        <v>0</v>
      </c>
      <c r="AP3" s="19">
        <v>0</v>
      </c>
      <c r="AQ3" s="19">
        <v>0</v>
      </c>
      <c r="AR3" s="19">
        <v>0</v>
      </c>
      <c r="AS3" s="19">
        <v>0</v>
      </c>
      <c r="AT3" s="19">
        <v>0</v>
      </c>
      <c r="AU3" s="19">
        <v>0</v>
      </c>
      <c r="AV3" s="19">
        <v>0</v>
      </c>
      <c r="AW3" s="19">
        <v>0</v>
      </c>
      <c r="AX3" s="19">
        <v>0</v>
      </c>
      <c r="AY3" s="19">
        <v>0</v>
      </c>
      <c r="AZ3" s="19">
        <v>0</v>
      </c>
      <c r="BA3" s="19">
        <v>0</v>
      </c>
      <c r="BB3" s="19">
        <v>0</v>
      </c>
      <c r="BC3" s="19">
        <v>0</v>
      </c>
      <c r="BD3" s="19">
        <v>0</v>
      </c>
      <c r="BE3" s="19">
        <v>0</v>
      </c>
      <c r="BF3" s="19">
        <v>0</v>
      </c>
      <c r="BG3" s="19">
        <v>0</v>
      </c>
      <c r="BH3" s="19">
        <v>0</v>
      </c>
      <c r="BI3" s="19">
        <v>0</v>
      </c>
      <c r="BJ3" s="19">
        <v>0</v>
      </c>
      <c r="BK3" s="19">
        <v>0</v>
      </c>
      <c r="BL3" s="19">
        <v>0</v>
      </c>
      <c r="BM3" s="19">
        <v>0</v>
      </c>
      <c r="BN3" s="19">
        <v>0</v>
      </c>
      <c r="BO3" s="19">
        <v>0</v>
      </c>
      <c r="BP3" s="19">
        <v>0</v>
      </c>
      <c r="BQ3" s="19">
        <v>0</v>
      </c>
      <c r="BR3" s="19">
        <v>1</v>
      </c>
      <c r="BS3" s="19">
        <v>1</v>
      </c>
      <c r="BT3" s="19">
        <v>3</v>
      </c>
      <c r="BU3" s="19">
        <v>4</v>
      </c>
      <c r="BV3" s="19">
        <v>3</v>
      </c>
      <c r="BW3" s="19">
        <v>2</v>
      </c>
      <c r="BX3" s="19">
        <v>4</v>
      </c>
      <c r="BY3" s="19">
        <v>3</v>
      </c>
      <c r="BZ3" s="19">
        <v>2</v>
      </c>
      <c r="CA3" s="19">
        <v>2</v>
      </c>
      <c r="CB3" s="19">
        <v>2</v>
      </c>
      <c r="CC3" s="19">
        <v>4</v>
      </c>
      <c r="CD3" s="19">
        <v>3</v>
      </c>
      <c r="CE3" s="19">
        <v>3</v>
      </c>
      <c r="CF3" s="19">
        <v>2</v>
      </c>
      <c r="CG3" s="19">
        <v>4</v>
      </c>
      <c r="CH3" s="19">
        <v>3</v>
      </c>
      <c r="CI3" s="19">
        <v>3</v>
      </c>
      <c r="CJ3" s="19">
        <v>3</v>
      </c>
      <c r="CK3" s="19">
        <v>10</v>
      </c>
      <c r="CL3" t="s">
        <v>195</v>
      </c>
      <c r="CM3">
        <v>37.5</v>
      </c>
      <c r="CN3" s="16">
        <v>87.4</v>
      </c>
      <c r="CO3" s="16">
        <v>80.400000000000006</v>
      </c>
      <c r="CP3" s="16">
        <v>18.5</v>
      </c>
      <c r="CQ3">
        <v>84.21</v>
      </c>
      <c r="CR3" s="17">
        <v>0</v>
      </c>
      <c r="CS3">
        <v>0</v>
      </c>
      <c r="CT3">
        <v>0</v>
      </c>
      <c r="CU3">
        <v>15.79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26.71</v>
      </c>
      <c r="DC3">
        <v>13.13</v>
      </c>
      <c r="DD3">
        <v>49.12</v>
      </c>
      <c r="DE3">
        <v>14.67</v>
      </c>
      <c r="DF3">
        <v>0</v>
      </c>
      <c r="DG3">
        <v>0</v>
      </c>
      <c r="DH3">
        <v>0</v>
      </c>
      <c r="DU3">
        <v>1.1000000000000001</v>
      </c>
      <c r="DV3">
        <v>1</v>
      </c>
      <c r="DW3">
        <v>52</v>
      </c>
      <c r="DX3">
        <v>1</v>
      </c>
      <c r="DY3">
        <v>0.22</v>
      </c>
      <c r="DZ3">
        <v>2</v>
      </c>
      <c r="EA3">
        <v>35</v>
      </c>
      <c r="EB3">
        <v>2</v>
      </c>
      <c r="EC3">
        <v>0.16</v>
      </c>
      <c r="ED3">
        <v>3</v>
      </c>
      <c r="EG3" s="20"/>
      <c r="EY3">
        <v>0</v>
      </c>
      <c r="GJ3" s="16">
        <v>4.3</v>
      </c>
      <c r="GK3" s="16">
        <v>1</v>
      </c>
      <c r="GL3" s="16">
        <v>1</v>
      </c>
      <c r="GM3" s="16"/>
      <c r="GN3" s="16">
        <f>(2.11*6)+0.9+0.9+0.62+0.62+0.93+0.3+0.3+0.22+0.22+0.23+0.22+0.22+0.22</f>
        <v>18.559999999999995</v>
      </c>
      <c r="GO3" s="16"/>
      <c r="GP3" s="16"/>
      <c r="GQ3" s="16"/>
      <c r="GR3" s="16"/>
      <c r="GS3" s="16"/>
      <c r="GT3" s="16"/>
      <c r="GU3" s="16">
        <v>10.31</v>
      </c>
      <c r="GV3" s="16">
        <v>34.85</v>
      </c>
      <c r="GW3" s="16">
        <v>0</v>
      </c>
      <c r="GX3" s="16">
        <v>0</v>
      </c>
      <c r="GY3" s="16">
        <v>0</v>
      </c>
      <c r="GZ3" s="16">
        <v>0</v>
      </c>
      <c r="HA3" s="16">
        <v>0</v>
      </c>
      <c r="HB3">
        <v>0</v>
      </c>
      <c r="HC3" t="s">
        <v>196</v>
      </c>
      <c r="HD3">
        <v>39.5</v>
      </c>
      <c r="HE3" s="16">
        <v>89.8</v>
      </c>
      <c r="HF3" s="16">
        <v>80.400000000000006</v>
      </c>
      <c r="HG3" s="16">
        <v>5.0999999999999996</v>
      </c>
      <c r="HH3">
        <v>100</v>
      </c>
      <c r="HI3" s="17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50.37</v>
      </c>
      <c r="HU3">
        <v>16.55</v>
      </c>
      <c r="HV3">
        <v>0.4</v>
      </c>
      <c r="HW3">
        <v>0</v>
      </c>
      <c r="HX3">
        <v>27.4</v>
      </c>
      <c r="HY3">
        <v>1</v>
      </c>
      <c r="HZ3">
        <v>3</v>
      </c>
      <c r="IB3">
        <v>4</v>
      </c>
      <c r="IF3">
        <v>3</v>
      </c>
      <c r="IH3">
        <v>4</v>
      </c>
      <c r="IL3">
        <v>0.1</v>
      </c>
      <c r="IM3">
        <v>1</v>
      </c>
      <c r="IN3">
        <v>34</v>
      </c>
      <c r="IO3">
        <v>9</v>
      </c>
      <c r="IP3">
        <f>(1.71*3)+(0.2*2)</f>
        <v>5.53</v>
      </c>
      <c r="IQ3">
        <v>1</v>
      </c>
      <c r="IR3">
        <v>35</v>
      </c>
      <c r="IS3">
        <v>1</v>
      </c>
      <c r="IT3" s="16">
        <v>0.02</v>
      </c>
      <c r="IU3">
        <v>3</v>
      </c>
      <c r="IX3" s="20"/>
      <c r="JP3">
        <v>0</v>
      </c>
      <c r="LA3" s="16">
        <v>1.49</v>
      </c>
      <c r="LB3" s="16">
        <v>1</v>
      </c>
      <c r="LC3" s="16">
        <v>1</v>
      </c>
      <c r="LD3" s="16"/>
      <c r="LE3" s="16">
        <f>2.11+2.11+0.56+0.56</f>
        <v>5.34</v>
      </c>
      <c r="LF3" s="16"/>
      <c r="LG3" s="16"/>
      <c r="LH3" s="16"/>
      <c r="LI3" s="16"/>
      <c r="LJ3" s="16"/>
      <c r="LK3" s="16"/>
      <c r="LL3" s="16">
        <v>5.01</v>
      </c>
      <c r="LM3" s="16">
        <v>5.13</v>
      </c>
      <c r="LN3" s="16">
        <v>0</v>
      </c>
      <c r="LO3" s="16">
        <v>0</v>
      </c>
      <c r="LP3" s="16">
        <v>0</v>
      </c>
      <c r="LQ3" s="16">
        <v>0</v>
      </c>
      <c r="LR3" s="16">
        <v>0</v>
      </c>
      <c r="LS3">
        <v>0</v>
      </c>
      <c r="LT3" t="s">
        <v>197</v>
      </c>
      <c r="LU3">
        <v>49.5</v>
      </c>
      <c r="LV3" s="16">
        <v>90.1</v>
      </c>
      <c r="LW3" s="16">
        <v>80.400000000000006</v>
      </c>
      <c r="LX3" s="16">
        <v>9.9</v>
      </c>
      <c r="LY3">
        <v>94.62</v>
      </c>
      <c r="LZ3" s="17">
        <v>0</v>
      </c>
      <c r="MA3">
        <v>0.32</v>
      </c>
      <c r="MB3">
        <v>0</v>
      </c>
      <c r="MC3">
        <v>5.05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3.42</v>
      </c>
      <c r="MK3">
        <v>32.25</v>
      </c>
      <c r="ML3">
        <v>29.89</v>
      </c>
      <c r="MM3">
        <v>8.2799999999999994</v>
      </c>
      <c r="MN3">
        <v>0</v>
      </c>
      <c r="MO3">
        <v>12.9</v>
      </c>
      <c r="MP3">
        <v>1</v>
      </c>
      <c r="MQ3">
        <v>7</v>
      </c>
      <c r="MS3">
        <v>5</v>
      </c>
      <c r="MT3">
        <v>3</v>
      </c>
      <c r="MV3">
        <v>3</v>
      </c>
      <c r="MW3">
        <v>7</v>
      </c>
      <c r="MY3">
        <v>5</v>
      </c>
      <c r="MZ3">
        <v>3</v>
      </c>
      <c r="NB3">
        <v>3</v>
      </c>
      <c r="NC3">
        <v>16.600000000000001</v>
      </c>
      <c r="ND3">
        <v>1</v>
      </c>
      <c r="NE3">
        <v>68</v>
      </c>
      <c r="NF3">
        <v>6</v>
      </c>
      <c r="NG3">
        <v>0.21</v>
      </c>
      <c r="NH3">
        <v>1</v>
      </c>
      <c r="NI3">
        <v>35</v>
      </c>
      <c r="NJ3">
        <v>3</v>
      </c>
      <c r="NK3">
        <v>0.51</v>
      </c>
      <c r="NL3">
        <v>3</v>
      </c>
      <c r="NM3">
        <v>47</v>
      </c>
      <c r="NN3">
        <v>22</v>
      </c>
      <c r="NO3" s="20">
        <f>(0.43*3)+(0.07*4)+0.22</f>
        <v>1.79</v>
      </c>
      <c r="NP3">
        <v>3</v>
      </c>
      <c r="OG3">
        <v>1</v>
      </c>
      <c r="OH3">
        <v>60</v>
      </c>
      <c r="OI3">
        <v>17</v>
      </c>
      <c r="OJ3">
        <f>0.22+0.04+0.11+0.08+0.08+0.05</f>
        <v>0.58000000000000007</v>
      </c>
      <c r="OK3">
        <v>3</v>
      </c>
      <c r="OL3">
        <v>60</v>
      </c>
      <c r="OM3">
        <v>12</v>
      </c>
      <c r="ON3">
        <f>0.87+0.43+0.15+0.07</f>
        <v>1.52</v>
      </c>
      <c r="OO3">
        <v>1</v>
      </c>
      <c r="PR3" s="16">
        <v>2.4900000000000002</v>
      </c>
      <c r="PS3" s="16">
        <v>1</v>
      </c>
      <c r="PT3" s="16">
        <v>1</v>
      </c>
      <c r="PU3" s="16"/>
      <c r="PV3" s="16">
        <v>10.89</v>
      </c>
      <c r="PW3" s="16"/>
      <c r="PX3" s="16"/>
      <c r="PY3" s="16"/>
      <c r="PZ3" s="16"/>
      <c r="QA3" s="16"/>
      <c r="QB3" s="16"/>
      <c r="QC3" s="16">
        <v>4.17</v>
      </c>
      <c r="QD3" s="16">
        <v>3.7</v>
      </c>
      <c r="QE3" s="16">
        <v>0</v>
      </c>
      <c r="QF3" s="16">
        <v>0</v>
      </c>
      <c r="QG3" s="16">
        <v>0</v>
      </c>
      <c r="QH3" s="16">
        <v>0</v>
      </c>
      <c r="QI3" s="16">
        <v>0</v>
      </c>
      <c r="QJ3">
        <v>0</v>
      </c>
      <c r="QK3" t="s">
        <v>198</v>
      </c>
      <c r="QL3">
        <v>28.5</v>
      </c>
      <c r="QM3" s="16">
        <v>78.400000000000006</v>
      </c>
      <c r="QN3" s="16">
        <v>80.400000000000006</v>
      </c>
      <c r="QO3" s="16">
        <v>16</v>
      </c>
      <c r="QP3">
        <v>95.22</v>
      </c>
      <c r="QQ3" s="17">
        <v>0</v>
      </c>
      <c r="QR3">
        <v>4.2300000000000004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9.77</v>
      </c>
      <c r="RB3">
        <v>2.1800000000000002</v>
      </c>
      <c r="RC3">
        <v>46.81</v>
      </c>
      <c r="RD3">
        <v>10.57</v>
      </c>
      <c r="RE3">
        <v>0</v>
      </c>
      <c r="RF3">
        <v>0</v>
      </c>
      <c r="RG3">
        <v>0</v>
      </c>
      <c r="RT3">
        <v>0</v>
      </c>
      <c r="RU3">
        <v>0</v>
      </c>
      <c r="SF3" s="20"/>
      <c r="SX3">
        <v>0</v>
      </c>
      <c r="UI3" s="16">
        <v>4.2300000000000004</v>
      </c>
      <c r="UJ3" s="16">
        <v>1</v>
      </c>
      <c r="UK3" s="16">
        <v>2</v>
      </c>
      <c r="UL3" s="16"/>
      <c r="UM3" s="16">
        <v>6.34</v>
      </c>
      <c r="UN3" s="16">
        <v>1</v>
      </c>
      <c r="UO3" s="16">
        <v>1</v>
      </c>
      <c r="UP3" s="16">
        <f>9.52+3.17+3.17+3.17+1.12+1.12+1.12</f>
        <v>22.390000000000004</v>
      </c>
      <c r="UQ3" s="16"/>
      <c r="UR3" s="16"/>
      <c r="US3" s="16"/>
      <c r="UT3" s="16">
        <v>5.41</v>
      </c>
      <c r="UU3" s="16">
        <v>8.9600000000000009</v>
      </c>
      <c r="UV3" s="16">
        <v>0</v>
      </c>
      <c r="UW3" s="16">
        <v>0</v>
      </c>
      <c r="UX3" s="16">
        <v>0</v>
      </c>
      <c r="UY3" s="16">
        <v>0</v>
      </c>
      <c r="UZ3" s="16">
        <v>0</v>
      </c>
      <c r="VA3">
        <v>0</v>
      </c>
      <c r="VB3" t="s">
        <v>199</v>
      </c>
      <c r="VC3">
        <v>56.5</v>
      </c>
      <c r="VD3" s="16">
        <v>88.4</v>
      </c>
      <c r="VE3" s="16">
        <v>80.400000000000006</v>
      </c>
      <c r="VF3" s="16">
        <v>24.8</v>
      </c>
      <c r="VG3">
        <v>77.37</v>
      </c>
      <c r="VH3" s="17">
        <v>0</v>
      </c>
      <c r="VI3">
        <v>7.99</v>
      </c>
      <c r="VJ3">
        <v>0</v>
      </c>
      <c r="VK3">
        <v>14.63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8.0399999999999991</v>
      </c>
      <c r="VS3">
        <v>23.21</v>
      </c>
      <c r="VT3">
        <v>37.03</v>
      </c>
      <c r="VU3">
        <v>14.79</v>
      </c>
      <c r="VV3">
        <v>0</v>
      </c>
      <c r="VW3">
        <v>0</v>
      </c>
      <c r="VX3">
        <v>0</v>
      </c>
      <c r="WK3">
        <v>25.5</v>
      </c>
      <c r="WL3">
        <v>1</v>
      </c>
      <c r="WM3">
        <v>52</v>
      </c>
      <c r="WN3">
        <v>13</v>
      </c>
      <c r="WO3">
        <f>0.27+1.07+0.13+0.27</f>
        <v>1.7400000000000002</v>
      </c>
      <c r="WP3">
        <v>2</v>
      </c>
      <c r="WQ3">
        <v>35</v>
      </c>
      <c r="WR3">
        <v>3</v>
      </c>
      <c r="WS3">
        <f>0.13+0.08+0.24</f>
        <v>0.45</v>
      </c>
      <c r="WT3">
        <v>3</v>
      </c>
      <c r="WU3">
        <v>47</v>
      </c>
      <c r="WV3">
        <v>5</v>
      </c>
      <c r="WW3" s="20">
        <f>0.76+1.14+0.76+0.13+0.08</f>
        <v>2.87</v>
      </c>
      <c r="WX3">
        <v>3</v>
      </c>
      <c r="XO3">
        <v>0</v>
      </c>
      <c r="YZ3" s="16">
        <v>2.59</v>
      </c>
      <c r="ZA3" s="16">
        <v>1</v>
      </c>
      <c r="ZB3" s="16">
        <v>1</v>
      </c>
      <c r="ZC3" s="16"/>
      <c r="ZD3" s="16">
        <f>(2.11*4)+0.37</f>
        <v>8.8099999999999987</v>
      </c>
      <c r="ZE3" s="16"/>
      <c r="ZF3" s="16"/>
      <c r="ZG3" s="16"/>
      <c r="ZH3" s="16"/>
      <c r="ZI3" s="16"/>
      <c r="ZJ3" s="16"/>
      <c r="ZK3" s="16">
        <v>1.33</v>
      </c>
      <c r="ZL3" s="16">
        <v>0.89</v>
      </c>
      <c r="ZM3" s="16">
        <v>0</v>
      </c>
      <c r="ZN3" s="16">
        <v>0</v>
      </c>
      <c r="ZO3" s="16">
        <v>0</v>
      </c>
      <c r="ZP3" s="16">
        <v>0</v>
      </c>
      <c r="ZQ3" s="16">
        <v>0</v>
      </c>
      <c r="ZR3">
        <v>0</v>
      </c>
      <c r="ZS3" t="s">
        <v>200</v>
      </c>
      <c r="ZT3">
        <v>28.5</v>
      </c>
      <c r="ZU3" s="16">
        <v>69.400000000000006</v>
      </c>
      <c r="ZV3" s="16">
        <v>80.400000000000006</v>
      </c>
      <c r="ZW3" s="16">
        <v>9.8000000000000007</v>
      </c>
      <c r="ZX3">
        <v>96.02</v>
      </c>
      <c r="ZY3" s="17">
        <v>0</v>
      </c>
      <c r="ZZ3">
        <v>3.98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16.55</v>
      </c>
      <c r="AAK3">
        <v>26.49</v>
      </c>
      <c r="AAL3">
        <v>6.34</v>
      </c>
      <c r="AAM3">
        <v>0</v>
      </c>
      <c r="AAN3">
        <v>0</v>
      </c>
      <c r="AAO3">
        <v>0</v>
      </c>
      <c r="ABB3">
        <v>10.199999999999999</v>
      </c>
      <c r="ABC3">
        <v>1</v>
      </c>
      <c r="ABD3">
        <v>35</v>
      </c>
      <c r="ABE3">
        <v>1</v>
      </c>
      <c r="ABF3">
        <v>0.02</v>
      </c>
      <c r="ABG3">
        <v>3</v>
      </c>
      <c r="ABH3">
        <v>70</v>
      </c>
      <c r="ABI3">
        <v>2</v>
      </c>
      <c r="ABJ3">
        <v>0.27</v>
      </c>
      <c r="ABK3">
        <v>3</v>
      </c>
      <c r="ABN3" s="20"/>
      <c r="ACF3">
        <v>1</v>
      </c>
      <c r="ACG3">
        <v>50</v>
      </c>
      <c r="ACH3">
        <v>5</v>
      </c>
      <c r="ACI3">
        <f>1.52+0.5+0.19+0.12</f>
        <v>2.33</v>
      </c>
      <c r="ACJ3">
        <v>3</v>
      </c>
      <c r="ADQ3" s="16">
        <v>2.63</v>
      </c>
      <c r="ADR3" s="16">
        <v>1</v>
      </c>
      <c r="ADS3" s="16">
        <v>1</v>
      </c>
      <c r="ADT3" s="16"/>
      <c r="ADU3" s="16">
        <f>0.04+2.11+3.17+0.37+0.56</f>
        <v>6.25</v>
      </c>
      <c r="ADV3" s="16">
        <v>2</v>
      </c>
      <c r="ADW3" s="16"/>
      <c r="ADX3" s="16">
        <f>0.53+0.53+0.11+0.07+0.15</f>
        <v>1.3900000000000001</v>
      </c>
      <c r="ADY3" s="16"/>
      <c r="ADZ3" s="16"/>
      <c r="AEA3" s="16"/>
      <c r="AEB3" s="16">
        <v>3.33</v>
      </c>
      <c r="AEC3" s="16">
        <v>2.06</v>
      </c>
      <c r="AED3" s="16">
        <v>0</v>
      </c>
      <c r="AEE3" s="16">
        <v>0</v>
      </c>
      <c r="AEF3" s="16">
        <v>0</v>
      </c>
      <c r="AEG3" s="16">
        <v>0</v>
      </c>
      <c r="AEH3" s="16">
        <v>0</v>
      </c>
      <c r="AEI3">
        <v>0</v>
      </c>
      <c r="AEJ3" t="s">
        <v>201</v>
      </c>
      <c r="AEK3">
        <v>48.5</v>
      </c>
      <c r="AEL3" s="16">
        <v>89.7</v>
      </c>
      <c r="AEM3" s="16">
        <v>80.400000000000006</v>
      </c>
      <c r="AEN3" s="16">
        <v>9.3000000000000007</v>
      </c>
      <c r="AEO3">
        <v>100</v>
      </c>
      <c r="AEP3" s="17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1.65</v>
      </c>
      <c r="AFA3">
        <v>2.69</v>
      </c>
      <c r="AFB3">
        <v>54.55</v>
      </c>
      <c r="AFC3">
        <v>11.29</v>
      </c>
      <c r="AFD3">
        <v>0</v>
      </c>
      <c r="AFE3">
        <v>0</v>
      </c>
      <c r="AFF3">
        <v>0</v>
      </c>
      <c r="AFS3">
        <v>30.6</v>
      </c>
      <c r="AFT3">
        <v>1</v>
      </c>
      <c r="AFU3">
        <v>35</v>
      </c>
      <c r="AFV3">
        <v>14</v>
      </c>
      <c r="AFW3">
        <f>3.05+1.52+1.52+0.27+0.03+0.07</f>
        <v>6.46</v>
      </c>
      <c r="AFX3">
        <v>3</v>
      </c>
      <c r="AFY3">
        <v>47</v>
      </c>
      <c r="AFZ3">
        <v>6</v>
      </c>
      <c r="AGA3">
        <f>1.52+0.27*2</f>
        <v>2.06</v>
      </c>
      <c r="AGB3">
        <v>3</v>
      </c>
      <c r="AGE3" s="20"/>
      <c r="AGW3">
        <v>0</v>
      </c>
      <c r="AIH3" s="16">
        <v>3.34</v>
      </c>
      <c r="AII3" s="16">
        <v>1</v>
      </c>
      <c r="AIJ3" s="16">
        <v>1</v>
      </c>
      <c r="AIK3" s="16"/>
      <c r="AIL3" s="16">
        <f>4.23+1.14+2.11+4.23+1.37+0.02+2.03+0.75+0.37+0.13</f>
        <v>16.38</v>
      </c>
      <c r="AIM3" s="16"/>
      <c r="AIN3" s="16"/>
      <c r="AIO3" s="16"/>
      <c r="AIP3" s="16"/>
      <c r="AIQ3" s="16"/>
      <c r="AIR3" s="16"/>
      <c r="AIS3" s="16">
        <v>1.45</v>
      </c>
      <c r="AIT3" s="16">
        <v>1.46</v>
      </c>
      <c r="AIU3" s="16">
        <v>0</v>
      </c>
      <c r="AIV3" s="16">
        <v>0</v>
      </c>
      <c r="AIW3" s="16">
        <v>0</v>
      </c>
      <c r="AIX3" s="16">
        <v>0</v>
      </c>
      <c r="AIY3" s="16">
        <v>0</v>
      </c>
      <c r="AIZ3">
        <v>0</v>
      </c>
      <c r="AJA3" t="s">
        <v>202</v>
      </c>
      <c r="AJB3">
        <v>60</v>
      </c>
      <c r="AJC3" s="16">
        <v>55.4</v>
      </c>
      <c r="AJD3" s="16">
        <v>80.400000000000006</v>
      </c>
      <c r="AJE3" s="16">
        <v>29.6</v>
      </c>
      <c r="AJF3">
        <v>76.8</v>
      </c>
      <c r="AJG3" s="17">
        <v>0</v>
      </c>
      <c r="AJH3">
        <v>0</v>
      </c>
      <c r="AJI3">
        <v>0</v>
      </c>
      <c r="AJJ3">
        <v>0</v>
      </c>
      <c r="AJL3">
        <v>4.83</v>
      </c>
      <c r="AJM3">
        <v>1.71</v>
      </c>
      <c r="AJN3">
        <v>0</v>
      </c>
      <c r="AJO3">
        <v>0</v>
      </c>
      <c r="AJP3">
        <v>0</v>
      </c>
      <c r="AJQ3">
        <v>1.51</v>
      </c>
      <c r="AJR3">
        <v>1.85</v>
      </c>
      <c r="AJS3">
        <v>2.31</v>
      </c>
      <c r="AJT3">
        <v>19.079999999999998</v>
      </c>
      <c r="AJU3">
        <v>18.37</v>
      </c>
      <c r="AJV3">
        <v>0</v>
      </c>
      <c r="AJW3">
        <v>0</v>
      </c>
      <c r="AJX3">
        <v>0</v>
      </c>
      <c r="AKD3">
        <v>0</v>
      </c>
      <c r="AKJ3">
        <v>22.9</v>
      </c>
      <c r="AKK3">
        <v>1</v>
      </c>
      <c r="AKL3">
        <v>34</v>
      </c>
      <c r="AKM3">
        <v>1</v>
      </c>
      <c r="AKN3">
        <v>1.19</v>
      </c>
      <c r="AKO3">
        <v>1</v>
      </c>
      <c r="AKP3">
        <v>47</v>
      </c>
      <c r="AKQ3">
        <f>7+3+1+2+3+5+7+1+7+2+7+5+5</f>
        <v>55</v>
      </c>
      <c r="AKR3">
        <f>(0.3*7)+0.15+0.3+0.9+0.6+0.45+0.6+(0.3*3)+(0.3*5)+(0.3*7)+0.9+(0.3*7)+(0.4)+(0.3*7)+(0.3*5)+(0.3*5)</f>
        <v>18.100000000000001</v>
      </c>
      <c r="AKS3">
        <v>2</v>
      </c>
      <c r="AKV3" s="20"/>
      <c r="ALN3">
        <v>0</v>
      </c>
    </row>
    <row r="4" spans="1:1024" x14ac:dyDescent="0.2">
      <c r="A4" s="1" t="s">
        <v>203</v>
      </c>
      <c r="B4" s="12">
        <v>42892</v>
      </c>
      <c r="C4">
        <v>2</v>
      </c>
      <c r="D4" s="13">
        <v>39237</v>
      </c>
      <c r="E4" s="12">
        <v>30344</v>
      </c>
      <c r="F4" s="14">
        <f t="shared" si="0"/>
        <v>34.35455167693361</v>
      </c>
      <c r="G4" s="14">
        <f t="shared" si="1"/>
        <v>10.00684462696783</v>
      </c>
      <c r="H4" s="15" t="s">
        <v>181</v>
      </c>
      <c r="I4" s="15" t="s">
        <v>182</v>
      </c>
      <c r="J4" s="15" t="s">
        <v>183</v>
      </c>
      <c r="K4" s="15">
        <v>8</v>
      </c>
      <c r="L4" s="19">
        <v>77</v>
      </c>
      <c r="M4">
        <v>1.73</v>
      </c>
      <c r="N4" s="16">
        <f t="shared" si="2"/>
        <v>25.727555214006482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19">
        <v>0</v>
      </c>
      <c r="V4" s="19">
        <v>0</v>
      </c>
      <c r="W4" s="19">
        <v>0</v>
      </c>
      <c r="X4" s="19">
        <v>0</v>
      </c>
      <c r="Y4" s="19">
        <v>1</v>
      </c>
      <c r="Z4" s="19">
        <v>3</v>
      </c>
      <c r="AA4" s="19">
        <v>60</v>
      </c>
      <c r="AB4" s="19" t="s">
        <v>184</v>
      </c>
      <c r="AC4" s="19">
        <v>0</v>
      </c>
      <c r="AD4" s="19">
        <v>0</v>
      </c>
      <c r="AE4" s="19">
        <v>1</v>
      </c>
      <c r="AF4" s="19">
        <v>0</v>
      </c>
      <c r="AG4" s="19">
        <v>1</v>
      </c>
      <c r="AH4" s="19"/>
      <c r="AI4" s="15">
        <v>0</v>
      </c>
      <c r="AJ4" s="15">
        <v>0</v>
      </c>
      <c r="AK4" s="15">
        <v>0</v>
      </c>
      <c r="AL4" s="15">
        <v>0</v>
      </c>
      <c r="AM4" s="19">
        <v>0</v>
      </c>
      <c r="AN4" s="19"/>
      <c r="AO4" s="19"/>
      <c r="AP4" s="19"/>
      <c r="AQ4" s="19"/>
      <c r="AR4" s="19"/>
      <c r="AS4" s="19">
        <v>0</v>
      </c>
      <c r="AT4" s="19">
        <v>0</v>
      </c>
      <c r="AU4" s="19">
        <v>0</v>
      </c>
      <c r="AV4" s="19">
        <v>0</v>
      </c>
      <c r="AW4" s="19">
        <v>0</v>
      </c>
      <c r="AX4" s="19">
        <v>0</v>
      </c>
      <c r="AY4" s="19">
        <v>0</v>
      </c>
      <c r="AZ4" s="19">
        <v>0</v>
      </c>
      <c r="BA4" s="19">
        <v>0</v>
      </c>
      <c r="BB4" s="19">
        <v>1</v>
      </c>
      <c r="BC4" s="19">
        <v>1</v>
      </c>
      <c r="BD4" s="19">
        <v>1</v>
      </c>
      <c r="BE4" s="19">
        <v>5</v>
      </c>
      <c r="BF4" s="19">
        <v>0</v>
      </c>
      <c r="BG4" s="19">
        <v>0</v>
      </c>
      <c r="BH4" s="19">
        <v>0</v>
      </c>
      <c r="BI4" s="19">
        <v>0</v>
      </c>
      <c r="BJ4" s="19">
        <v>1</v>
      </c>
      <c r="BK4" s="19">
        <v>1</v>
      </c>
      <c r="BL4" s="19">
        <v>1</v>
      </c>
      <c r="BM4" s="19">
        <v>3</v>
      </c>
      <c r="BN4" s="19">
        <v>1</v>
      </c>
      <c r="BO4" s="19">
        <v>1</v>
      </c>
      <c r="BP4" s="19">
        <v>1</v>
      </c>
      <c r="BQ4" s="19">
        <v>2</v>
      </c>
      <c r="BR4" s="19">
        <v>1</v>
      </c>
      <c r="BS4" s="19">
        <v>1</v>
      </c>
      <c r="BT4" s="19">
        <v>3</v>
      </c>
      <c r="BU4" s="19">
        <v>4</v>
      </c>
      <c r="BV4" s="19">
        <v>2</v>
      </c>
      <c r="BW4" s="19">
        <v>3</v>
      </c>
      <c r="BX4" s="19">
        <v>3</v>
      </c>
      <c r="BY4" s="19">
        <v>3</v>
      </c>
      <c r="BZ4" s="19">
        <v>3</v>
      </c>
      <c r="CA4" s="19">
        <v>3</v>
      </c>
      <c r="CB4" s="19">
        <v>4</v>
      </c>
      <c r="CC4" s="19">
        <v>5</v>
      </c>
      <c r="CD4" s="19">
        <v>3</v>
      </c>
      <c r="CE4" s="19">
        <v>4</v>
      </c>
      <c r="CF4" s="19">
        <v>4</v>
      </c>
      <c r="CG4" s="19">
        <v>4</v>
      </c>
      <c r="CH4" s="19">
        <v>3</v>
      </c>
      <c r="CI4" s="19">
        <v>4</v>
      </c>
      <c r="CJ4" s="19">
        <v>4</v>
      </c>
      <c r="CK4" s="19">
        <v>10</v>
      </c>
      <c r="CL4" t="s">
        <v>185</v>
      </c>
      <c r="CM4">
        <v>21.5</v>
      </c>
      <c r="CN4" s="16">
        <v>54.9</v>
      </c>
      <c r="CO4" s="16">
        <v>80.400000000000006</v>
      </c>
      <c r="CP4" s="16">
        <v>17.899999999999999</v>
      </c>
      <c r="CQ4">
        <v>90.61</v>
      </c>
      <c r="CR4" s="17">
        <v>0</v>
      </c>
      <c r="CS4">
        <v>0</v>
      </c>
      <c r="CT4">
        <v>2.4500000000000002</v>
      </c>
      <c r="CU4">
        <v>6.94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12.16</v>
      </c>
      <c r="DC4">
        <v>24.45</v>
      </c>
      <c r="DD4">
        <v>4.8</v>
      </c>
      <c r="DE4">
        <v>5.1100000000000003</v>
      </c>
      <c r="DF4">
        <v>0</v>
      </c>
      <c r="DG4">
        <v>0</v>
      </c>
      <c r="DH4">
        <v>0</v>
      </c>
      <c r="DU4">
        <v>2.9</v>
      </c>
      <c r="DV4">
        <v>1</v>
      </c>
      <c r="DW4">
        <v>68</v>
      </c>
      <c r="DX4">
        <v>2</v>
      </c>
      <c r="DY4">
        <f>0.38+0.07</f>
        <v>0.45</v>
      </c>
      <c r="DZ4">
        <v>1</v>
      </c>
      <c r="EG4" s="18"/>
      <c r="EY4">
        <v>1</v>
      </c>
      <c r="EZ4">
        <v>40</v>
      </c>
      <c r="FA4">
        <v>1</v>
      </c>
      <c r="FB4">
        <v>0.06</v>
      </c>
      <c r="FC4">
        <v>1</v>
      </c>
      <c r="FD4">
        <v>60</v>
      </c>
      <c r="FE4">
        <v>1</v>
      </c>
      <c r="FF4">
        <v>0.11</v>
      </c>
      <c r="FG4">
        <v>1</v>
      </c>
      <c r="FH4">
        <v>40</v>
      </c>
      <c r="FI4">
        <v>1</v>
      </c>
      <c r="FJ4">
        <v>0.57999999999999996</v>
      </c>
      <c r="FK4">
        <v>6</v>
      </c>
      <c r="GJ4" s="16">
        <v>0</v>
      </c>
      <c r="GK4" s="16">
        <v>0</v>
      </c>
      <c r="GL4" s="16"/>
      <c r="GM4" s="16"/>
      <c r="GN4" s="16"/>
      <c r="GO4" s="16"/>
      <c r="GP4" s="16"/>
      <c r="GQ4" s="16"/>
      <c r="GR4" s="16"/>
      <c r="GS4" s="16"/>
      <c r="GT4" s="16"/>
      <c r="GU4" s="16">
        <v>0.67</v>
      </c>
      <c r="GV4" s="16">
        <v>0.65</v>
      </c>
      <c r="GW4" s="16"/>
      <c r="GX4" s="16"/>
      <c r="GY4" s="16">
        <v>0</v>
      </c>
      <c r="GZ4" s="16">
        <v>0</v>
      </c>
      <c r="HA4" s="16">
        <v>0</v>
      </c>
      <c r="HB4">
        <v>0</v>
      </c>
      <c r="HC4" t="s">
        <v>186</v>
      </c>
      <c r="HD4">
        <v>52.5</v>
      </c>
      <c r="HE4" s="16">
        <v>78.3</v>
      </c>
      <c r="HF4" s="16">
        <v>80.400000000000006</v>
      </c>
      <c r="HG4" s="16">
        <v>33.200000000000003</v>
      </c>
      <c r="HH4">
        <v>67.5</v>
      </c>
      <c r="HI4" s="17">
        <v>0</v>
      </c>
      <c r="HJ4">
        <v>21.37</v>
      </c>
      <c r="HK4">
        <v>0</v>
      </c>
      <c r="HL4">
        <v>3.99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5.93</v>
      </c>
      <c r="HU4">
        <v>42.2</v>
      </c>
      <c r="HV4">
        <v>15.97</v>
      </c>
      <c r="HW4">
        <v>7.14</v>
      </c>
      <c r="HX4">
        <v>0</v>
      </c>
      <c r="HY4">
        <v>0</v>
      </c>
      <c r="IL4">
        <v>1.7</v>
      </c>
      <c r="IM4">
        <v>1</v>
      </c>
      <c r="IN4">
        <v>34</v>
      </c>
      <c r="IO4">
        <v>5</v>
      </c>
      <c r="IP4">
        <v>0.21</v>
      </c>
      <c r="IQ4">
        <v>1</v>
      </c>
      <c r="IR4">
        <v>68</v>
      </c>
      <c r="IS4">
        <v>3</v>
      </c>
      <c r="IT4">
        <v>0.3</v>
      </c>
      <c r="IU4">
        <v>1</v>
      </c>
      <c r="IV4">
        <v>47</v>
      </c>
      <c r="IW4">
        <v>4</v>
      </c>
      <c r="IX4" s="18">
        <v>0.11</v>
      </c>
      <c r="IY4">
        <v>1</v>
      </c>
      <c r="IZ4">
        <v>35</v>
      </c>
      <c r="JA4">
        <v>2</v>
      </c>
      <c r="JB4">
        <v>0.1</v>
      </c>
      <c r="JC4">
        <v>1</v>
      </c>
      <c r="JP4">
        <v>0</v>
      </c>
      <c r="LA4" s="16">
        <v>1.04</v>
      </c>
      <c r="LB4" s="16">
        <v>1</v>
      </c>
      <c r="LC4" s="16">
        <v>1</v>
      </c>
      <c r="LD4" s="16"/>
      <c r="LE4" s="16">
        <f>3.74+3.17+0.1</f>
        <v>7.01</v>
      </c>
      <c r="LF4" s="16"/>
      <c r="LG4" s="16"/>
      <c r="LH4" s="16"/>
      <c r="LI4" s="16"/>
      <c r="LJ4" s="16"/>
      <c r="LK4" s="16"/>
      <c r="LL4" s="16">
        <v>8.9</v>
      </c>
      <c r="LM4" s="16">
        <v>9.7899999999999991</v>
      </c>
      <c r="LN4" s="16"/>
      <c r="LO4" s="16"/>
      <c r="LP4" s="16">
        <v>2.99</v>
      </c>
      <c r="LQ4" s="16">
        <v>4</v>
      </c>
      <c r="LR4" s="16">
        <v>3</v>
      </c>
      <c r="LS4">
        <v>0</v>
      </c>
      <c r="LT4" t="s">
        <v>187</v>
      </c>
      <c r="LU4">
        <v>53.5</v>
      </c>
      <c r="LV4" s="16">
        <v>73.5</v>
      </c>
      <c r="LW4" s="16">
        <v>80.400000000000006</v>
      </c>
      <c r="LX4" s="16">
        <v>26.1</v>
      </c>
      <c r="LY4">
        <v>78.89</v>
      </c>
      <c r="LZ4" s="17">
        <v>0</v>
      </c>
      <c r="MA4">
        <v>2.36</v>
      </c>
      <c r="MB4">
        <v>0</v>
      </c>
      <c r="MC4">
        <v>11.6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7.86</v>
      </c>
      <c r="MK4">
        <v>12.08</v>
      </c>
      <c r="ML4">
        <v>18.100000000000001</v>
      </c>
      <c r="MM4">
        <v>28.51</v>
      </c>
      <c r="MN4">
        <v>7.14</v>
      </c>
      <c r="MO4">
        <v>0</v>
      </c>
      <c r="MP4">
        <v>0</v>
      </c>
      <c r="NC4">
        <v>11.6</v>
      </c>
      <c r="ND4">
        <v>1</v>
      </c>
      <c r="NE4">
        <v>47</v>
      </c>
      <c r="NF4">
        <v>4</v>
      </c>
      <c r="NG4">
        <f>1.15+0.34</f>
        <v>1.49</v>
      </c>
      <c r="NH4">
        <v>3</v>
      </c>
      <c r="NO4" s="18"/>
      <c r="OG4">
        <v>1</v>
      </c>
      <c r="OH4">
        <v>50</v>
      </c>
      <c r="OI4">
        <v>1</v>
      </c>
      <c r="OJ4">
        <v>0.19</v>
      </c>
      <c r="OK4">
        <v>3</v>
      </c>
      <c r="PR4" s="16">
        <v>7.27</v>
      </c>
      <c r="PS4" s="16">
        <v>1</v>
      </c>
      <c r="PT4" s="16">
        <v>1</v>
      </c>
      <c r="PU4" s="16"/>
      <c r="PV4" s="16">
        <f>2.11*2+0.37*2</f>
        <v>4.96</v>
      </c>
      <c r="PW4" s="16">
        <v>3</v>
      </c>
      <c r="PX4" s="16"/>
      <c r="PY4" s="16">
        <f>1.44+0.72</f>
        <v>2.16</v>
      </c>
      <c r="PZ4" s="16"/>
      <c r="QA4" s="16"/>
      <c r="QB4" s="16"/>
      <c r="QC4" s="16">
        <v>5.39</v>
      </c>
      <c r="QD4" s="16">
        <v>8.11</v>
      </c>
      <c r="QE4" s="16"/>
      <c r="QF4" s="16"/>
      <c r="QG4" s="16">
        <v>0</v>
      </c>
      <c r="QH4" s="16">
        <v>0</v>
      </c>
      <c r="QI4" s="16">
        <v>3</v>
      </c>
      <c r="QJ4">
        <v>0</v>
      </c>
      <c r="QK4" t="s">
        <v>188</v>
      </c>
      <c r="QL4">
        <v>40</v>
      </c>
      <c r="QM4" s="16">
        <v>84.1</v>
      </c>
      <c r="QN4" s="16">
        <v>80.400000000000006</v>
      </c>
      <c r="QO4" s="16">
        <v>35.1</v>
      </c>
      <c r="QP4">
        <v>66.11</v>
      </c>
      <c r="QQ4" s="17">
        <v>0</v>
      </c>
      <c r="QR4">
        <v>13.11</v>
      </c>
      <c r="QS4">
        <v>6.27</v>
      </c>
      <c r="QT4">
        <v>8.02</v>
      </c>
      <c r="QU4">
        <v>0</v>
      </c>
      <c r="QV4">
        <v>6.47</v>
      </c>
      <c r="QW4">
        <v>2.85</v>
      </c>
      <c r="QX4">
        <v>3.1</v>
      </c>
      <c r="QY4">
        <v>0</v>
      </c>
      <c r="QZ4">
        <v>0</v>
      </c>
      <c r="RA4">
        <v>10.49</v>
      </c>
      <c r="RB4">
        <v>26.72</v>
      </c>
      <c r="RC4">
        <v>13.38</v>
      </c>
      <c r="RD4">
        <v>10.67</v>
      </c>
      <c r="RE4">
        <v>0</v>
      </c>
      <c r="RF4">
        <v>0</v>
      </c>
      <c r="RG4">
        <v>0</v>
      </c>
      <c r="RT4">
        <v>3.9</v>
      </c>
      <c r="RU4">
        <v>1</v>
      </c>
      <c r="RV4">
        <v>68</v>
      </c>
      <c r="RW4">
        <v>4</v>
      </c>
      <c r="RX4">
        <f>1.9+0.34</f>
        <v>2.2399999999999998</v>
      </c>
      <c r="RY4">
        <v>1</v>
      </c>
      <c r="RZ4">
        <v>34</v>
      </c>
      <c r="SA4">
        <v>8</v>
      </c>
      <c r="SB4">
        <v>0.27</v>
      </c>
      <c r="SC4">
        <v>1</v>
      </c>
      <c r="SF4" s="18"/>
      <c r="SX4">
        <v>1</v>
      </c>
      <c r="SY4">
        <v>50</v>
      </c>
      <c r="SZ4">
        <v>4</v>
      </c>
      <c r="TA4">
        <f>1.52*2</f>
        <v>3.04</v>
      </c>
      <c r="TB4">
        <v>3</v>
      </c>
      <c r="UI4" s="16">
        <v>0.04</v>
      </c>
      <c r="UJ4" s="16">
        <v>1</v>
      </c>
      <c r="UK4" s="16">
        <v>1</v>
      </c>
      <c r="UL4" s="16"/>
      <c r="UM4" s="16">
        <f>0.3</f>
        <v>0.3</v>
      </c>
      <c r="UN4" s="16"/>
      <c r="UO4" s="16"/>
      <c r="UP4" s="16"/>
      <c r="UQ4" s="16"/>
      <c r="UR4" s="16"/>
      <c r="US4" s="16"/>
      <c r="UT4" s="16">
        <v>0.03</v>
      </c>
      <c r="UU4" s="16">
        <v>0.03</v>
      </c>
      <c r="UV4" s="16"/>
      <c r="UW4" s="16"/>
      <c r="UX4" s="16">
        <v>0</v>
      </c>
      <c r="UY4" s="16">
        <v>0</v>
      </c>
      <c r="UZ4" s="16">
        <v>0</v>
      </c>
      <c r="VA4">
        <v>0</v>
      </c>
      <c r="VB4" t="s">
        <v>189</v>
      </c>
      <c r="VC4">
        <v>31</v>
      </c>
      <c r="VD4" s="16">
        <v>80.2</v>
      </c>
      <c r="VE4" s="16">
        <v>80.400000000000006</v>
      </c>
      <c r="VF4" s="16">
        <v>6.5</v>
      </c>
      <c r="VG4">
        <v>99.3</v>
      </c>
      <c r="VH4" s="17">
        <v>0</v>
      </c>
      <c r="VI4">
        <v>0.7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31.92</v>
      </c>
      <c r="VT4">
        <v>23.7</v>
      </c>
      <c r="VU4">
        <v>1.95</v>
      </c>
      <c r="VV4">
        <v>0</v>
      </c>
      <c r="VW4">
        <v>18.7</v>
      </c>
      <c r="VX4">
        <v>4</v>
      </c>
      <c r="VY4">
        <v>49</v>
      </c>
      <c r="WA4">
        <v>1</v>
      </c>
      <c r="WE4">
        <v>49</v>
      </c>
      <c r="WG4">
        <v>1</v>
      </c>
      <c r="WK4">
        <v>0</v>
      </c>
      <c r="WL4">
        <v>0</v>
      </c>
      <c r="WW4" s="18"/>
      <c r="XO4">
        <v>0</v>
      </c>
      <c r="YZ4" s="16">
        <v>0</v>
      </c>
      <c r="ZA4" s="16">
        <v>0</v>
      </c>
      <c r="ZB4" s="16"/>
      <c r="ZC4" s="16"/>
      <c r="ZD4" s="16"/>
      <c r="ZE4" s="16"/>
      <c r="ZF4" s="16"/>
      <c r="ZG4" s="16"/>
      <c r="ZH4" s="16"/>
      <c r="ZI4" s="16"/>
      <c r="ZJ4" s="16"/>
      <c r="ZK4" s="16">
        <v>5.42</v>
      </c>
      <c r="ZL4" s="16">
        <v>6.61</v>
      </c>
      <c r="ZM4" s="16"/>
      <c r="ZN4" s="16"/>
      <c r="ZO4" s="16">
        <v>0</v>
      </c>
      <c r="ZP4" s="16">
        <v>0</v>
      </c>
      <c r="ZQ4" s="16">
        <v>0</v>
      </c>
      <c r="ZR4">
        <v>0</v>
      </c>
      <c r="ZS4" t="s">
        <v>190</v>
      </c>
      <c r="ZT4">
        <v>38.5</v>
      </c>
      <c r="ZU4" s="16">
        <v>92</v>
      </c>
      <c r="ZV4" s="16">
        <v>80.400000000000006</v>
      </c>
      <c r="ZW4" s="16">
        <v>11</v>
      </c>
      <c r="ZX4">
        <v>95.37</v>
      </c>
      <c r="ZY4" s="17">
        <v>0</v>
      </c>
      <c r="ZZ4">
        <v>4.63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2.85</v>
      </c>
      <c r="AAJ4">
        <v>16.149999999999999</v>
      </c>
      <c r="AAK4">
        <v>42.55</v>
      </c>
      <c r="AAL4">
        <v>4.63</v>
      </c>
      <c r="AAM4">
        <v>0</v>
      </c>
      <c r="AAN4">
        <v>5.7</v>
      </c>
      <c r="AAO4">
        <v>1</v>
      </c>
      <c r="AAP4">
        <v>3</v>
      </c>
      <c r="AAR4">
        <v>1</v>
      </c>
      <c r="AAV4">
        <v>3</v>
      </c>
      <c r="AAX4">
        <v>1</v>
      </c>
      <c r="ABB4">
        <v>4.8</v>
      </c>
      <c r="ABC4">
        <v>0</v>
      </c>
      <c r="ABN4" s="18"/>
      <c r="ACF4">
        <v>1</v>
      </c>
      <c r="ACG4">
        <v>70</v>
      </c>
      <c r="ACH4">
        <v>3</v>
      </c>
      <c r="ACI4">
        <f>14.97+0.86+0.7</f>
        <v>16.53</v>
      </c>
      <c r="ACJ4">
        <v>3</v>
      </c>
      <c r="ACK4">
        <v>60</v>
      </c>
      <c r="ACL4">
        <v>3</v>
      </c>
      <c r="ACM4">
        <f>3.02+0.97+0.6</f>
        <v>4.59</v>
      </c>
      <c r="ACN4">
        <v>3</v>
      </c>
      <c r="ADQ4" s="16">
        <v>2.82</v>
      </c>
      <c r="ADR4" s="16">
        <v>1</v>
      </c>
      <c r="ADS4" s="16">
        <v>1</v>
      </c>
      <c r="ADT4" s="16"/>
      <c r="ADU4" s="16">
        <f>0.93*2</f>
        <v>1.86</v>
      </c>
      <c r="ADV4" s="16">
        <v>2</v>
      </c>
      <c r="ADW4" s="16"/>
      <c r="ADX4" s="16">
        <f>9.6+1.93</f>
        <v>11.53</v>
      </c>
      <c r="ADY4" s="16"/>
      <c r="ADZ4" s="16"/>
      <c r="AEA4" s="16"/>
      <c r="AEB4" s="16">
        <v>13.91</v>
      </c>
      <c r="AEC4" s="16">
        <v>17.309999999999999</v>
      </c>
      <c r="AED4" s="16"/>
      <c r="AEE4" s="16"/>
      <c r="AEF4" s="16">
        <v>0</v>
      </c>
      <c r="AEG4" s="16">
        <v>0</v>
      </c>
      <c r="AEH4" s="16">
        <v>0</v>
      </c>
      <c r="AEI4">
        <v>0</v>
      </c>
      <c r="AEJ4" t="s">
        <v>191</v>
      </c>
      <c r="AEK4">
        <v>44</v>
      </c>
      <c r="AEL4" s="16">
        <v>75.8</v>
      </c>
      <c r="AEM4" s="16">
        <v>80.400000000000006</v>
      </c>
      <c r="AEN4" s="16">
        <v>12.2</v>
      </c>
      <c r="AEO4">
        <v>90.24</v>
      </c>
      <c r="AEP4" s="17">
        <v>0</v>
      </c>
      <c r="AEQ4">
        <v>6.27</v>
      </c>
      <c r="AER4">
        <v>0</v>
      </c>
      <c r="AES4">
        <v>3.49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24.37</v>
      </c>
      <c r="AFB4">
        <v>32.21</v>
      </c>
      <c r="AFC4">
        <v>3.56</v>
      </c>
      <c r="AFD4">
        <v>0</v>
      </c>
      <c r="AFE4">
        <v>0</v>
      </c>
      <c r="AFF4">
        <v>0</v>
      </c>
      <c r="AFS4">
        <v>20.3</v>
      </c>
      <c r="AFT4">
        <v>1</v>
      </c>
      <c r="AFU4">
        <v>30</v>
      </c>
      <c r="AFV4">
        <v>4</v>
      </c>
      <c r="AFW4">
        <v>3.01</v>
      </c>
      <c r="AFX4">
        <v>5</v>
      </c>
      <c r="AFY4">
        <v>68</v>
      </c>
      <c r="AFZ4">
        <v>2</v>
      </c>
      <c r="AGA4">
        <v>1.52</v>
      </c>
      <c r="AGB4">
        <v>1</v>
      </c>
      <c r="AGC4">
        <v>47</v>
      </c>
      <c r="AGD4">
        <v>1</v>
      </c>
      <c r="AGE4" s="18">
        <v>7.0000000000000007E-2</v>
      </c>
      <c r="AGF4">
        <v>3</v>
      </c>
      <c r="AGW4">
        <v>0</v>
      </c>
      <c r="AIH4" s="16">
        <v>1.88</v>
      </c>
      <c r="AII4" s="16">
        <v>1</v>
      </c>
      <c r="AIJ4" s="16">
        <v>2</v>
      </c>
      <c r="AIK4" s="16"/>
      <c r="AIL4" s="16">
        <v>4.18</v>
      </c>
      <c r="AIM4" s="16"/>
      <c r="AIN4" s="16"/>
      <c r="AIO4" s="16"/>
      <c r="AIP4" s="16"/>
      <c r="AIQ4" s="16"/>
      <c r="AIR4" s="16"/>
      <c r="AIS4" s="16">
        <v>7.15</v>
      </c>
      <c r="AIT4" s="16">
        <v>6.06</v>
      </c>
      <c r="AIU4" s="16"/>
      <c r="AIV4" s="16"/>
      <c r="AIW4" s="16">
        <v>0</v>
      </c>
      <c r="AIX4" s="16">
        <v>0</v>
      </c>
      <c r="AIY4" s="16">
        <v>0</v>
      </c>
      <c r="AIZ4">
        <v>0</v>
      </c>
      <c r="AJA4" t="s">
        <v>192</v>
      </c>
      <c r="AJB4">
        <v>47.5</v>
      </c>
      <c r="AJC4" s="16">
        <v>79.3</v>
      </c>
      <c r="AJD4" s="16">
        <v>80.400000000000006</v>
      </c>
      <c r="AJE4" s="16">
        <v>36.299999999999997</v>
      </c>
      <c r="AJF4">
        <v>66.23</v>
      </c>
      <c r="AJG4" s="17">
        <v>0</v>
      </c>
      <c r="AJH4">
        <v>33.770000000000003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38.369999999999997</v>
      </c>
      <c r="AJS4">
        <v>20.04</v>
      </c>
      <c r="AJT4">
        <v>11.21</v>
      </c>
      <c r="AJU4">
        <v>0</v>
      </c>
      <c r="AJV4">
        <v>0</v>
      </c>
      <c r="AJW4">
        <v>0</v>
      </c>
      <c r="AKJ4">
        <v>6.9</v>
      </c>
      <c r="AKK4">
        <v>1</v>
      </c>
      <c r="AKL4">
        <v>47</v>
      </c>
      <c r="AKM4">
        <v>3</v>
      </c>
      <c r="AKN4">
        <f>0.11+0.74+0.08</f>
        <v>0.92999999999999994</v>
      </c>
      <c r="AKO4">
        <v>3</v>
      </c>
      <c r="AKP4">
        <v>68</v>
      </c>
      <c r="AKQ4">
        <v>1</v>
      </c>
      <c r="AKR4">
        <v>0.76</v>
      </c>
      <c r="AKS4">
        <v>1</v>
      </c>
      <c r="AKV4" s="18"/>
      <c r="ALN4">
        <v>0</v>
      </c>
    </row>
    <row r="5" spans="1:1024" x14ac:dyDescent="0.2">
      <c r="A5" s="1" t="s">
        <v>204</v>
      </c>
      <c r="B5" s="12">
        <v>42886</v>
      </c>
      <c r="C5">
        <v>2</v>
      </c>
      <c r="D5" s="13">
        <v>35948</v>
      </c>
      <c r="E5" s="12">
        <v>28451</v>
      </c>
      <c r="F5" s="14">
        <f t="shared" si="0"/>
        <v>39.520876112251884</v>
      </c>
      <c r="G5" s="14">
        <f t="shared" si="1"/>
        <v>18.99520876112252</v>
      </c>
      <c r="H5" s="21" t="s">
        <v>205</v>
      </c>
      <c r="I5" s="21" t="s">
        <v>206</v>
      </c>
      <c r="J5" s="21" t="s">
        <v>183</v>
      </c>
      <c r="K5" s="21">
        <v>8</v>
      </c>
      <c r="L5" s="19">
        <v>86</v>
      </c>
      <c r="M5">
        <v>1.83</v>
      </c>
      <c r="N5" s="16">
        <f t="shared" si="2"/>
        <v>25.680074054167036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19">
        <v>0</v>
      </c>
      <c r="V5" s="19">
        <v>0</v>
      </c>
      <c r="W5" s="19">
        <v>1</v>
      </c>
      <c r="X5" s="19">
        <v>1</v>
      </c>
      <c r="Y5" s="19">
        <v>0</v>
      </c>
      <c r="Z5" s="19">
        <v>0</v>
      </c>
      <c r="AA5" s="19">
        <v>0</v>
      </c>
      <c r="AB5" s="19">
        <v>0</v>
      </c>
      <c r="AC5" s="19">
        <v>1</v>
      </c>
      <c r="AD5" s="19">
        <v>5</v>
      </c>
      <c r="AE5" s="19">
        <v>1</v>
      </c>
      <c r="AF5" s="19">
        <v>1</v>
      </c>
      <c r="AG5" s="19">
        <v>0</v>
      </c>
      <c r="AH5" s="19">
        <v>0</v>
      </c>
      <c r="AI5" s="19">
        <v>3</v>
      </c>
      <c r="AJ5" s="19">
        <v>1</v>
      </c>
      <c r="AK5" s="19">
        <v>0</v>
      </c>
      <c r="AL5" s="19">
        <v>0</v>
      </c>
      <c r="AM5" s="19">
        <v>0</v>
      </c>
      <c r="AN5" s="19"/>
      <c r="AO5" s="19"/>
      <c r="AP5" s="19"/>
      <c r="AQ5" s="19"/>
      <c r="AR5" s="19"/>
      <c r="AS5" s="19">
        <v>3</v>
      </c>
      <c r="AT5" s="19">
        <v>3</v>
      </c>
      <c r="AU5" s="19">
        <v>3</v>
      </c>
      <c r="AV5" s="19">
        <v>9</v>
      </c>
      <c r="AW5" s="19">
        <v>10</v>
      </c>
      <c r="AX5" s="19">
        <v>0</v>
      </c>
      <c r="AY5" s="19">
        <v>0</v>
      </c>
      <c r="AZ5" s="19">
        <v>0</v>
      </c>
      <c r="BA5" s="19">
        <v>0</v>
      </c>
      <c r="BB5" s="19">
        <v>1</v>
      </c>
      <c r="BC5" s="19">
        <v>1</v>
      </c>
      <c r="BD5" s="19">
        <v>1</v>
      </c>
      <c r="BE5" s="19">
        <v>7</v>
      </c>
      <c r="BF5" s="19">
        <v>0</v>
      </c>
      <c r="BG5" s="19">
        <v>0</v>
      </c>
      <c r="BH5" s="19">
        <v>0</v>
      </c>
      <c r="BI5" s="19">
        <v>0</v>
      </c>
      <c r="BJ5" s="19">
        <v>1</v>
      </c>
      <c r="BK5" s="19">
        <v>1</v>
      </c>
      <c r="BL5" s="19">
        <v>1</v>
      </c>
      <c r="BM5" s="19">
        <v>1</v>
      </c>
      <c r="BN5" s="19">
        <v>1</v>
      </c>
      <c r="BO5" s="19">
        <v>1</v>
      </c>
      <c r="BP5" s="19">
        <v>0</v>
      </c>
      <c r="BQ5" s="19">
        <v>0</v>
      </c>
      <c r="BR5" s="19">
        <v>4</v>
      </c>
      <c r="BS5" s="19">
        <v>4</v>
      </c>
      <c r="BT5" s="19">
        <v>5</v>
      </c>
      <c r="BU5" s="19">
        <v>5</v>
      </c>
      <c r="BV5" s="19">
        <v>5</v>
      </c>
      <c r="BW5" s="19">
        <v>5</v>
      </c>
      <c r="BX5" s="19">
        <v>4</v>
      </c>
      <c r="BY5" s="19">
        <v>5</v>
      </c>
      <c r="BZ5" s="19">
        <v>5</v>
      </c>
      <c r="CA5" s="19">
        <v>3</v>
      </c>
      <c r="CB5" s="19">
        <v>4</v>
      </c>
      <c r="CC5" s="19">
        <v>5</v>
      </c>
      <c r="CD5" s="19">
        <v>5</v>
      </c>
      <c r="CE5" s="19">
        <v>5</v>
      </c>
      <c r="CF5" s="19">
        <v>5</v>
      </c>
      <c r="CG5" s="19">
        <v>5</v>
      </c>
      <c r="CH5" s="19">
        <v>5</v>
      </c>
      <c r="CI5" s="19">
        <v>5</v>
      </c>
      <c r="CJ5" s="19">
        <v>4</v>
      </c>
      <c r="CK5" s="19"/>
      <c r="CL5">
        <v>6</v>
      </c>
      <c r="CM5">
        <v>14.5</v>
      </c>
      <c r="CN5" s="16">
        <v>26.1</v>
      </c>
      <c r="CO5" s="16">
        <v>571.19000000000005</v>
      </c>
      <c r="CP5" s="16">
        <v>12.4</v>
      </c>
      <c r="CQ5">
        <v>89.38</v>
      </c>
      <c r="CR5">
        <v>0.44</v>
      </c>
      <c r="CS5">
        <v>0</v>
      </c>
      <c r="CT5">
        <v>0</v>
      </c>
      <c r="CU5">
        <v>10.15</v>
      </c>
      <c r="CV5">
        <v>0</v>
      </c>
      <c r="CW5">
        <v>0.03</v>
      </c>
      <c r="CX5">
        <v>0</v>
      </c>
      <c r="CY5">
        <v>0</v>
      </c>
      <c r="CZ5">
        <v>0</v>
      </c>
      <c r="DA5">
        <v>0</v>
      </c>
      <c r="DB5">
        <v>0</v>
      </c>
      <c r="DC5">
        <v>6.18</v>
      </c>
      <c r="DD5">
        <v>2.69</v>
      </c>
      <c r="DE5">
        <v>7.79</v>
      </c>
      <c r="DF5">
        <v>0</v>
      </c>
      <c r="DG5">
        <v>0</v>
      </c>
      <c r="DH5">
        <v>0</v>
      </c>
      <c r="DU5">
        <v>0.4</v>
      </c>
      <c r="DV5">
        <v>1</v>
      </c>
      <c r="DW5">
        <v>35</v>
      </c>
      <c r="DX5">
        <v>4</v>
      </c>
      <c r="DY5">
        <f>0.38+0.19</f>
        <v>0.57000000000000006</v>
      </c>
      <c r="DZ5">
        <v>3</v>
      </c>
      <c r="EA5">
        <v>23</v>
      </c>
      <c r="EB5">
        <v>2</v>
      </c>
      <c r="EC5">
        <v>0.19</v>
      </c>
      <c r="ED5">
        <v>3</v>
      </c>
      <c r="EG5" s="18"/>
      <c r="EY5">
        <v>1</v>
      </c>
      <c r="EZ5">
        <v>60</v>
      </c>
      <c r="FA5">
        <v>8</v>
      </c>
      <c r="FB5">
        <f>0.38+0.25*2</f>
        <v>0.88</v>
      </c>
      <c r="FC5">
        <v>3</v>
      </c>
      <c r="FD5">
        <v>50</v>
      </c>
      <c r="FE5">
        <v>2</v>
      </c>
      <c r="FF5">
        <v>0.03</v>
      </c>
      <c r="FG5">
        <v>6</v>
      </c>
      <c r="FH5">
        <v>40</v>
      </c>
      <c r="FI5">
        <v>6</v>
      </c>
      <c r="FJ5">
        <v>0.13</v>
      </c>
      <c r="FK5">
        <v>1</v>
      </c>
      <c r="FL5">
        <v>40</v>
      </c>
      <c r="FM5">
        <v>5</v>
      </c>
      <c r="FN5">
        <v>0.13</v>
      </c>
      <c r="FO5">
        <v>6</v>
      </c>
      <c r="GJ5" s="16">
        <v>0.08</v>
      </c>
      <c r="GK5" s="16">
        <v>1</v>
      </c>
      <c r="GL5" s="16">
        <v>1</v>
      </c>
      <c r="GM5" s="16"/>
      <c r="GN5" s="16">
        <f>0.14*2+0.21*2</f>
        <v>0.7</v>
      </c>
      <c r="GO5" s="16">
        <v>2</v>
      </c>
      <c r="GP5" s="16"/>
      <c r="GQ5" s="16">
        <v>0.53</v>
      </c>
      <c r="GR5" s="16"/>
      <c r="GS5" s="16"/>
      <c r="GT5" s="16"/>
      <c r="GU5" s="16">
        <v>1.23</v>
      </c>
      <c r="GV5" s="16">
        <v>0.95</v>
      </c>
      <c r="GW5" s="16"/>
      <c r="GX5" s="16"/>
      <c r="GY5" s="16">
        <v>0</v>
      </c>
      <c r="GZ5" s="16">
        <v>0</v>
      </c>
      <c r="HA5" s="16">
        <v>0</v>
      </c>
      <c r="HB5">
        <v>0</v>
      </c>
      <c r="HC5" t="s">
        <v>207</v>
      </c>
      <c r="HD5">
        <v>38.5</v>
      </c>
      <c r="HE5" s="16">
        <v>92.5</v>
      </c>
      <c r="HF5" s="16">
        <v>571.19000000000005</v>
      </c>
      <c r="HG5" s="16">
        <v>26</v>
      </c>
      <c r="HH5">
        <v>61.6</v>
      </c>
      <c r="HI5">
        <v>0</v>
      </c>
      <c r="HJ5">
        <v>8.98</v>
      </c>
      <c r="HK5">
        <v>0</v>
      </c>
      <c r="HL5">
        <v>3.37</v>
      </c>
      <c r="HM5">
        <v>0.38</v>
      </c>
      <c r="HN5">
        <v>10.4</v>
      </c>
      <c r="HO5">
        <v>0.95</v>
      </c>
      <c r="HP5">
        <v>0</v>
      </c>
      <c r="HQ5">
        <v>4.54</v>
      </c>
      <c r="HR5">
        <v>0</v>
      </c>
      <c r="HS5">
        <v>7.27</v>
      </c>
      <c r="HT5">
        <v>42.49</v>
      </c>
      <c r="HU5">
        <v>10.15</v>
      </c>
      <c r="HV5">
        <v>1.8</v>
      </c>
      <c r="HW5">
        <v>8.9499999999999993</v>
      </c>
      <c r="HX5">
        <v>0.4</v>
      </c>
      <c r="HY5">
        <v>3</v>
      </c>
      <c r="HZ5">
        <v>5</v>
      </c>
      <c r="IA5">
        <v>5</v>
      </c>
      <c r="IL5">
        <v>3.2</v>
      </c>
      <c r="IM5">
        <v>1</v>
      </c>
      <c r="IN5">
        <v>68</v>
      </c>
      <c r="IO5">
        <v>7</v>
      </c>
      <c r="IP5">
        <f>0.25*2+0.38</f>
        <v>0.88</v>
      </c>
      <c r="IQ5">
        <v>1</v>
      </c>
      <c r="IR5">
        <v>34</v>
      </c>
      <c r="IS5">
        <v>4</v>
      </c>
      <c r="IT5">
        <v>0.5</v>
      </c>
      <c r="IU5">
        <v>5</v>
      </c>
      <c r="IV5">
        <v>23</v>
      </c>
      <c r="IW5">
        <v>9</v>
      </c>
      <c r="IX5" s="18">
        <f>0.1+0.13*2+0.05+0.25*2</f>
        <v>0.90999999999999992</v>
      </c>
      <c r="IY5">
        <v>3</v>
      </c>
      <c r="IZ5">
        <v>28</v>
      </c>
      <c r="JA5">
        <v>12</v>
      </c>
      <c r="JB5">
        <f>0.76+0.57+0.38</f>
        <v>1.71</v>
      </c>
      <c r="JC5">
        <v>5</v>
      </c>
      <c r="JD5">
        <v>52</v>
      </c>
      <c r="JE5">
        <v>25</v>
      </c>
      <c r="JF5">
        <f>0.25+0.32+1.13+0.13+0.38+0.38</f>
        <v>2.59</v>
      </c>
      <c r="JG5">
        <v>2</v>
      </c>
      <c r="JH5">
        <v>35</v>
      </c>
      <c r="JI5">
        <v>6</v>
      </c>
      <c r="JJ5">
        <f>0.13+0.23+0.13</f>
        <v>0.49</v>
      </c>
      <c r="JK5">
        <v>3</v>
      </c>
      <c r="JL5">
        <v>85</v>
      </c>
      <c r="JM5">
        <v>6</v>
      </c>
      <c r="JN5">
        <v>1.1299999999999999</v>
      </c>
      <c r="JO5">
        <v>2</v>
      </c>
      <c r="JP5">
        <v>0</v>
      </c>
      <c r="LA5" s="16">
        <v>1.19</v>
      </c>
      <c r="LB5" s="16">
        <v>1</v>
      </c>
      <c r="LC5" s="16">
        <v>1</v>
      </c>
      <c r="LD5" s="16"/>
      <c r="LE5" s="16">
        <f>0.63*2+0.35*2+0.35*3</f>
        <v>3.01</v>
      </c>
      <c r="LF5" s="16">
        <v>2</v>
      </c>
      <c r="LG5" s="16"/>
      <c r="LH5" s="16">
        <f>0.35*3+0.13+1.13+0.32+0.25+0.38*2</f>
        <v>3.6399999999999997</v>
      </c>
      <c r="LI5" s="16"/>
      <c r="LJ5" s="16"/>
      <c r="LK5" s="16"/>
      <c r="LL5" s="16">
        <v>6.47</v>
      </c>
      <c r="LM5" s="16">
        <v>8.4700000000000006</v>
      </c>
      <c r="LN5" s="16"/>
      <c r="LO5" s="16"/>
      <c r="LP5" s="16">
        <v>0.84</v>
      </c>
      <c r="LQ5" s="16">
        <v>0</v>
      </c>
      <c r="LR5" s="16">
        <v>0.03</v>
      </c>
      <c r="LS5">
        <v>23</v>
      </c>
      <c r="LT5" t="s">
        <v>208</v>
      </c>
      <c r="LU5">
        <v>40.5</v>
      </c>
      <c r="LV5" s="16">
        <v>89.3</v>
      </c>
      <c r="LW5" s="16">
        <v>571.19000000000005</v>
      </c>
      <c r="LX5" s="16">
        <v>28.5</v>
      </c>
      <c r="LY5">
        <v>60.03</v>
      </c>
      <c r="LZ5">
        <v>0</v>
      </c>
      <c r="MB5">
        <v>10.84</v>
      </c>
      <c r="MC5">
        <v>3.37</v>
      </c>
      <c r="MD5">
        <v>0</v>
      </c>
      <c r="ME5">
        <v>10.43</v>
      </c>
      <c r="MF5">
        <v>0.95</v>
      </c>
      <c r="MG5">
        <v>0</v>
      </c>
      <c r="MH5">
        <v>4.54</v>
      </c>
      <c r="MI5">
        <v>0</v>
      </c>
      <c r="MJ5">
        <v>8.86</v>
      </c>
      <c r="MK5">
        <v>38.840000000000003</v>
      </c>
      <c r="ML5">
        <v>11.38</v>
      </c>
      <c r="MM5">
        <v>1.42</v>
      </c>
      <c r="MN5">
        <v>8.9499999999999993</v>
      </c>
      <c r="MO5">
        <v>0.4</v>
      </c>
      <c r="MP5">
        <v>3</v>
      </c>
      <c r="MQ5">
        <v>5</v>
      </c>
      <c r="MR5">
        <v>5</v>
      </c>
      <c r="NC5">
        <v>2.6</v>
      </c>
      <c r="ND5">
        <v>1</v>
      </c>
      <c r="NE5">
        <v>68</v>
      </c>
      <c r="NF5">
        <v>7</v>
      </c>
      <c r="NG5">
        <f>0.25*2+0.37</f>
        <v>0.87</v>
      </c>
      <c r="NH5">
        <v>1</v>
      </c>
      <c r="NI5">
        <v>23</v>
      </c>
      <c r="NJ5">
        <v>13</v>
      </c>
      <c r="NK5">
        <f>0.08*3+0.13*2+0.08+0.25*2+0.38</f>
        <v>1.46</v>
      </c>
      <c r="NL5">
        <v>3</v>
      </c>
      <c r="NM5">
        <v>28</v>
      </c>
      <c r="NN5">
        <v>12</v>
      </c>
      <c r="NO5" s="18">
        <f>0.76+0.57+0.38</f>
        <v>1.71</v>
      </c>
      <c r="NP5">
        <v>5</v>
      </c>
      <c r="NQ5">
        <v>52</v>
      </c>
      <c r="NR5">
        <v>22</v>
      </c>
      <c r="NS5">
        <f>1.13+0.13+0.32+0.25+0.38</f>
        <v>2.21</v>
      </c>
      <c r="NT5">
        <v>2</v>
      </c>
      <c r="NU5">
        <v>35</v>
      </c>
      <c r="NV5">
        <v>6</v>
      </c>
      <c r="NW5">
        <f>0.13*2+0.23</f>
        <v>0.49</v>
      </c>
      <c r="NX5">
        <v>3</v>
      </c>
      <c r="NY5">
        <v>85</v>
      </c>
      <c r="NZ5">
        <v>6</v>
      </c>
      <c r="OA5">
        <v>1.1299999999999999</v>
      </c>
      <c r="OB5">
        <v>2</v>
      </c>
      <c r="OG5">
        <v>0</v>
      </c>
      <c r="PR5" s="16">
        <v>1.19</v>
      </c>
      <c r="PS5" s="16">
        <v>1</v>
      </c>
      <c r="PT5" s="16">
        <v>1</v>
      </c>
      <c r="PU5" s="16"/>
      <c r="PV5" s="16">
        <f>0.63*2+0.35*2+0.35*3</f>
        <v>3.01</v>
      </c>
      <c r="PW5" s="16">
        <v>3</v>
      </c>
      <c r="PX5" s="16"/>
      <c r="PY5" s="16">
        <f>0.35*3+0.13+1.13+0.32+0.25+0.38*2</f>
        <v>3.6399999999999997</v>
      </c>
      <c r="PZ5" s="16"/>
      <c r="QA5" s="16"/>
      <c r="QB5" s="16"/>
      <c r="QC5" s="16">
        <v>6.62</v>
      </c>
      <c r="QD5" s="16">
        <v>8.83</v>
      </c>
      <c r="QE5" s="16"/>
      <c r="QF5" s="16"/>
      <c r="QG5" s="16">
        <v>0.84</v>
      </c>
      <c r="QH5" s="16">
        <v>0</v>
      </c>
      <c r="QI5" s="16">
        <v>0.03</v>
      </c>
      <c r="QJ5">
        <v>23</v>
      </c>
      <c r="QK5" t="s">
        <v>209</v>
      </c>
      <c r="QL5">
        <v>37.5</v>
      </c>
      <c r="QM5" s="16">
        <v>83.5</v>
      </c>
      <c r="QN5" s="16">
        <v>571.19000000000005</v>
      </c>
      <c r="QO5" s="16">
        <v>32.299999999999997</v>
      </c>
      <c r="QP5">
        <v>64.31</v>
      </c>
      <c r="QQ5">
        <v>0</v>
      </c>
      <c r="QR5">
        <v>22.4</v>
      </c>
      <c r="QS5">
        <v>0.76</v>
      </c>
      <c r="QT5">
        <v>12.53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7.66</v>
      </c>
      <c r="RB5">
        <v>29.92</v>
      </c>
      <c r="RC5">
        <v>27.37</v>
      </c>
      <c r="RD5">
        <v>0</v>
      </c>
      <c r="RE5">
        <v>0</v>
      </c>
      <c r="RF5">
        <v>0</v>
      </c>
      <c r="RG5">
        <v>0</v>
      </c>
      <c r="RT5">
        <v>0.8</v>
      </c>
      <c r="RU5">
        <v>1</v>
      </c>
      <c r="RV5">
        <v>68</v>
      </c>
      <c r="RW5">
        <v>1</v>
      </c>
      <c r="RX5">
        <v>0.13</v>
      </c>
      <c r="RY5">
        <v>1</v>
      </c>
      <c r="RZ5">
        <v>34</v>
      </c>
      <c r="SA5">
        <f>5*4+4+2+4+4+2+4+4+1+4+4+2</f>
        <v>55</v>
      </c>
      <c r="SB5">
        <f>0.13*4+0.2+0.05+0.2+0.15+0.13+0.05+0.05+0.25</f>
        <v>1.6</v>
      </c>
      <c r="SC5">
        <v>1</v>
      </c>
      <c r="SD5">
        <v>35</v>
      </c>
      <c r="SE5">
        <v>1</v>
      </c>
      <c r="SF5" s="18">
        <v>0.25</v>
      </c>
      <c r="SG5">
        <v>3</v>
      </c>
      <c r="SX5">
        <v>1</v>
      </c>
      <c r="SY5">
        <v>40</v>
      </c>
      <c r="SZ5">
        <v>14</v>
      </c>
      <c r="TA5">
        <f>0.25+0.19*2</f>
        <v>0.63</v>
      </c>
      <c r="TB5">
        <v>1</v>
      </c>
      <c r="UI5" s="16">
        <v>0.09</v>
      </c>
      <c r="UJ5" s="16">
        <v>1</v>
      </c>
      <c r="UK5" s="16">
        <v>1</v>
      </c>
      <c r="UL5" s="16"/>
      <c r="UM5" s="16">
        <f>0.1+0.35*3+1.4</f>
        <v>2.5499999999999998</v>
      </c>
      <c r="UN5" s="16"/>
      <c r="UO5" s="16"/>
      <c r="UP5" s="16"/>
      <c r="UQ5" s="16"/>
      <c r="UR5" s="16"/>
      <c r="US5" s="16"/>
      <c r="UT5" s="16">
        <v>3.96</v>
      </c>
      <c r="UU5" s="16">
        <v>3.96</v>
      </c>
      <c r="UV5" s="16"/>
      <c r="UW5" s="16"/>
      <c r="UX5" s="16">
        <v>0</v>
      </c>
      <c r="UY5" s="16">
        <v>0</v>
      </c>
      <c r="UZ5" s="16">
        <v>0</v>
      </c>
      <c r="VA5">
        <v>0</v>
      </c>
      <c r="VB5" t="s">
        <v>210</v>
      </c>
      <c r="VC5">
        <v>57</v>
      </c>
      <c r="VD5" s="16">
        <v>75.099999999999994</v>
      </c>
      <c r="VE5" s="16">
        <v>571.19000000000005</v>
      </c>
      <c r="VF5" s="16">
        <v>41.5</v>
      </c>
      <c r="VG5">
        <v>50.65</v>
      </c>
      <c r="VH5">
        <v>0</v>
      </c>
      <c r="VI5">
        <v>8.23</v>
      </c>
      <c r="VJ5">
        <v>0.38</v>
      </c>
      <c r="VK5">
        <v>40.26</v>
      </c>
      <c r="VL5">
        <v>0</v>
      </c>
      <c r="VM5">
        <v>0.47</v>
      </c>
      <c r="VN5">
        <v>0.13</v>
      </c>
      <c r="VO5">
        <v>0</v>
      </c>
      <c r="VP5">
        <v>0</v>
      </c>
      <c r="VQ5">
        <v>0</v>
      </c>
      <c r="VR5">
        <v>32.29</v>
      </c>
      <c r="VS5">
        <v>9.33</v>
      </c>
      <c r="VT5">
        <v>21.84</v>
      </c>
      <c r="VU5">
        <v>1.76</v>
      </c>
      <c r="VV5">
        <v>0</v>
      </c>
      <c r="VW5">
        <v>3.7</v>
      </c>
      <c r="VX5">
        <v>1</v>
      </c>
      <c r="VY5">
        <v>3</v>
      </c>
      <c r="WA5">
        <v>1</v>
      </c>
      <c r="WB5">
        <v>3</v>
      </c>
      <c r="WC5">
        <v>3</v>
      </c>
      <c r="WK5">
        <v>3.7</v>
      </c>
      <c r="WL5">
        <v>0</v>
      </c>
      <c r="WM5">
        <v>23</v>
      </c>
      <c r="WN5">
        <v>9</v>
      </c>
      <c r="WO5">
        <f>0.13+0.25+0.5+0.25</f>
        <v>1.1299999999999999</v>
      </c>
      <c r="WP5">
        <v>3</v>
      </c>
      <c r="WQ5">
        <v>28</v>
      </c>
      <c r="WR5">
        <v>13</v>
      </c>
      <c r="WS5" s="18">
        <f>0.63+0.5</f>
        <v>1.1299999999999999</v>
      </c>
      <c r="WT5">
        <v>5</v>
      </c>
      <c r="WW5" s="18"/>
      <c r="XO5">
        <v>1</v>
      </c>
      <c r="XP5">
        <v>60</v>
      </c>
      <c r="XQ5">
        <v>7</v>
      </c>
      <c r="XR5">
        <f>0.76+0.13</f>
        <v>0.89</v>
      </c>
      <c r="XS5">
        <v>3</v>
      </c>
      <c r="XT5">
        <v>40</v>
      </c>
      <c r="XU5">
        <v>3</v>
      </c>
      <c r="XV5">
        <f>0.06+0.38+0.01</f>
        <v>0.45</v>
      </c>
      <c r="XW5">
        <v>1</v>
      </c>
      <c r="XX5">
        <v>40</v>
      </c>
      <c r="XY5">
        <v>1</v>
      </c>
      <c r="XZ5">
        <v>0.16</v>
      </c>
      <c r="YA5">
        <v>4</v>
      </c>
      <c r="YB5">
        <v>70</v>
      </c>
      <c r="YC5">
        <v>12</v>
      </c>
      <c r="YD5">
        <v>0.76</v>
      </c>
      <c r="YE5">
        <v>2</v>
      </c>
      <c r="YF5">
        <v>60</v>
      </c>
      <c r="YG5">
        <v>12</v>
      </c>
      <c r="YH5">
        <v>1.5</v>
      </c>
      <c r="YI5">
        <v>2</v>
      </c>
      <c r="YZ5" s="16">
        <v>4.38</v>
      </c>
      <c r="ZA5" s="16">
        <v>1</v>
      </c>
      <c r="ZB5" s="16">
        <v>1</v>
      </c>
      <c r="ZC5" s="16"/>
      <c r="ZD5" s="16">
        <f>0.5+0.76+0.25+0.13+0.35*2</f>
        <v>2.34</v>
      </c>
      <c r="ZE5" s="16">
        <v>2</v>
      </c>
      <c r="ZF5" s="16"/>
      <c r="ZG5" s="16">
        <f>0.5+0.38+0.13+0.06+0.2+0.38*2+0.76+1.89+0.25+0.38*2+0.76+1.89</f>
        <v>8.34</v>
      </c>
      <c r="ZH5" s="16">
        <v>3</v>
      </c>
      <c r="ZI5" s="16"/>
      <c r="ZJ5" s="16">
        <f>0.32+0.38+0.76</f>
        <v>1.46</v>
      </c>
      <c r="ZK5" s="16">
        <v>4</v>
      </c>
      <c r="ZL5" s="16">
        <v>4.67</v>
      </c>
      <c r="ZM5" s="16"/>
      <c r="ZN5" s="16"/>
      <c r="ZO5" s="16">
        <v>0.84</v>
      </c>
      <c r="ZP5" s="16">
        <v>0</v>
      </c>
      <c r="ZQ5" s="16">
        <v>0</v>
      </c>
      <c r="ZR5">
        <v>1</v>
      </c>
      <c r="ZS5" t="s">
        <v>211</v>
      </c>
      <c r="ZT5">
        <v>46</v>
      </c>
      <c r="ZU5" s="16">
        <v>62.8</v>
      </c>
      <c r="ZV5" s="16">
        <v>571.19000000000005</v>
      </c>
      <c r="ZW5" s="16">
        <v>27.6</v>
      </c>
      <c r="ZX5">
        <v>70.61</v>
      </c>
      <c r="ZY5">
        <v>0</v>
      </c>
      <c r="ZZ5">
        <v>0.41</v>
      </c>
      <c r="AAA5">
        <v>0</v>
      </c>
      <c r="AAB5">
        <v>2.36</v>
      </c>
      <c r="AAC5">
        <v>0</v>
      </c>
      <c r="AAD5">
        <v>22.84</v>
      </c>
      <c r="AAE5">
        <v>12.53</v>
      </c>
      <c r="AAF5">
        <v>0</v>
      </c>
      <c r="AAG5">
        <v>2.4900000000000002</v>
      </c>
      <c r="AAH5">
        <v>0</v>
      </c>
      <c r="AAI5">
        <v>17.91</v>
      </c>
      <c r="AAJ5">
        <v>36.909999999999997</v>
      </c>
      <c r="AAK5">
        <v>9.58</v>
      </c>
      <c r="AAL5">
        <v>0.88</v>
      </c>
      <c r="AAM5">
        <v>0</v>
      </c>
      <c r="AAN5">
        <v>7.5</v>
      </c>
      <c r="AAO5">
        <v>1</v>
      </c>
      <c r="AAP5">
        <v>5</v>
      </c>
      <c r="AAR5">
        <v>2</v>
      </c>
      <c r="ABB5">
        <v>2.1</v>
      </c>
      <c r="ABC5">
        <v>1</v>
      </c>
      <c r="ABD5">
        <v>52</v>
      </c>
      <c r="ABE5">
        <v>1</v>
      </c>
      <c r="ABF5">
        <v>0.13</v>
      </c>
      <c r="ABG5">
        <v>2</v>
      </c>
      <c r="ABH5">
        <v>37</v>
      </c>
      <c r="ABI5">
        <v>13</v>
      </c>
      <c r="ABJ5">
        <f>0.08+0.76+0.76</f>
        <v>1.6</v>
      </c>
      <c r="ABK5">
        <v>5</v>
      </c>
      <c r="ABL5">
        <v>28</v>
      </c>
      <c r="ABM5">
        <v>9</v>
      </c>
      <c r="ABN5">
        <f>0.38+0.12+0.99+0.25</f>
        <v>1.74</v>
      </c>
      <c r="ABO5">
        <v>5</v>
      </c>
      <c r="ACF5">
        <v>1</v>
      </c>
      <c r="ACG5">
        <v>100</v>
      </c>
      <c r="ACH5">
        <v>2</v>
      </c>
      <c r="ACI5">
        <v>0.17</v>
      </c>
      <c r="ACJ5">
        <v>3</v>
      </c>
      <c r="ADQ5" s="16">
        <v>1.1100000000000001</v>
      </c>
      <c r="ADR5" s="16">
        <v>1</v>
      </c>
      <c r="ADS5" s="16">
        <v>2</v>
      </c>
      <c r="ADT5" s="16"/>
      <c r="ADU5" s="16">
        <f>1.05+10.24+1.58+0.06+0.17+0.06+0.17+10.24+1.58+0.06*2+0.17*2</f>
        <v>25.61</v>
      </c>
      <c r="ADV5" s="16"/>
      <c r="ADW5" s="16"/>
      <c r="ADX5" s="16"/>
      <c r="ADY5" s="16"/>
      <c r="ADZ5" s="16"/>
      <c r="AEA5" s="16"/>
      <c r="AEB5" s="16">
        <v>6.68</v>
      </c>
      <c r="AEC5" s="16">
        <v>33.729999999999997</v>
      </c>
      <c r="AED5" s="16"/>
      <c r="AEE5" s="16"/>
      <c r="AEF5" s="16">
        <v>0.84</v>
      </c>
      <c r="AEG5" s="16">
        <v>0</v>
      </c>
      <c r="AEH5" s="16">
        <v>0.06</v>
      </c>
      <c r="AEI5">
        <v>2</v>
      </c>
      <c r="AEK5" s="15"/>
      <c r="AEL5" s="15"/>
      <c r="AES5" s="15"/>
      <c r="AET5" s="15"/>
      <c r="AFA5" s="15"/>
      <c r="AFB5" s="15"/>
      <c r="AFI5" s="15"/>
      <c r="AFJ5" s="15"/>
      <c r="AFQ5" s="15"/>
      <c r="AFR5" s="15"/>
      <c r="AFY5" s="15"/>
      <c r="AFZ5" s="15"/>
      <c r="AGG5" s="15"/>
      <c r="AGH5" s="15"/>
      <c r="AGO5" s="15"/>
      <c r="AGP5" s="15"/>
      <c r="AGW5" s="15"/>
      <c r="AGX5" s="15"/>
      <c r="AHE5" s="15"/>
      <c r="AHF5" s="15"/>
      <c r="AHM5" s="15"/>
      <c r="AHN5" s="15"/>
      <c r="AHU5" s="15"/>
      <c r="AHV5" s="15"/>
      <c r="AIC5" s="15"/>
      <c r="AID5" s="15"/>
      <c r="AIK5" s="15"/>
      <c r="AIL5" s="15"/>
      <c r="AIS5" s="15"/>
      <c r="AIT5" s="15"/>
      <c r="AJA5" s="15"/>
      <c r="AJB5" s="15"/>
      <c r="AJI5" s="15"/>
      <c r="AJJ5" s="15"/>
      <c r="AJQ5" s="15"/>
      <c r="AJR5" s="15"/>
      <c r="AJY5" s="15"/>
      <c r="AJZ5" s="15"/>
      <c r="AKG5" s="15"/>
      <c r="AKH5" s="15"/>
      <c r="AKO5" s="15"/>
      <c r="AKP5" s="15"/>
      <c r="AKW5" s="15"/>
      <c r="AKX5" s="15"/>
      <c r="ALE5" s="15"/>
      <c r="ALF5" s="15"/>
      <c r="ALM5" s="15"/>
      <c r="ALN5" s="15"/>
      <c r="ALU5" s="15"/>
      <c r="ALV5" s="15"/>
      <c r="AMC5" s="15"/>
      <c r="AMD5" s="15"/>
    </row>
    <row r="6" spans="1:1024" x14ac:dyDescent="0.2">
      <c r="A6" s="1" t="s">
        <v>212</v>
      </c>
      <c r="B6" s="12">
        <v>42892</v>
      </c>
      <c r="C6">
        <v>2</v>
      </c>
      <c r="D6" s="13">
        <v>35465</v>
      </c>
      <c r="E6" s="12">
        <v>27987</v>
      </c>
      <c r="F6" s="14">
        <f t="shared" si="0"/>
        <v>40.807665982203972</v>
      </c>
      <c r="G6" s="14">
        <f t="shared" si="1"/>
        <v>20.334017796030118</v>
      </c>
      <c r="H6" s="21" t="s">
        <v>181</v>
      </c>
      <c r="I6" s="21" t="s">
        <v>194</v>
      </c>
      <c r="J6" s="21" t="s">
        <v>183</v>
      </c>
      <c r="K6" s="21">
        <v>8</v>
      </c>
      <c r="L6" s="19">
        <v>83</v>
      </c>
      <c r="M6">
        <v>1.67</v>
      </c>
      <c r="N6" s="16">
        <f t="shared" si="2"/>
        <v>29.760837606224676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0</v>
      </c>
      <c r="AA6" s="19">
        <v>0</v>
      </c>
      <c r="AB6" s="19">
        <v>0</v>
      </c>
      <c r="AC6" s="19">
        <v>1</v>
      </c>
      <c r="AD6" s="19">
        <v>5</v>
      </c>
      <c r="AE6" s="19">
        <v>0</v>
      </c>
      <c r="AF6" s="19">
        <v>0</v>
      </c>
      <c r="AG6" s="19">
        <v>0</v>
      </c>
      <c r="AH6" s="19">
        <v>0</v>
      </c>
      <c r="AI6" s="19">
        <v>0</v>
      </c>
      <c r="AJ6" s="19">
        <v>0</v>
      </c>
      <c r="AK6" s="19">
        <v>0</v>
      </c>
      <c r="AL6" s="19">
        <v>0</v>
      </c>
      <c r="AM6" s="19">
        <v>0</v>
      </c>
      <c r="AN6" s="19">
        <v>0</v>
      </c>
      <c r="AO6" s="19">
        <v>0</v>
      </c>
      <c r="AP6" s="19">
        <v>0</v>
      </c>
      <c r="AQ6" s="19">
        <v>0</v>
      </c>
      <c r="AR6" s="19">
        <v>0</v>
      </c>
      <c r="AS6" s="19">
        <v>0</v>
      </c>
      <c r="AT6" s="19">
        <v>0</v>
      </c>
      <c r="AU6" s="19">
        <v>0</v>
      </c>
      <c r="AV6" s="19">
        <v>0</v>
      </c>
      <c r="AW6" s="19">
        <v>0</v>
      </c>
      <c r="AX6" s="19">
        <v>0</v>
      </c>
      <c r="AY6" s="19">
        <v>0</v>
      </c>
      <c r="AZ6" s="19">
        <v>0</v>
      </c>
      <c r="BA6" s="19">
        <v>0</v>
      </c>
      <c r="BB6" s="19">
        <v>1</v>
      </c>
      <c r="BC6" s="19">
        <v>1</v>
      </c>
      <c r="BD6" s="19"/>
      <c r="BE6" s="19"/>
      <c r="BF6" s="19">
        <v>0</v>
      </c>
      <c r="BG6" s="19">
        <v>0</v>
      </c>
      <c r="BH6" s="19"/>
      <c r="BI6" s="19"/>
      <c r="BJ6" s="19">
        <v>0</v>
      </c>
      <c r="BK6" s="19">
        <v>0</v>
      </c>
      <c r="BL6" s="19">
        <v>0</v>
      </c>
      <c r="BM6" s="19">
        <v>0</v>
      </c>
      <c r="BN6" s="19">
        <v>0</v>
      </c>
      <c r="BO6" s="19">
        <v>0</v>
      </c>
      <c r="BP6" s="19">
        <v>0</v>
      </c>
      <c r="BQ6" s="19">
        <v>0</v>
      </c>
      <c r="BR6" s="19">
        <v>3</v>
      </c>
      <c r="BS6" s="19">
        <v>2</v>
      </c>
      <c r="BT6" s="19">
        <v>5</v>
      </c>
      <c r="BU6" s="19">
        <v>5</v>
      </c>
      <c r="BV6" s="19">
        <v>5</v>
      </c>
      <c r="BW6" s="19">
        <v>5</v>
      </c>
      <c r="BX6" s="19">
        <v>4</v>
      </c>
      <c r="BY6" s="19">
        <v>5</v>
      </c>
      <c r="BZ6" s="19">
        <v>5</v>
      </c>
      <c r="CA6" s="19">
        <v>4</v>
      </c>
      <c r="CB6" s="19">
        <v>4</v>
      </c>
      <c r="CC6" s="19">
        <v>5</v>
      </c>
      <c r="CD6" s="19">
        <v>4</v>
      </c>
      <c r="CE6" s="19">
        <v>3</v>
      </c>
      <c r="CF6" s="19">
        <v>4</v>
      </c>
      <c r="CG6" s="19">
        <v>5</v>
      </c>
      <c r="CH6" s="19">
        <v>3</v>
      </c>
      <c r="CI6" s="19">
        <v>4</v>
      </c>
      <c r="CJ6" s="19">
        <v>3</v>
      </c>
      <c r="CK6" s="19">
        <v>10</v>
      </c>
      <c r="CL6" t="s">
        <v>196</v>
      </c>
      <c r="CM6">
        <v>39.5</v>
      </c>
      <c r="CN6" s="16">
        <v>89.8</v>
      </c>
      <c r="CO6" s="16">
        <v>80.400000000000006</v>
      </c>
      <c r="CP6" s="16">
        <v>5.0999999999999996</v>
      </c>
      <c r="CQ6">
        <v>100</v>
      </c>
      <c r="CR6" s="17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50.37</v>
      </c>
      <c r="DD6">
        <v>16.55</v>
      </c>
      <c r="DE6">
        <v>0.4</v>
      </c>
      <c r="DF6">
        <v>0</v>
      </c>
      <c r="DG6">
        <v>27.4</v>
      </c>
      <c r="DH6">
        <v>1</v>
      </c>
      <c r="DI6">
        <v>3</v>
      </c>
      <c r="DK6">
        <v>4</v>
      </c>
      <c r="DO6">
        <v>3</v>
      </c>
      <c r="DQ6">
        <v>4</v>
      </c>
      <c r="DU6">
        <v>0.1</v>
      </c>
      <c r="DV6">
        <v>1</v>
      </c>
      <c r="DW6">
        <v>34</v>
      </c>
      <c r="DX6">
        <v>9</v>
      </c>
      <c r="DY6">
        <f>(1.71*3)+(0.2*2)</f>
        <v>5.53</v>
      </c>
      <c r="DZ6">
        <v>1</v>
      </c>
      <c r="EA6">
        <v>35</v>
      </c>
      <c r="EB6">
        <v>1</v>
      </c>
      <c r="EC6" s="16">
        <v>0.02</v>
      </c>
      <c r="ED6">
        <v>3</v>
      </c>
      <c r="EG6" s="20"/>
      <c r="EY6">
        <v>0</v>
      </c>
      <c r="GJ6" s="16">
        <v>1.49</v>
      </c>
      <c r="GK6" s="16">
        <v>1</v>
      </c>
      <c r="GL6" s="16">
        <v>1</v>
      </c>
      <c r="GM6" s="16"/>
      <c r="GN6" s="16">
        <f>2.11+2.11+0.56+0.56</f>
        <v>5.34</v>
      </c>
      <c r="GO6" s="16"/>
      <c r="GP6" s="16"/>
      <c r="GQ6" s="16"/>
      <c r="GR6" s="16"/>
      <c r="GS6" s="16"/>
      <c r="GT6" s="16"/>
      <c r="GU6" s="16">
        <v>5.01</v>
      </c>
      <c r="GV6" s="16">
        <v>5.13</v>
      </c>
      <c r="GW6" s="16">
        <v>0</v>
      </c>
      <c r="GX6" s="16">
        <v>0</v>
      </c>
      <c r="GY6" s="16">
        <v>0</v>
      </c>
      <c r="GZ6" s="16">
        <v>0</v>
      </c>
      <c r="HA6" s="16">
        <v>0</v>
      </c>
      <c r="HB6">
        <v>0</v>
      </c>
      <c r="HC6" t="s">
        <v>197</v>
      </c>
      <c r="HD6">
        <v>49.5</v>
      </c>
      <c r="HE6" s="16">
        <v>90.1</v>
      </c>
      <c r="HF6" s="16">
        <v>80.400000000000006</v>
      </c>
      <c r="HG6" s="16">
        <v>9.9</v>
      </c>
      <c r="HH6">
        <v>94.62</v>
      </c>
      <c r="HI6" s="17">
        <v>0</v>
      </c>
      <c r="HJ6">
        <v>0.32</v>
      </c>
      <c r="HK6">
        <v>0</v>
      </c>
      <c r="HL6">
        <v>5.05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3.42</v>
      </c>
      <c r="HT6">
        <v>32.25</v>
      </c>
      <c r="HU6">
        <v>29.89</v>
      </c>
      <c r="HV6">
        <v>8.2799999999999994</v>
      </c>
      <c r="HW6">
        <v>0</v>
      </c>
      <c r="HX6">
        <v>12.9</v>
      </c>
      <c r="HY6">
        <v>1</v>
      </c>
      <c r="HZ6">
        <v>7</v>
      </c>
      <c r="IB6">
        <v>5</v>
      </c>
      <c r="IC6">
        <v>3</v>
      </c>
      <c r="IE6">
        <v>3</v>
      </c>
      <c r="IF6">
        <v>7</v>
      </c>
      <c r="IH6">
        <v>5</v>
      </c>
      <c r="II6">
        <v>3</v>
      </c>
      <c r="IK6">
        <v>3</v>
      </c>
      <c r="IL6">
        <v>16.600000000000001</v>
      </c>
      <c r="IM6">
        <v>1</v>
      </c>
      <c r="IN6">
        <v>68</v>
      </c>
      <c r="IO6">
        <v>6</v>
      </c>
      <c r="IP6">
        <v>0.21</v>
      </c>
      <c r="IQ6">
        <v>1</v>
      </c>
      <c r="IR6">
        <v>35</v>
      </c>
      <c r="IS6">
        <v>3</v>
      </c>
      <c r="IT6">
        <v>0.51</v>
      </c>
      <c r="IU6">
        <v>3</v>
      </c>
      <c r="IV6">
        <v>47</v>
      </c>
      <c r="IW6">
        <v>22</v>
      </c>
      <c r="IX6" s="20">
        <f>(0.43*3)+(0.07*4)+0.22</f>
        <v>1.79</v>
      </c>
      <c r="IY6">
        <v>3</v>
      </c>
      <c r="JP6">
        <v>1</v>
      </c>
      <c r="JQ6">
        <v>60</v>
      </c>
      <c r="JR6">
        <v>17</v>
      </c>
      <c r="JS6">
        <f>0.22+0.04+0.11+0.08+0.08+0.05</f>
        <v>0.58000000000000007</v>
      </c>
      <c r="JT6">
        <v>3</v>
      </c>
      <c r="JU6">
        <v>60</v>
      </c>
      <c r="JV6">
        <v>12</v>
      </c>
      <c r="JW6">
        <f>0.87+0.43+0.15+0.07</f>
        <v>1.52</v>
      </c>
      <c r="JX6">
        <v>1</v>
      </c>
      <c r="LA6" s="16">
        <v>2.4900000000000002</v>
      </c>
      <c r="LB6" s="16">
        <v>1</v>
      </c>
      <c r="LC6" s="16">
        <v>1</v>
      </c>
      <c r="LD6" s="16"/>
      <c r="LE6" s="16">
        <v>10.89</v>
      </c>
      <c r="LF6" s="16"/>
      <c r="LG6" s="16"/>
      <c r="LH6" s="16"/>
      <c r="LI6" s="16"/>
      <c r="LJ6" s="16"/>
      <c r="LK6" s="16"/>
      <c r="LL6" s="16">
        <v>4.17</v>
      </c>
      <c r="LM6" s="16">
        <v>3.7</v>
      </c>
      <c r="LN6" s="16">
        <v>0</v>
      </c>
      <c r="LO6" s="16">
        <v>0</v>
      </c>
      <c r="LP6" s="16">
        <v>0</v>
      </c>
      <c r="LQ6" s="16">
        <v>0</v>
      </c>
      <c r="LR6" s="16">
        <v>0</v>
      </c>
      <c r="LS6">
        <v>0</v>
      </c>
      <c r="LT6" t="s">
        <v>198</v>
      </c>
      <c r="LU6">
        <v>28.5</v>
      </c>
      <c r="LV6" s="16">
        <v>78.400000000000006</v>
      </c>
      <c r="LW6" s="16">
        <v>80.400000000000006</v>
      </c>
      <c r="LX6" s="16">
        <v>16</v>
      </c>
      <c r="LY6">
        <v>95.22</v>
      </c>
      <c r="LZ6" s="17">
        <v>0</v>
      </c>
      <c r="MA6">
        <v>4.2300000000000004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9.77</v>
      </c>
      <c r="MK6">
        <v>2.1800000000000002</v>
      </c>
      <c r="ML6">
        <v>46.81</v>
      </c>
      <c r="MM6">
        <v>10.57</v>
      </c>
      <c r="MN6">
        <v>0</v>
      </c>
      <c r="MO6">
        <v>0</v>
      </c>
      <c r="MP6">
        <v>0</v>
      </c>
      <c r="NC6">
        <v>0</v>
      </c>
      <c r="ND6">
        <v>0</v>
      </c>
      <c r="NO6" s="20"/>
      <c r="OG6">
        <v>0</v>
      </c>
      <c r="PR6" s="16">
        <v>4.2300000000000004</v>
      </c>
      <c r="PS6" s="16">
        <v>1</v>
      </c>
      <c r="PT6" s="16">
        <v>2</v>
      </c>
      <c r="PU6" s="16"/>
      <c r="PV6" s="16">
        <v>6.34</v>
      </c>
      <c r="PW6" s="16">
        <v>1</v>
      </c>
      <c r="PX6" s="16">
        <v>1</v>
      </c>
      <c r="PY6" s="16">
        <f>9.52+3.17+3.17+3.17+1.12+1.12+1.12</f>
        <v>22.390000000000004</v>
      </c>
      <c r="PZ6" s="16"/>
      <c r="QA6" s="16"/>
      <c r="QB6" s="16"/>
      <c r="QC6" s="16">
        <v>5.41</v>
      </c>
      <c r="QD6" s="16">
        <v>8.9600000000000009</v>
      </c>
      <c r="QE6" s="16">
        <v>0</v>
      </c>
      <c r="QF6" s="16">
        <v>0</v>
      </c>
      <c r="QG6" s="16">
        <v>0</v>
      </c>
      <c r="QH6" s="16">
        <v>0</v>
      </c>
      <c r="QI6" s="16">
        <v>0</v>
      </c>
      <c r="QJ6">
        <v>0</v>
      </c>
      <c r="QK6" t="s">
        <v>199</v>
      </c>
      <c r="QL6">
        <v>56.5</v>
      </c>
      <c r="QM6" s="16">
        <v>88.4</v>
      </c>
      <c r="QN6" s="16">
        <v>80.400000000000006</v>
      </c>
      <c r="QO6" s="16">
        <v>24.8</v>
      </c>
      <c r="QP6">
        <v>77.37</v>
      </c>
      <c r="QQ6" s="17">
        <v>0</v>
      </c>
      <c r="QR6">
        <v>7.99</v>
      </c>
      <c r="QS6">
        <v>0</v>
      </c>
      <c r="QT6">
        <v>14.63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8.0399999999999991</v>
      </c>
      <c r="RB6">
        <v>23.21</v>
      </c>
      <c r="RC6">
        <v>37.03</v>
      </c>
      <c r="RD6">
        <v>14.79</v>
      </c>
      <c r="RE6">
        <v>0</v>
      </c>
      <c r="RF6">
        <v>0</v>
      </c>
      <c r="RG6">
        <v>0</v>
      </c>
      <c r="RT6">
        <v>25.5</v>
      </c>
      <c r="RU6">
        <v>1</v>
      </c>
      <c r="RV6">
        <v>52</v>
      </c>
      <c r="RW6">
        <v>13</v>
      </c>
      <c r="RX6">
        <f>0.27+1.07+0.13+0.27</f>
        <v>1.7400000000000002</v>
      </c>
      <c r="RY6">
        <v>2</v>
      </c>
      <c r="RZ6">
        <v>35</v>
      </c>
      <c r="SA6">
        <v>3</v>
      </c>
      <c r="SB6">
        <f>0.13+0.08+0.24</f>
        <v>0.45</v>
      </c>
      <c r="SC6">
        <v>3</v>
      </c>
      <c r="SD6">
        <v>47</v>
      </c>
      <c r="SE6">
        <v>5</v>
      </c>
      <c r="SF6" s="20">
        <f>0.76+1.14+0.76+0.13+0.08</f>
        <v>2.87</v>
      </c>
      <c r="SG6">
        <v>3</v>
      </c>
      <c r="SX6">
        <v>0</v>
      </c>
      <c r="UI6" s="16">
        <v>2.59</v>
      </c>
      <c r="UJ6" s="16">
        <v>1</v>
      </c>
      <c r="UK6" s="16">
        <v>1</v>
      </c>
      <c r="UL6" s="16"/>
      <c r="UM6" s="16">
        <f>(2.11*4)+0.37</f>
        <v>8.8099999999999987</v>
      </c>
      <c r="UN6" s="16"/>
      <c r="UO6" s="16"/>
      <c r="UP6" s="16"/>
      <c r="UQ6" s="16"/>
      <c r="UR6" s="16"/>
      <c r="US6" s="16"/>
      <c r="UT6" s="16">
        <v>1.33</v>
      </c>
      <c r="UU6" s="16">
        <v>0.89</v>
      </c>
      <c r="UV6" s="16">
        <v>0</v>
      </c>
      <c r="UW6" s="16">
        <v>0</v>
      </c>
      <c r="UX6" s="16">
        <v>0</v>
      </c>
      <c r="UY6" s="16">
        <v>0</v>
      </c>
      <c r="UZ6" s="16">
        <v>0</v>
      </c>
      <c r="VA6">
        <v>0</v>
      </c>
      <c r="VB6" t="s">
        <v>200</v>
      </c>
      <c r="VC6">
        <v>28.5</v>
      </c>
      <c r="VD6" s="16">
        <v>69.400000000000006</v>
      </c>
      <c r="VE6" s="16">
        <v>80.400000000000006</v>
      </c>
      <c r="VF6" s="16">
        <v>9.8000000000000007</v>
      </c>
      <c r="VG6">
        <v>96.02</v>
      </c>
      <c r="VH6" s="17">
        <v>0</v>
      </c>
      <c r="VI6">
        <v>3.98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16.55</v>
      </c>
      <c r="VT6">
        <v>26.49</v>
      </c>
      <c r="VU6">
        <v>6.34</v>
      </c>
      <c r="VV6">
        <v>0</v>
      </c>
      <c r="VW6">
        <v>0</v>
      </c>
      <c r="VX6">
        <v>0</v>
      </c>
      <c r="WK6">
        <v>10.199999999999999</v>
      </c>
      <c r="WL6">
        <v>1</v>
      </c>
      <c r="WM6">
        <v>35</v>
      </c>
      <c r="WN6">
        <v>1</v>
      </c>
      <c r="WO6">
        <v>0.02</v>
      </c>
      <c r="WP6">
        <v>3</v>
      </c>
      <c r="WQ6">
        <v>70</v>
      </c>
      <c r="WR6">
        <v>2</v>
      </c>
      <c r="WS6">
        <v>0.27</v>
      </c>
      <c r="WT6">
        <v>3</v>
      </c>
      <c r="WW6" s="20"/>
      <c r="XO6">
        <v>1</v>
      </c>
      <c r="XP6">
        <v>50</v>
      </c>
      <c r="XQ6">
        <v>5</v>
      </c>
      <c r="XR6">
        <f>1.52+0.5+0.19+0.12</f>
        <v>2.33</v>
      </c>
      <c r="XS6">
        <v>3</v>
      </c>
      <c r="YZ6" s="16">
        <v>2.63</v>
      </c>
      <c r="ZA6" s="16">
        <v>1</v>
      </c>
      <c r="ZB6" s="16">
        <v>1</v>
      </c>
      <c r="ZC6" s="16"/>
      <c r="ZD6" s="16">
        <f>0.04+2.11+3.17+0.37+0.56</f>
        <v>6.25</v>
      </c>
      <c r="ZE6" s="16">
        <v>2</v>
      </c>
      <c r="ZF6" s="16"/>
      <c r="ZG6" s="16">
        <f>0.53+0.53+0.11+0.07+0.15</f>
        <v>1.3900000000000001</v>
      </c>
      <c r="ZH6" s="16"/>
      <c r="ZI6" s="16"/>
      <c r="ZJ6" s="16"/>
      <c r="ZK6" s="16">
        <v>3.33</v>
      </c>
      <c r="ZL6" s="16">
        <v>2.06</v>
      </c>
      <c r="ZM6" s="16">
        <v>0</v>
      </c>
      <c r="ZN6" s="16">
        <v>0</v>
      </c>
      <c r="ZO6" s="16">
        <v>0</v>
      </c>
      <c r="ZP6" s="16">
        <v>0</v>
      </c>
      <c r="ZQ6" s="16">
        <v>0</v>
      </c>
      <c r="ZR6">
        <v>0</v>
      </c>
      <c r="ZS6" t="s">
        <v>213</v>
      </c>
      <c r="ZT6">
        <v>49.5</v>
      </c>
      <c r="ZU6" s="16">
        <v>78.900000000000006</v>
      </c>
      <c r="ZV6" s="16">
        <v>80.400000000000006</v>
      </c>
      <c r="ZW6" s="16">
        <v>31.1</v>
      </c>
      <c r="ZX6">
        <v>22.13</v>
      </c>
      <c r="ZY6" s="17">
        <v>0</v>
      </c>
      <c r="ZZ6">
        <v>0</v>
      </c>
      <c r="AAA6">
        <v>0</v>
      </c>
      <c r="AAB6">
        <v>3.8</v>
      </c>
      <c r="AAC6">
        <v>0</v>
      </c>
      <c r="AAD6">
        <v>74.069999999999993</v>
      </c>
      <c r="AAE6">
        <v>28.31</v>
      </c>
      <c r="AAF6">
        <v>0</v>
      </c>
      <c r="AAG6">
        <v>0</v>
      </c>
      <c r="AAH6">
        <v>0</v>
      </c>
      <c r="AAI6">
        <v>8.07</v>
      </c>
      <c r="AAJ6">
        <v>1.71</v>
      </c>
      <c r="AAK6">
        <v>33.85</v>
      </c>
      <c r="AAL6">
        <v>17.12</v>
      </c>
      <c r="AAM6">
        <v>0</v>
      </c>
      <c r="AAN6">
        <v>0</v>
      </c>
      <c r="AAO6">
        <v>0</v>
      </c>
      <c r="ABB6">
        <v>3.4</v>
      </c>
      <c r="ABC6">
        <v>1</v>
      </c>
      <c r="ABD6">
        <v>34</v>
      </c>
      <c r="ABE6">
        <v>1</v>
      </c>
      <c r="ABF6">
        <v>1.6</v>
      </c>
      <c r="ABG6">
        <v>1</v>
      </c>
      <c r="ABH6">
        <v>68</v>
      </c>
      <c r="ABI6">
        <v>2</v>
      </c>
      <c r="ABJ6">
        <f>0.65+0.11</f>
        <v>0.76</v>
      </c>
      <c r="ABK6">
        <v>1</v>
      </c>
      <c r="ABL6">
        <v>52</v>
      </c>
      <c r="ABM6">
        <v>2</v>
      </c>
      <c r="ABN6" s="20">
        <f>1.33+0.34</f>
        <v>1.6700000000000002</v>
      </c>
      <c r="ABO6">
        <v>2</v>
      </c>
      <c r="ACF6">
        <v>0</v>
      </c>
      <c r="ADQ6" s="16">
        <v>0</v>
      </c>
      <c r="ADR6" s="16">
        <v>0</v>
      </c>
      <c r="ADS6" s="16"/>
      <c r="ADT6" s="16"/>
      <c r="ADU6" s="16"/>
      <c r="ADV6" s="16"/>
      <c r="ADW6" s="16"/>
      <c r="ADX6" s="16"/>
      <c r="ADY6" s="16"/>
      <c r="ADZ6" s="16"/>
      <c r="AEA6" s="16"/>
      <c r="AEB6" s="16">
        <v>5.13</v>
      </c>
      <c r="AEC6" s="16">
        <v>6.28</v>
      </c>
      <c r="AED6" s="16">
        <v>0</v>
      </c>
      <c r="AEE6" s="16">
        <v>0</v>
      </c>
      <c r="AEF6" s="16">
        <v>6.72</v>
      </c>
      <c r="AEG6" s="16">
        <v>0</v>
      </c>
      <c r="AEH6" s="16">
        <v>2.54</v>
      </c>
      <c r="AEI6">
        <v>2</v>
      </c>
      <c r="AEK6" s="15"/>
      <c r="AEL6" s="15"/>
      <c r="AES6" s="15"/>
      <c r="AET6" s="15"/>
      <c r="AFA6" s="15"/>
      <c r="AFB6" s="15"/>
      <c r="AFI6" s="15"/>
      <c r="AFJ6" s="15"/>
      <c r="AFQ6" s="15"/>
      <c r="AFR6" s="15"/>
      <c r="AFY6" s="15"/>
      <c r="AFZ6" s="15"/>
      <c r="AGG6" s="15"/>
      <c r="AGH6" s="15"/>
      <c r="AGO6" s="15"/>
      <c r="AGP6" s="15"/>
      <c r="AGW6" s="15"/>
      <c r="AGX6" s="15"/>
      <c r="AHE6" s="15"/>
      <c r="AHF6" s="15"/>
      <c r="AHM6" s="15"/>
      <c r="AHN6" s="15"/>
      <c r="AHU6" s="15"/>
      <c r="AHV6" s="15"/>
      <c r="AIC6" s="15"/>
      <c r="AID6" s="15"/>
      <c r="AIK6" s="15"/>
      <c r="AIL6" s="15"/>
      <c r="AIS6" s="15"/>
      <c r="AIT6" s="15"/>
      <c r="AJA6" s="15"/>
      <c r="AJB6" s="15"/>
      <c r="AJI6" s="15"/>
      <c r="AJJ6" s="15"/>
      <c r="AJQ6" s="15"/>
      <c r="AJR6" s="15"/>
      <c r="AJY6" s="15"/>
      <c r="AJZ6" s="15"/>
      <c r="AKG6" s="15"/>
      <c r="AKH6" s="15"/>
      <c r="AKO6" s="15"/>
      <c r="AKP6" s="15"/>
      <c r="AKW6" s="15"/>
      <c r="AKX6" s="15"/>
      <c r="ALE6" s="15"/>
      <c r="ALF6" s="15"/>
      <c r="ALM6" s="15"/>
      <c r="ALN6" s="15"/>
      <c r="ALU6" s="15"/>
      <c r="ALV6" s="15"/>
      <c r="AMC6" s="15"/>
      <c r="AMD6" s="15"/>
    </row>
    <row r="7" spans="1:1024" x14ac:dyDescent="0.2">
      <c r="A7" s="1" t="s">
        <v>214</v>
      </c>
      <c r="B7" s="12">
        <v>42892</v>
      </c>
      <c r="C7">
        <v>2</v>
      </c>
      <c r="D7" s="13">
        <v>34670</v>
      </c>
      <c r="E7" s="12">
        <v>24246</v>
      </c>
      <c r="F7" s="14">
        <f t="shared" si="0"/>
        <v>51.049965776865157</v>
      </c>
      <c r="G7" s="14">
        <f t="shared" si="1"/>
        <v>22.510609171800137</v>
      </c>
      <c r="H7" s="21" t="s">
        <v>181</v>
      </c>
      <c r="I7" s="21" t="s">
        <v>182</v>
      </c>
      <c r="J7" s="21" t="s">
        <v>181</v>
      </c>
      <c r="K7" s="21">
        <v>8</v>
      </c>
      <c r="L7" s="19">
        <v>89</v>
      </c>
      <c r="M7">
        <v>1.75</v>
      </c>
      <c r="N7" s="16">
        <f t="shared" si="2"/>
        <v>29.061224489795919</v>
      </c>
      <c r="O7" s="19">
        <v>0</v>
      </c>
      <c r="P7" s="19">
        <v>0</v>
      </c>
      <c r="Q7" s="19">
        <v>0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9">
        <v>0</v>
      </c>
      <c r="X7" s="19">
        <v>0</v>
      </c>
      <c r="Y7" s="19">
        <v>1</v>
      </c>
      <c r="Z7" s="19">
        <v>2</v>
      </c>
      <c r="AA7" s="19">
        <v>60</v>
      </c>
      <c r="AB7" s="19" t="s">
        <v>215</v>
      </c>
      <c r="AC7" s="19">
        <v>0</v>
      </c>
      <c r="AD7" s="19">
        <v>0</v>
      </c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>
        <v>5</v>
      </c>
      <c r="BS7" s="19">
        <v>3</v>
      </c>
      <c r="BT7" s="19">
        <v>5</v>
      </c>
      <c r="BU7" s="19">
        <v>5</v>
      </c>
      <c r="BV7" s="19">
        <v>3</v>
      </c>
      <c r="BW7" s="19">
        <v>3</v>
      </c>
      <c r="BX7" s="19">
        <v>3</v>
      </c>
      <c r="BY7" s="19">
        <v>5</v>
      </c>
      <c r="BZ7" s="19">
        <v>3</v>
      </c>
      <c r="CA7" s="19">
        <v>2</v>
      </c>
      <c r="CB7" s="19">
        <v>2</v>
      </c>
      <c r="CC7" s="19">
        <v>3</v>
      </c>
      <c r="CD7" s="19">
        <v>1</v>
      </c>
      <c r="CE7" s="19">
        <v>1</v>
      </c>
      <c r="CF7" s="19">
        <v>2</v>
      </c>
      <c r="CG7" s="19">
        <v>5</v>
      </c>
      <c r="CH7" s="19">
        <v>3</v>
      </c>
      <c r="CI7" s="19">
        <v>3</v>
      </c>
      <c r="CJ7" s="19">
        <v>3</v>
      </c>
      <c r="CK7" s="19">
        <v>8</v>
      </c>
      <c r="CL7" t="s">
        <v>185</v>
      </c>
      <c r="CM7">
        <v>21.5</v>
      </c>
      <c r="CN7" s="16">
        <v>54.9</v>
      </c>
      <c r="CO7" s="16">
        <v>80.400000000000006</v>
      </c>
      <c r="CP7" s="16">
        <v>17.899999999999999</v>
      </c>
      <c r="CQ7">
        <v>90.61</v>
      </c>
      <c r="CR7" s="17">
        <v>0</v>
      </c>
      <c r="CS7">
        <v>0</v>
      </c>
      <c r="CT7">
        <v>2.4500000000000002</v>
      </c>
      <c r="CU7">
        <v>6.94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12.16</v>
      </c>
      <c r="DC7">
        <v>24.45</v>
      </c>
      <c r="DD7">
        <v>4.8</v>
      </c>
      <c r="DE7">
        <v>5.1100000000000003</v>
      </c>
      <c r="DF7">
        <v>0</v>
      </c>
      <c r="DG7">
        <v>0</v>
      </c>
      <c r="DH7">
        <v>0</v>
      </c>
      <c r="DU7">
        <v>2.9</v>
      </c>
      <c r="DV7">
        <v>1</v>
      </c>
      <c r="DW7">
        <v>68</v>
      </c>
      <c r="DX7">
        <v>2</v>
      </c>
      <c r="DY7">
        <f>0.38+0.07</f>
        <v>0.45</v>
      </c>
      <c r="DZ7">
        <v>1</v>
      </c>
      <c r="EG7" s="18"/>
      <c r="EY7">
        <v>1</v>
      </c>
      <c r="EZ7">
        <v>40</v>
      </c>
      <c r="FA7">
        <v>1</v>
      </c>
      <c r="FB7">
        <v>0.06</v>
      </c>
      <c r="FC7">
        <v>1</v>
      </c>
      <c r="FD7">
        <v>60</v>
      </c>
      <c r="FE7">
        <v>1</v>
      </c>
      <c r="FF7">
        <v>0.11</v>
      </c>
      <c r="FG7">
        <v>1</v>
      </c>
      <c r="FH7">
        <v>40</v>
      </c>
      <c r="FI7">
        <v>1</v>
      </c>
      <c r="FJ7">
        <v>0.57999999999999996</v>
      </c>
      <c r="FK7">
        <v>6</v>
      </c>
      <c r="GJ7" s="16">
        <v>0</v>
      </c>
      <c r="GK7" s="16">
        <v>0</v>
      </c>
      <c r="GL7" s="16"/>
      <c r="GM7" s="16"/>
      <c r="GN7" s="16"/>
      <c r="GO7" s="16"/>
      <c r="GP7" s="16"/>
      <c r="GQ7" s="16"/>
      <c r="GR7" s="16"/>
      <c r="GS7" s="16"/>
      <c r="GT7" s="16"/>
      <c r="GU7" s="16">
        <v>0.67</v>
      </c>
      <c r="GV7" s="16">
        <v>0.65</v>
      </c>
      <c r="GW7" s="16"/>
      <c r="GX7" s="16"/>
      <c r="GY7" s="16">
        <v>0</v>
      </c>
      <c r="GZ7" s="16">
        <v>0</v>
      </c>
      <c r="HA7" s="16">
        <v>0</v>
      </c>
      <c r="HB7">
        <v>0</v>
      </c>
      <c r="HC7" t="s">
        <v>186</v>
      </c>
      <c r="HD7">
        <v>52.5</v>
      </c>
      <c r="HE7" s="16">
        <v>78.3</v>
      </c>
      <c r="HF7" s="16">
        <v>80.400000000000006</v>
      </c>
      <c r="HG7" s="16">
        <v>33.200000000000003</v>
      </c>
      <c r="HH7">
        <v>67.5</v>
      </c>
      <c r="HI7" s="17">
        <v>0</v>
      </c>
      <c r="HJ7">
        <v>21.37</v>
      </c>
      <c r="HK7">
        <v>0</v>
      </c>
      <c r="HL7">
        <v>3.99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5.93</v>
      </c>
      <c r="HU7">
        <v>42.2</v>
      </c>
      <c r="HV7">
        <v>15.97</v>
      </c>
      <c r="HW7">
        <v>7.14</v>
      </c>
      <c r="HX7">
        <v>0</v>
      </c>
      <c r="HY7">
        <v>0</v>
      </c>
      <c r="IL7">
        <v>1.7</v>
      </c>
      <c r="IM7">
        <v>1</v>
      </c>
      <c r="IN7">
        <v>34</v>
      </c>
      <c r="IO7">
        <v>5</v>
      </c>
      <c r="IP7">
        <v>0.21</v>
      </c>
      <c r="IQ7">
        <v>1</v>
      </c>
      <c r="IR7">
        <v>68</v>
      </c>
      <c r="IS7">
        <v>3</v>
      </c>
      <c r="IT7">
        <v>0.3</v>
      </c>
      <c r="IU7">
        <v>1</v>
      </c>
      <c r="IV7">
        <v>47</v>
      </c>
      <c r="IW7">
        <v>4</v>
      </c>
      <c r="IX7" s="18">
        <v>0.11</v>
      </c>
      <c r="IY7">
        <v>1</v>
      </c>
      <c r="IZ7">
        <v>35</v>
      </c>
      <c r="JA7">
        <v>2</v>
      </c>
      <c r="JB7">
        <v>0.1</v>
      </c>
      <c r="JC7">
        <v>1</v>
      </c>
      <c r="JP7">
        <v>0</v>
      </c>
      <c r="LA7" s="16">
        <v>1.04</v>
      </c>
      <c r="LB7" s="16">
        <v>1</v>
      </c>
      <c r="LC7" s="16">
        <v>1</v>
      </c>
      <c r="LD7" s="16"/>
      <c r="LE7" s="16">
        <f>3.74+3.17+0.1</f>
        <v>7.01</v>
      </c>
      <c r="LF7" s="16"/>
      <c r="LG7" s="16"/>
      <c r="LH7" s="16"/>
      <c r="LI7" s="16"/>
      <c r="LJ7" s="16"/>
      <c r="LK7" s="16"/>
      <c r="LL7" s="16">
        <v>8.9</v>
      </c>
      <c r="LM7" s="16">
        <v>9.7899999999999991</v>
      </c>
      <c r="LN7" s="16"/>
      <c r="LO7" s="16"/>
      <c r="LP7" s="16">
        <v>2.99</v>
      </c>
      <c r="LQ7" s="16">
        <v>4</v>
      </c>
      <c r="LR7" s="16">
        <v>3</v>
      </c>
      <c r="LS7">
        <v>0</v>
      </c>
      <c r="LT7" t="s">
        <v>187</v>
      </c>
      <c r="LU7">
        <v>53.5</v>
      </c>
      <c r="LV7" s="16">
        <v>73.5</v>
      </c>
      <c r="LW7" s="16">
        <v>80.400000000000006</v>
      </c>
      <c r="LX7" s="16">
        <v>26.1</v>
      </c>
      <c r="LY7">
        <v>78.89</v>
      </c>
      <c r="LZ7" s="17">
        <v>0</v>
      </c>
      <c r="MA7">
        <v>2.36</v>
      </c>
      <c r="MB7">
        <v>0</v>
      </c>
      <c r="MC7">
        <v>11.6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7.86</v>
      </c>
      <c r="MK7">
        <v>12.08</v>
      </c>
      <c r="ML7">
        <v>18.100000000000001</v>
      </c>
      <c r="MM7">
        <v>28.51</v>
      </c>
      <c r="MN7">
        <v>7.14</v>
      </c>
      <c r="MO7">
        <v>0</v>
      </c>
      <c r="MP7">
        <v>0</v>
      </c>
      <c r="NC7">
        <v>11.6</v>
      </c>
      <c r="ND7">
        <v>1</v>
      </c>
      <c r="NE7">
        <v>47</v>
      </c>
      <c r="NF7">
        <v>4</v>
      </c>
      <c r="NG7">
        <f>1.15+0.34</f>
        <v>1.49</v>
      </c>
      <c r="NH7">
        <v>3</v>
      </c>
      <c r="NO7" s="18"/>
      <c r="OG7">
        <v>1</v>
      </c>
      <c r="OH7">
        <v>50</v>
      </c>
      <c r="OI7">
        <v>1</v>
      </c>
      <c r="OJ7">
        <v>0.19</v>
      </c>
      <c r="OK7">
        <v>3</v>
      </c>
      <c r="PR7" s="16">
        <v>7.27</v>
      </c>
      <c r="PS7" s="16">
        <v>1</v>
      </c>
      <c r="PT7" s="16">
        <v>1</v>
      </c>
      <c r="PU7" s="16"/>
      <c r="PV7" s="16">
        <f>2.11*2+0.37*2</f>
        <v>4.96</v>
      </c>
      <c r="PW7" s="16">
        <v>3</v>
      </c>
      <c r="PX7" s="16"/>
      <c r="PY7" s="16">
        <f>1.44+0.72</f>
        <v>2.16</v>
      </c>
      <c r="PZ7" s="16"/>
      <c r="QA7" s="16"/>
      <c r="QB7" s="16"/>
      <c r="QC7" s="16">
        <v>5.39</v>
      </c>
      <c r="QD7" s="16">
        <v>8.11</v>
      </c>
      <c r="QE7" s="16"/>
      <c r="QF7" s="16"/>
      <c r="QG7" s="16">
        <v>0</v>
      </c>
      <c r="QH7" s="16">
        <v>0</v>
      </c>
      <c r="QI7" s="16">
        <v>3</v>
      </c>
      <c r="QJ7">
        <v>0</v>
      </c>
      <c r="QK7" t="s">
        <v>188</v>
      </c>
      <c r="QL7">
        <v>40</v>
      </c>
      <c r="QM7" s="16">
        <v>84.1</v>
      </c>
      <c r="QN7" s="16">
        <v>80.400000000000006</v>
      </c>
      <c r="QO7" s="16">
        <v>35.1</v>
      </c>
      <c r="QP7">
        <v>66.11</v>
      </c>
      <c r="QQ7" s="17">
        <v>0</v>
      </c>
      <c r="QR7">
        <v>13.11</v>
      </c>
      <c r="QS7">
        <v>6.27</v>
      </c>
      <c r="QT7">
        <v>8.02</v>
      </c>
      <c r="QU7">
        <v>0</v>
      </c>
      <c r="QV7">
        <v>6.47</v>
      </c>
      <c r="QW7">
        <v>2.85</v>
      </c>
      <c r="QX7">
        <v>3.1</v>
      </c>
      <c r="QY7">
        <v>0</v>
      </c>
      <c r="QZ7">
        <v>0</v>
      </c>
      <c r="RA7">
        <v>10.49</v>
      </c>
      <c r="RB7">
        <v>26.72</v>
      </c>
      <c r="RC7">
        <v>13.38</v>
      </c>
      <c r="RD7">
        <v>10.67</v>
      </c>
      <c r="RE7">
        <v>0</v>
      </c>
      <c r="RF7">
        <v>0</v>
      </c>
      <c r="RG7">
        <v>0</v>
      </c>
      <c r="RT7">
        <v>3.9</v>
      </c>
      <c r="RU7">
        <v>1</v>
      </c>
      <c r="RV7">
        <v>68</v>
      </c>
      <c r="RW7">
        <v>4</v>
      </c>
      <c r="RX7">
        <f>1.9+0.34</f>
        <v>2.2399999999999998</v>
      </c>
      <c r="RY7">
        <v>1</v>
      </c>
      <c r="RZ7">
        <v>34</v>
      </c>
      <c r="SA7">
        <v>8</v>
      </c>
      <c r="SB7">
        <v>0.27</v>
      </c>
      <c r="SC7">
        <v>1</v>
      </c>
      <c r="SF7" s="18"/>
      <c r="SX7">
        <v>1</v>
      </c>
      <c r="SY7">
        <v>50</v>
      </c>
      <c r="SZ7">
        <v>4</v>
      </c>
      <c r="TA7">
        <f>1.52*2</f>
        <v>3.04</v>
      </c>
      <c r="TB7">
        <v>3</v>
      </c>
      <c r="UI7" s="16">
        <v>0.04</v>
      </c>
      <c r="UJ7" s="16">
        <v>1</v>
      </c>
      <c r="UK7" s="16">
        <v>1</v>
      </c>
      <c r="UL7" s="16"/>
      <c r="UM7" s="16">
        <f>0.3</f>
        <v>0.3</v>
      </c>
      <c r="UN7" s="16"/>
      <c r="UO7" s="16"/>
      <c r="UP7" s="16"/>
      <c r="UQ7" s="16"/>
      <c r="UR7" s="16"/>
      <c r="US7" s="16"/>
      <c r="UT7" s="16">
        <v>0.03</v>
      </c>
      <c r="UU7" s="16">
        <v>0.03</v>
      </c>
      <c r="UV7" s="16"/>
      <c r="UW7" s="16"/>
      <c r="UX7" s="16">
        <v>0</v>
      </c>
      <c r="UY7" s="16">
        <v>0</v>
      </c>
      <c r="UZ7" s="16">
        <v>0</v>
      </c>
      <c r="VA7">
        <v>0</v>
      </c>
      <c r="VB7" t="s">
        <v>189</v>
      </c>
      <c r="VC7">
        <v>31</v>
      </c>
      <c r="VD7" s="16">
        <v>80.2</v>
      </c>
      <c r="VE7" s="16">
        <v>80.400000000000006</v>
      </c>
      <c r="VF7" s="16">
        <v>6.5</v>
      </c>
      <c r="VG7">
        <v>99.3</v>
      </c>
      <c r="VH7" s="17">
        <v>0</v>
      </c>
      <c r="VI7">
        <v>0.7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31.92</v>
      </c>
      <c r="VT7">
        <v>23.7</v>
      </c>
      <c r="VU7">
        <v>1.95</v>
      </c>
      <c r="VV7">
        <v>0</v>
      </c>
      <c r="VW7">
        <v>18.7</v>
      </c>
      <c r="VX7">
        <v>4</v>
      </c>
      <c r="VY7">
        <v>49</v>
      </c>
      <c r="WA7">
        <v>1</v>
      </c>
      <c r="WE7">
        <v>49</v>
      </c>
      <c r="WG7">
        <v>1</v>
      </c>
      <c r="WK7">
        <v>0</v>
      </c>
      <c r="WL7">
        <v>0</v>
      </c>
      <c r="WW7" s="18"/>
      <c r="XO7">
        <v>0</v>
      </c>
      <c r="YZ7" s="16">
        <v>0</v>
      </c>
      <c r="ZA7" s="16">
        <v>0</v>
      </c>
      <c r="ZB7" s="16"/>
      <c r="ZC7" s="16"/>
      <c r="ZD7" s="16"/>
      <c r="ZE7" s="16"/>
      <c r="ZF7" s="16"/>
      <c r="ZG7" s="16"/>
      <c r="ZH7" s="16"/>
      <c r="ZI7" s="16"/>
      <c r="ZJ7" s="16"/>
      <c r="ZK7" s="16">
        <v>5.42</v>
      </c>
      <c r="ZL7" s="16">
        <v>6.61</v>
      </c>
      <c r="ZM7" s="16"/>
      <c r="ZN7" s="16"/>
      <c r="ZO7" s="16">
        <v>0</v>
      </c>
      <c r="ZP7" s="16">
        <v>0</v>
      </c>
      <c r="ZQ7" s="16">
        <v>0</v>
      </c>
      <c r="ZR7">
        <v>0</v>
      </c>
      <c r="ZS7" t="s">
        <v>190</v>
      </c>
      <c r="ZT7">
        <v>38.5</v>
      </c>
      <c r="ZU7" s="16">
        <v>92</v>
      </c>
      <c r="ZV7" s="16">
        <v>80.400000000000006</v>
      </c>
      <c r="ZW7" s="16">
        <v>11</v>
      </c>
      <c r="ZX7">
        <v>95.37</v>
      </c>
      <c r="ZY7" s="17">
        <v>0</v>
      </c>
      <c r="ZZ7">
        <v>4.63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2.85</v>
      </c>
      <c r="AAJ7">
        <v>16.149999999999999</v>
      </c>
      <c r="AAK7">
        <v>42.55</v>
      </c>
      <c r="AAL7">
        <v>4.63</v>
      </c>
      <c r="AAM7">
        <v>0</v>
      </c>
      <c r="AAN7">
        <v>5.7</v>
      </c>
      <c r="AAO7">
        <v>1</v>
      </c>
      <c r="AAP7">
        <v>3</v>
      </c>
      <c r="AAR7">
        <v>1</v>
      </c>
      <c r="AAV7">
        <v>3</v>
      </c>
      <c r="AAX7">
        <v>1</v>
      </c>
      <c r="ABB7">
        <v>4.8</v>
      </c>
      <c r="ABC7">
        <v>0</v>
      </c>
      <c r="ABN7" s="18"/>
      <c r="ACF7">
        <v>1</v>
      </c>
      <c r="ACG7">
        <v>70</v>
      </c>
      <c r="ACH7">
        <v>3</v>
      </c>
      <c r="ACI7">
        <f>14.97+0.86+0.7</f>
        <v>16.53</v>
      </c>
      <c r="ACJ7">
        <v>3</v>
      </c>
      <c r="ACK7">
        <v>60</v>
      </c>
      <c r="ACL7">
        <v>3</v>
      </c>
      <c r="ACM7">
        <f>3.02+0.97+0.6</f>
        <v>4.59</v>
      </c>
      <c r="ACN7">
        <v>3</v>
      </c>
      <c r="ADQ7" s="16">
        <v>2.82</v>
      </c>
      <c r="ADR7" s="16">
        <v>1</v>
      </c>
      <c r="ADS7" s="16">
        <v>1</v>
      </c>
      <c r="ADT7" s="16"/>
      <c r="ADU7" s="16">
        <f>0.93*2</f>
        <v>1.86</v>
      </c>
      <c r="ADV7" s="16">
        <v>2</v>
      </c>
      <c r="ADW7" s="16"/>
      <c r="ADX7" s="16">
        <f>9.6+1.93</f>
        <v>11.53</v>
      </c>
      <c r="ADY7" s="16"/>
      <c r="ADZ7" s="16"/>
      <c r="AEA7" s="16"/>
      <c r="AEB7" s="16">
        <v>13.91</v>
      </c>
      <c r="AEC7" s="16">
        <v>17.309999999999999</v>
      </c>
      <c r="AED7" s="16"/>
      <c r="AEE7" s="16"/>
      <c r="AEF7" s="16">
        <v>0</v>
      </c>
      <c r="AEG7" s="16">
        <v>0</v>
      </c>
      <c r="AEH7" s="16">
        <v>0</v>
      </c>
      <c r="AEI7">
        <v>0</v>
      </c>
      <c r="AEJ7" t="s">
        <v>191</v>
      </c>
      <c r="AEK7">
        <v>44</v>
      </c>
      <c r="AEL7" s="16">
        <v>75.8</v>
      </c>
      <c r="AEM7" s="16">
        <v>80.400000000000006</v>
      </c>
      <c r="AEN7" s="16">
        <v>12.2</v>
      </c>
      <c r="AEO7">
        <v>90.24</v>
      </c>
      <c r="AEP7" s="17">
        <v>0</v>
      </c>
      <c r="AEQ7">
        <v>6.27</v>
      </c>
      <c r="AER7">
        <v>0</v>
      </c>
      <c r="AES7">
        <v>3.49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24.37</v>
      </c>
      <c r="AFB7">
        <v>32.21</v>
      </c>
      <c r="AFC7">
        <v>3.56</v>
      </c>
      <c r="AFD7">
        <v>0</v>
      </c>
      <c r="AFE7">
        <v>0</v>
      </c>
      <c r="AFF7">
        <v>0</v>
      </c>
      <c r="AFS7">
        <v>20.3</v>
      </c>
      <c r="AFT7">
        <v>1</v>
      </c>
      <c r="AFU7">
        <v>30</v>
      </c>
      <c r="AFV7">
        <v>4</v>
      </c>
      <c r="AFW7">
        <v>3.01</v>
      </c>
      <c r="AFX7">
        <v>5</v>
      </c>
      <c r="AFY7">
        <v>68</v>
      </c>
      <c r="AFZ7">
        <v>2</v>
      </c>
      <c r="AGA7">
        <v>1.52</v>
      </c>
      <c r="AGB7">
        <v>1</v>
      </c>
      <c r="AGC7">
        <v>47</v>
      </c>
      <c r="AGD7">
        <v>1</v>
      </c>
      <c r="AGE7" s="18">
        <v>7.0000000000000007E-2</v>
      </c>
      <c r="AGF7">
        <v>3</v>
      </c>
      <c r="AGW7">
        <v>0</v>
      </c>
      <c r="AIH7" s="16">
        <v>1.88</v>
      </c>
      <c r="AII7" s="16">
        <v>1</v>
      </c>
      <c r="AIJ7" s="16">
        <v>2</v>
      </c>
      <c r="AIK7" s="16"/>
      <c r="AIL7" s="16">
        <v>4.18</v>
      </c>
      <c r="AIM7" s="16"/>
      <c r="AIN7" s="16"/>
      <c r="AIO7" s="16"/>
      <c r="AIP7" s="16"/>
      <c r="AIQ7" s="16"/>
      <c r="AIR7" s="16"/>
      <c r="AIS7" s="16">
        <v>7.15</v>
      </c>
      <c r="AIT7" s="16">
        <v>6.06</v>
      </c>
      <c r="AIU7" s="16"/>
      <c r="AIV7" s="16"/>
      <c r="AIW7" s="16">
        <v>0</v>
      </c>
      <c r="AIX7" s="16">
        <v>0</v>
      </c>
      <c r="AIY7" s="16">
        <v>0</v>
      </c>
      <c r="AIZ7">
        <v>0</v>
      </c>
      <c r="AJA7" t="s">
        <v>192</v>
      </c>
      <c r="AJB7">
        <v>47.5</v>
      </c>
      <c r="AJC7" s="16">
        <v>79.3</v>
      </c>
      <c r="AJD7" s="16">
        <v>80.400000000000006</v>
      </c>
      <c r="AJE7" s="16">
        <v>36.299999999999997</v>
      </c>
      <c r="AJF7">
        <v>66.23</v>
      </c>
      <c r="AJG7" s="17">
        <v>0</v>
      </c>
      <c r="AJH7">
        <v>33.770000000000003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38.369999999999997</v>
      </c>
      <c r="AJS7">
        <v>20.04</v>
      </c>
      <c r="AJT7">
        <v>11.21</v>
      </c>
      <c r="AJU7">
        <v>0</v>
      </c>
      <c r="AJV7">
        <v>0</v>
      </c>
      <c r="AJW7">
        <v>0</v>
      </c>
      <c r="AKJ7">
        <v>6.9</v>
      </c>
      <c r="AKK7">
        <v>1</v>
      </c>
      <c r="AKL7">
        <v>47</v>
      </c>
      <c r="AKM7">
        <v>3</v>
      </c>
      <c r="AKN7">
        <f>0.11+0.74+0.08</f>
        <v>0.92999999999999994</v>
      </c>
      <c r="AKO7">
        <v>3</v>
      </c>
      <c r="AKP7">
        <v>68</v>
      </c>
      <c r="AKQ7">
        <v>1</v>
      </c>
      <c r="AKR7">
        <v>0.76</v>
      </c>
      <c r="AKS7">
        <v>1</v>
      </c>
      <c r="AKV7" s="18"/>
      <c r="ALN7">
        <v>0</v>
      </c>
    </row>
    <row r="8" spans="1:1024" x14ac:dyDescent="0.2">
      <c r="A8" s="1" t="s">
        <v>216</v>
      </c>
      <c r="B8" s="12">
        <v>42886</v>
      </c>
      <c r="C8">
        <v>2</v>
      </c>
      <c r="D8" s="13">
        <v>34862</v>
      </c>
      <c r="E8" s="12">
        <v>27021</v>
      </c>
      <c r="F8" s="14">
        <f t="shared" si="0"/>
        <v>43.436002737850785</v>
      </c>
      <c r="G8" s="14">
        <f t="shared" si="1"/>
        <v>21.968514715947983</v>
      </c>
      <c r="H8" s="21" t="s">
        <v>217</v>
      </c>
      <c r="I8" s="21" t="s">
        <v>218</v>
      </c>
      <c r="J8" s="21" t="s">
        <v>181</v>
      </c>
      <c r="K8" s="21">
        <v>8</v>
      </c>
      <c r="L8" s="19">
        <v>80</v>
      </c>
      <c r="M8">
        <v>1.73</v>
      </c>
      <c r="N8" s="16">
        <f t="shared" si="2"/>
        <v>26.729927495071667</v>
      </c>
      <c r="O8" s="19">
        <v>0</v>
      </c>
      <c r="P8" s="19">
        <v>0</v>
      </c>
      <c r="Q8" s="19">
        <v>0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0</v>
      </c>
      <c r="X8" s="19">
        <v>0</v>
      </c>
      <c r="Y8" s="19">
        <v>0</v>
      </c>
      <c r="Z8" s="19">
        <v>0</v>
      </c>
      <c r="AA8" s="19">
        <v>0</v>
      </c>
      <c r="AB8" s="19">
        <v>0</v>
      </c>
      <c r="AC8" s="19">
        <v>0</v>
      </c>
      <c r="AD8" s="19">
        <v>0</v>
      </c>
      <c r="AE8" s="19">
        <v>1</v>
      </c>
      <c r="AF8" s="19">
        <v>0</v>
      </c>
      <c r="AG8" s="19">
        <v>0</v>
      </c>
      <c r="AH8" s="19">
        <v>0</v>
      </c>
      <c r="AI8" s="19">
        <v>1</v>
      </c>
      <c r="AJ8" s="19">
        <v>0</v>
      </c>
      <c r="AK8" s="19">
        <v>0</v>
      </c>
      <c r="AL8" s="19">
        <v>0</v>
      </c>
      <c r="AM8" s="19">
        <v>0</v>
      </c>
      <c r="AN8" s="19">
        <v>0</v>
      </c>
      <c r="AO8" s="19">
        <v>0</v>
      </c>
      <c r="AP8" s="19">
        <v>0</v>
      </c>
      <c r="AQ8" s="19">
        <v>0</v>
      </c>
      <c r="AR8" s="19">
        <v>0</v>
      </c>
      <c r="AS8" s="19">
        <v>3</v>
      </c>
      <c r="AT8" s="19">
        <v>3</v>
      </c>
      <c r="AU8" s="19">
        <v>0</v>
      </c>
      <c r="AV8" s="19">
        <v>0</v>
      </c>
      <c r="AW8" s="19">
        <v>0</v>
      </c>
      <c r="AX8" s="19">
        <v>0</v>
      </c>
      <c r="AY8" s="19">
        <v>0</v>
      </c>
      <c r="AZ8" s="19">
        <v>0</v>
      </c>
      <c r="BA8" s="19">
        <v>0</v>
      </c>
      <c r="BB8" s="19">
        <v>1</v>
      </c>
      <c r="BC8" s="19">
        <v>1</v>
      </c>
      <c r="BD8" s="19">
        <v>1</v>
      </c>
      <c r="BE8" s="19">
        <v>4</v>
      </c>
      <c r="BF8" s="19">
        <v>0</v>
      </c>
      <c r="BG8" s="19">
        <v>0</v>
      </c>
      <c r="BH8" s="19">
        <v>0</v>
      </c>
      <c r="BI8" s="19">
        <v>0</v>
      </c>
      <c r="BJ8" s="19">
        <v>0</v>
      </c>
      <c r="BK8" s="19">
        <v>0</v>
      </c>
      <c r="BL8" s="19">
        <v>0</v>
      </c>
      <c r="BM8" s="19">
        <v>0</v>
      </c>
      <c r="BN8" s="19">
        <v>0</v>
      </c>
      <c r="BO8" s="19">
        <v>0</v>
      </c>
      <c r="BP8" s="19">
        <v>0</v>
      </c>
      <c r="BQ8" s="19">
        <v>0</v>
      </c>
      <c r="BR8" s="19">
        <v>3</v>
      </c>
      <c r="BS8" s="19">
        <v>2</v>
      </c>
      <c r="BT8" s="19">
        <v>5</v>
      </c>
      <c r="BU8" s="19">
        <v>5</v>
      </c>
      <c r="BV8" s="19">
        <v>3</v>
      </c>
      <c r="BW8" s="19">
        <v>4</v>
      </c>
      <c r="BX8" s="19">
        <v>5</v>
      </c>
      <c r="BY8" s="19">
        <v>5</v>
      </c>
      <c r="BZ8" s="19">
        <v>3</v>
      </c>
      <c r="CA8" s="19">
        <v>3</v>
      </c>
      <c r="CB8" s="19">
        <v>4</v>
      </c>
      <c r="CC8" s="19">
        <v>5</v>
      </c>
      <c r="CD8" s="19">
        <v>5</v>
      </c>
      <c r="CE8" s="19">
        <v>3</v>
      </c>
      <c r="CF8" s="19">
        <v>3</v>
      </c>
      <c r="CG8" s="19">
        <v>4</v>
      </c>
      <c r="CH8" s="19">
        <v>3</v>
      </c>
      <c r="CI8" s="19">
        <v>4</v>
      </c>
      <c r="CJ8" s="19">
        <v>4</v>
      </c>
      <c r="CK8" s="19">
        <v>10</v>
      </c>
      <c r="CL8" t="s">
        <v>219</v>
      </c>
      <c r="CM8">
        <v>33.5</v>
      </c>
      <c r="CN8" s="16">
        <v>91.5</v>
      </c>
      <c r="CO8" s="16">
        <v>80.400000000000006</v>
      </c>
      <c r="CP8" s="16">
        <v>20</v>
      </c>
      <c r="CQ8">
        <v>84.58</v>
      </c>
      <c r="CR8" s="17">
        <v>0</v>
      </c>
      <c r="CS8">
        <v>15.42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13.79</v>
      </c>
      <c r="DD8">
        <v>2.67</v>
      </c>
      <c r="DE8">
        <v>11.54</v>
      </c>
      <c r="DF8">
        <v>0</v>
      </c>
      <c r="DG8">
        <v>12.3</v>
      </c>
      <c r="DH8">
        <v>2</v>
      </c>
      <c r="DI8">
        <v>5</v>
      </c>
      <c r="DJ8">
        <v>2</v>
      </c>
      <c r="DO8">
        <v>5</v>
      </c>
      <c r="DP8">
        <v>2</v>
      </c>
      <c r="DU8">
        <v>0</v>
      </c>
      <c r="DV8">
        <v>1</v>
      </c>
      <c r="DW8">
        <v>34</v>
      </c>
      <c r="DX8">
        <v>2</v>
      </c>
      <c r="DY8">
        <v>0.1</v>
      </c>
      <c r="DZ8">
        <v>1</v>
      </c>
      <c r="EA8">
        <v>10</v>
      </c>
      <c r="EB8">
        <f>8*4</f>
        <v>32</v>
      </c>
      <c r="EC8">
        <f>0.06+0.01+0.4+1.7+0.24+0.14+0.96</f>
        <v>3.5100000000000002</v>
      </c>
      <c r="ED8">
        <v>3</v>
      </c>
      <c r="EG8" s="18"/>
      <c r="EY8">
        <v>0</v>
      </c>
      <c r="GJ8" s="16">
        <v>0.25</v>
      </c>
      <c r="GK8" s="16">
        <v>1</v>
      </c>
      <c r="GL8" s="16">
        <v>2</v>
      </c>
      <c r="GM8" s="16"/>
      <c r="GN8" s="16">
        <v>0.55000000000000004</v>
      </c>
      <c r="GO8" s="16"/>
      <c r="GP8" s="16"/>
      <c r="GQ8" s="16"/>
      <c r="GR8" s="16"/>
      <c r="GS8" s="16"/>
      <c r="GT8" s="16"/>
      <c r="GU8" s="16">
        <v>0.55000000000000004</v>
      </c>
      <c r="GV8" s="16">
        <v>0.55000000000000004</v>
      </c>
      <c r="GW8" s="16"/>
      <c r="GX8" s="16"/>
      <c r="GY8" s="16">
        <v>0</v>
      </c>
      <c r="GZ8" s="16">
        <v>0</v>
      </c>
      <c r="HA8" s="16">
        <v>0</v>
      </c>
      <c r="HB8">
        <v>0</v>
      </c>
      <c r="HC8" t="s">
        <v>220</v>
      </c>
      <c r="HD8">
        <v>27</v>
      </c>
      <c r="HE8" s="16">
        <v>54.4</v>
      </c>
      <c r="HF8" s="16">
        <v>80.400000000000006</v>
      </c>
      <c r="HG8" s="16">
        <v>18.100000000000001</v>
      </c>
      <c r="HH8">
        <v>81.88</v>
      </c>
      <c r="HI8" s="17">
        <v>0</v>
      </c>
      <c r="HJ8">
        <v>9.83</v>
      </c>
      <c r="HK8">
        <v>0</v>
      </c>
      <c r="HL8">
        <v>2.14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2.3199999999999998</v>
      </c>
      <c r="HU8">
        <v>19.66</v>
      </c>
      <c r="HV8">
        <v>3.64</v>
      </c>
      <c r="HW8">
        <v>0</v>
      </c>
      <c r="HX8">
        <v>0</v>
      </c>
      <c r="HY8">
        <v>0</v>
      </c>
      <c r="IL8">
        <v>0</v>
      </c>
      <c r="IM8">
        <v>1</v>
      </c>
      <c r="IN8">
        <v>26</v>
      </c>
      <c r="IO8">
        <v>2</v>
      </c>
      <c r="IP8">
        <v>0.05</v>
      </c>
      <c r="IQ8">
        <v>2</v>
      </c>
      <c r="IX8" s="18"/>
      <c r="JP8">
        <v>0</v>
      </c>
      <c r="LA8" s="16">
        <v>2.1</v>
      </c>
      <c r="LB8" s="16">
        <v>1</v>
      </c>
      <c r="LC8" s="16">
        <v>1</v>
      </c>
      <c r="LD8" s="16"/>
      <c r="LE8" s="16">
        <f>0.1+0.76*2+2.02+1.35*2+0.67</f>
        <v>7.01</v>
      </c>
      <c r="LF8" s="16"/>
      <c r="LG8" s="16"/>
      <c r="LH8" s="16"/>
      <c r="LI8" s="16"/>
      <c r="LJ8" s="16"/>
      <c r="LK8" s="16"/>
      <c r="LL8" s="16">
        <v>6.35</v>
      </c>
      <c r="LM8" s="16">
        <v>14.8</v>
      </c>
      <c r="LN8" s="16"/>
      <c r="LO8" s="16"/>
      <c r="LP8" s="16">
        <v>0</v>
      </c>
      <c r="LQ8" s="16">
        <v>0</v>
      </c>
      <c r="LR8" s="16">
        <v>0</v>
      </c>
      <c r="LS8">
        <v>0</v>
      </c>
      <c r="LT8" t="s">
        <v>221</v>
      </c>
      <c r="LU8">
        <v>20.5</v>
      </c>
      <c r="LV8" s="16">
        <v>76.900000000000006</v>
      </c>
      <c r="LW8" s="16">
        <v>80.400000000000006</v>
      </c>
      <c r="LX8" s="16">
        <v>9.1</v>
      </c>
      <c r="LY8">
        <v>88.58</v>
      </c>
      <c r="LZ8">
        <v>10.3</v>
      </c>
      <c r="MA8">
        <v>1.1200000000000001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6.33</v>
      </c>
      <c r="ML8">
        <v>16.97</v>
      </c>
      <c r="MM8">
        <v>0</v>
      </c>
      <c r="MN8">
        <v>0</v>
      </c>
      <c r="MO8">
        <v>4.0999999999999996</v>
      </c>
      <c r="MP8">
        <v>2</v>
      </c>
      <c r="MQ8">
        <v>5</v>
      </c>
      <c r="MR8">
        <v>1</v>
      </c>
      <c r="MW8">
        <v>5</v>
      </c>
      <c r="MX8">
        <v>1</v>
      </c>
      <c r="NC8">
        <v>0</v>
      </c>
      <c r="ND8">
        <v>0</v>
      </c>
      <c r="NO8" s="18"/>
      <c r="OG8">
        <v>0</v>
      </c>
      <c r="PR8" s="16">
        <v>2.2400000000000002</v>
      </c>
      <c r="PS8" s="16">
        <v>1</v>
      </c>
      <c r="PT8" s="16">
        <v>2</v>
      </c>
      <c r="PU8" s="16"/>
      <c r="PV8" s="16">
        <v>4.97</v>
      </c>
      <c r="PW8" s="16"/>
      <c r="PX8" s="16"/>
      <c r="PY8" s="16"/>
      <c r="PZ8" s="16"/>
      <c r="QA8" s="16"/>
      <c r="QB8" s="16"/>
      <c r="QC8" s="16">
        <v>5.0999999999999996</v>
      </c>
      <c r="QD8" s="16">
        <v>5.97</v>
      </c>
      <c r="QE8" s="16"/>
      <c r="QF8" s="16"/>
      <c r="QG8" s="16">
        <v>0</v>
      </c>
      <c r="QH8" s="16">
        <v>0</v>
      </c>
      <c r="QI8" s="16">
        <v>0</v>
      </c>
      <c r="QJ8">
        <v>0</v>
      </c>
      <c r="QK8" t="s">
        <v>222</v>
      </c>
      <c r="QL8">
        <v>32.5</v>
      </c>
      <c r="QM8" s="16">
        <v>96.7</v>
      </c>
      <c r="QN8" s="16">
        <v>80.400000000000006</v>
      </c>
      <c r="QO8" s="16">
        <v>15.1</v>
      </c>
      <c r="QP8">
        <v>52.24</v>
      </c>
      <c r="QQ8">
        <v>45.43</v>
      </c>
      <c r="QR8">
        <v>1.1200000000000001</v>
      </c>
      <c r="QS8">
        <v>0</v>
      </c>
      <c r="QT8">
        <v>1.2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1.2</v>
      </c>
      <c r="RB8">
        <v>15.88</v>
      </c>
      <c r="RC8">
        <v>48.59</v>
      </c>
      <c r="RD8">
        <v>0</v>
      </c>
      <c r="RE8">
        <v>0</v>
      </c>
      <c r="RF8">
        <v>0</v>
      </c>
      <c r="RG8">
        <v>0</v>
      </c>
      <c r="RT8">
        <v>0</v>
      </c>
      <c r="RU8">
        <v>0</v>
      </c>
      <c r="SF8" s="18"/>
      <c r="SX8">
        <v>1</v>
      </c>
      <c r="SY8">
        <v>50</v>
      </c>
      <c r="SZ8">
        <v>2</v>
      </c>
      <c r="TA8">
        <f>3.18+12.73</f>
        <v>15.91</v>
      </c>
      <c r="TB8">
        <v>1</v>
      </c>
      <c r="UI8" s="16">
        <v>5.9</v>
      </c>
      <c r="UJ8" s="16">
        <v>1</v>
      </c>
      <c r="UK8" s="16">
        <v>2</v>
      </c>
      <c r="UL8" s="16"/>
      <c r="UM8" s="16">
        <f>0.09+0.18*3+0.13+0.53+1.07*2+1.34*2+0.17*2+3.18+12.73</f>
        <v>22.36</v>
      </c>
      <c r="UN8" s="16"/>
      <c r="UO8" s="16"/>
      <c r="UP8" s="16"/>
      <c r="UQ8" s="16"/>
      <c r="UR8" s="16"/>
      <c r="US8" s="16"/>
      <c r="UT8" s="16">
        <v>11.45</v>
      </c>
      <c r="UU8" s="16">
        <v>41.19</v>
      </c>
      <c r="UV8" s="16"/>
      <c r="UW8" s="16"/>
      <c r="UX8" s="16">
        <v>0</v>
      </c>
      <c r="UY8" s="16">
        <v>0</v>
      </c>
      <c r="UZ8" s="16">
        <v>0</v>
      </c>
      <c r="VA8">
        <v>0</v>
      </c>
      <c r="VB8" t="s">
        <v>223</v>
      </c>
      <c r="VC8">
        <v>30.5</v>
      </c>
      <c r="VD8" s="16">
        <v>68.8</v>
      </c>
      <c r="VE8" s="16">
        <v>80.400000000000006</v>
      </c>
      <c r="VF8" s="16">
        <v>16.3</v>
      </c>
      <c r="VG8">
        <v>66.28</v>
      </c>
      <c r="VH8">
        <v>20.09</v>
      </c>
      <c r="VI8">
        <v>1.81</v>
      </c>
      <c r="VJ8">
        <v>0</v>
      </c>
      <c r="VK8">
        <v>11.82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13.17</v>
      </c>
      <c r="VT8">
        <v>35.75</v>
      </c>
      <c r="VU8">
        <v>0</v>
      </c>
      <c r="VV8">
        <v>0</v>
      </c>
      <c r="VW8">
        <v>0</v>
      </c>
      <c r="VX8">
        <v>0</v>
      </c>
      <c r="WK8">
        <v>0</v>
      </c>
      <c r="WL8">
        <v>1</v>
      </c>
      <c r="WM8">
        <v>52</v>
      </c>
      <c r="WN8">
        <v>1</v>
      </c>
      <c r="WO8">
        <v>0.01</v>
      </c>
      <c r="WP8">
        <v>2</v>
      </c>
      <c r="WW8" s="18"/>
      <c r="XO8">
        <v>0</v>
      </c>
      <c r="YZ8" s="16">
        <v>5.43</v>
      </c>
      <c r="ZA8" s="16">
        <v>1</v>
      </c>
      <c r="ZB8" s="16">
        <v>1</v>
      </c>
      <c r="ZC8" s="16"/>
      <c r="ZD8" s="16">
        <f>0.09*2+0.07+1.36</f>
        <v>1.61</v>
      </c>
      <c r="ZE8" s="16">
        <v>2</v>
      </c>
      <c r="ZF8" s="16"/>
      <c r="ZG8" s="16">
        <f>4.2+0.09+0.66+0.01+3.18+3.18</f>
        <v>11.32</v>
      </c>
      <c r="ZH8" s="16"/>
      <c r="ZI8" s="16"/>
      <c r="ZJ8" s="16"/>
      <c r="ZK8" s="16">
        <v>8.61</v>
      </c>
      <c r="ZL8" s="16">
        <v>26.91</v>
      </c>
      <c r="ZM8" s="16"/>
      <c r="ZN8" s="16"/>
      <c r="ZO8" s="16">
        <v>0</v>
      </c>
      <c r="ZP8" s="16">
        <v>0</v>
      </c>
      <c r="ZQ8" s="16">
        <v>0</v>
      </c>
      <c r="ZR8">
        <v>0</v>
      </c>
      <c r="ZS8" t="s">
        <v>224</v>
      </c>
      <c r="ZT8">
        <v>39.5</v>
      </c>
      <c r="ZU8" s="16">
        <v>60.8</v>
      </c>
      <c r="ZV8" s="16">
        <v>80.400000000000006</v>
      </c>
      <c r="ZW8" s="16">
        <v>22.9</v>
      </c>
      <c r="ZX8">
        <v>67.010000000000005</v>
      </c>
      <c r="ZY8">
        <v>11.71</v>
      </c>
      <c r="ZZ8">
        <v>16.61</v>
      </c>
      <c r="AAA8">
        <v>0</v>
      </c>
      <c r="AAB8">
        <v>4.67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20.9</v>
      </c>
      <c r="AAK8">
        <v>25.23</v>
      </c>
      <c r="AAL8">
        <v>0.57999999999999996</v>
      </c>
      <c r="AAM8">
        <v>0</v>
      </c>
      <c r="AAN8">
        <v>0</v>
      </c>
      <c r="AAO8">
        <v>0</v>
      </c>
      <c r="ABB8">
        <v>2</v>
      </c>
      <c r="ABC8">
        <v>1</v>
      </c>
      <c r="ABD8">
        <v>103</v>
      </c>
      <c r="ABE8">
        <v>2</v>
      </c>
      <c r="ABF8">
        <f>0.18+0.14</f>
        <v>0.32</v>
      </c>
      <c r="ABG8">
        <v>1</v>
      </c>
      <c r="ABH8">
        <v>68</v>
      </c>
      <c r="ABI8">
        <v>1</v>
      </c>
      <c r="ABJ8">
        <v>0.01</v>
      </c>
      <c r="ABK8">
        <v>1</v>
      </c>
      <c r="ABL8">
        <v>52</v>
      </c>
      <c r="ABM8">
        <v>3</v>
      </c>
      <c r="ABN8" s="18">
        <v>0.05</v>
      </c>
      <c r="ABO8">
        <v>2</v>
      </c>
      <c r="ACF8">
        <v>0</v>
      </c>
      <c r="ADQ8" s="16">
        <v>3.66</v>
      </c>
      <c r="ADR8" s="16">
        <v>1</v>
      </c>
      <c r="ADS8" s="16">
        <v>1</v>
      </c>
      <c r="ADT8" s="16"/>
      <c r="ADU8" s="16">
        <f>2.69*3+1.35*3+0.14*2+0.1</f>
        <v>12.5</v>
      </c>
      <c r="ADV8" s="16">
        <v>2</v>
      </c>
      <c r="ADW8" s="16"/>
      <c r="ADX8" s="16">
        <f>0.66+0.35+0.18+0.14+1.25+1.23</f>
        <v>3.81</v>
      </c>
      <c r="ADY8" s="16"/>
      <c r="ADZ8" s="16"/>
      <c r="AEA8" s="16"/>
      <c r="AEB8" s="16">
        <v>10.050000000000001</v>
      </c>
      <c r="AEC8" s="16">
        <v>27.11</v>
      </c>
      <c r="AED8" s="16"/>
      <c r="AEE8" s="16"/>
      <c r="AEF8" s="16">
        <v>0</v>
      </c>
      <c r="AEG8" s="16">
        <v>0</v>
      </c>
      <c r="AEH8" s="16">
        <v>0</v>
      </c>
      <c r="AEI8">
        <v>0</v>
      </c>
      <c r="AEJ8" t="s">
        <v>225</v>
      </c>
      <c r="AEK8">
        <v>47</v>
      </c>
      <c r="AEL8" s="16">
        <v>72.3</v>
      </c>
      <c r="AEM8" s="16">
        <v>80.400000000000006</v>
      </c>
      <c r="AEN8" s="16">
        <v>18</v>
      </c>
      <c r="AEO8">
        <v>70.55</v>
      </c>
      <c r="AEP8">
        <v>6.81</v>
      </c>
      <c r="AEQ8">
        <v>3.09</v>
      </c>
      <c r="AER8">
        <v>0</v>
      </c>
      <c r="AES8">
        <v>19.55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18.07</v>
      </c>
      <c r="AFB8">
        <v>30.57</v>
      </c>
      <c r="AFC8">
        <v>7.61</v>
      </c>
      <c r="AFD8">
        <v>0</v>
      </c>
      <c r="AFE8">
        <v>14</v>
      </c>
      <c r="AFF8">
        <v>2</v>
      </c>
      <c r="AFG8">
        <v>5</v>
      </c>
      <c r="AFH8">
        <v>4.47</v>
      </c>
      <c r="AFJ8">
        <v>7</v>
      </c>
      <c r="AFK8">
        <v>5.15</v>
      </c>
      <c r="AFM8">
        <v>5</v>
      </c>
      <c r="AFN8">
        <v>4.47</v>
      </c>
      <c r="AFP8">
        <v>7</v>
      </c>
      <c r="AFQ8">
        <v>5.15</v>
      </c>
      <c r="AFS8">
        <v>0</v>
      </c>
      <c r="AFT8">
        <v>0</v>
      </c>
      <c r="AGE8" s="18"/>
      <c r="AGW8">
        <v>0</v>
      </c>
      <c r="AIH8" s="16">
        <v>4.21</v>
      </c>
      <c r="AII8" s="16">
        <v>1</v>
      </c>
      <c r="AIJ8" s="16">
        <v>2</v>
      </c>
      <c r="AIK8" s="16"/>
      <c r="AIL8" s="16">
        <f>7.46+1.59+0.6</f>
        <v>9.65</v>
      </c>
      <c r="AIM8" s="16"/>
      <c r="AIN8" s="16"/>
      <c r="AIO8" s="16"/>
      <c r="AIP8" s="16"/>
      <c r="AIQ8" s="16"/>
      <c r="AIR8" s="16"/>
      <c r="AIS8" s="16">
        <v>10.63</v>
      </c>
      <c r="AIT8" s="16">
        <v>36.380000000000003</v>
      </c>
      <c r="AIU8" s="16"/>
      <c r="AIV8" s="16"/>
      <c r="AIW8" s="16">
        <v>0</v>
      </c>
      <c r="AIX8" s="16">
        <v>0</v>
      </c>
      <c r="AIY8" s="16">
        <v>0</v>
      </c>
      <c r="AIZ8">
        <v>0</v>
      </c>
      <c r="AJA8" t="s">
        <v>226</v>
      </c>
      <c r="AJB8">
        <v>19</v>
      </c>
      <c r="AJC8" s="16">
        <v>82.6</v>
      </c>
      <c r="AJD8" s="16">
        <v>80.400000000000006</v>
      </c>
      <c r="AJE8" s="16">
        <v>7.7</v>
      </c>
      <c r="AJF8">
        <v>86.83</v>
      </c>
      <c r="AJG8">
        <v>12.69</v>
      </c>
      <c r="AJH8">
        <v>0</v>
      </c>
      <c r="AJI8">
        <v>0</v>
      </c>
      <c r="AJJ8">
        <v>0.48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7.16</v>
      </c>
      <c r="AJS8">
        <v>10.76</v>
      </c>
      <c r="AJT8">
        <v>0</v>
      </c>
      <c r="AJU8">
        <v>0</v>
      </c>
      <c r="AJV8">
        <v>3.4</v>
      </c>
      <c r="AJW8">
        <v>2</v>
      </c>
      <c r="AJX8">
        <v>11.9</v>
      </c>
      <c r="AJY8">
        <v>0.48</v>
      </c>
      <c r="AKD8">
        <v>11.9</v>
      </c>
      <c r="AKE8">
        <v>0.48</v>
      </c>
      <c r="AKJ8">
        <v>0</v>
      </c>
      <c r="AKK8">
        <v>1</v>
      </c>
      <c r="AKL8">
        <v>34</v>
      </c>
      <c r="AKM8">
        <v>2</v>
      </c>
      <c r="AKN8">
        <f>0.84*2</f>
        <v>1.68</v>
      </c>
      <c r="AKO8">
        <v>1</v>
      </c>
      <c r="AKV8" s="18"/>
      <c r="ALN8">
        <v>0</v>
      </c>
    </row>
    <row r="9" spans="1:1024" x14ac:dyDescent="0.2">
      <c r="A9" s="22" t="s">
        <v>227</v>
      </c>
      <c r="B9" s="23">
        <v>42886</v>
      </c>
      <c r="C9" s="24">
        <v>2</v>
      </c>
      <c r="D9" s="25">
        <v>40513</v>
      </c>
      <c r="E9" s="23">
        <v>31624</v>
      </c>
      <c r="F9" s="14">
        <f t="shared" si="0"/>
        <v>30.833675564681723</v>
      </c>
      <c r="G9" s="14">
        <f t="shared" si="1"/>
        <v>6.4969199178644761</v>
      </c>
      <c r="H9" s="21" t="s">
        <v>228</v>
      </c>
      <c r="I9" s="21" t="s">
        <v>229</v>
      </c>
      <c r="J9" s="21" t="s">
        <v>181</v>
      </c>
      <c r="K9" s="21">
        <v>8</v>
      </c>
      <c r="L9" s="26">
        <v>65</v>
      </c>
      <c r="M9" s="24">
        <v>1.71</v>
      </c>
      <c r="N9" s="27">
        <f t="shared" si="2"/>
        <v>22.229061933586404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6">
        <v>0</v>
      </c>
      <c r="V9" s="26">
        <v>0</v>
      </c>
      <c r="W9" s="26">
        <v>0</v>
      </c>
      <c r="X9" s="26">
        <v>0</v>
      </c>
      <c r="Y9" s="26">
        <v>0</v>
      </c>
      <c r="Z9" s="26">
        <v>0</v>
      </c>
      <c r="AA9" s="26">
        <v>0</v>
      </c>
      <c r="AB9" s="26">
        <v>0</v>
      </c>
      <c r="AC9" s="26">
        <v>0</v>
      </c>
      <c r="AD9" s="26">
        <v>0</v>
      </c>
      <c r="AE9" s="26">
        <v>0</v>
      </c>
      <c r="AF9" s="26">
        <v>0</v>
      </c>
      <c r="AG9" s="26">
        <v>0</v>
      </c>
      <c r="AH9" s="26">
        <v>0</v>
      </c>
      <c r="AI9" s="26">
        <v>0</v>
      </c>
      <c r="AJ9" s="26">
        <v>0</v>
      </c>
      <c r="AK9" s="26">
        <v>0</v>
      </c>
      <c r="AL9" s="26">
        <v>0</v>
      </c>
      <c r="AM9" s="26">
        <v>0</v>
      </c>
      <c r="AN9" s="26">
        <v>0</v>
      </c>
      <c r="AO9" s="26">
        <v>0</v>
      </c>
      <c r="AP9" s="26">
        <v>0</v>
      </c>
      <c r="AQ9" s="26">
        <v>0</v>
      </c>
      <c r="AR9" s="26">
        <v>0</v>
      </c>
      <c r="AS9" s="26">
        <v>0</v>
      </c>
      <c r="AT9" s="26">
        <v>0</v>
      </c>
      <c r="AU9" s="26">
        <v>0</v>
      </c>
      <c r="AV9" s="26">
        <v>0</v>
      </c>
      <c r="AW9" s="26">
        <v>0</v>
      </c>
      <c r="AX9" s="26">
        <v>0</v>
      </c>
      <c r="AY9" s="26">
        <v>0</v>
      </c>
      <c r="AZ9" s="26">
        <v>0</v>
      </c>
      <c r="BA9" s="26">
        <v>0</v>
      </c>
      <c r="BB9" s="26">
        <v>0</v>
      </c>
      <c r="BC9" s="26">
        <v>0</v>
      </c>
      <c r="BD9" s="26">
        <v>0</v>
      </c>
      <c r="BE9" s="26">
        <v>0</v>
      </c>
      <c r="BF9" s="26">
        <v>0</v>
      </c>
      <c r="BG9" s="26">
        <v>0</v>
      </c>
      <c r="BH9" s="26">
        <v>0</v>
      </c>
      <c r="BI9" s="26">
        <v>0</v>
      </c>
      <c r="BJ9" s="26">
        <v>0</v>
      </c>
      <c r="BK9" s="26">
        <v>0</v>
      </c>
      <c r="BL9" s="26">
        <v>0</v>
      </c>
      <c r="BM9" s="26">
        <v>0</v>
      </c>
      <c r="BN9" s="26">
        <v>0</v>
      </c>
      <c r="BO9" s="26">
        <v>0</v>
      </c>
      <c r="BP9" s="26">
        <v>0</v>
      </c>
      <c r="BQ9" s="26">
        <v>0</v>
      </c>
      <c r="BR9" s="26">
        <v>4</v>
      </c>
      <c r="BS9" s="26">
        <v>3</v>
      </c>
      <c r="BT9" s="26">
        <v>3</v>
      </c>
      <c r="BU9" s="26">
        <v>5</v>
      </c>
      <c r="BV9" s="26">
        <v>4</v>
      </c>
      <c r="BW9" s="26">
        <v>3</v>
      </c>
      <c r="BX9" s="26">
        <v>3</v>
      </c>
      <c r="BY9" s="26">
        <v>5</v>
      </c>
      <c r="BZ9" s="26">
        <v>5</v>
      </c>
      <c r="CA9" s="26">
        <v>5</v>
      </c>
      <c r="CB9" s="26">
        <v>4</v>
      </c>
      <c r="CC9" s="26">
        <v>5</v>
      </c>
      <c r="CD9" s="26">
        <v>4</v>
      </c>
      <c r="CE9" s="26">
        <v>4</v>
      </c>
      <c r="CF9" s="26">
        <v>4</v>
      </c>
      <c r="CG9" s="26">
        <v>5</v>
      </c>
      <c r="CH9" s="26">
        <v>4</v>
      </c>
      <c r="CI9" s="26">
        <v>4</v>
      </c>
      <c r="CJ9" s="26">
        <v>4</v>
      </c>
      <c r="CK9" s="26">
        <v>9</v>
      </c>
      <c r="CL9" t="s">
        <v>230</v>
      </c>
      <c r="CM9">
        <v>64</v>
      </c>
      <c r="CN9" s="16">
        <v>74.3</v>
      </c>
      <c r="CO9" s="16">
        <v>81</v>
      </c>
      <c r="CP9" s="16">
        <v>58.5</v>
      </c>
      <c r="CQ9">
        <v>49.17</v>
      </c>
      <c r="CR9">
        <v>0</v>
      </c>
      <c r="CS9">
        <v>34.450000000000003</v>
      </c>
      <c r="CT9">
        <v>16.22</v>
      </c>
      <c r="CU9">
        <v>0.16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2.52</v>
      </c>
      <c r="DE9">
        <v>9.18</v>
      </c>
      <c r="DF9">
        <v>0</v>
      </c>
      <c r="DG9">
        <v>0</v>
      </c>
      <c r="DH9">
        <v>0</v>
      </c>
      <c r="DU9">
        <v>0.3</v>
      </c>
      <c r="DV9">
        <v>1</v>
      </c>
      <c r="DW9">
        <v>34</v>
      </c>
      <c r="DX9">
        <v>8</v>
      </c>
      <c r="DY9">
        <v>0.43</v>
      </c>
      <c r="DZ9">
        <v>1</v>
      </c>
      <c r="EA9">
        <v>47</v>
      </c>
      <c r="EB9">
        <v>1</v>
      </c>
      <c r="EC9">
        <v>0.04</v>
      </c>
      <c r="ED9">
        <v>3</v>
      </c>
      <c r="EG9" s="18"/>
      <c r="EY9">
        <v>0</v>
      </c>
      <c r="GJ9" s="16">
        <v>2.89</v>
      </c>
      <c r="GK9" s="16">
        <v>1</v>
      </c>
      <c r="GL9" s="16">
        <v>1</v>
      </c>
      <c r="GM9" s="16"/>
      <c r="GN9" s="16">
        <v>7.35</v>
      </c>
      <c r="GO9" s="16"/>
      <c r="GP9" s="16"/>
      <c r="GQ9" s="16"/>
      <c r="GR9" s="16"/>
      <c r="GS9" s="16"/>
      <c r="GT9" s="16"/>
      <c r="GU9" s="16">
        <v>0</v>
      </c>
      <c r="GV9" s="16">
        <v>0</v>
      </c>
      <c r="GW9" s="16"/>
      <c r="GX9" s="16"/>
      <c r="GY9" s="16">
        <v>0</v>
      </c>
      <c r="GZ9" s="16">
        <v>0</v>
      </c>
      <c r="HA9" s="16">
        <v>0</v>
      </c>
      <c r="HB9">
        <v>0</v>
      </c>
      <c r="HC9" t="s">
        <v>231</v>
      </c>
      <c r="HD9">
        <v>64.5</v>
      </c>
      <c r="HE9" s="16">
        <v>77.8</v>
      </c>
      <c r="HF9" s="16">
        <v>81</v>
      </c>
      <c r="HG9" s="16">
        <v>52.5</v>
      </c>
      <c r="HH9">
        <v>50.19</v>
      </c>
      <c r="HI9">
        <v>0</v>
      </c>
      <c r="HJ9">
        <v>26.36</v>
      </c>
      <c r="HK9">
        <v>23.45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1.91</v>
      </c>
      <c r="HU9">
        <v>2.12</v>
      </c>
      <c r="HV9">
        <v>0</v>
      </c>
      <c r="HW9">
        <v>0</v>
      </c>
      <c r="HX9">
        <v>0</v>
      </c>
      <c r="HY9">
        <v>0</v>
      </c>
      <c r="IL9">
        <v>5.4</v>
      </c>
      <c r="IM9">
        <v>1</v>
      </c>
      <c r="IN9">
        <v>68</v>
      </c>
      <c r="IO9">
        <v>8</v>
      </c>
      <c r="IP9">
        <f>1.4*2+0.13</f>
        <v>2.9299999999999997</v>
      </c>
      <c r="IQ9">
        <v>1</v>
      </c>
      <c r="IR9">
        <v>34</v>
      </c>
      <c r="IS9">
        <v>1</v>
      </c>
      <c r="IT9">
        <v>0.13</v>
      </c>
      <c r="IU9">
        <v>1</v>
      </c>
      <c r="IX9" s="18"/>
      <c r="JP9">
        <v>1</v>
      </c>
      <c r="JQ9">
        <v>60</v>
      </c>
      <c r="JR9">
        <v>1</v>
      </c>
      <c r="JS9">
        <v>0.22</v>
      </c>
      <c r="JT9">
        <v>3</v>
      </c>
      <c r="LA9" s="16">
        <v>3.48</v>
      </c>
      <c r="LB9" s="16">
        <v>1</v>
      </c>
      <c r="LC9" s="16">
        <v>1</v>
      </c>
      <c r="LD9" s="16"/>
      <c r="LE9" s="16">
        <f>7.35+1.4*2+0.62+0.74+0.03+0.7+0.18+0.03+0.05+0.01</f>
        <v>12.509999999999996</v>
      </c>
      <c r="LF9" s="16"/>
      <c r="LG9" s="16"/>
      <c r="LH9" s="16"/>
      <c r="LI9" s="16"/>
      <c r="LJ9" s="16"/>
      <c r="LK9" s="16"/>
      <c r="LL9" s="16">
        <v>0.13</v>
      </c>
      <c r="LM9" s="16">
        <v>0.13</v>
      </c>
      <c r="LN9" s="16"/>
      <c r="LO9" s="16"/>
      <c r="LP9" s="16">
        <v>0</v>
      </c>
      <c r="LQ9" s="16">
        <v>0</v>
      </c>
      <c r="LR9" s="16">
        <v>0</v>
      </c>
      <c r="LS9">
        <v>0</v>
      </c>
      <c r="LT9" t="s">
        <v>232</v>
      </c>
      <c r="LU9">
        <v>40</v>
      </c>
      <c r="LV9" s="16">
        <v>84.9</v>
      </c>
      <c r="LW9" s="16">
        <v>81</v>
      </c>
      <c r="LX9" s="16">
        <v>13.2</v>
      </c>
      <c r="LY9">
        <v>93.04</v>
      </c>
      <c r="LZ9">
        <v>0</v>
      </c>
      <c r="MA9">
        <v>0</v>
      </c>
      <c r="MB9">
        <v>3.59</v>
      </c>
      <c r="MC9">
        <v>3.38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1.7</v>
      </c>
      <c r="MK9">
        <v>3.97</v>
      </c>
      <c r="ML9">
        <v>39.76</v>
      </c>
      <c r="MM9">
        <v>0.13</v>
      </c>
      <c r="MN9">
        <v>0</v>
      </c>
      <c r="MO9">
        <v>0</v>
      </c>
      <c r="MP9">
        <v>0</v>
      </c>
      <c r="NC9">
        <v>15.9</v>
      </c>
      <c r="ND9">
        <v>1</v>
      </c>
      <c r="NE9">
        <v>47</v>
      </c>
      <c r="NF9">
        <v>2</v>
      </c>
      <c r="NG9">
        <v>1.51</v>
      </c>
      <c r="NH9">
        <v>3</v>
      </c>
      <c r="NO9" s="18"/>
      <c r="OG9">
        <v>1</v>
      </c>
      <c r="OH9">
        <v>40</v>
      </c>
      <c r="OI9">
        <v>7</v>
      </c>
      <c r="OJ9">
        <f>2.27+3.02</f>
        <v>5.29</v>
      </c>
      <c r="OK9">
        <v>3</v>
      </c>
      <c r="PR9" s="16">
        <v>1.48</v>
      </c>
      <c r="PS9" s="16">
        <v>1</v>
      </c>
      <c r="PT9" s="16">
        <v>1</v>
      </c>
      <c r="PU9" s="16"/>
      <c r="PV9" s="16">
        <f>2.1+1.7+0.37+0.74</f>
        <v>4.91</v>
      </c>
      <c r="PW9" s="16"/>
      <c r="PX9" s="16"/>
      <c r="PY9" s="16"/>
      <c r="PZ9" s="16"/>
      <c r="QA9" s="16"/>
      <c r="QB9" s="16"/>
      <c r="QC9" s="16">
        <v>7.34</v>
      </c>
      <c r="QD9" s="16">
        <v>5.01</v>
      </c>
      <c r="QE9" s="16"/>
      <c r="QF9" s="16"/>
      <c r="QG9" s="16">
        <v>0</v>
      </c>
      <c r="QH9" s="16">
        <v>0</v>
      </c>
      <c r="QI9" s="16">
        <v>0</v>
      </c>
      <c r="QJ9">
        <v>0</v>
      </c>
      <c r="QK9" t="s">
        <v>233</v>
      </c>
      <c r="QL9">
        <v>39.5</v>
      </c>
      <c r="QM9" s="16">
        <v>85</v>
      </c>
      <c r="QN9" s="16">
        <v>81</v>
      </c>
      <c r="QO9" s="16">
        <v>12.7</v>
      </c>
      <c r="QP9">
        <v>93.14</v>
      </c>
      <c r="QQ9">
        <v>0</v>
      </c>
      <c r="QR9">
        <v>1.57</v>
      </c>
      <c r="QS9">
        <v>2.08</v>
      </c>
      <c r="QT9">
        <v>3.21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1.7</v>
      </c>
      <c r="RB9">
        <v>6.54</v>
      </c>
      <c r="RC9">
        <v>37.880000000000003</v>
      </c>
      <c r="RD9">
        <v>3</v>
      </c>
      <c r="RE9">
        <v>0</v>
      </c>
      <c r="RF9">
        <v>0</v>
      </c>
      <c r="RG9">
        <v>0</v>
      </c>
      <c r="RT9">
        <v>15.7</v>
      </c>
      <c r="RU9">
        <v>1</v>
      </c>
      <c r="RV9">
        <v>47</v>
      </c>
      <c r="RW9">
        <v>2</v>
      </c>
      <c r="RX9">
        <v>1.51</v>
      </c>
      <c r="RY9">
        <v>3</v>
      </c>
      <c r="SF9" s="18"/>
      <c r="SX9">
        <v>1</v>
      </c>
      <c r="SY9">
        <v>50</v>
      </c>
      <c r="SZ9">
        <v>3</v>
      </c>
      <c r="TA9">
        <v>0.4</v>
      </c>
      <c r="TB9">
        <v>3</v>
      </c>
      <c r="TC9">
        <v>40</v>
      </c>
      <c r="TD9">
        <v>7</v>
      </c>
      <c r="TE9">
        <f>2.27+3.02</f>
        <v>5.29</v>
      </c>
      <c r="TF9">
        <v>3</v>
      </c>
      <c r="UI9" s="16">
        <v>1.76</v>
      </c>
      <c r="UJ9" s="16">
        <v>1</v>
      </c>
      <c r="UK9" s="16">
        <v>1</v>
      </c>
      <c r="UL9" s="16"/>
      <c r="UM9" s="16">
        <f>2.1+1.7+0.4+0.37+0.74</f>
        <v>5.3100000000000005</v>
      </c>
      <c r="UN9" s="16"/>
      <c r="UO9" s="16"/>
      <c r="UP9" s="16"/>
      <c r="UQ9" s="16"/>
      <c r="UR9" s="16"/>
      <c r="US9" s="16"/>
      <c r="UT9" s="16">
        <v>7.31</v>
      </c>
      <c r="UU9" s="16">
        <v>6.99</v>
      </c>
      <c r="UV9" s="16"/>
      <c r="UW9" s="16"/>
      <c r="UX9" s="16">
        <v>0</v>
      </c>
      <c r="UY9" s="16">
        <v>0</v>
      </c>
      <c r="UZ9" s="16">
        <v>0</v>
      </c>
      <c r="VA9">
        <v>0</v>
      </c>
      <c r="VB9" t="s">
        <v>234</v>
      </c>
      <c r="VC9">
        <v>22.5</v>
      </c>
      <c r="VD9" s="16">
        <v>60.3</v>
      </c>
      <c r="VE9" s="16">
        <v>81</v>
      </c>
      <c r="VF9" s="16">
        <v>13.3</v>
      </c>
      <c r="VG9">
        <v>92.98</v>
      </c>
      <c r="VH9">
        <v>0</v>
      </c>
      <c r="VI9">
        <v>0</v>
      </c>
      <c r="VJ9">
        <v>0</v>
      </c>
      <c r="VK9">
        <v>7.02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0.72</v>
      </c>
      <c r="VT9">
        <v>23.12</v>
      </c>
      <c r="VU9">
        <v>24.81</v>
      </c>
      <c r="VV9">
        <v>0</v>
      </c>
      <c r="VW9">
        <v>0</v>
      </c>
      <c r="VX9">
        <v>0</v>
      </c>
      <c r="WK9">
        <v>0</v>
      </c>
      <c r="WL9">
        <v>1</v>
      </c>
      <c r="WM9">
        <v>23</v>
      </c>
      <c r="WN9">
        <v>1</v>
      </c>
      <c r="WO9">
        <v>0.3</v>
      </c>
      <c r="WP9">
        <v>3</v>
      </c>
      <c r="WW9" s="18"/>
      <c r="XO9">
        <v>0</v>
      </c>
      <c r="YZ9" s="16">
        <v>1.26</v>
      </c>
      <c r="ZA9" s="16">
        <v>1</v>
      </c>
      <c r="ZB9" s="16">
        <v>1</v>
      </c>
      <c r="ZC9" s="16"/>
      <c r="ZD9" s="16">
        <f>2.1+1.7+0.4+0.37+0.74</f>
        <v>5.3100000000000005</v>
      </c>
      <c r="ZE9" s="16"/>
      <c r="ZF9" s="16"/>
      <c r="ZG9" s="16"/>
      <c r="ZH9" s="16"/>
      <c r="ZI9" s="16"/>
      <c r="ZJ9" s="16"/>
      <c r="ZK9" s="16">
        <v>6.24</v>
      </c>
      <c r="ZL9" s="16">
        <v>6.99</v>
      </c>
      <c r="ZM9" s="16"/>
      <c r="ZN9" s="16"/>
      <c r="ZO9" s="16">
        <v>0</v>
      </c>
      <c r="ZP9" s="16">
        <v>0</v>
      </c>
      <c r="ZQ9" s="16">
        <v>0</v>
      </c>
      <c r="ZR9">
        <v>0</v>
      </c>
      <c r="ZS9" t="s">
        <v>235</v>
      </c>
      <c r="ZT9">
        <v>37</v>
      </c>
      <c r="ZU9" s="16">
        <v>81.900000000000006</v>
      </c>
      <c r="ZV9" s="16">
        <v>81</v>
      </c>
      <c r="ZW9" s="16">
        <v>26.3</v>
      </c>
      <c r="ZX9">
        <v>68.540000000000006</v>
      </c>
      <c r="ZY9">
        <v>0</v>
      </c>
      <c r="ZZ9">
        <v>0</v>
      </c>
      <c r="AAA9">
        <v>0</v>
      </c>
      <c r="AAB9">
        <v>31.46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5.42</v>
      </c>
      <c r="AAK9">
        <v>17.37</v>
      </c>
      <c r="AAL9">
        <v>41.85</v>
      </c>
      <c r="AAM9">
        <v>0</v>
      </c>
      <c r="AAN9">
        <v>0</v>
      </c>
      <c r="AAO9">
        <v>0</v>
      </c>
      <c r="ABB9">
        <v>0</v>
      </c>
      <c r="ABC9">
        <v>1</v>
      </c>
      <c r="ABD9">
        <v>23</v>
      </c>
      <c r="ABE9">
        <v>2</v>
      </c>
      <c r="ABF9">
        <v>2.11</v>
      </c>
      <c r="ABG9">
        <v>3</v>
      </c>
      <c r="ABN9" s="18"/>
      <c r="ACF9">
        <v>0</v>
      </c>
      <c r="ADQ9" s="16">
        <v>2.64</v>
      </c>
      <c r="ADR9" s="16">
        <v>1</v>
      </c>
      <c r="ADS9" s="16">
        <v>1</v>
      </c>
      <c r="ADT9" s="16"/>
      <c r="ADU9" s="16">
        <f>4.2*2+1.7+5.1+0.37+0.74</f>
        <v>16.309999999999999</v>
      </c>
      <c r="ADV9" s="16"/>
      <c r="ADW9" s="16"/>
      <c r="ADX9" s="16"/>
      <c r="ADY9" s="16"/>
      <c r="ADZ9" s="16"/>
      <c r="AEA9" s="16"/>
      <c r="AEB9" s="16">
        <v>5.32</v>
      </c>
      <c r="AEC9" s="16">
        <v>8.0399999999999991</v>
      </c>
      <c r="AED9" s="16"/>
      <c r="AEE9" s="16"/>
      <c r="AEF9" s="16">
        <v>0</v>
      </c>
      <c r="AEG9" s="16">
        <v>0</v>
      </c>
      <c r="AEH9" s="16">
        <v>0</v>
      </c>
      <c r="AEI9">
        <v>0</v>
      </c>
      <c r="AEJ9" t="s">
        <v>236</v>
      </c>
      <c r="AEK9">
        <v>51</v>
      </c>
      <c r="AEL9" s="16">
        <v>93.4</v>
      </c>
      <c r="AEM9" s="16">
        <v>81</v>
      </c>
      <c r="AEN9" s="16">
        <v>29.5</v>
      </c>
      <c r="AEO9">
        <v>55.24</v>
      </c>
      <c r="AEP9">
        <v>0</v>
      </c>
      <c r="AEQ9">
        <v>0</v>
      </c>
      <c r="AER9">
        <v>0</v>
      </c>
      <c r="AES9">
        <v>44.76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0.67</v>
      </c>
      <c r="AFA9">
        <v>5.0999999999999996</v>
      </c>
      <c r="AFB9">
        <v>47.22</v>
      </c>
      <c r="AFC9">
        <v>18.3</v>
      </c>
      <c r="AFD9">
        <v>0</v>
      </c>
      <c r="AFE9">
        <v>7.5</v>
      </c>
      <c r="AFF9">
        <v>1</v>
      </c>
      <c r="AFG9">
        <v>3.6</v>
      </c>
      <c r="AFI9">
        <v>1</v>
      </c>
      <c r="AFM9">
        <v>3.6</v>
      </c>
      <c r="AFO9">
        <v>1</v>
      </c>
      <c r="AFS9">
        <v>0</v>
      </c>
      <c r="AFT9">
        <v>0</v>
      </c>
      <c r="AGE9" s="18"/>
      <c r="AGW9">
        <v>0</v>
      </c>
      <c r="AIH9" s="16">
        <v>1.95</v>
      </c>
      <c r="AII9" s="16">
        <v>1</v>
      </c>
      <c r="AIJ9" s="16">
        <v>1</v>
      </c>
      <c r="AIK9" s="16"/>
      <c r="AIL9" s="16">
        <f>2.42+1.67+5+0.22+0.66+0.22</f>
        <v>10.190000000000001</v>
      </c>
      <c r="AIM9" s="16"/>
      <c r="AIN9" s="16"/>
      <c r="AIO9" s="16"/>
      <c r="AIP9" s="16"/>
      <c r="AIQ9" s="16"/>
      <c r="AIR9" s="16"/>
      <c r="AIS9" s="16">
        <v>5.63</v>
      </c>
      <c r="AIT9" s="16">
        <v>11.04</v>
      </c>
      <c r="AIU9" s="16"/>
      <c r="AIV9" s="16"/>
      <c r="AIW9" s="16">
        <v>0</v>
      </c>
      <c r="AIX9" s="16">
        <v>0</v>
      </c>
      <c r="AIY9" s="16">
        <v>0</v>
      </c>
      <c r="AIZ9">
        <v>0</v>
      </c>
      <c r="AJA9" t="s">
        <v>237</v>
      </c>
      <c r="AJB9">
        <v>46</v>
      </c>
      <c r="AJC9" s="16">
        <v>92.7</v>
      </c>
      <c r="AJD9" s="16">
        <v>81</v>
      </c>
      <c r="AJE9" s="16">
        <v>20.8</v>
      </c>
      <c r="AJF9">
        <v>76.44</v>
      </c>
      <c r="AJG9">
        <v>0</v>
      </c>
      <c r="AJH9">
        <v>0</v>
      </c>
      <c r="AJI9">
        <v>0</v>
      </c>
      <c r="AJJ9">
        <v>23.56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0.23</v>
      </c>
      <c r="AJR9">
        <v>0.51</v>
      </c>
      <c r="AJS9">
        <v>26.55</v>
      </c>
      <c r="AJT9">
        <v>36.69</v>
      </c>
      <c r="AJU9">
        <v>0</v>
      </c>
      <c r="AJV9">
        <v>10.6</v>
      </c>
      <c r="AJW9">
        <v>1</v>
      </c>
      <c r="AJX9">
        <v>6</v>
      </c>
      <c r="AJZ9">
        <v>1</v>
      </c>
      <c r="AKD9">
        <v>6</v>
      </c>
      <c r="AKF9">
        <v>1</v>
      </c>
      <c r="AKJ9">
        <v>7.1</v>
      </c>
      <c r="AKK9">
        <v>1</v>
      </c>
      <c r="AKL9">
        <v>35</v>
      </c>
      <c r="AKM9">
        <v>2</v>
      </c>
      <c r="AKN9">
        <f>0.76*2</f>
        <v>1.52</v>
      </c>
      <c r="AKO9">
        <v>3</v>
      </c>
      <c r="AKV9" s="18"/>
      <c r="ALN9">
        <v>0</v>
      </c>
    </row>
    <row r="10" spans="1:1024" x14ac:dyDescent="0.2">
      <c r="A10" s="1" t="s">
        <v>238</v>
      </c>
      <c r="B10" s="12">
        <v>42886</v>
      </c>
      <c r="C10">
        <v>2</v>
      </c>
      <c r="D10" s="13">
        <v>39252</v>
      </c>
      <c r="E10" s="12">
        <v>29993</v>
      </c>
      <c r="F10" s="14">
        <f t="shared" si="0"/>
        <v>35.299110198494184</v>
      </c>
      <c r="G10" s="14">
        <f t="shared" si="1"/>
        <v>9.9493497604380554</v>
      </c>
      <c r="H10" s="21" t="s">
        <v>217</v>
      </c>
      <c r="I10" s="15"/>
      <c r="J10" s="21" t="s">
        <v>183</v>
      </c>
      <c r="K10" s="21">
        <v>8</v>
      </c>
      <c r="L10" s="19">
        <v>92</v>
      </c>
      <c r="M10">
        <v>1.78</v>
      </c>
      <c r="N10" s="16">
        <f t="shared" si="2"/>
        <v>29.036737785633125</v>
      </c>
      <c r="O10" s="19">
        <v>0</v>
      </c>
      <c r="P10" s="19">
        <v>0</v>
      </c>
      <c r="Q10" s="19">
        <v>0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9">
        <v>0</v>
      </c>
      <c r="AB10" s="19">
        <v>0</v>
      </c>
      <c r="AC10" s="19">
        <v>1</v>
      </c>
      <c r="AD10" s="19">
        <v>15</v>
      </c>
      <c r="AE10" s="19">
        <v>0</v>
      </c>
      <c r="AF10" s="19">
        <v>0</v>
      </c>
      <c r="AG10" s="19">
        <v>0</v>
      </c>
      <c r="AH10" s="19">
        <v>0</v>
      </c>
      <c r="AI10" s="19">
        <v>0</v>
      </c>
      <c r="AJ10" s="19">
        <v>0</v>
      </c>
      <c r="AK10" s="19">
        <v>0</v>
      </c>
      <c r="AL10" s="19">
        <v>0</v>
      </c>
      <c r="AM10" s="19">
        <v>0</v>
      </c>
      <c r="AN10" s="19">
        <v>0</v>
      </c>
      <c r="AO10" s="19">
        <v>0</v>
      </c>
      <c r="AP10" s="19">
        <v>0</v>
      </c>
      <c r="AQ10" s="19">
        <v>0</v>
      </c>
      <c r="AR10" s="19">
        <v>0</v>
      </c>
      <c r="AS10" s="19">
        <v>0</v>
      </c>
      <c r="AT10" s="19">
        <v>0</v>
      </c>
      <c r="AU10" s="19">
        <v>0</v>
      </c>
      <c r="AV10" s="19">
        <v>0</v>
      </c>
      <c r="AW10" s="19">
        <v>0</v>
      </c>
      <c r="AX10" s="19">
        <v>0</v>
      </c>
      <c r="AY10" s="19">
        <v>0</v>
      </c>
      <c r="AZ10" s="19">
        <v>0</v>
      </c>
      <c r="BA10" s="19">
        <v>0</v>
      </c>
      <c r="BB10" s="19">
        <v>0</v>
      </c>
      <c r="BC10" s="19">
        <v>0</v>
      </c>
      <c r="BD10" s="19">
        <v>0</v>
      </c>
      <c r="BE10" s="19">
        <v>0</v>
      </c>
      <c r="BF10" s="19">
        <v>0</v>
      </c>
      <c r="BG10" s="19">
        <v>0</v>
      </c>
      <c r="BH10" s="19">
        <v>0</v>
      </c>
      <c r="BI10" s="19">
        <v>0</v>
      </c>
      <c r="BJ10" s="19">
        <v>0</v>
      </c>
      <c r="BK10" s="19">
        <v>0</v>
      </c>
      <c r="BL10" s="19">
        <v>0</v>
      </c>
      <c r="BM10" s="19">
        <v>0</v>
      </c>
      <c r="BN10" s="19">
        <v>0</v>
      </c>
      <c r="BO10" s="19">
        <v>0</v>
      </c>
      <c r="BP10" s="19">
        <v>0</v>
      </c>
      <c r="BQ10" s="19">
        <v>0</v>
      </c>
      <c r="BR10" s="19">
        <v>3</v>
      </c>
      <c r="BS10" s="19">
        <v>3</v>
      </c>
      <c r="BT10" s="19">
        <v>3</v>
      </c>
      <c r="BU10" s="19">
        <v>5</v>
      </c>
      <c r="BV10" s="19">
        <v>3</v>
      </c>
      <c r="BW10" s="19">
        <v>4</v>
      </c>
      <c r="BX10" s="19">
        <v>2</v>
      </c>
      <c r="BY10" s="19">
        <v>3</v>
      </c>
      <c r="BZ10" s="19">
        <v>4</v>
      </c>
      <c r="CA10" s="19">
        <v>1</v>
      </c>
      <c r="CB10" s="19">
        <v>4</v>
      </c>
      <c r="CC10" s="19">
        <v>5</v>
      </c>
      <c r="CD10" s="19">
        <v>3</v>
      </c>
      <c r="CE10" s="19">
        <v>4</v>
      </c>
      <c r="CF10" s="19">
        <v>4</v>
      </c>
      <c r="CG10" s="19">
        <v>4</v>
      </c>
      <c r="CH10" s="19">
        <v>4</v>
      </c>
      <c r="CI10" s="19">
        <v>3</v>
      </c>
      <c r="CJ10" s="19">
        <v>3</v>
      </c>
      <c r="CK10" s="19">
        <v>9</v>
      </c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19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9"/>
      <c r="DK10" s="19"/>
      <c r="DL10" s="19"/>
      <c r="DM10" s="19"/>
      <c r="DN10" s="19"/>
      <c r="DO10" s="19"/>
      <c r="DP10" s="19"/>
      <c r="DQ10" s="19"/>
      <c r="DR10" s="19"/>
      <c r="DS10" s="19"/>
      <c r="DY10" s="15"/>
      <c r="DZ10" s="15"/>
      <c r="EG10" s="15"/>
      <c r="EH10" s="15"/>
      <c r="EO10" s="15"/>
      <c r="EP10" s="15"/>
      <c r="EW10" s="15"/>
      <c r="EX10" s="15"/>
      <c r="FE10" s="15"/>
      <c r="FF10" s="15"/>
      <c r="FM10" s="15"/>
      <c r="FN10" s="15"/>
      <c r="FU10" s="15"/>
      <c r="FV10" s="15"/>
      <c r="GC10" s="15"/>
      <c r="GD10" s="15"/>
      <c r="GK10" s="15"/>
      <c r="GL10" s="15"/>
      <c r="GS10" s="15"/>
      <c r="GT10" s="15"/>
      <c r="HA10" s="15"/>
      <c r="HB10" s="15"/>
      <c r="HI10" s="15"/>
      <c r="HJ10" s="15"/>
      <c r="HQ10" s="15"/>
      <c r="HR10" s="15"/>
      <c r="HY10" s="15"/>
      <c r="HZ10" s="15"/>
      <c r="IG10" s="15"/>
      <c r="IH10" s="15"/>
      <c r="IO10" s="15"/>
      <c r="IP10" s="15"/>
      <c r="IW10" s="15"/>
      <c r="IX10" s="15"/>
      <c r="JE10" s="15"/>
      <c r="JF10" s="15"/>
      <c r="JM10" s="15"/>
      <c r="JN10" s="15"/>
      <c r="JU10" s="15"/>
      <c r="JV10" s="15"/>
      <c r="KC10" s="15"/>
      <c r="KD10" s="15"/>
      <c r="KK10" s="15"/>
      <c r="KL10" s="15"/>
      <c r="KS10" s="15"/>
      <c r="KT10" s="15"/>
      <c r="LA10" s="15"/>
      <c r="LB10" s="15"/>
      <c r="LI10" s="15"/>
      <c r="LJ10" s="15"/>
      <c r="LQ10" s="15"/>
      <c r="LR10" s="15"/>
      <c r="LY10" s="15"/>
      <c r="LZ10" s="15"/>
      <c r="MG10" s="15"/>
      <c r="MH10" s="15"/>
      <c r="MO10" s="15"/>
      <c r="MP10" s="15"/>
      <c r="MW10" s="15"/>
      <c r="MX10" s="15"/>
      <c r="NE10" s="15"/>
      <c r="NF10" s="15"/>
      <c r="NM10" s="15"/>
      <c r="NN10" s="15"/>
      <c r="NU10" s="15"/>
      <c r="NV10" s="15"/>
      <c r="OC10" s="15"/>
      <c r="OD10" s="15"/>
      <c r="OK10" s="15"/>
      <c r="OL10" s="15"/>
      <c r="OS10" s="15"/>
      <c r="OT10" s="15"/>
      <c r="PA10" s="15"/>
      <c r="PB10" s="15"/>
      <c r="PI10" s="15"/>
      <c r="PJ10" s="15"/>
      <c r="PQ10" s="15"/>
      <c r="PR10" s="15"/>
      <c r="PY10" s="15"/>
      <c r="PZ10" s="15"/>
      <c r="QG10" s="15"/>
      <c r="QH10" s="15"/>
      <c r="QO10" s="15"/>
      <c r="QP10" s="15"/>
      <c r="QW10" s="15"/>
      <c r="QX10" s="15"/>
      <c r="RE10" s="15"/>
      <c r="RF10" s="15"/>
      <c r="RM10" s="15"/>
      <c r="RN10" s="15"/>
      <c r="RU10" s="15"/>
      <c r="RV10" s="15"/>
      <c r="SC10" s="15"/>
      <c r="SD10" s="15"/>
      <c r="SK10" s="15"/>
      <c r="SL10" s="15"/>
      <c r="SS10" s="15"/>
      <c r="ST10" s="15"/>
      <c r="TA10" s="15"/>
      <c r="TB10" s="15"/>
      <c r="TI10" s="15"/>
      <c r="TJ10" s="15"/>
      <c r="TQ10" s="15"/>
      <c r="TR10" s="15"/>
      <c r="TY10" s="15"/>
      <c r="TZ10" s="15"/>
      <c r="UG10" s="15"/>
      <c r="UH10" s="15"/>
      <c r="UO10" s="15"/>
      <c r="UP10" s="15"/>
      <c r="UW10" s="15"/>
      <c r="UX10" s="15"/>
      <c r="VE10" s="15"/>
      <c r="VF10" s="15"/>
      <c r="VM10" s="15"/>
      <c r="VN10" s="15"/>
      <c r="VU10" s="15"/>
      <c r="VV10" s="15"/>
      <c r="WC10" s="15"/>
      <c r="WD10" s="15"/>
      <c r="WK10" s="15"/>
      <c r="WL10" s="15"/>
      <c r="WS10" s="15"/>
      <c r="WT10" s="15"/>
      <c r="XA10" s="15"/>
      <c r="XB10" s="15"/>
      <c r="XI10" s="15"/>
      <c r="XJ10" s="15"/>
      <c r="XQ10" s="15"/>
      <c r="XR10" s="15"/>
      <c r="XY10" s="15"/>
      <c r="XZ10" s="15"/>
      <c r="YG10" s="15"/>
      <c r="YH10" s="15"/>
      <c r="YO10" s="15"/>
      <c r="YP10" s="15"/>
      <c r="YW10" s="15"/>
      <c r="YX10" s="15"/>
      <c r="ZE10" s="15"/>
      <c r="ZF10" s="15"/>
      <c r="ZM10" s="15"/>
      <c r="ZN10" s="15"/>
      <c r="ZU10" s="15"/>
      <c r="ZV10" s="15"/>
      <c r="AAC10" s="15"/>
      <c r="AAD10" s="15"/>
      <c r="AAK10" s="15"/>
      <c r="AAL10" s="15"/>
      <c r="AAS10" s="15"/>
      <c r="AAT10" s="15"/>
      <c r="ABA10" s="15"/>
      <c r="ABB10" s="15"/>
      <c r="ABI10" s="15"/>
      <c r="ABJ10" s="15"/>
      <c r="ABQ10" s="15"/>
      <c r="ABR10" s="15"/>
      <c r="ABY10" s="15"/>
      <c r="ABZ10" s="15"/>
      <c r="ACG10" s="15"/>
      <c r="ACH10" s="15"/>
      <c r="ACO10" s="15"/>
      <c r="ACP10" s="15"/>
      <c r="ACW10" s="15"/>
      <c r="ACX10" s="15"/>
      <c r="ADE10" s="15"/>
      <c r="ADF10" s="15"/>
      <c r="ADM10" s="15"/>
      <c r="ADN10" s="15"/>
      <c r="ADU10" s="15"/>
      <c r="ADV10" s="15"/>
      <c r="AEC10" s="15"/>
      <c r="AED10" s="15"/>
      <c r="AEK10" s="15"/>
      <c r="AEL10" s="15"/>
      <c r="AES10" s="15"/>
      <c r="AET10" s="15"/>
      <c r="AFA10" s="15"/>
      <c r="AFB10" s="15"/>
      <c r="AFI10" s="15"/>
      <c r="AFJ10" s="15"/>
      <c r="AFQ10" s="15"/>
      <c r="AFR10" s="15"/>
      <c r="AFY10" s="15"/>
      <c r="AFZ10" s="15"/>
      <c r="AGG10" s="15"/>
      <c r="AGH10" s="15"/>
      <c r="AGO10" s="15"/>
      <c r="AGP10" s="15"/>
      <c r="AGW10" s="15"/>
      <c r="AGX10" s="15"/>
      <c r="AHE10" s="15"/>
      <c r="AHF10" s="15"/>
      <c r="AHM10" s="15"/>
      <c r="AHN10" s="15"/>
      <c r="AHU10" s="15"/>
      <c r="AHV10" s="15"/>
      <c r="AIC10" s="15"/>
      <c r="AID10" s="15"/>
      <c r="AIK10" s="15"/>
      <c r="AIL10" s="15"/>
      <c r="AIS10" s="15"/>
      <c r="AIT10" s="15"/>
      <c r="AJA10" s="15"/>
      <c r="AJB10" s="15"/>
      <c r="AJI10" s="15"/>
      <c r="AJJ10" s="15"/>
      <c r="AJQ10" s="15"/>
      <c r="AJR10" s="15"/>
      <c r="AJY10" s="15"/>
      <c r="AJZ10" s="15"/>
      <c r="AKG10" s="15"/>
      <c r="AKH10" s="15"/>
      <c r="AKO10" s="15"/>
      <c r="AKP10" s="15"/>
      <c r="AKW10" s="15"/>
      <c r="AKX10" s="15"/>
      <c r="ALE10" s="15"/>
      <c r="ALF10" s="15"/>
      <c r="ALM10" s="15"/>
      <c r="ALN10" s="15"/>
      <c r="ALU10" s="15"/>
      <c r="ALV10" s="15"/>
      <c r="AMC10" s="15"/>
      <c r="AMD10" s="15"/>
    </row>
    <row r="11" spans="1:1024" s="24" customFormat="1" x14ac:dyDescent="0.2">
      <c r="A11" s="1" t="s">
        <v>239</v>
      </c>
      <c r="B11" s="12">
        <v>42886</v>
      </c>
      <c r="C11">
        <v>2</v>
      </c>
      <c r="D11" s="13">
        <v>39041</v>
      </c>
      <c r="E11" s="12">
        <v>31661</v>
      </c>
      <c r="F11" s="14">
        <f t="shared" si="0"/>
        <v>30.732375085557837</v>
      </c>
      <c r="G11" s="14">
        <f t="shared" si="1"/>
        <v>10.52703627652293</v>
      </c>
      <c r="H11" s="21" t="s">
        <v>228</v>
      </c>
      <c r="I11" s="15" t="s">
        <v>240</v>
      </c>
      <c r="J11" s="21" t="s">
        <v>181</v>
      </c>
      <c r="K11" s="21">
        <v>8</v>
      </c>
      <c r="L11" s="19">
        <v>75</v>
      </c>
      <c r="M11">
        <v>1.75</v>
      </c>
      <c r="N11" s="16">
        <f t="shared" si="2"/>
        <v>24.489795918367346</v>
      </c>
      <c r="O11" s="19">
        <v>1</v>
      </c>
      <c r="P11" s="19">
        <v>1</v>
      </c>
      <c r="Q11" s="19" t="s">
        <v>241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19">
        <v>0</v>
      </c>
      <c r="Z11" s="19">
        <v>0</v>
      </c>
      <c r="AA11" s="19">
        <v>0</v>
      </c>
      <c r="AB11" s="19">
        <v>0</v>
      </c>
      <c r="AC11" s="19">
        <v>0</v>
      </c>
      <c r="AD11" s="19">
        <v>0</v>
      </c>
      <c r="AE11" s="19">
        <v>1</v>
      </c>
      <c r="AF11" s="19"/>
      <c r="AG11" s="19"/>
      <c r="AH11" s="19"/>
      <c r="AI11" s="19">
        <v>3</v>
      </c>
      <c r="AJ11" s="19"/>
      <c r="AK11" s="19"/>
      <c r="AL11" s="19"/>
      <c r="AM11" s="19"/>
      <c r="AN11" s="19">
        <v>0</v>
      </c>
      <c r="AO11" s="19">
        <v>0</v>
      </c>
      <c r="AP11" s="19">
        <v>0</v>
      </c>
      <c r="AQ11" s="19">
        <v>0</v>
      </c>
      <c r="AR11" s="19">
        <v>0</v>
      </c>
      <c r="AS11" s="19">
        <v>0</v>
      </c>
      <c r="AT11" s="19">
        <v>0</v>
      </c>
      <c r="AU11" s="19">
        <v>0</v>
      </c>
      <c r="AV11" s="19">
        <v>0</v>
      </c>
      <c r="AW11" s="19">
        <v>0</v>
      </c>
      <c r="AX11" s="19">
        <v>0</v>
      </c>
      <c r="AY11" s="19">
        <v>0</v>
      </c>
      <c r="AZ11" s="19">
        <v>0</v>
      </c>
      <c r="BA11" s="19">
        <v>0</v>
      </c>
      <c r="BB11" s="19">
        <v>0</v>
      </c>
      <c r="BC11" s="19">
        <v>0</v>
      </c>
      <c r="BD11" s="19">
        <v>0</v>
      </c>
      <c r="BE11" s="19">
        <v>0</v>
      </c>
      <c r="BF11" s="19">
        <v>0</v>
      </c>
      <c r="BG11" s="19">
        <v>0</v>
      </c>
      <c r="BH11" s="19">
        <v>0</v>
      </c>
      <c r="BI11" s="19">
        <v>0</v>
      </c>
      <c r="BJ11" s="19">
        <v>0</v>
      </c>
      <c r="BK11" s="19">
        <v>0</v>
      </c>
      <c r="BL11" s="19">
        <v>0</v>
      </c>
      <c r="BM11" s="19">
        <v>0</v>
      </c>
      <c r="BN11" s="19">
        <v>0</v>
      </c>
      <c r="BO11" s="19">
        <v>0</v>
      </c>
      <c r="BP11" s="19">
        <v>0</v>
      </c>
      <c r="BQ11" s="19">
        <v>0</v>
      </c>
      <c r="BR11" s="19">
        <v>2</v>
      </c>
      <c r="BS11" s="19">
        <v>2</v>
      </c>
      <c r="BT11" s="19">
        <v>4</v>
      </c>
      <c r="BU11" s="19">
        <v>5</v>
      </c>
      <c r="BV11" s="19">
        <v>2</v>
      </c>
      <c r="BW11" s="19">
        <v>2</v>
      </c>
      <c r="BX11" s="19">
        <v>4</v>
      </c>
      <c r="BY11" s="19">
        <v>3</v>
      </c>
      <c r="BZ11" s="19">
        <v>3</v>
      </c>
      <c r="CA11" s="19">
        <v>4</v>
      </c>
      <c r="CB11" s="19">
        <v>4</v>
      </c>
      <c r="CC11" s="19">
        <v>5</v>
      </c>
      <c r="CD11" s="19">
        <v>3</v>
      </c>
      <c r="CE11" s="19">
        <v>3</v>
      </c>
      <c r="CF11" s="19">
        <v>3</v>
      </c>
      <c r="CG11" s="19">
        <v>4</v>
      </c>
      <c r="CH11" s="19">
        <v>4</v>
      </c>
      <c r="CI11" s="19">
        <v>4</v>
      </c>
      <c r="CJ11" s="19">
        <v>4</v>
      </c>
      <c r="CK11" s="19">
        <v>10</v>
      </c>
      <c r="CL11" s="24" t="s">
        <v>242</v>
      </c>
      <c r="CM11" s="24">
        <v>36.5</v>
      </c>
      <c r="CN11" s="27">
        <v>88.3</v>
      </c>
      <c r="CO11" s="27">
        <v>80.400000000000006</v>
      </c>
      <c r="CP11" s="27">
        <v>28.2</v>
      </c>
      <c r="CQ11" s="24">
        <v>73.819999999999993</v>
      </c>
      <c r="CR11" s="24">
        <v>0</v>
      </c>
      <c r="CS11" s="24">
        <v>25.61</v>
      </c>
      <c r="CT11" s="24">
        <v>0</v>
      </c>
      <c r="CU11" s="24">
        <v>0.56999999999999995</v>
      </c>
      <c r="CV11" s="24">
        <v>0</v>
      </c>
      <c r="CW11" s="24">
        <v>0</v>
      </c>
      <c r="CX11" s="24">
        <v>0</v>
      </c>
      <c r="CY11" s="24">
        <v>0</v>
      </c>
      <c r="CZ11" s="24">
        <v>0</v>
      </c>
      <c r="DA11" s="24">
        <v>0</v>
      </c>
      <c r="DB11" s="24">
        <v>1.17</v>
      </c>
      <c r="DC11" s="24">
        <v>31.76</v>
      </c>
      <c r="DD11" s="24">
        <v>23.3</v>
      </c>
      <c r="DE11" s="24">
        <v>26.08</v>
      </c>
      <c r="DF11" s="24">
        <v>0</v>
      </c>
      <c r="DG11" s="24">
        <v>0</v>
      </c>
      <c r="DH11" s="24">
        <v>0</v>
      </c>
      <c r="DU11" s="24">
        <v>2.1</v>
      </c>
      <c r="DV11" s="24">
        <v>1</v>
      </c>
      <c r="DW11" s="24">
        <v>47</v>
      </c>
      <c r="DX11" s="24">
        <v>2</v>
      </c>
      <c r="DY11" s="24">
        <v>0.27</v>
      </c>
      <c r="DZ11" s="24">
        <v>3</v>
      </c>
      <c r="EG11" s="28"/>
      <c r="EY11" s="24">
        <v>0</v>
      </c>
      <c r="GJ11" s="27">
        <v>1.9</v>
      </c>
      <c r="GK11" s="27">
        <v>1</v>
      </c>
      <c r="GL11" s="27">
        <v>1</v>
      </c>
      <c r="GM11" s="27"/>
      <c r="GN11" s="27">
        <f>5.29*3</f>
        <v>15.870000000000001</v>
      </c>
      <c r="GO11" s="27"/>
      <c r="GP11" s="27"/>
      <c r="GQ11" s="27"/>
      <c r="GR11" s="27"/>
      <c r="GS11" s="27"/>
      <c r="GT11" s="27"/>
      <c r="GU11" s="27">
        <v>0.56999999999999995</v>
      </c>
      <c r="GV11" s="27">
        <v>0.56000000000000005</v>
      </c>
      <c r="GW11" s="27"/>
      <c r="GX11" s="27"/>
      <c r="GY11" s="27">
        <v>0</v>
      </c>
      <c r="GZ11" s="27">
        <v>0</v>
      </c>
      <c r="HA11" s="27">
        <v>0</v>
      </c>
      <c r="HB11" s="24">
        <v>0</v>
      </c>
      <c r="HC11" s="24" t="s">
        <v>243</v>
      </c>
      <c r="HD11" s="24">
        <v>38</v>
      </c>
      <c r="HE11" s="27">
        <v>87.8</v>
      </c>
      <c r="HF11" s="27">
        <v>80.400000000000006</v>
      </c>
      <c r="HG11" s="27">
        <v>29.1</v>
      </c>
      <c r="HH11" s="24">
        <v>71.17</v>
      </c>
      <c r="HI11" s="24">
        <v>0</v>
      </c>
      <c r="HJ11" s="24">
        <v>25.61</v>
      </c>
      <c r="HK11" s="24">
        <v>0</v>
      </c>
      <c r="HL11" s="24">
        <v>3.22</v>
      </c>
      <c r="HM11" s="24">
        <v>0</v>
      </c>
      <c r="HN11" s="24">
        <v>0</v>
      </c>
      <c r="HO11" s="24">
        <v>0</v>
      </c>
      <c r="HP11" s="24">
        <v>0</v>
      </c>
      <c r="HQ11" s="24">
        <v>0</v>
      </c>
      <c r="HR11" s="24">
        <v>0</v>
      </c>
      <c r="HS11" s="24">
        <v>1.08</v>
      </c>
      <c r="HT11" s="24">
        <v>31.76</v>
      </c>
      <c r="HU11" s="24">
        <v>22.19</v>
      </c>
      <c r="HV11" s="24">
        <v>26.38</v>
      </c>
      <c r="HW11" s="24">
        <v>0</v>
      </c>
      <c r="HX11" s="24">
        <v>0</v>
      </c>
      <c r="HY11" s="24">
        <v>0</v>
      </c>
      <c r="IL11" s="24">
        <v>2.1</v>
      </c>
      <c r="IM11" s="24">
        <v>1</v>
      </c>
      <c r="IN11" s="24">
        <v>47</v>
      </c>
      <c r="IO11" s="24">
        <v>2</v>
      </c>
      <c r="IP11" s="24">
        <v>0.27</v>
      </c>
      <c r="IQ11" s="24">
        <v>3</v>
      </c>
      <c r="IX11" s="28"/>
      <c r="JP11" s="24">
        <v>0</v>
      </c>
      <c r="LA11" s="27">
        <v>1.9</v>
      </c>
      <c r="LB11" s="27">
        <v>1</v>
      </c>
      <c r="LC11" s="27">
        <v>1</v>
      </c>
      <c r="LD11" s="27"/>
      <c r="LE11" s="27">
        <f>5.29*3</f>
        <v>15.870000000000001</v>
      </c>
      <c r="LF11" s="27"/>
      <c r="LG11" s="27"/>
      <c r="LH11" s="27"/>
      <c r="LI11" s="27"/>
      <c r="LJ11" s="27"/>
      <c r="LK11" s="27"/>
      <c r="LL11" s="27">
        <v>1.1200000000000001</v>
      </c>
      <c r="LM11" s="27">
        <v>0.27</v>
      </c>
      <c r="LN11" s="27"/>
      <c r="LO11" s="27"/>
      <c r="LP11" s="27">
        <v>0</v>
      </c>
      <c r="LQ11" s="27">
        <v>0</v>
      </c>
      <c r="LR11" s="27">
        <v>0</v>
      </c>
      <c r="LS11" s="24">
        <v>0</v>
      </c>
      <c r="LT11" s="24" t="s">
        <v>244</v>
      </c>
      <c r="LU11" s="24">
        <v>24.5</v>
      </c>
      <c r="LV11" s="27">
        <v>84.2</v>
      </c>
      <c r="LW11" s="27">
        <v>80.400000000000006</v>
      </c>
      <c r="LX11" s="27">
        <v>11.9</v>
      </c>
      <c r="LY11" s="24">
        <v>97.51</v>
      </c>
      <c r="LZ11" s="24">
        <v>0</v>
      </c>
      <c r="MA11" s="24">
        <v>2.4900000000000002</v>
      </c>
      <c r="MB11" s="24">
        <v>0</v>
      </c>
      <c r="MC11" s="24">
        <v>0</v>
      </c>
      <c r="MD11" s="24">
        <v>0</v>
      </c>
      <c r="ME11" s="24">
        <v>0</v>
      </c>
      <c r="MF11" s="24">
        <v>0</v>
      </c>
      <c r="MG11" s="24">
        <v>0</v>
      </c>
      <c r="MH11" s="24">
        <v>0</v>
      </c>
      <c r="MI11" s="24">
        <v>0</v>
      </c>
      <c r="MJ11" s="24">
        <v>0</v>
      </c>
      <c r="MK11" s="24">
        <v>3.13</v>
      </c>
      <c r="ML11" s="24">
        <v>26.34</v>
      </c>
      <c r="MM11" s="24">
        <v>45.74</v>
      </c>
      <c r="MN11" s="24">
        <v>0</v>
      </c>
      <c r="MO11" s="24">
        <v>0</v>
      </c>
      <c r="MP11" s="24">
        <v>0</v>
      </c>
      <c r="NC11" s="24">
        <v>0</v>
      </c>
      <c r="ND11" s="24">
        <v>0</v>
      </c>
      <c r="NO11" s="28"/>
      <c r="OG11" s="24">
        <v>0</v>
      </c>
      <c r="PR11" s="27">
        <v>6.4</v>
      </c>
      <c r="PS11" s="27">
        <v>1</v>
      </c>
      <c r="PT11" s="27">
        <v>2</v>
      </c>
      <c r="PU11" s="27"/>
      <c r="PV11" s="27">
        <f>1.24*2</f>
        <v>2.48</v>
      </c>
      <c r="PW11" s="27">
        <v>1</v>
      </c>
      <c r="PX11" s="27"/>
      <c r="PY11" s="27">
        <f>1.24*3+0.62+0.93+3.18+1.59+3.73+7.46</f>
        <v>21.23</v>
      </c>
      <c r="PZ11" s="27"/>
      <c r="QA11" s="27"/>
      <c r="QB11" s="27"/>
      <c r="QC11" s="27">
        <v>1.61</v>
      </c>
      <c r="QD11" s="27">
        <v>1.46</v>
      </c>
      <c r="QE11" s="27"/>
      <c r="QF11" s="27"/>
      <c r="QG11" s="27">
        <v>0</v>
      </c>
      <c r="QH11" s="27">
        <v>0</v>
      </c>
      <c r="QI11" s="27">
        <v>0</v>
      </c>
      <c r="QJ11" s="24">
        <v>0</v>
      </c>
      <c r="QK11" s="24" t="s">
        <v>245</v>
      </c>
      <c r="QL11" s="24">
        <v>19.5</v>
      </c>
      <c r="QM11" s="27">
        <v>76</v>
      </c>
      <c r="QN11" s="27">
        <v>80.400000000000006</v>
      </c>
      <c r="QO11" s="27">
        <v>10.9</v>
      </c>
      <c r="QP11" s="24">
        <v>99.87</v>
      </c>
      <c r="QQ11" s="24">
        <v>0</v>
      </c>
      <c r="QR11" s="24">
        <v>0</v>
      </c>
      <c r="QS11" s="24">
        <v>0</v>
      </c>
      <c r="QT11" s="24">
        <v>0.13</v>
      </c>
      <c r="QU11" s="24">
        <v>0</v>
      </c>
      <c r="QV11" s="24">
        <v>0</v>
      </c>
      <c r="QW11" s="24">
        <v>0</v>
      </c>
      <c r="QX11" s="24">
        <v>0</v>
      </c>
      <c r="QY11" s="24">
        <v>0</v>
      </c>
      <c r="QZ11" s="24">
        <v>0</v>
      </c>
      <c r="RA11" s="24">
        <v>0.1</v>
      </c>
      <c r="RB11" s="24">
        <v>0</v>
      </c>
      <c r="RC11" s="24">
        <v>17.25</v>
      </c>
      <c r="RD11" s="24">
        <v>40.01</v>
      </c>
      <c r="RE11" s="24">
        <v>0</v>
      </c>
      <c r="RF11" s="24">
        <v>0</v>
      </c>
      <c r="RG11" s="24">
        <v>0</v>
      </c>
      <c r="RT11" s="24">
        <v>4.5</v>
      </c>
      <c r="RU11" s="24">
        <v>1</v>
      </c>
      <c r="RV11" s="24">
        <v>34</v>
      </c>
      <c r="RW11" s="24">
        <v>2</v>
      </c>
      <c r="RX11" s="24">
        <v>0.13</v>
      </c>
      <c r="RY11" s="24">
        <v>1</v>
      </c>
      <c r="RZ11" s="24">
        <v>52</v>
      </c>
      <c r="SA11" s="24">
        <v>2</v>
      </c>
      <c r="SB11" s="24">
        <v>1.52</v>
      </c>
      <c r="SC11" s="24">
        <v>2</v>
      </c>
      <c r="SF11" s="28"/>
      <c r="SX11" s="24">
        <v>1</v>
      </c>
      <c r="SY11" s="24">
        <v>70</v>
      </c>
      <c r="SZ11" s="24">
        <v>7</v>
      </c>
      <c r="TA11" s="24">
        <v>0.7</v>
      </c>
      <c r="TB11" s="24">
        <v>3</v>
      </c>
      <c r="UI11" s="27">
        <v>0.72</v>
      </c>
      <c r="UJ11" s="27">
        <v>1</v>
      </c>
      <c r="UK11" s="27">
        <v>1</v>
      </c>
      <c r="UL11" s="27"/>
      <c r="UM11" s="27">
        <f>1.15+0.56+0.29</f>
        <v>2</v>
      </c>
      <c r="UN11" s="27"/>
      <c r="UO11" s="27"/>
      <c r="UP11" s="27"/>
      <c r="UQ11" s="27"/>
      <c r="UR11" s="27"/>
      <c r="US11" s="27"/>
      <c r="UT11" s="27">
        <v>0.17</v>
      </c>
      <c r="UU11" s="27">
        <v>0.17</v>
      </c>
      <c r="UV11" s="27"/>
      <c r="UW11" s="27"/>
      <c r="UX11" s="27">
        <v>0</v>
      </c>
      <c r="UY11" s="27">
        <v>0</v>
      </c>
      <c r="UZ11" s="27">
        <v>0</v>
      </c>
      <c r="VA11" s="24">
        <v>0</v>
      </c>
      <c r="VB11" s="24" t="s">
        <v>246</v>
      </c>
      <c r="VC11" s="24">
        <v>27</v>
      </c>
      <c r="VD11" s="27">
        <v>72</v>
      </c>
      <c r="VE11" s="27">
        <v>80.400000000000006</v>
      </c>
      <c r="VF11" s="27">
        <v>19.2</v>
      </c>
      <c r="VG11" s="24">
        <v>86.83</v>
      </c>
      <c r="VH11" s="24">
        <v>0</v>
      </c>
      <c r="VI11" s="24">
        <v>0</v>
      </c>
      <c r="VJ11" s="24">
        <v>0</v>
      </c>
      <c r="VK11" s="24">
        <v>13.17</v>
      </c>
      <c r="VL11" s="24">
        <v>0</v>
      </c>
      <c r="VM11" s="24">
        <v>0</v>
      </c>
      <c r="VN11" s="24">
        <v>0</v>
      </c>
      <c r="VO11" s="24">
        <v>0</v>
      </c>
      <c r="VP11" s="24">
        <v>0</v>
      </c>
      <c r="VQ11" s="24">
        <v>0</v>
      </c>
      <c r="VR11" s="24">
        <v>18.28</v>
      </c>
      <c r="VS11" s="24">
        <v>16.809999999999999</v>
      </c>
      <c r="VT11" s="24">
        <v>9.64</v>
      </c>
      <c r="VU11" s="24">
        <v>19.739999999999998</v>
      </c>
      <c r="VV11" s="24">
        <v>0</v>
      </c>
      <c r="VW11" s="24">
        <v>0</v>
      </c>
      <c r="VX11" s="24">
        <v>0</v>
      </c>
      <c r="WK11" s="24">
        <v>0</v>
      </c>
      <c r="WL11" s="24">
        <v>0</v>
      </c>
      <c r="WW11" s="28"/>
      <c r="XO11" s="24">
        <v>0</v>
      </c>
      <c r="YZ11" s="27">
        <v>1.43</v>
      </c>
      <c r="ZA11" s="27">
        <v>1</v>
      </c>
      <c r="ZB11" s="27">
        <v>1</v>
      </c>
      <c r="ZC11" s="27"/>
      <c r="ZD11" s="27">
        <f>6.34+2.11+0.08+0.37</f>
        <v>8.8999999999999986</v>
      </c>
      <c r="ZE11" s="27"/>
      <c r="ZF11" s="27"/>
      <c r="ZG11" s="27"/>
      <c r="ZH11" s="27"/>
      <c r="ZI11" s="27"/>
      <c r="ZJ11" s="27"/>
      <c r="ZK11" s="27">
        <v>3.5</v>
      </c>
      <c r="ZL11" s="27">
        <v>3.5</v>
      </c>
      <c r="ZM11" s="27"/>
      <c r="ZN11" s="27"/>
      <c r="ZO11" s="27">
        <v>0</v>
      </c>
      <c r="ZP11" s="27">
        <v>0</v>
      </c>
      <c r="ZQ11" s="27">
        <v>0</v>
      </c>
      <c r="ZR11" s="24">
        <v>0</v>
      </c>
      <c r="ZS11" s="24" t="s">
        <v>247</v>
      </c>
      <c r="ZT11" s="24">
        <v>37</v>
      </c>
      <c r="ZU11" s="27">
        <v>79.2</v>
      </c>
      <c r="ZV11" s="27">
        <v>80.400000000000006</v>
      </c>
      <c r="ZW11" s="27">
        <v>12.1</v>
      </c>
      <c r="ZX11" s="24">
        <v>96.75</v>
      </c>
      <c r="ZY11" s="24">
        <v>0</v>
      </c>
      <c r="ZZ11" s="24">
        <v>0</v>
      </c>
      <c r="AAA11" s="24">
        <v>0</v>
      </c>
      <c r="AAB11" s="24">
        <v>3.25</v>
      </c>
      <c r="AAC11" s="24">
        <v>0</v>
      </c>
      <c r="AAD11" s="24">
        <v>0</v>
      </c>
      <c r="AAE11" s="24">
        <v>0</v>
      </c>
      <c r="AAF11" s="24">
        <v>0</v>
      </c>
      <c r="AAG11" s="24">
        <v>0</v>
      </c>
      <c r="AAH11" s="24">
        <v>0</v>
      </c>
      <c r="AAI11" s="24">
        <v>9.06</v>
      </c>
      <c r="AAJ11" s="24">
        <v>18.149999999999999</v>
      </c>
      <c r="AAK11" s="24">
        <v>25.66</v>
      </c>
      <c r="AAL11" s="24">
        <v>15.61</v>
      </c>
      <c r="AAM11" s="24">
        <v>0</v>
      </c>
      <c r="AAN11" s="24">
        <v>0</v>
      </c>
      <c r="AAO11" s="24">
        <v>0</v>
      </c>
      <c r="ABB11" s="24">
        <v>17.8</v>
      </c>
      <c r="ABC11" s="24">
        <v>1</v>
      </c>
      <c r="ABD11" s="24">
        <v>47</v>
      </c>
      <c r="ABE11" s="24">
        <v>3</v>
      </c>
      <c r="ABF11" s="24">
        <v>2.2799999999999998</v>
      </c>
      <c r="ABG11" s="24">
        <v>3</v>
      </c>
      <c r="ABH11" s="24">
        <v>26</v>
      </c>
      <c r="ABI11" s="24">
        <v>1</v>
      </c>
      <c r="ABJ11" s="24">
        <v>0.76</v>
      </c>
      <c r="ABK11" s="24">
        <v>2</v>
      </c>
      <c r="ABN11" s="28"/>
      <c r="ACF11" s="24">
        <v>0</v>
      </c>
      <c r="ADQ11" s="27">
        <v>1.27</v>
      </c>
      <c r="ADR11" s="27">
        <v>1</v>
      </c>
      <c r="ADS11" s="27">
        <v>1</v>
      </c>
      <c r="ADT11" s="27"/>
      <c r="ADU11" s="27">
        <f>6.34+1.06</f>
        <v>7.4</v>
      </c>
      <c r="ADV11" s="27"/>
      <c r="ADW11" s="27"/>
      <c r="ADX11" s="27"/>
      <c r="ADY11" s="27"/>
      <c r="ADZ11" s="27"/>
      <c r="AEA11" s="27"/>
      <c r="AEB11" s="27">
        <v>2.86</v>
      </c>
      <c r="AEC11" s="27">
        <v>2.86</v>
      </c>
      <c r="AED11" s="27"/>
      <c r="AEE11" s="27"/>
      <c r="AEF11" s="27">
        <v>0</v>
      </c>
      <c r="AEG11" s="27">
        <v>0</v>
      </c>
      <c r="AEH11" s="27">
        <v>0</v>
      </c>
      <c r="AEI11" s="24">
        <v>0</v>
      </c>
      <c r="AEJ11" s="24" t="s">
        <v>248</v>
      </c>
      <c r="AEK11" s="24">
        <v>33</v>
      </c>
      <c r="AEL11" s="27">
        <v>122.1</v>
      </c>
      <c r="AEM11" s="27">
        <v>80.400000000000006</v>
      </c>
      <c r="AEN11" s="27">
        <v>14.1</v>
      </c>
      <c r="AEO11" s="24">
        <v>91.87</v>
      </c>
      <c r="AEP11" s="24">
        <v>0</v>
      </c>
      <c r="AEQ11" s="24">
        <v>5.85</v>
      </c>
      <c r="AER11" s="24">
        <v>0</v>
      </c>
      <c r="AES11" s="24">
        <v>2.2799999999999998</v>
      </c>
      <c r="AET11" s="24">
        <v>0</v>
      </c>
      <c r="AEU11" s="24">
        <v>0</v>
      </c>
      <c r="AEV11" s="24">
        <v>0</v>
      </c>
      <c r="AEW11" s="24">
        <v>0</v>
      </c>
      <c r="AEX11" s="24">
        <v>0</v>
      </c>
      <c r="AEY11" s="24">
        <v>0</v>
      </c>
      <c r="AEZ11" s="24">
        <v>0</v>
      </c>
      <c r="AFA11" s="24">
        <v>23.39</v>
      </c>
      <c r="AFB11" s="24">
        <v>10.3</v>
      </c>
      <c r="AFC11" s="24">
        <v>49.9</v>
      </c>
      <c r="AFD11" s="24">
        <v>0</v>
      </c>
      <c r="AFE11" s="24">
        <v>0</v>
      </c>
      <c r="AFF11" s="24">
        <v>0</v>
      </c>
      <c r="AFS11" s="24">
        <v>0</v>
      </c>
      <c r="AFT11" s="24">
        <v>1</v>
      </c>
      <c r="AFU11" s="24">
        <v>34</v>
      </c>
      <c r="AFV11" s="24">
        <v>1</v>
      </c>
      <c r="AFW11" s="24">
        <v>1.1399999999999999</v>
      </c>
      <c r="AFX11" s="24">
        <v>1</v>
      </c>
      <c r="AGE11" s="28"/>
      <c r="AGW11" s="24">
        <v>0</v>
      </c>
      <c r="AIH11" s="27">
        <v>4.78</v>
      </c>
      <c r="AII11" s="27">
        <v>1</v>
      </c>
      <c r="AIJ11" s="27">
        <v>1</v>
      </c>
      <c r="AIK11" s="27"/>
      <c r="AIL11" s="27">
        <v>4.2300000000000004</v>
      </c>
      <c r="AIM11" s="27">
        <v>2</v>
      </c>
      <c r="AIN11" s="27"/>
      <c r="AIO11" s="27">
        <f>1.14+9.52+1.68</f>
        <v>12.34</v>
      </c>
      <c r="AIP11" s="27"/>
      <c r="AIQ11" s="27"/>
      <c r="AIR11" s="27"/>
      <c r="AIS11" s="27">
        <v>10.43</v>
      </c>
      <c r="AIT11" s="27">
        <v>22.43</v>
      </c>
      <c r="AIU11" s="27"/>
      <c r="AIV11" s="27"/>
      <c r="AIW11" s="27">
        <v>0</v>
      </c>
      <c r="AIX11" s="27">
        <v>0</v>
      </c>
      <c r="AIY11" s="27">
        <v>0</v>
      </c>
      <c r="AIZ11" s="24">
        <v>0</v>
      </c>
      <c r="AJA11" s="24" t="s">
        <v>249</v>
      </c>
      <c r="AJB11" s="24">
        <v>25</v>
      </c>
      <c r="AJC11" s="27">
        <v>87.3</v>
      </c>
      <c r="AJD11" s="27">
        <v>80.400000000000006</v>
      </c>
      <c r="AJE11" s="27">
        <v>8.8000000000000007</v>
      </c>
      <c r="AJF11" s="24">
        <v>100</v>
      </c>
      <c r="AJG11" s="24">
        <v>0</v>
      </c>
      <c r="AJH11" s="24">
        <v>0</v>
      </c>
      <c r="AJI11" s="24">
        <v>0</v>
      </c>
      <c r="AJJ11" s="24">
        <v>0</v>
      </c>
      <c r="AJK11" s="24">
        <v>0</v>
      </c>
      <c r="AJL11" s="24">
        <v>0</v>
      </c>
      <c r="AJM11" s="24">
        <v>0</v>
      </c>
      <c r="AJN11" s="24">
        <v>0</v>
      </c>
      <c r="AJO11" s="24">
        <v>0</v>
      </c>
      <c r="AJP11" s="24">
        <v>0</v>
      </c>
      <c r="AJQ11" s="24">
        <v>0</v>
      </c>
      <c r="AJR11" s="24">
        <v>11.94</v>
      </c>
      <c r="AJS11" s="24">
        <v>34.17</v>
      </c>
      <c r="AJT11" s="24">
        <v>24.72</v>
      </c>
      <c r="AJU11" s="24">
        <v>0</v>
      </c>
      <c r="AJV11" s="24">
        <v>6.9</v>
      </c>
      <c r="AJW11" s="24">
        <v>3</v>
      </c>
      <c r="AJX11" s="24">
        <v>50</v>
      </c>
      <c r="AJZ11" s="24">
        <v>2</v>
      </c>
      <c r="AKD11" s="24">
        <v>50</v>
      </c>
      <c r="AKF11" s="24">
        <v>2</v>
      </c>
      <c r="AKJ11" s="24">
        <v>0</v>
      </c>
      <c r="AKK11" s="24">
        <v>0</v>
      </c>
      <c r="AKV11" s="28"/>
      <c r="ALN11" s="24">
        <v>1</v>
      </c>
      <c r="ALO11" s="24">
        <v>50</v>
      </c>
      <c r="ALP11" s="24">
        <v>1</v>
      </c>
      <c r="ALQ11" s="24">
        <v>1.86</v>
      </c>
      <c r="ALR11" s="24">
        <v>3</v>
      </c>
    </row>
    <row r="12" spans="1:1024" x14ac:dyDescent="0.2">
      <c r="A12" s="1" t="s">
        <v>250</v>
      </c>
      <c r="B12" s="12">
        <v>42892</v>
      </c>
      <c r="C12">
        <v>2</v>
      </c>
      <c r="D12" s="13">
        <v>35569</v>
      </c>
      <c r="E12" s="12">
        <v>27823</v>
      </c>
      <c r="F12" s="14">
        <f t="shared" si="0"/>
        <v>41.256673511293634</v>
      </c>
      <c r="G12" s="14">
        <f t="shared" si="1"/>
        <v>20.049281314168379</v>
      </c>
      <c r="H12" s="21" t="s">
        <v>228</v>
      </c>
      <c r="I12" s="15" t="s">
        <v>251</v>
      </c>
      <c r="J12" s="21" t="s">
        <v>181</v>
      </c>
      <c r="K12" s="21">
        <v>8</v>
      </c>
      <c r="L12" s="14">
        <v>81.2</v>
      </c>
      <c r="M12">
        <v>1.77</v>
      </c>
      <c r="N12" s="16">
        <f t="shared" si="2"/>
        <v>25.918478087395066</v>
      </c>
      <c r="O12" s="19">
        <v>1</v>
      </c>
      <c r="P12" s="19">
        <v>1</v>
      </c>
      <c r="Q12" s="19" t="s">
        <v>252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9">
        <v>0</v>
      </c>
      <c r="AB12" s="19">
        <v>0</v>
      </c>
      <c r="AC12" s="19">
        <v>0</v>
      </c>
      <c r="AD12" s="19">
        <v>0</v>
      </c>
      <c r="AE12" s="19">
        <v>0</v>
      </c>
      <c r="AF12" s="19">
        <v>0</v>
      </c>
      <c r="AG12" s="19">
        <v>0</v>
      </c>
      <c r="AH12" s="19">
        <v>0</v>
      </c>
      <c r="AI12" s="19">
        <v>0</v>
      </c>
      <c r="AJ12" s="19">
        <v>0</v>
      </c>
      <c r="AK12" s="19">
        <v>0</v>
      </c>
      <c r="AL12" s="19">
        <v>0</v>
      </c>
      <c r="AM12" s="19">
        <v>0</v>
      </c>
      <c r="AN12" s="19">
        <v>0</v>
      </c>
      <c r="AO12" s="19">
        <v>0</v>
      </c>
      <c r="AP12" s="19">
        <v>0</v>
      </c>
      <c r="AQ12" s="19">
        <v>0</v>
      </c>
      <c r="AR12" s="19">
        <v>0</v>
      </c>
      <c r="AS12" s="19">
        <v>3</v>
      </c>
      <c r="AT12" s="19">
        <v>0</v>
      </c>
      <c r="AU12" s="19">
        <v>0</v>
      </c>
      <c r="AV12" s="19">
        <v>0</v>
      </c>
      <c r="AW12" s="19">
        <v>0</v>
      </c>
      <c r="AX12" s="19">
        <v>0</v>
      </c>
      <c r="AY12" s="19">
        <v>0</v>
      </c>
      <c r="AZ12" s="19">
        <v>0</v>
      </c>
      <c r="BA12" s="19">
        <v>0</v>
      </c>
      <c r="BB12" s="19">
        <v>1</v>
      </c>
      <c r="BC12" s="19">
        <v>0</v>
      </c>
      <c r="BD12" s="19">
        <v>0</v>
      </c>
      <c r="BE12" s="19">
        <v>0</v>
      </c>
      <c r="BF12" s="19"/>
      <c r="BG12" s="19"/>
      <c r="BH12" s="19"/>
      <c r="BI12" s="19"/>
      <c r="BJ12" s="19">
        <v>1</v>
      </c>
      <c r="BK12" s="19">
        <v>0</v>
      </c>
      <c r="BL12" s="19">
        <v>0</v>
      </c>
      <c r="BM12" s="19">
        <v>0</v>
      </c>
      <c r="BN12" s="19"/>
      <c r="BO12" s="19"/>
      <c r="BP12" s="19"/>
      <c r="BQ12" s="19"/>
      <c r="BR12" s="19">
        <v>1</v>
      </c>
      <c r="BS12" s="19">
        <v>2</v>
      </c>
      <c r="BT12" s="19">
        <v>1</v>
      </c>
      <c r="BU12" s="19">
        <v>5</v>
      </c>
      <c r="BV12" s="19">
        <v>3</v>
      </c>
      <c r="BW12" s="19">
        <v>3</v>
      </c>
      <c r="BX12" s="19">
        <v>3</v>
      </c>
      <c r="BY12" s="19">
        <v>4</v>
      </c>
      <c r="BZ12" s="19">
        <v>4</v>
      </c>
      <c r="CA12" s="19">
        <v>4</v>
      </c>
      <c r="CB12" s="19">
        <v>4</v>
      </c>
      <c r="CC12" s="19">
        <v>4</v>
      </c>
      <c r="CD12" s="19">
        <v>4</v>
      </c>
      <c r="CE12" s="19">
        <v>4</v>
      </c>
      <c r="CF12" s="19">
        <v>4</v>
      </c>
      <c r="CG12" s="19">
        <v>5</v>
      </c>
      <c r="CH12" s="19">
        <v>5</v>
      </c>
      <c r="CI12" s="19">
        <v>5</v>
      </c>
      <c r="CJ12" s="19">
        <v>5</v>
      </c>
      <c r="CK12" s="19">
        <v>10</v>
      </c>
      <c r="CL12" t="s">
        <v>253</v>
      </c>
      <c r="CM12">
        <v>30</v>
      </c>
      <c r="CN12" s="16">
        <v>85.5</v>
      </c>
      <c r="CO12" s="16">
        <v>81</v>
      </c>
      <c r="CP12" s="16">
        <v>15.2</v>
      </c>
      <c r="CQ12">
        <v>87.44</v>
      </c>
      <c r="CR12">
        <v>0</v>
      </c>
      <c r="CS12">
        <v>0.94</v>
      </c>
      <c r="CT12">
        <v>1.97</v>
      </c>
      <c r="CU12">
        <v>9.65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2.71</v>
      </c>
      <c r="DC12">
        <v>0.6</v>
      </c>
      <c r="DD12">
        <v>2.17</v>
      </c>
      <c r="DE12">
        <v>5.97</v>
      </c>
      <c r="DF12">
        <v>2.65</v>
      </c>
      <c r="DG12">
        <v>0</v>
      </c>
      <c r="DH12">
        <v>0</v>
      </c>
      <c r="DU12">
        <v>10.6</v>
      </c>
      <c r="DV12">
        <v>1</v>
      </c>
      <c r="DW12">
        <v>60</v>
      </c>
      <c r="DX12">
        <v>2</v>
      </c>
      <c r="DY12">
        <f>0.38+0.07</f>
        <v>0.45</v>
      </c>
      <c r="DZ12">
        <v>1</v>
      </c>
      <c r="EA12">
        <v>68</v>
      </c>
      <c r="EB12">
        <v>1</v>
      </c>
      <c r="EC12" s="16">
        <v>0.31</v>
      </c>
      <c r="ED12">
        <v>1</v>
      </c>
      <c r="EE12">
        <v>85</v>
      </c>
      <c r="EF12">
        <v>2</v>
      </c>
      <c r="EG12" s="18">
        <f>1.89+0.94</f>
        <v>2.83</v>
      </c>
      <c r="EH12">
        <v>2</v>
      </c>
      <c r="EI12">
        <v>25</v>
      </c>
      <c r="EJ12">
        <v>1</v>
      </c>
      <c r="EK12" s="16">
        <v>0.27</v>
      </c>
      <c r="EL12">
        <v>2</v>
      </c>
      <c r="EY12">
        <v>0</v>
      </c>
      <c r="GJ12" s="16">
        <v>0</v>
      </c>
      <c r="GK12" s="16">
        <v>0</v>
      </c>
      <c r="GL12" s="16"/>
      <c r="GM12" s="16"/>
      <c r="GN12" s="16"/>
      <c r="GO12" s="16"/>
      <c r="GP12" s="16"/>
      <c r="GQ12" s="16"/>
      <c r="GR12" s="16"/>
      <c r="GS12" s="16"/>
      <c r="GT12" s="16"/>
      <c r="GU12" s="16">
        <v>4.17</v>
      </c>
      <c r="GV12" s="16">
        <v>2.54</v>
      </c>
      <c r="GW12" s="16"/>
      <c r="GX12" s="16"/>
      <c r="GY12" s="16">
        <v>0</v>
      </c>
      <c r="GZ12" s="16">
        <v>0</v>
      </c>
      <c r="HA12" s="16">
        <v>0</v>
      </c>
      <c r="HB12">
        <v>0</v>
      </c>
      <c r="HC12" t="s">
        <v>254</v>
      </c>
      <c r="HD12">
        <v>53</v>
      </c>
      <c r="HE12" s="16">
        <v>81.5</v>
      </c>
      <c r="HF12" s="16">
        <v>81</v>
      </c>
      <c r="HG12" s="16">
        <v>36.4</v>
      </c>
      <c r="HH12">
        <v>56.99</v>
      </c>
      <c r="HI12">
        <v>0</v>
      </c>
      <c r="HJ12">
        <v>0</v>
      </c>
      <c r="HK12">
        <v>0.12</v>
      </c>
      <c r="HL12">
        <v>42.89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25.37</v>
      </c>
      <c r="HT12">
        <v>0</v>
      </c>
      <c r="HU12">
        <v>42.65</v>
      </c>
      <c r="HV12">
        <v>6.3</v>
      </c>
      <c r="HW12">
        <v>0</v>
      </c>
      <c r="HX12">
        <v>0</v>
      </c>
      <c r="HY12">
        <v>0</v>
      </c>
      <c r="IL12">
        <v>8.6999999999999993</v>
      </c>
      <c r="IM12">
        <v>1</v>
      </c>
      <c r="IN12">
        <v>137</v>
      </c>
      <c r="IO12">
        <v>2</v>
      </c>
      <c r="IP12">
        <f>0.65+0.05</f>
        <v>0.70000000000000007</v>
      </c>
      <c r="IQ12">
        <v>1</v>
      </c>
      <c r="IR12">
        <v>103</v>
      </c>
      <c r="IS12">
        <v>2</v>
      </c>
      <c r="IT12" s="16">
        <f>0.65+0.05</f>
        <v>0.70000000000000007</v>
      </c>
      <c r="IU12">
        <v>1</v>
      </c>
      <c r="IX12" s="18"/>
      <c r="JP12">
        <v>0</v>
      </c>
      <c r="LA12" s="16">
        <v>2.2799999999999998</v>
      </c>
      <c r="LB12" s="16">
        <v>1</v>
      </c>
      <c r="LC12" s="16">
        <v>3</v>
      </c>
      <c r="LD12" s="16"/>
      <c r="LE12" s="16">
        <f>2.69+0.37+0.74</f>
        <v>3.8</v>
      </c>
      <c r="LF12" s="16"/>
      <c r="LG12" s="16"/>
      <c r="LH12" s="16"/>
      <c r="LI12" s="16"/>
      <c r="LJ12" s="16"/>
      <c r="LK12" s="16"/>
      <c r="LL12" s="16">
        <v>0.48</v>
      </c>
      <c r="LM12" s="16">
        <v>0.48</v>
      </c>
      <c r="LN12" s="16"/>
      <c r="LO12" s="16"/>
      <c r="LP12" s="16">
        <v>2.2200000000000002</v>
      </c>
      <c r="LQ12" s="16">
        <v>23.08</v>
      </c>
      <c r="LR12" s="16">
        <v>0</v>
      </c>
      <c r="LS12">
        <v>0</v>
      </c>
      <c r="LT12" t="s">
        <v>255</v>
      </c>
      <c r="LU12">
        <v>41</v>
      </c>
      <c r="LV12" s="16">
        <v>48.6</v>
      </c>
      <c r="LW12" s="16">
        <v>81</v>
      </c>
      <c r="LX12" s="16">
        <v>21.6</v>
      </c>
      <c r="LY12">
        <v>76.16</v>
      </c>
      <c r="LZ12">
        <v>0</v>
      </c>
      <c r="MA12">
        <v>7.0000000000000007E-2</v>
      </c>
      <c r="MB12">
        <v>0.13</v>
      </c>
      <c r="MC12">
        <v>23.64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6.53</v>
      </c>
      <c r="MK12">
        <v>0.2</v>
      </c>
      <c r="ML12">
        <v>27.15</v>
      </c>
      <c r="MM12">
        <v>4.1100000000000003</v>
      </c>
      <c r="MN12">
        <v>0</v>
      </c>
      <c r="MO12">
        <v>3.9</v>
      </c>
      <c r="MP12">
        <v>1</v>
      </c>
      <c r="MQ12">
        <v>10</v>
      </c>
      <c r="MS12">
        <v>1</v>
      </c>
      <c r="NC12">
        <v>0.6</v>
      </c>
      <c r="ND12">
        <v>1</v>
      </c>
      <c r="NE12">
        <v>52</v>
      </c>
      <c r="NF12">
        <v>3</v>
      </c>
      <c r="NG12" s="16">
        <f>0.16+0.13</f>
        <v>0.29000000000000004</v>
      </c>
      <c r="NH12">
        <v>2</v>
      </c>
      <c r="NO12" s="18"/>
      <c r="OG12">
        <v>0</v>
      </c>
      <c r="PR12" s="16">
        <v>0.56999999999999995</v>
      </c>
      <c r="PS12" s="16">
        <v>1</v>
      </c>
      <c r="PT12" s="16">
        <v>1</v>
      </c>
      <c r="PU12" s="16"/>
      <c r="PV12" s="16">
        <f>0.93</f>
        <v>0.93</v>
      </c>
      <c r="PW12" s="16">
        <v>2</v>
      </c>
      <c r="PX12" s="16"/>
      <c r="PY12" s="16">
        <f>0.31+0.22</f>
        <v>0.53</v>
      </c>
      <c r="PZ12" s="16"/>
      <c r="QA12" s="16"/>
      <c r="QB12" s="16"/>
      <c r="QC12" s="16">
        <v>5.72</v>
      </c>
      <c r="QD12" s="16">
        <v>5.75</v>
      </c>
      <c r="QE12" s="16"/>
      <c r="QF12" s="16"/>
      <c r="QG12" s="16">
        <v>7.41</v>
      </c>
      <c r="QH12" s="16">
        <v>0</v>
      </c>
      <c r="QI12" s="16">
        <v>0.22</v>
      </c>
      <c r="QJ12">
        <v>5</v>
      </c>
      <c r="QK12" t="s">
        <v>256</v>
      </c>
      <c r="QL12">
        <v>40</v>
      </c>
      <c r="QM12" s="16">
        <v>89.1</v>
      </c>
      <c r="QN12" s="16">
        <v>81</v>
      </c>
      <c r="QO12" s="16">
        <v>5.4</v>
      </c>
      <c r="QP12">
        <v>99.83</v>
      </c>
      <c r="QQ12">
        <v>0</v>
      </c>
      <c r="QR12">
        <v>0</v>
      </c>
      <c r="QS12">
        <v>0.17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19.8</v>
      </c>
      <c r="RC12">
        <v>8.9499999999999993</v>
      </c>
      <c r="RD12">
        <v>0</v>
      </c>
      <c r="RE12">
        <v>0</v>
      </c>
      <c r="RF12">
        <v>22.5</v>
      </c>
      <c r="RG12">
        <v>1</v>
      </c>
      <c r="RH12">
        <v>5</v>
      </c>
      <c r="RJ12">
        <v>8</v>
      </c>
      <c r="RT12">
        <v>0</v>
      </c>
      <c r="RU12">
        <v>0</v>
      </c>
      <c r="SF12" s="18"/>
      <c r="SX12">
        <v>1</v>
      </c>
      <c r="SY12">
        <v>50</v>
      </c>
      <c r="SZ12">
        <v>4</v>
      </c>
      <c r="TA12">
        <f>0.73*2+0.13*2</f>
        <v>1.72</v>
      </c>
      <c r="TB12">
        <v>3</v>
      </c>
      <c r="UI12" s="16">
        <v>1.48</v>
      </c>
      <c r="UJ12" s="16">
        <v>1</v>
      </c>
      <c r="UK12" s="16">
        <v>1</v>
      </c>
      <c r="UL12" s="16"/>
      <c r="UM12" s="16">
        <f>2.1*2+0.37*2</f>
        <v>4.9400000000000004</v>
      </c>
      <c r="UN12" s="16"/>
      <c r="UO12" s="16"/>
      <c r="UP12" s="16"/>
      <c r="UQ12" s="16"/>
      <c r="UR12" s="16"/>
      <c r="US12" s="16"/>
      <c r="UT12" s="16">
        <v>7.71</v>
      </c>
      <c r="UU12" s="16">
        <v>4.3499999999999996</v>
      </c>
      <c r="UV12" s="16"/>
      <c r="UW12" s="16"/>
      <c r="UX12" s="16">
        <v>0</v>
      </c>
      <c r="UY12" s="16">
        <v>0</v>
      </c>
      <c r="UZ12" s="16">
        <v>0</v>
      </c>
      <c r="VA12">
        <v>0</v>
      </c>
      <c r="VB12" t="s">
        <v>257</v>
      </c>
      <c r="VC12">
        <v>43</v>
      </c>
      <c r="VD12" s="16">
        <v>93.3</v>
      </c>
      <c r="VE12" s="16">
        <v>81</v>
      </c>
      <c r="VF12" s="16">
        <v>6.4</v>
      </c>
      <c r="VG12">
        <v>100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18.510000000000002</v>
      </c>
      <c r="VT12">
        <v>28.46</v>
      </c>
      <c r="VU12">
        <v>0</v>
      </c>
      <c r="VV12">
        <v>0</v>
      </c>
      <c r="VW12">
        <v>0</v>
      </c>
      <c r="VX12">
        <v>0</v>
      </c>
      <c r="WK12">
        <v>33</v>
      </c>
      <c r="WL12">
        <v>0</v>
      </c>
      <c r="WW12" s="18"/>
      <c r="XO12">
        <v>1</v>
      </c>
      <c r="XP12">
        <v>40</v>
      </c>
      <c r="XQ12">
        <v>8</v>
      </c>
      <c r="XR12">
        <f>1.51*2+3.02+0.27*2</f>
        <v>6.58</v>
      </c>
      <c r="XS12">
        <v>3</v>
      </c>
      <c r="XT12">
        <v>60</v>
      </c>
      <c r="XU12">
        <v>20</v>
      </c>
      <c r="XV12">
        <f>3.65*2+0.67*2</f>
        <v>8.64</v>
      </c>
      <c r="XW12">
        <v>3</v>
      </c>
      <c r="YZ12" s="16">
        <v>0</v>
      </c>
      <c r="ZA12" s="16">
        <v>0</v>
      </c>
      <c r="ZB12" s="16"/>
      <c r="ZC12" s="16"/>
      <c r="ZD12" s="16"/>
      <c r="ZE12" s="16"/>
      <c r="ZF12" s="16"/>
      <c r="ZG12" s="16"/>
      <c r="ZH12" s="16"/>
      <c r="ZI12" s="16"/>
      <c r="ZJ12" s="16"/>
      <c r="ZK12" s="16">
        <v>0</v>
      </c>
      <c r="ZL12" s="16">
        <v>0</v>
      </c>
      <c r="ZM12" s="16"/>
      <c r="ZN12" s="16"/>
      <c r="ZO12" s="16">
        <v>0</v>
      </c>
      <c r="ZP12" s="16">
        <v>0</v>
      </c>
      <c r="ZQ12" s="16">
        <v>0</v>
      </c>
      <c r="ZR12">
        <v>0</v>
      </c>
      <c r="ZS12" t="s">
        <v>258</v>
      </c>
      <c r="ZT12">
        <v>40</v>
      </c>
      <c r="ZU12" s="16">
        <v>90.1</v>
      </c>
      <c r="ZV12" s="16">
        <v>81</v>
      </c>
      <c r="ZW12" s="16">
        <v>5.9</v>
      </c>
      <c r="ZX12">
        <v>99.34</v>
      </c>
      <c r="ZY12">
        <v>0</v>
      </c>
      <c r="ZZ12">
        <v>0</v>
      </c>
      <c r="AAA12">
        <v>0.66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19.8</v>
      </c>
      <c r="AAK12">
        <v>8.9499999999999993</v>
      </c>
      <c r="AAL12">
        <v>0</v>
      </c>
      <c r="AAM12">
        <v>0</v>
      </c>
      <c r="AAN12">
        <v>22.3</v>
      </c>
      <c r="AAO12">
        <v>1</v>
      </c>
      <c r="AAP12">
        <v>5</v>
      </c>
      <c r="AAR12">
        <v>8</v>
      </c>
      <c r="ABB12">
        <v>0</v>
      </c>
      <c r="ABC12">
        <v>0</v>
      </c>
      <c r="ABN12" s="18"/>
      <c r="ACF12">
        <v>1</v>
      </c>
      <c r="ACG12">
        <v>50</v>
      </c>
      <c r="ACH12">
        <v>4</v>
      </c>
      <c r="ACI12">
        <f>0.73*2+0.13*2</f>
        <v>1.72</v>
      </c>
      <c r="ACJ12">
        <v>3</v>
      </c>
      <c r="ADQ12" s="16">
        <v>1.48</v>
      </c>
      <c r="ADR12" s="16">
        <v>1</v>
      </c>
      <c r="ADS12" s="16">
        <v>1</v>
      </c>
      <c r="ADT12" s="16"/>
      <c r="ADU12" s="16">
        <f>2.1*2+0.37*2</f>
        <v>4.9400000000000004</v>
      </c>
      <c r="ADV12" s="16"/>
      <c r="ADW12" s="16"/>
      <c r="ADX12" s="16"/>
      <c r="ADY12" s="16"/>
      <c r="ADZ12" s="16"/>
      <c r="AEA12" s="16"/>
      <c r="AEB12" s="16">
        <v>7.71</v>
      </c>
      <c r="AEC12" s="16">
        <v>4.3499999999999996</v>
      </c>
      <c r="AED12" s="16"/>
      <c r="AEE12" s="16"/>
      <c r="AEF12" s="16">
        <v>0</v>
      </c>
      <c r="AEG12" s="16">
        <v>0</v>
      </c>
      <c r="AEH12" s="16">
        <v>0</v>
      </c>
      <c r="AEI12">
        <v>0</v>
      </c>
      <c r="AEJ12" t="s">
        <v>259</v>
      </c>
      <c r="AEK12">
        <v>43</v>
      </c>
      <c r="AEL12" s="16">
        <v>93.3</v>
      </c>
      <c r="AEM12" s="16">
        <v>81</v>
      </c>
      <c r="AEN12" s="16">
        <v>6.4</v>
      </c>
      <c r="AEO12">
        <v>100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18.510000000000002</v>
      </c>
      <c r="AFB12">
        <v>28.46</v>
      </c>
      <c r="AFC12">
        <v>0</v>
      </c>
      <c r="AFD12">
        <v>0</v>
      </c>
      <c r="AFE12">
        <v>0</v>
      </c>
      <c r="AFF12">
        <v>0</v>
      </c>
      <c r="AFS12">
        <v>33</v>
      </c>
      <c r="AFT12">
        <v>0</v>
      </c>
      <c r="AGE12" s="18"/>
      <c r="AGW12">
        <v>1</v>
      </c>
      <c r="AGX12">
        <v>40</v>
      </c>
      <c r="AGY12">
        <v>8</v>
      </c>
      <c r="AGZ12">
        <f>1.51*2+0.27*2+3.02</f>
        <v>6.58</v>
      </c>
      <c r="AHA12">
        <v>3</v>
      </c>
      <c r="AHB12">
        <v>60</v>
      </c>
      <c r="AHC12">
        <v>20</v>
      </c>
      <c r="AHD12">
        <f>3.65*2+0.67*2</f>
        <v>8.64</v>
      </c>
      <c r="AHE12">
        <v>3</v>
      </c>
      <c r="AIH12" s="16">
        <v>0</v>
      </c>
      <c r="AII12" s="16">
        <v>0</v>
      </c>
      <c r="AIJ12" s="16"/>
      <c r="AIK12" s="16"/>
      <c r="AIL12" s="16"/>
      <c r="AIM12" s="16"/>
      <c r="AIN12" s="16"/>
      <c r="AIO12" s="16"/>
      <c r="AIP12" s="16"/>
      <c r="AIQ12" s="16"/>
      <c r="AIR12" s="16"/>
      <c r="AIS12" s="16">
        <v>0</v>
      </c>
      <c r="AIT12" s="16">
        <v>0</v>
      </c>
      <c r="AIU12" s="16"/>
      <c r="AIV12" s="16"/>
      <c r="AIW12" s="16">
        <v>0</v>
      </c>
      <c r="AIX12" s="16">
        <v>0</v>
      </c>
      <c r="AIY12" s="16">
        <v>0</v>
      </c>
      <c r="AIZ12">
        <v>0</v>
      </c>
      <c r="AJA12" t="s">
        <v>260</v>
      </c>
      <c r="AJB12">
        <v>57.5</v>
      </c>
      <c r="AJC12" s="16">
        <v>91.5</v>
      </c>
      <c r="AJD12" s="16">
        <v>81</v>
      </c>
      <c r="AJE12" s="16">
        <v>49.9</v>
      </c>
      <c r="AJF12">
        <v>47.29</v>
      </c>
      <c r="AJG12">
        <v>0</v>
      </c>
      <c r="AJH12">
        <v>45.65</v>
      </c>
      <c r="AJI12">
        <v>6.91</v>
      </c>
      <c r="AJJ12">
        <v>0.15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9.23</v>
      </c>
      <c r="AJS12">
        <v>4.3499999999999996</v>
      </c>
      <c r="AJT12">
        <v>6.63</v>
      </c>
      <c r="AJU12">
        <v>0</v>
      </c>
      <c r="AJV12">
        <v>0</v>
      </c>
      <c r="AJW12">
        <v>1</v>
      </c>
      <c r="AJX12">
        <v>5</v>
      </c>
      <c r="AJZ12">
        <v>2</v>
      </c>
      <c r="AKJ12">
        <v>1.1000000000000001</v>
      </c>
      <c r="AKK12">
        <v>0</v>
      </c>
      <c r="AKV12" s="18"/>
      <c r="ALN12">
        <v>1</v>
      </c>
      <c r="ALO12">
        <v>50</v>
      </c>
      <c r="ALP12">
        <v>1</v>
      </c>
      <c r="ALQ12">
        <v>0.27</v>
      </c>
      <c r="ALR12">
        <v>2</v>
      </c>
    </row>
    <row r="13" spans="1:1024" x14ac:dyDescent="0.2">
      <c r="A13" s="1" t="s">
        <v>261</v>
      </c>
      <c r="B13" s="12">
        <v>42893</v>
      </c>
      <c r="C13">
        <v>2</v>
      </c>
      <c r="D13" s="13">
        <v>35059</v>
      </c>
      <c r="E13" s="12">
        <v>27424</v>
      </c>
      <c r="F13" s="14">
        <f t="shared" si="0"/>
        <v>42.351813826146476</v>
      </c>
      <c r="G13" s="14">
        <f t="shared" si="1"/>
        <v>21.448323066392881</v>
      </c>
      <c r="H13" s="21" t="s">
        <v>183</v>
      </c>
      <c r="I13" s="15" t="s">
        <v>262</v>
      </c>
      <c r="J13" s="21" t="s">
        <v>181</v>
      </c>
      <c r="K13" s="21">
        <v>8</v>
      </c>
      <c r="L13" s="19">
        <v>71</v>
      </c>
      <c r="M13">
        <v>1.74</v>
      </c>
      <c r="N13" s="16">
        <f t="shared" si="2"/>
        <v>23.450918219051392</v>
      </c>
      <c r="O13" s="19">
        <v>0</v>
      </c>
      <c r="P13" s="19">
        <v>0</v>
      </c>
      <c r="Q13" s="19">
        <v>0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1</v>
      </c>
      <c r="X13" s="19">
        <v>0</v>
      </c>
      <c r="Y13" s="19">
        <v>0</v>
      </c>
      <c r="Z13" s="19">
        <v>0</v>
      </c>
      <c r="AA13" s="19">
        <v>0</v>
      </c>
      <c r="AB13" s="19">
        <v>0</v>
      </c>
      <c r="AC13" s="19">
        <v>1</v>
      </c>
      <c r="AD13" s="19">
        <v>20</v>
      </c>
      <c r="AE13" s="19">
        <v>1</v>
      </c>
      <c r="AF13" s="19">
        <v>1</v>
      </c>
      <c r="AG13" s="19">
        <v>0</v>
      </c>
      <c r="AH13" s="19">
        <v>0</v>
      </c>
      <c r="AI13" s="19">
        <v>3</v>
      </c>
      <c r="AJ13" s="19">
        <v>3</v>
      </c>
      <c r="AK13" s="19">
        <v>3</v>
      </c>
      <c r="AL13" s="19">
        <v>5</v>
      </c>
      <c r="AM13" s="19">
        <v>5</v>
      </c>
      <c r="AN13" s="19">
        <v>1</v>
      </c>
      <c r="AO13" s="19">
        <v>1</v>
      </c>
      <c r="AP13" s="19">
        <v>1</v>
      </c>
      <c r="AQ13" s="19">
        <v>5</v>
      </c>
      <c r="AR13" s="19">
        <v>0</v>
      </c>
      <c r="AS13" s="19">
        <v>3</v>
      </c>
      <c r="AT13" s="19">
        <v>3</v>
      </c>
      <c r="AU13" s="19">
        <v>3</v>
      </c>
      <c r="AV13" s="19">
        <v>6</v>
      </c>
      <c r="AW13" s="19">
        <v>6</v>
      </c>
      <c r="AX13" s="19">
        <v>0</v>
      </c>
      <c r="AY13" s="19">
        <v>0</v>
      </c>
      <c r="AZ13" s="19">
        <v>0</v>
      </c>
      <c r="BA13" s="19">
        <v>0</v>
      </c>
      <c r="BB13" s="19">
        <v>1</v>
      </c>
      <c r="BC13" s="19">
        <v>1</v>
      </c>
      <c r="BD13" s="19">
        <v>1</v>
      </c>
      <c r="BE13" s="19">
        <v>5</v>
      </c>
      <c r="BF13" s="19">
        <v>0</v>
      </c>
      <c r="BG13" s="19">
        <v>0</v>
      </c>
      <c r="BH13" s="19">
        <v>0</v>
      </c>
      <c r="BI13" s="19">
        <v>0</v>
      </c>
      <c r="BJ13" s="19">
        <v>0</v>
      </c>
      <c r="BK13" s="19">
        <v>0</v>
      </c>
      <c r="BL13" s="19">
        <v>0</v>
      </c>
      <c r="BM13" s="19">
        <v>0</v>
      </c>
      <c r="BN13" s="19">
        <v>0</v>
      </c>
      <c r="BO13" s="19">
        <v>0</v>
      </c>
      <c r="BP13" s="19">
        <v>0</v>
      </c>
      <c r="BQ13" s="19">
        <v>0</v>
      </c>
      <c r="BR13" s="19">
        <v>3</v>
      </c>
      <c r="BS13" s="19">
        <v>2</v>
      </c>
      <c r="BT13" s="19">
        <v>4</v>
      </c>
      <c r="BU13" s="19">
        <v>4</v>
      </c>
      <c r="BV13" s="19">
        <v>4</v>
      </c>
      <c r="BW13" s="19">
        <v>4</v>
      </c>
      <c r="BX13" s="19">
        <v>4</v>
      </c>
      <c r="BY13" s="19">
        <v>4</v>
      </c>
      <c r="BZ13" s="19">
        <v>3</v>
      </c>
      <c r="CA13" s="19">
        <v>3</v>
      </c>
      <c r="CB13" s="19">
        <v>3</v>
      </c>
      <c r="CC13" s="19">
        <v>5</v>
      </c>
      <c r="CD13" s="19">
        <v>4</v>
      </c>
      <c r="CE13" s="19">
        <v>4</v>
      </c>
      <c r="CF13" s="19">
        <v>5</v>
      </c>
      <c r="CG13" s="19">
        <v>5</v>
      </c>
      <c r="CH13" s="19">
        <v>5</v>
      </c>
      <c r="CI13" s="19">
        <v>5</v>
      </c>
      <c r="CJ13" s="19">
        <v>5</v>
      </c>
      <c r="CK13" s="19">
        <v>9</v>
      </c>
      <c r="CL13" t="s">
        <v>263</v>
      </c>
      <c r="CM13">
        <v>55.5</v>
      </c>
      <c r="CN13" s="16">
        <v>63.8</v>
      </c>
      <c r="CO13" s="16">
        <v>80.400000000000006</v>
      </c>
      <c r="CP13" s="16">
        <v>27.2</v>
      </c>
      <c r="CQ13">
        <v>64.099999999999994</v>
      </c>
      <c r="CR13" s="17">
        <v>0</v>
      </c>
      <c r="CS13">
        <v>0</v>
      </c>
      <c r="CT13">
        <v>0</v>
      </c>
      <c r="CU13">
        <v>35.9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5.71</v>
      </c>
      <c r="DC13">
        <v>22.43</v>
      </c>
      <c r="DD13">
        <v>14.12</v>
      </c>
      <c r="DE13">
        <v>15.78</v>
      </c>
      <c r="DF13">
        <v>0</v>
      </c>
      <c r="DG13">
        <v>0</v>
      </c>
      <c r="DH13">
        <v>0</v>
      </c>
      <c r="DU13">
        <v>26.2</v>
      </c>
      <c r="DV13">
        <v>1</v>
      </c>
      <c r="DW13">
        <v>35</v>
      </c>
      <c r="DX13">
        <v>10</v>
      </c>
      <c r="DY13">
        <v>9.8699999999999992</v>
      </c>
      <c r="DZ13">
        <v>3</v>
      </c>
      <c r="EA13">
        <v>23</v>
      </c>
      <c r="EB13">
        <v>4</v>
      </c>
      <c r="EC13">
        <v>0.52</v>
      </c>
      <c r="ED13">
        <v>3</v>
      </c>
      <c r="EG13" s="20"/>
      <c r="EY13">
        <v>0</v>
      </c>
      <c r="GJ13" s="16">
        <v>0</v>
      </c>
      <c r="GK13" s="16">
        <v>0</v>
      </c>
      <c r="GL13" s="16"/>
      <c r="GM13" s="16"/>
      <c r="GN13" s="16"/>
      <c r="GO13" s="16"/>
      <c r="GP13" s="16"/>
      <c r="GQ13" s="16"/>
      <c r="GR13" s="16"/>
      <c r="GS13" s="16"/>
      <c r="GT13" s="16"/>
      <c r="GU13" s="16">
        <v>0</v>
      </c>
      <c r="GV13" s="16">
        <v>0</v>
      </c>
      <c r="GW13" s="16">
        <v>0</v>
      </c>
      <c r="GX13" s="16">
        <v>0</v>
      </c>
      <c r="GY13" s="16">
        <v>0</v>
      </c>
      <c r="GZ13" s="16">
        <v>0</v>
      </c>
      <c r="HA13" s="16">
        <v>0</v>
      </c>
      <c r="HB13">
        <v>0</v>
      </c>
      <c r="HC13" t="s">
        <v>264</v>
      </c>
      <c r="HD13">
        <v>43.5</v>
      </c>
      <c r="HE13" s="16">
        <v>73.2</v>
      </c>
      <c r="HF13" s="16">
        <v>80.400000000000006</v>
      </c>
      <c r="HG13" s="16">
        <v>12.9</v>
      </c>
      <c r="HH13">
        <v>89.25</v>
      </c>
      <c r="HI13" s="17">
        <v>0</v>
      </c>
      <c r="HJ13">
        <v>0</v>
      </c>
      <c r="HK13">
        <v>0</v>
      </c>
      <c r="HL13">
        <v>10.75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10.43</v>
      </c>
      <c r="HT13">
        <v>36.97</v>
      </c>
      <c r="HU13">
        <v>24.72</v>
      </c>
      <c r="HV13">
        <v>0</v>
      </c>
      <c r="HW13">
        <v>0</v>
      </c>
      <c r="HX13">
        <v>0</v>
      </c>
      <c r="HY13">
        <v>0</v>
      </c>
      <c r="IL13">
        <v>21.1</v>
      </c>
      <c r="IM13">
        <v>1</v>
      </c>
      <c r="IN13">
        <v>35</v>
      </c>
      <c r="IO13">
        <v>8</v>
      </c>
      <c r="IP13">
        <v>4.4400000000000004</v>
      </c>
      <c r="IQ13">
        <v>3</v>
      </c>
      <c r="IR13">
        <v>2</v>
      </c>
      <c r="IS13">
        <v>0.27</v>
      </c>
      <c r="IT13">
        <v>0.27</v>
      </c>
      <c r="IU13">
        <v>1</v>
      </c>
      <c r="IX13" s="20"/>
      <c r="JP13">
        <v>0</v>
      </c>
      <c r="LA13" s="16">
        <v>5.26</v>
      </c>
      <c r="LB13" s="16">
        <v>1</v>
      </c>
      <c r="LC13" s="16">
        <v>2</v>
      </c>
      <c r="LD13" s="16"/>
      <c r="LE13" s="16">
        <f>3.17+5.42+0.93+0.38+0.56+0.45+0.67</f>
        <v>11.58</v>
      </c>
      <c r="LF13" s="16"/>
      <c r="LG13" s="16"/>
      <c r="LH13" s="16"/>
      <c r="LI13" s="16"/>
      <c r="LJ13" s="16"/>
      <c r="LK13" s="16"/>
      <c r="LL13" s="16">
        <v>0</v>
      </c>
      <c r="LM13" s="16">
        <v>0</v>
      </c>
      <c r="LN13" s="16">
        <v>0</v>
      </c>
      <c r="LO13" s="16">
        <v>0</v>
      </c>
      <c r="LP13" s="16">
        <v>0</v>
      </c>
      <c r="LQ13" s="16">
        <v>0</v>
      </c>
      <c r="LR13" s="16">
        <v>0</v>
      </c>
      <c r="LS13">
        <v>0</v>
      </c>
      <c r="LT13" t="s">
        <v>265</v>
      </c>
      <c r="LU13">
        <v>54</v>
      </c>
      <c r="LV13" s="16">
        <v>83.5</v>
      </c>
      <c r="LW13" s="16">
        <v>80.400000000000006</v>
      </c>
      <c r="LX13" s="16">
        <v>20.399999999999999</v>
      </c>
      <c r="LY13">
        <v>74.42</v>
      </c>
      <c r="LZ13" s="17">
        <v>0</v>
      </c>
      <c r="MA13">
        <v>2</v>
      </c>
      <c r="MB13">
        <v>0</v>
      </c>
      <c r="MC13">
        <v>23.59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4.1900000000000004</v>
      </c>
      <c r="MK13">
        <v>26.53</v>
      </c>
      <c r="ML13">
        <v>20.66</v>
      </c>
      <c r="MM13">
        <v>18.899999999999999</v>
      </c>
      <c r="MN13">
        <v>0</v>
      </c>
      <c r="MO13">
        <v>0</v>
      </c>
      <c r="MP13">
        <v>0</v>
      </c>
      <c r="NC13">
        <v>24.1</v>
      </c>
      <c r="ND13">
        <v>1</v>
      </c>
      <c r="NE13">
        <v>35</v>
      </c>
      <c r="NF13">
        <v>15</v>
      </c>
      <c r="NG13">
        <v>6.36</v>
      </c>
      <c r="NH13">
        <v>3</v>
      </c>
      <c r="NI13">
        <v>23</v>
      </c>
      <c r="NJ13">
        <v>2</v>
      </c>
      <c r="NK13">
        <v>0.35</v>
      </c>
      <c r="NL13">
        <v>3</v>
      </c>
      <c r="NO13" s="20"/>
      <c r="OG13">
        <v>0</v>
      </c>
      <c r="PR13" s="16">
        <v>4.4800000000000004</v>
      </c>
      <c r="PS13" s="16">
        <v>1</v>
      </c>
      <c r="PT13" s="16">
        <v>2</v>
      </c>
      <c r="PU13" s="16"/>
      <c r="PV13" s="16">
        <f>3.61+0.31+4.23+0.3+0.22+0.75</f>
        <v>9.4200000000000017</v>
      </c>
      <c r="PW13" s="16"/>
      <c r="PX13" s="16"/>
      <c r="PY13" s="16"/>
      <c r="PZ13" s="16"/>
      <c r="QA13" s="16"/>
      <c r="QB13" s="16"/>
      <c r="QC13" s="16">
        <v>0.56000000000000005</v>
      </c>
      <c r="QD13" s="16">
        <v>0.27</v>
      </c>
      <c r="QE13" s="16">
        <v>0</v>
      </c>
      <c r="QF13" s="16">
        <v>0</v>
      </c>
      <c r="QG13" s="16">
        <v>0</v>
      </c>
      <c r="QH13" s="16">
        <v>0</v>
      </c>
      <c r="QI13" s="16">
        <v>0</v>
      </c>
      <c r="QJ13">
        <v>0</v>
      </c>
      <c r="QK13" t="s">
        <v>266</v>
      </c>
      <c r="QL13">
        <v>52.5</v>
      </c>
      <c r="QM13" s="16">
        <v>94.2</v>
      </c>
      <c r="QN13" s="16">
        <v>80.400000000000006</v>
      </c>
      <c r="QO13" s="16">
        <v>31.4</v>
      </c>
      <c r="QP13">
        <v>61.43</v>
      </c>
      <c r="QQ13" s="17">
        <v>0</v>
      </c>
      <c r="QR13">
        <v>4.57</v>
      </c>
      <c r="QS13">
        <v>0</v>
      </c>
      <c r="QT13">
        <v>34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9.9</v>
      </c>
      <c r="RB13">
        <v>48.09</v>
      </c>
      <c r="RC13">
        <v>33.799999999999997</v>
      </c>
      <c r="RD13">
        <v>1.01</v>
      </c>
      <c r="RE13">
        <v>0</v>
      </c>
      <c r="RF13">
        <v>0</v>
      </c>
      <c r="RG13">
        <v>0</v>
      </c>
      <c r="RT13">
        <v>15.2</v>
      </c>
      <c r="RU13">
        <v>1</v>
      </c>
      <c r="RV13">
        <v>23</v>
      </c>
      <c r="RW13">
        <v>6</v>
      </c>
      <c r="RX13">
        <f>0.65+13+0.11+0.2</f>
        <v>13.959999999999999</v>
      </c>
      <c r="RY13">
        <v>3</v>
      </c>
      <c r="RZ13">
        <v>34</v>
      </c>
      <c r="SA13">
        <v>10</v>
      </c>
      <c r="SB13">
        <f>1.3+1.3+0.22+0.22+0.11+0.08</f>
        <v>3.2300000000000004</v>
      </c>
      <c r="SC13">
        <v>3</v>
      </c>
      <c r="SF13" s="20"/>
      <c r="SX13">
        <v>0</v>
      </c>
      <c r="UI13" s="16">
        <v>1.65</v>
      </c>
      <c r="UJ13" s="16">
        <v>1</v>
      </c>
      <c r="UK13" s="16">
        <v>1</v>
      </c>
      <c r="UL13" s="16"/>
      <c r="UM13" s="16">
        <f>4.23+1.81+0.62+0.62+0.75+0.15+0.45+0.45</f>
        <v>9.08</v>
      </c>
      <c r="UN13" s="16"/>
      <c r="UO13" s="16"/>
      <c r="UP13" s="16"/>
      <c r="UQ13" s="16"/>
      <c r="UR13" s="16"/>
      <c r="US13" s="16"/>
      <c r="UT13" s="16">
        <v>0.67</v>
      </c>
      <c r="UU13" s="16">
        <v>0.67</v>
      </c>
      <c r="UV13" s="16">
        <v>0</v>
      </c>
      <c r="UW13" s="16">
        <v>0</v>
      </c>
      <c r="UX13" s="16">
        <v>0</v>
      </c>
      <c r="UY13" s="16">
        <v>0</v>
      </c>
      <c r="UZ13" s="16">
        <v>0</v>
      </c>
      <c r="VA13">
        <v>0</v>
      </c>
      <c r="VB13" t="s">
        <v>267</v>
      </c>
      <c r="VC13">
        <v>35</v>
      </c>
      <c r="VD13" s="16">
        <v>83.4</v>
      </c>
      <c r="VE13" s="16">
        <v>80.400000000000006</v>
      </c>
      <c r="VF13" s="16">
        <v>14.8</v>
      </c>
      <c r="VG13">
        <v>89.72</v>
      </c>
      <c r="VH13" s="17">
        <v>0</v>
      </c>
      <c r="VI13">
        <v>10.28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36.26</v>
      </c>
      <c r="VT13">
        <v>32.65</v>
      </c>
      <c r="VU13">
        <v>2.66</v>
      </c>
      <c r="VV13">
        <v>0</v>
      </c>
      <c r="VW13">
        <v>0</v>
      </c>
      <c r="VX13">
        <v>0</v>
      </c>
      <c r="WK13">
        <v>14.3</v>
      </c>
      <c r="WL13">
        <v>1</v>
      </c>
      <c r="WM13">
        <v>35</v>
      </c>
      <c r="WN13">
        <v>2</v>
      </c>
      <c r="WO13">
        <f>0.76*4</f>
        <v>3.04</v>
      </c>
      <c r="WP13">
        <v>3</v>
      </c>
      <c r="WW13" s="20"/>
      <c r="XO13">
        <v>0</v>
      </c>
      <c r="YZ13" s="16">
        <v>0.75</v>
      </c>
      <c r="ZA13" s="16">
        <v>1</v>
      </c>
      <c r="ZB13" s="16">
        <v>1</v>
      </c>
      <c r="ZC13" s="16"/>
      <c r="ZD13" s="16">
        <f>3.17+0.56</f>
        <v>3.73</v>
      </c>
      <c r="ZE13" s="16"/>
      <c r="ZF13" s="16"/>
      <c r="ZG13" s="16"/>
      <c r="ZH13" s="16"/>
      <c r="ZI13" s="16"/>
      <c r="ZJ13" s="16"/>
      <c r="ZK13" s="16">
        <v>0</v>
      </c>
      <c r="ZL13" s="16">
        <v>0</v>
      </c>
      <c r="ZM13" s="16">
        <v>0</v>
      </c>
      <c r="ZN13" s="16">
        <v>0</v>
      </c>
      <c r="ZO13" s="16">
        <v>0</v>
      </c>
      <c r="ZP13" s="16">
        <v>0</v>
      </c>
      <c r="ZQ13" s="16">
        <v>0</v>
      </c>
      <c r="ZR13">
        <v>0</v>
      </c>
      <c r="ZS13" t="s">
        <v>268</v>
      </c>
      <c r="ZT13">
        <v>36</v>
      </c>
      <c r="ZU13" s="16">
        <v>78.8</v>
      </c>
      <c r="ZV13" s="16">
        <v>80.400000000000006</v>
      </c>
      <c r="ZW13" s="16">
        <v>24.3</v>
      </c>
      <c r="ZX13">
        <v>76.760000000000005</v>
      </c>
      <c r="ZY13" s="17">
        <v>0</v>
      </c>
      <c r="ZZ13">
        <v>14.09</v>
      </c>
      <c r="AAA13">
        <v>0</v>
      </c>
      <c r="AAB13">
        <v>9.14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5.33</v>
      </c>
      <c r="AAJ13">
        <v>23.58</v>
      </c>
      <c r="AAK13">
        <v>24.45</v>
      </c>
      <c r="AAL13">
        <v>15.39</v>
      </c>
      <c r="AAM13">
        <v>0</v>
      </c>
      <c r="AAN13">
        <v>0</v>
      </c>
      <c r="AAO13">
        <v>0</v>
      </c>
      <c r="ABB13">
        <v>3.9</v>
      </c>
      <c r="ABC13">
        <v>1</v>
      </c>
      <c r="ABD13">
        <v>68</v>
      </c>
      <c r="ABE13">
        <v>1</v>
      </c>
      <c r="ABF13">
        <v>0.19</v>
      </c>
      <c r="ABG13">
        <v>1</v>
      </c>
      <c r="ABH13">
        <v>35</v>
      </c>
      <c r="ABI13">
        <v>5</v>
      </c>
      <c r="ABJ13">
        <f>0.19+0.07+0.13+0.27</f>
        <v>0.66</v>
      </c>
      <c r="ABK13">
        <v>1</v>
      </c>
      <c r="ABN13" s="20"/>
      <c r="ACF13">
        <v>0</v>
      </c>
      <c r="ADQ13" s="16">
        <v>0</v>
      </c>
      <c r="ADR13" s="16">
        <v>0</v>
      </c>
      <c r="ADS13" s="16"/>
      <c r="ADT13" s="16"/>
      <c r="ADU13" s="16"/>
      <c r="ADV13" s="16"/>
      <c r="ADW13" s="16"/>
      <c r="ADX13" s="16"/>
      <c r="ADY13" s="16"/>
      <c r="ADZ13" s="16"/>
      <c r="AEA13" s="16"/>
      <c r="AEB13" s="16">
        <v>0.56000000000000005</v>
      </c>
      <c r="AEC13" s="16">
        <v>0.13</v>
      </c>
      <c r="AED13" s="16">
        <v>0</v>
      </c>
      <c r="AEE13" s="16">
        <v>0</v>
      </c>
      <c r="AEF13" s="16">
        <v>0</v>
      </c>
      <c r="AEG13" s="16">
        <v>0</v>
      </c>
      <c r="AEH13" s="16">
        <v>0</v>
      </c>
      <c r="AEI13">
        <v>0</v>
      </c>
      <c r="AEJ13" t="s">
        <v>269</v>
      </c>
      <c r="AEK13">
        <v>64.5</v>
      </c>
      <c r="AEL13" s="16">
        <v>70.599999999999994</v>
      </c>
      <c r="AEM13" s="16">
        <v>80.400000000000006</v>
      </c>
      <c r="AEN13" s="16">
        <v>33.200000000000003</v>
      </c>
      <c r="AEO13">
        <v>67.02</v>
      </c>
      <c r="AEP13" s="17">
        <v>0</v>
      </c>
      <c r="AEQ13">
        <v>0</v>
      </c>
      <c r="AER13">
        <v>0</v>
      </c>
      <c r="AES13">
        <v>32.979999999999997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25.74</v>
      </c>
      <c r="AFA13">
        <v>7.23</v>
      </c>
      <c r="AFB13">
        <v>32.26</v>
      </c>
      <c r="AFC13">
        <v>7.81</v>
      </c>
      <c r="AFD13">
        <v>0</v>
      </c>
      <c r="AFE13">
        <v>0</v>
      </c>
      <c r="AFF13">
        <v>0</v>
      </c>
      <c r="AFS13">
        <v>24.3</v>
      </c>
      <c r="AFT13">
        <v>1</v>
      </c>
      <c r="AFU13">
        <v>35</v>
      </c>
      <c r="AFV13">
        <v>9</v>
      </c>
      <c r="AFW13">
        <f>0.76+0.76+0.76+0.76+0.27+0.13+0.13+0.05+0.05</f>
        <v>3.6699999999999995</v>
      </c>
      <c r="AFX13">
        <v>3</v>
      </c>
      <c r="AFY13">
        <v>47</v>
      </c>
      <c r="AFZ13">
        <v>2</v>
      </c>
      <c r="AGA13">
        <f>0.76+0.13</f>
        <v>0.89</v>
      </c>
      <c r="AGB13">
        <v>3</v>
      </c>
      <c r="AGE13" s="20"/>
      <c r="AGW13">
        <v>0</v>
      </c>
      <c r="AIH13" s="16">
        <v>0.59</v>
      </c>
      <c r="AII13" s="16">
        <v>1</v>
      </c>
      <c r="AIJ13" s="16">
        <v>1</v>
      </c>
      <c r="AIK13" s="16"/>
      <c r="AIL13" s="16">
        <f>1.46+0.3</f>
        <v>1.76</v>
      </c>
      <c r="AIM13" s="16"/>
      <c r="AIN13" s="16"/>
      <c r="AIO13" s="16"/>
      <c r="AIP13" s="16"/>
      <c r="AIQ13" s="16"/>
      <c r="AIR13" s="16"/>
      <c r="AIS13" s="16">
        <v>0</v>
      </c>
      <c r="AIT13" s="16">
        <v>0</v>
      </c>
      <c r="AIU13" s="16">
        <v>0</v>
      </c>
      <c r="AIV13" s="16">
        <v>0</v>
      </c>
      <c r="AIW13" s="16">
        <v>3.73</v>
      </c>
      <c r="AIX13" s="16">
        <v>1</v>
      </c>
      <c r="AIY13" s="16">
        <v>0</v>
      </c>
      <c r="AIZ13">
        <v>0</v>
      </c>
      <c r="AJA13" t="s">
        <v>270</v>
      </c>
      <c r="AJB13">
        <v>35.5</v>
      </c>
      <c r="AJC13" s="16">
        <v>74</v>
      </c>
      <c r="AJD13" s="16">
        <v>80.400000000000006</v>
      </c>
      <c r="AJE13" s="16">
        <v>15.3</v>
      </c>
      <c r="AJF13">
        <v>86.79</v>
      </c>
      <c r="AJG13" s="17">
        <v>0</v>
      </c>
      <c r="AJH13">
        <v>0</v>
      </c>
      <c r="AJI13">
        <v>0</v>
      </c>
      <c r="AJJ13">
        <v>13.16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10.75</v>
      </c>
      <c r="AJR13">
        <v>44.32</v>
      </c>
      <c r="AJS13">
        <v>19.61</v>
      </c>
      <c r="AJT13">
        <v>0.08</v>
      </c>
      <c r="AJU13">
        <v>0</v>
      </c>
      <c r="AJV13">
        <v>0</v>
      </c>
      <c r="AJW13">
        <v>0</v>
      </c>
      <c r="AKJ13">
        <v>15.4</v>
      </c>
      <c r="AKK13">
        <v>1</v>
      </c>
      <c r="AKL13">
        <v>35</v>
      </c>
      <c r="AKM13">
        <v>4</v>
      </c>
      <c r="AKN13">
        <f>0.76+0.76+0.13+0.13</f>
        <v>1.7799999999999998</v>
      </c>
      <c r="AKO13">
        <v>3</v>
      </c>
      <c r="AKP13">
        <v>47</v>
      </c>
      <c r="AKQ13">
        <v>2</v>
      </c>
      <c r="AKR13">
        <f>0.76+0.13</f>
        <v>0.89</v>
      </c>
      <c r="AKS13">
        <v>3</v>
      </c>
      <c r="AKV13" s="20"/>
      <c r="ALN13">
        <v>0</v>
      </c>
    </row>
    <row r="14" spans="1:1024" x14ac:dyDescent="0.2">
      <c r="A14" s="1" t="s">
        <v>271</v>
      </c>
      <c r="B14" s="12">
        <v>42886</v>
      </c>
      <c r="C14">
        <v>2</v>
      </c>
      <c r="D14" s="13">
        <v>39118</v>
      </c>
      <c r="E14" s="12">
        <v>28944</v>
      </c>
      <c r="F14" s="14">
        <f t="shared" si="0"/>
        <v>38.171115674195754</v>
      </c>
      <c r="G14" s="14">
        <f t="shared" si="1"/>
        <v>10.316221765913758</v>
      </c>
      <c r="H14" s="21" t="s">
        <v>217</v>
      </c>
      <c r="I14" s="15" t="s">
        <v>272</v>
      </c>
      <c r="J14" s="21" t="s">
        <v>183</v>
      </c>
      <c r="K14" s="21">
        <v>8</v>
      </c>
      <c r="L14" s="19">
        <v>83</v>
      </c>
      <c r="M14">
        <v>1.77</v>
      </c>
      <c r="N14" s="16">
        <f t="shared" si="2"/>
        <v>26.493025631204315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19">
        <v>0</v>
      </c>
      <c r="V14" s="19">
        <v>0</v>
      </c>
      <c r="W14" s="19">
        <v>0</v>
      </c>
      <c r="X14" s="19">
        <v>0</v>
      </c>
      <c r="Y14" s="19">
        <v>1</v>
      </c>
      <c r="Z14" s="19">
        <v>1</v>
      </c>
      <c r="AA14" s="19">
        <v>40</v>
      </c>
      <c r="AB14" s="19" t="s">
        <v>273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19">
        <v>0</v>
      </c>
      <c r="AJ14" s="19">
        <v>0</v>
      </c>
      <c r="AK14" s="19">
        <v>0</v>
      </c>
      <c r="AL14" s="19">
        <v>0</v>
      </c>
      <c r="AM14" s="19">
        <v>0</v>
      </c>
      <c r="AN14" s="19">
        <v>0</v>
      </c>
      <c r="AO14" s="19">
        <v>0</v>
      </c>
      <c r="AP14" s="19">
        <v>0</v>
      </c>
      <c r="AQ14" s="19">
        <v>0</v>
      </c>
      <c r="AR14" s="19">
        <v>0</v>
      </c>
      <c r="AS14" s="19">
        <v>0</v>
      </c>
      <c r="AT14" s="19">
        <v>0</v>
      </c>
      <c r="AU14" s="19">
        <v>0</v>
      </c>
      <c r="AV14" s="19">
        <v>0</v>
      </c>
      <c r="AW14" s="19">
        <v>0</v>
      </c>
      <c r="AX14" s="19">
        <v>0</v>
      </c>
      <c r="AY14" s="19">
        <v>0</v>
      </c>
      <c r="AZ14" s="19">
        <v>0</v>
      </c>
      <c r="BA14" s="19">
        <v>0</v>
      </c>
      <c r="BB14" s="19">
        <v>0</v>
      </c>
      <c r="BC14" s="19">
        <v>0</v>
      </c>
      <c r="BD14" s="19">
        <v>0</v>
      </c>
      <c r="BE14" s="19">
        <v>0</v>
      </c>
      <c r="BF14" s="19">
        <v>0</v>
      </c>
      <c r="BG14" s="19">
        <v>0</v>
      </c>
      <c r="BH14" s="19">
        <v>0</v>
      </c>
      <c r="BI14" s="19">
        <v>0</v>
      </c>
      <c r="BJ14" s="19">
        <v>0</v>
      </c>
      <c r="BK14" s="19">
        <v>0</v>
      </c>
      <c r="BL14" s="19">
        <v>0</v>
      </c>
      <c r="BM14" s="19">
        <v>0</v>
      </c>
      <c r="BN14" s="19">
        <v>0</v>
      </c>
      <c r="BO14" s="19">
        <v>0</v>
      </c>
      <c r="BP14" s="19">
        <v>0</v>
      </c>
      <c r="BQ14" s="19">
        <v>0</v>
      </c>
      <c r="BR14" s="19">
        <v>3</v>
      </c>
      <c r="BS14" s="19">
        <v>3</v>
      </c>
      <c r="BT14" s="19">
        <v>3</v>
      </c>
      <c r="BU14" s="19">
        <v>5</v>
      </c>
      <c r="BV14" s="19">
        <v>3</v>
      </c>
      <c r="BW14" s="19">
        <v>2</v>
      </c>
      <c r="BX14" s="19">
        <v>5</v>
      </c>
      <c r="BY14" s="19">
        <v>5</v>
      </c>
      <c r="BZ14" s="19">
        <v>5</v>
      </c>
      <c r="CA14" s="19">
        <v>4</v>
      </c>
      <c r="CB14" s="19">
        <v>4</v>
      </c>
      <c r="CC14" s="19">
        <v>5</v>
      </c>
      <c r="CD14" s="19">
        <v>3</v>
      </c>
      <c r="CE14" s="19">
        <v>4</v>
      </c>
      <c r="CF14" s="19">
        <v>4</v>
      </c>
      <c r="CG14" s="19">
        <v>4</v>
      </c>
      <c r="CH14" s="19">
        <v>4</v>
      </c>
      <c r="CI14" s="19">
        <v>4</v>
      </c>
      <c r="CJ14" s="19">
        <v>4</v>
      </c>
      <c r="CK14" s="19">
        <v>10</v>
      </c>
      <c r="CL14" t="s">
        <v>274</v>
      </c>
      <c r="CM14">
        <v>19.5</v>
      </c>
      <c r="CN14" s="16">
        <v>74.3</v>
      </c>
      <c r="CO14" s="16">
        <v>80.400000000000006</v>
      </c>
      <c r="CP14" s="16">
        <v>7.8</v>
      </c>
      <c r="CQ14">
        <v>89.52</v>
      </c>
      <c r="CR14">
        <v>8.69</v>
      </c>
      <c r="CS14">
        <v>1.79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18.73</v>
      </c>
      <c r="DD14">
        <v>9.35</v>
      </c>
      <c r="DE14">
        <v>0</v>
      </c>
      <c r="DF14">
        <v>0</v>
      </c>
      <c r="DG14">
        <v>0</v>
      </c>
      <c r="DU14">
        <v>3.92</v>
      </c>
      <c r="DV14">
        <v>1</v>
      </c>
      <c r="DW14">
        <v>52</v>
      </c>
      <c r="DX14">
        <v>4</v>
      </c>
      <c r="DY14">
        <f>1.01*2+0.56+0.9</f>
        <v>3.48</v>
      </c>
      <c r="DZ14">
        <v>2</v>
      </c>
      <c r="EG14" s="18"/>
      <c r="EY14">
        <v>1</v>
      </c>
      <c r="EZ14">
        <v>50</v>
      </c>
      <c r="FA14">
        <v>1</v>
      </c>
      <c r="FB14">
        <v>1.9</v>
      </c>
      <c r="FC14">
        <v>3</v>
      </c>
      <c r="GJ14" s="16">
        <v>2.2400000000000002</v>
      </c>
      <c r="GK14" s="16">
        <v>1</v>
      </c>
      <c r="GL14" s="16">
        <v>2</v>
      </c>
      <c r="GM14" s="16"/>
      <c r="GN14" s="16">
        <f>1.87*2</f>
        <v>3.74</v>
      </c>
      <c r="GO14" s="16"/>
      <c r="GP14" s="16"/>
      <c r="GQ14" s="16"/>
      <c r="GR14" s="16"/>
      <c r="GS14" s="16"/>
      <c r="GT14" s="16"/>
      <c r="GU14" s="16">
        <v>5.49</v>
      </c>
      <c r="GV14" s="16">
        <f>1.01*2+0.56+1.87*2+0.9</f>
        <v>7.2200000000000006</v>
      </c>
      <c r="GW14" s="16"/>
      <c r="GX14" s="16"/>
      <c r="GY14" s="16">
        <v>0</v>
      </c>
      <c r="GZ14" s="16">
        <v>0</v>
      </c>
      <c r="HA14" s="16">
        <v>0</v>
      </c>
      <c r="HB14">
        <v>0</v>
      </c>
      <c r="HC14" t="s">
        <v>275</v>
      </c>
      <c r="HD14">
        <v>19.5</v>
      </c>
      <c r="HE14" s="16">
        <v>74.599999999999994</v>
      </c>
      <c r="HF14" s="16">
        <v>80.400000000000006</v>
      </c>
      <c r="HG14" s="16">
        <v>7.8</v>
      </c>
      <c r="HH14">
        <v>89.29</v>
      </c>
      <c r="HI14">
        <v>8.92</v>
      </c>
      <c r="HJ14">
        <v>1.79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18.95</v>
      </c>
      <c r="HU14">
        <v>9.35</v>
      </c>
      <c r="HV14">
        <v>0</v>
      </c>
      <c r="HW14">
        <v>0</v>
      </c>
      <c r="HX14">
        <v>0</v>
      </c>
      <c r="IL14">
        <v>3.9</v>
      </c>
      <c r="IM14">
        <v>1</v>
      </c>
      <c r="IN14">
        <v>52</v>
      </c>
      <c r="IO14">
        <v>4</v>
      </c>
      <c r="IP14">
        <f>1.01*2+0.56+0.9</f>
        <v>3.48</v>
      </c>
      <c r="IQ14">
        <v>3</v>
      </c>
      <c r="IX14" s="18"/>
      <c r="JP14">
        <v>1</v>
      </c>
      <c r="JQ14">
        <v>50</v>
      </c>
      <c r="JR14">
        <v>1</v>
      </c>
      <c r="JS14">
        <v>1.9</v>
      </c>
      <c r="JT14">
        <v>3</v>
      </c>
      <c r="LA14" s="16">
        <v>2.2400000000000002</v>
      </c>
      <c r="LB14" s="16">
        <v>1</v>
      </c>
      <c r="LC14" s="16">
        <v>2</v>
      </c>
      <c r="LD14" s="16"/>
      <c r="LE14" s="16">
        <f>1.87*2</f>
        <v>3.74</v>
      </c>
      <c r="LF14" s="16"/>
      <c r="LG14" s="16"/>
      <c r="LH14" s="16"/>
      <c r="LI14" s="16"/>
      <c r="LJ14" s="16"/>
      <c r="LK14" s="16"/>
      <c r="LL14" s="16">
        <v>6.49</v>
      </c>
      <c r="LM14" s="16">
        <f>1.01*2+0.56+1.87*2+0.9</f>
        <v>7.2200000000000006</v>
      </c>
      <c r="LN14" s="16"/>
      <c r="LO14" s="16"/>
      <c r="LP14" s="16">
        <v>0</v>
      </c>
      <c r="LQ14" s="16">
        <v>0</v>
      </c>
      <c r="LR14" s="16">
        <v>0</v>
      </c>
      <c r="LS14">
        <v>0</v>
      </c>
      <c r="LT14" t="s">
        <v>276</v>
      </c>
      <c r="LU14">
        <v>22.5</v>
      </c>
      <c r="LV14" s="16">
        <v>73.400000000000006</v>
      </c>
      <c r="LW14" s="16">
        <v>80.400000000000006</v>
      </c>
      <c r="LX14" s="16">
        <v>10.4</v>
      </c>
      <c r="LY14">
        <v>88.12</v>
      </c>
      <c r="LZ14">
        <v>6.29</v>
      </c>
      <c r="MA14">
        <v>4.25</v>
      </c>
      <c r="MB14">
        <v>0</v>
      </c>
      <c r="MC14">
        <v>1.34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2.46</v>
      </c>
      <c r="ML14">
        <v>13.2</v>
      </c>
      <c r="MM14">
        <v>0</v>
      </c>
      <c r="MN14">
        <v>0</v>
      </c>
      <c r="MO14">
        <v>0</v>
      </c>
      <c r="NC14">
        <v>0</v>
      </c>
      <c r="NO14" s="18"/>
      <c r="PR14" s="16">
        <v>2.2400000000000002</v>
      </c>
      <c r="PS14" s="16">
        <v>1</v>
      </c>
      <c r="PT14" s="16">
        <v>2</v>
      </c>
      <c r="PU14" s="16">
        <v>3.73</v>
      </c>
      <c r="PV14" s="16"/>
      <c r="PW14" s="16"/>
      <c r="PX14" s="16"/>
      <c r="PY14" s="16"/>
      <c r="PZ14" s="16"/>
      <c r="QA14" s="16"/>
      <c r="QB14" s="16"/>
      <c r="QC14" s="16">
        <v>9.68</v>
      </c>
      <c r="QD14" s="16">
        <f>2.01+1.34+2.69+3.73+0.81</f>
        <v>10.58</v>
      </c>
      <c r="QE14" s="16"/>
      <c r="QF14" s="16"/>
      <c r="QG14" s="16">
        <v>0</v>
      </c>
      <c r="QH14" s="16">
        <v>0</v>
      </c>
      <c r="QI14" s="16">
        <v>0.16</v>
      </c>
      <c r="QJ14">
        <v>0</v>
      </c>
      <c r="QK14" t="s">
        <v>277</v>
      </c>
      <c r="QL14">
        <v>29.5</v>
      </c>
      <c r="QM14" s="16">
        <v>53.8</v>
      </c>
      <c r="QN14" s="16">
        <v>80.400000000000006</v>
      </c>
      <c r="QO14" s="16">
        <v>12.1</v>
      </c>
      <c r="QP14">
        <v>86.6</v>
      </c>
      <c r="QQ14">
        <v>8.48</v>
      </c>
      <c r="QR14">
        <v>4.93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2.02</v>
      </c>
      <c r="RC14">
        <v>19.559999999999999</v>
      </c>
      <c r="RD14">
        <v>0.25</v>
      </c>
      <c r="RE14">
        <v>0</v>
      </c>
      <c r="RF14">
        <v>0</v>
      </c>
      <c r="RG14">
        <v>0</v>
      </c>
      <c r="RH14">
        <v>0</v>
      </c>
      <c r="RN14">
        <v>0</v>
      </c>
      <c r="RT14">
        <v>0</v>
      </c>
      <c r="RU14">
        <v>0</v>
      </c>
      <c r="SF14" s="18"/>
      <c r="SX14">
        <v>0</v>
      </c>
      <c r="UI14" s="16">
        <v>6.72</v>
      </c>
      <c r="UJ14" s="16">
        <v>1</v>
      </c>
      <c r="UK14" s="16">
        <v>2</v>
      </c>
      <c r="UL14" s="16"/>
      <c r="UM14" s="16">
        <f>3.73*3</f>
        <v>11.19</v>
      </c>
      <c r="UN14" s="16"/>
      <c r="UO14" s="16"/>
      <c r="UP14" s="16"/>
      <c r="UQ14" s="16"/>
      <c r="UR14" s="16"/>
      <c r="US14" s="16"/>
      <c r="UT14" s="16">
        <v>10.6</v>
      </c>
      <c r="UU14" s="16">
        <v>12.44</v>
      </c>
      <c r="UV14" s="16"/>
      <c r="UW14" s="16"/>
      <c r="UX14" s="16">
        <v>0</v>
      </c>
      <c r="UY14" s="16">
        <v>0</v>
      </c>
      <c r="UZ14" s="16">
        <v>0</v>
      </c>
      <c r="VA14">
        <v>0</v>
      </c>
      <c r="VB14" t="s">
        <v>278</v>
      </c>
      <c r="VC14">
        <v>51.5</v>
      </c>
      <c r="VD14" s="16">
        <v>63.4</v>
      </c>
      <c r="VE14" s="16">
        <v>80.400000000000006</v>
      </c>
      <c r="VF14" s="16">
        <v>18.100000000000001</v>
      </c>
      <c r="VG14">
        <v>83.5</v>
      </c>
      <c r="VH14">
        <v>5.36</v>
      </c>
      <c r="VI14">
        <v>8.4600000000000009</v>
      </c>
      <c r="VJ14">
        <v>0</v>
      </c>
      <c r="VK14">
        <v>2.69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0.99</v>
      </c>
      <c r="VT14">
        <v>13.55</v>
      </c>
      <c r="VU14">
        <v>16.2</v>
      </c>
      <c r="VV14">
        <v>0</v>
      </c>
      <c r="VW14">
        <v>0</v>
      </c>
      <c r="VX14">
        <v>0</v>
      </c>
      <c r="WK14">
        <v>18.399999999999999</v>
      </c>
      <c r="WL14">
        <v>1</v>
      </c>
      <c r="WM14">
        <v>47</v>
      </c>
      <c r="WN14">
        <v>1</v>
      </c>
      <c r="WO14">
        <v>0.9</v>
      </c>
      <c r="WP14">
        <v>3</v>
      </c>
      <c r="WQ14">
        <v>35</v>
      </c>
      <c r="WR14">
        <v>3</v>
      </c>
      <c r="WS14">
        <f>0.94</f>
        <v>0.94</v>
      </c>
      <c r="WT14">
        <v>3</v>
      </c>
      <c r="WU14">
        <v>68</v>
      </c>
      <c r="WV14">
        <v>1</v>
      </c>
      <c r="WW14" s="18">
        <v>6.22</v>
      </c>
      <c r="WX14">
        <v>1</v>
      </c>
      <c r="XO14">
        <v>0</v>
      </c>
      <c r="YZ14" s="16">
        <v>3.75</v>
      </c>
      <c r="ZA14" s="16">
        <v>1</v>
      </c>
      <c r="ZB14" s="16">
        <v>1</v>
      </c>
      <c r="ZC14" s="16"/>
      <c r="ZD14" s="16">
        <f>2.49+0.05+0.03</f>
        <v>2.57</v>
      </c>
      <c r="ZE14" s="16">
        <v>2</v>
      </c>
      <c r="ZF14" s="16"/>
      <c r="ZG14" s="16">
        <v>2.4900000000000002</v>
      </c>
      <c r="ZH14" s="16"/>
      <c r="ZI14" s="16"/>
      <c r="ZJ14" s="16"/>
      <c r="ZK14" s="16">
        <v>11.1</v>
      </c>
      <c r="ZL14" s="16">
        <v>18.47</v>
      </c>
      <c r="ZM14" s="16"/>
      <c r="ZN14" s="16"/>
      <c r="ZO14" s="16">
        <v>0</v>
      </c>
      <c r="ZP14" s="16">
        <v>0</v>
      </c>
      <c r="ZQ14" s="16">
        <v>0</v>
      </c>
      <c r="ZR14">
        <v>0</v>
      </c>
      <c r="ZS14" t="s">
        <v>279</v>
      </c>
      <c r="ZT14">
        <v>33.5</v>
      </c>
      <c r="ZU14" s="16">
        <v>54</v>
      </c>
      <c r="ZV14" s="16">
        <v>80.400000000000006</v>
      </c>
      <c r="ZW14" s="16">
        <v>9.6</v>
      </c>
      <c r="ZX14">
        <v>86.69</v>
      </c>
      <c r="ZY14">
        <v>8.34</v>
      </c>
      <c r="ZZ14">
        <v>4.97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12.83</v>
      </c>
      <c r="AAK14">
        <v>6.09</v>
      </c>
      <c r="AAL14">
        <v>0</v>
      </c>
      <c r="AAM14">
        <v>0</v>
      </c>
      <c r="AAN14">
        <v>0</v>
      </c>
      <c r="AAO14">
        <v>0</v>
      </c>
      <c r="ABB14">
        <v>11.3</v>
      </c>
      <c r="ABC14">
        <v>1</v>
      </c>
      <c r="ABD14">
        <v>47</v>
      </c>
      <c r="ABE14">
        <v>1</v>
      </c>
      <c r="ABF14">
        <v>0.9</v>
      </c>
      <c r="ABG14">
        <v>3</v>
      </c>
      <c r="ABH14">
        <v>35</v>
      </c>
      <c r="ABI14">
        <v>2</v>
      </c>
      <c r="ABJ14">
        <v>0.92</v>
      </c>
      <c r="ABK14">
        <v>3</v>
      </c>
      <c r="ABN14" s="18"/>
      <c r="ACF14">
        <v>0</v>
      </c>
      <c r="ADQ14" s="16">
        <v>3.75</v>
      </c>
      <c r="ADR14" s="16">
        <v>1</v>
      </c>
      <c r="ADS14" s="16">
        <v>1</v>
      </c>
      <c r="ADT14" s="16"/>
      <c r="ADU14" s="16">
        <f>2.49+0.05+0.03</f>
        <v>2.57</v>
      </c>
      <c r="ADV14" s="16">
        <v>2</v>
      </c>
      <c r="ADW14" s="16"/>
      <c r="ADX14" s="16">
        <v>2.4900000000000002</v>
      </c>
      <c r="ADY14" s="16"/>
      <c r="ADZ14" s="16"/>
      <c r="AEA14" s="16"/>
      <c r="AEB14" s="16">
        <v>8.81</v>
      </c>
      <c r="AEC14" s="16">
        <v>6.01</v>
      </c>
      <c r="AED14" s="16"/>
      <c r="AEE14" s="16"/>
      <c r="AEF14" s="16">
        <v>0</v>
      </c>
      <c r="AEG14" s="16">
        <v>0</v>
      </c>
      <c r="AEH14" s="16">
        <v>0</v>
      </c>
      <c r="AEI14">
        <v>0</v>
      </c>
      <c r="AEJ14" t="s">
        <v>280</v>
      </c>
      <c r="AEK14">
        <v>79</v>
      </c>
      <c r="AEL14" s="16">
        <v>63.9</v>
      </c>
      <c r="AEM14" s="16">
        <v>80.400000000000006</v>
      </c>
      <c r="AEN14" s="16">
        <v>11.2</v>
      </c>
      <c r="AEO14">
        <v>77.430000000000007</v>
      </c>
      <c r="AEP14">
        <v>22.57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45.87</v>
      </c>
      <c r="AFC14">
        <v>0</v>
      </c>
      <c r="AFD14">
        <v>0</v>
      </c>
      <c r="AFE14">
        <v>0</v>
      </c>
      <c r="AFF14">
        <v>0</v>
      </c>
      <c r="AFS14">
        <v>56.3</v>
      </c>
      <c r="AFT14">
        <v>1</v>
      </c>
      <c r="AFU14">
        <v>47</v>
      </c>
      <c r="AFV14">
        <v>18</v>
      </c>
      <c r="AFW14">
        <f>13.43+9.14</f>
        <v>22.57</v>
      </c>
      <c r="AFX14">
        <v>3</v>
      </c>
      <c r="AGE14" s="18"/>
      <c r="AGW14">
        <v>0</v>
      </c>
      <c r="AIH14" s="16">
        <v>0</v>
      </c>
      <c r="AII14" s="16">
        <v>0</v>
      </c>
      <c r="AIJ14" s="16"/>
      <c r="AIK14" s="16"/>
      <c r="AIL14" s="16"/>
      <c r="AIM14" s="16"/>
      <c r="AIN14" s="16"/>
      <c r="AIO14" s="16"/>
      <c r="AIP14" s="16"/>
      <c r="AIQ14" s="16"/>
      <c r="AIR14" s="16"/>
      <c r="AIS14" s="16">
        <v>11.54</v>
      </c>
      <c r="AIT14" s="16">
        <v>22.57</v>
      </c>
      <c r="AIU14" s="16"/>
      <c r="AIV14" s="16"/>
      <c r="AIW14" s="16">
        <v>0</v>
      </c>
      <c r="AIX14" s="16">
        <v>0</v>
      </c>
      <c r="AIY14" s="16">
        <v>0</v>
      </c>
      <c r="AIZ14">
        <v>0</v>
      </c>
      <c r="AJA14" t="s">
        <v>281</v>
      </c>
      <c r="AJB14">
        <v>42.5</v>
      </c>
      <c r="AJC14" s="16">
        <v>76.400000000000006</v>
      </c>
      <c r="AJD14" s="16">
        <v>80.400000000000006</v>
      </c>
      <c r="AJE14" s="16">
        <v>15.3</v>
      </c>
      <c r="AJF14">
        <v>73.599999999999994</v>
      </c>
      <c r="AJG14">
        <v>20.420000000000002</v>
      </c>
      <c r="AJH14">
        <v>3.69</v>
      </c>
      <c r="AJI14">
        <v>0</v>
      </c>
      <c r="AJJ14">
        <v>2.2799999999999998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35.36</v>
      </c>
      <c r="AJT14">
        <v>16.37</v>
      </c>
      <c r="AJU14">
        <v>0</v>
      </c>
      <c r="AJV14">
        <v>4.4000000000000004</v>
      </c>
      <c r="AJW14">
        <v>2</v>
      </c>
      <c r="AJX14">
        <v>10</v>
      </c>
      <c r="AJY14">
        <v>0.9</v>
      </c>
      <c r="AKD14">
        <v>10</v>
      </c>
      <c r="AKE14">
        <v>0.9</v>
      </c>
      <c r="AKJ14">
        <v>9.6999999999999993</v>
      </c>
      <c r="AKK14">
        <v>1</v>
      </c>
      <c r="AKL14">
        <v>68</v>
      </c>
      <c r="AKM14">
        <v>2</v>
      </c>
      <c r="AKN14">
        <f>3.34+5.29</f>
        <v>8.629999999999999</v>
      </c>
      <c r="AKO14">
        <v>1</v>
      </c>
      <c r="AKP14">
        <v>34</v>
      </c>
      <c r="AKQ14">
        <v>86</v>
      </c>
      <c r="AKR14">
        <f>0.8+0.6</f>
        <v>1.4</v>
      </c>
      <c r="AKS14">
        <v>1</v>
      </c>
      <c r="AKT14">
        <v>47</v>
      </c>
      <c r="AKU14">
        <v>1</v>
      </c>
      <c r="AKV14" s="18">
        <v>1.52</v>
      </c>
      <c r="AKW14">
        <v>3</v>
      </c>
      <c r="ALN14">
        <v>0</v>
      </c>
    </row>
    <row r="15" spans="1:1024" s="24" customFormat="1" x14ac:dyDescent="0.2">
      <c r="A15" s="22" t="s">
        <v>282</v>
      </c>
      <c r="B15" s="23">
        <v>42892</v>
      </c>
      <c r="C15" s="24">
        <v>2</v>
      </c>
      <c r="D15" s="25">
        <v>34843</v>
      </c>
      <c r="E15" s="23">
        <v>24204</v>
      </c>
      <c r="F15" s="14">
        <f t="shared" si="0"/>
        <v>51.16495550992471</v>
      </c>
      <c r="G15" s="14">
        <f t="shared" si="1"/>
        <v>22.036960985626283</v>
      </c>
      <c r="H15" s="21" t="s">
        <v>181</v>
      </c>
      <c r="I15" s="21" t="s">
        <v>283</v>
      </c>
      <c r="J15" s="21" t="s">
        <v>181</v>
      </c>
      <c r="K15" s="21">
        <v>8</v>
      </c>
      <c r="L15" s="26">
        <v>83</v>
      </c>
      <c r="M15" s="24">
        <v>1.88</v>
      </c>
      <c r="N15" s="27">
        <f t="shared" si="2"/>
        <v>23.483476686283389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6">
        <v>0</v>
      </c>
      <c r="V15" s="26">
        <v>0</v>
      </c>
      <c r="W15" s="26">
        <v>1</v>
      </c>
      <c r="X15" s="26">
        <v>0</v>
      </c>
      <c r="Y15" s="26">
        <v>1</v>
      </c>
      <c r="Z15" s="26">
        <v>1</v>
      </c>
      <c r="AA15" s="26">
        <v>60</v>
      </c>
      <c r="AB15" s="26" t="s">
        <v>284</v>
      </c>
      <c r="AC15" s="26">
        <v>0</v>
      </c>
      <c r="AD15" s="26">
        <v>0</v>
      </c>
      <c r="AE15" s="26">
        <v>0</v>
      </c>
      <c r="AF15" s="26">
        <v>0</v>
      </c>
      <c r="AG15" s="26">
        <v>0</v>
      </c>
      <c r="AH15" s="26">
        <v>0</v>
      </c>
      <c r="AI15" s="26">
        <v>0</v>
      </c>
      <c r="AJ15" s="26">
        <v>0</v>
      </c>
      <c r="AK15" s="26">
        <v>0</v>
      </c>
      <c r="AL15" s="26">
        <v>0</v>
      </c>
      <c r="AM15" s="19">
        <v>0</v>
      </c>
      <c r="AN15" s="26">
        <v>0</v>
      </c>
      <c r="AO15" s="26">
        <v>0</v>
      </c>
      <c r="AP15" s="26">
        <v>0</v>
      </c>
      <c r="AQ15" s="26">
        <v>0</v>
      </c>
      <c r="AR15" s="26">
        <v>0</v>
      </c>
      <c r="AS15" s="26">
        <v>1</v>
      </c>
      <c r="AT15" s="26">
        <v>1</v>
      </c>
      <c r="AU15" s="26">
        <v>1</v>
      </c>
      <c r="AV15" s="26">
        <v>4</v>
      </c>
      <c r="AW15" s="26">
        <v>0</v>
      </c>
      <c r="AX15" s="26">
        <v>0</v>
      </c>
      <c r="AY15" s="26">
        <v>0</v>
      </c>
      <c r="AZ15" s="26">
        <v>0</v>
      </c>
      <c r="BA15" s="26">
        <v>0</v>
      </c>
      <c r="BB15" s="26">
        <v>1</v>
      </c>
      <c r="BC15" s="26">
        <v>1</v>
      </c>
      <c r="BD15" s="26">
        <v>1</v>
      </c>
      <c r="BE15" s="26">
        <v>3</v>
      </c>
      <c r="BF15" s="26">
        <v>0</v>
      </c>
      <c r="BG15" s="26">
        <v>0</v>
      </c>
      <c r="BH15" s="26">
        <v>0</v>
      </c>
      <c r="BI15" s="26">
        <v>0</v>
      </c>
      <c r="BJ15" s="26">
        <v>1</v>
      </c>
      <c r="BK15" s="26">
        <v>0</v>
      </c>
      <c r="BL15" s="26">
        <v>0</v>
      </c>
      <c r="BM15" s="26">
        <v>0</v>
      </c>
      <c r="BN15" s="26">
        <v>1</v>
      </c>
      <c r="BO15" s="26">
        <v>0</v>
      </c>
      <c r="BP15" s="26">
        <v>1</v>
      </c>
      <c r="BQ15" s="26">
        <v>2</v>
      </c>
      <c r="BR15" s="26">
        <v>2</v>
      </c>
      <c r="BS15" s="26">
        <v>2</v>
      </c>
      <c r="BT15" s="26">
        <v>3</v>
      </c>
      <c r="BU15" s="26">
        <v>5</v>
      </c>
      <c r="BV15" s="26">
        <v>4</v>
      </c>
      <c r="BW15" s="26">
        <v>4</v>
      </c>
      <c r="BX15" s="26">
        <v>4</v>
      </c>
      <c r="BY15" s="26">
        <v>4</v>
      </c>
      <c r="BZ15" s="26">
        <v>4</v>
      </c>
      <c r="CA15" s="26">
        <v>4</v>
      </c>
      <c r="CB15" s="26">
        <v>4</v>
      </c>
      <c r="CC15" s="26">
        <v>4</v>
      </c>
      <c r="CD15" s="26">
        <v>3</v>
      </c>
      <c r="CE15" s="26">
        <v>4</v>
      </c>
      <c r="CF15" s="26">
        <v>4</v>
      </c>
      <c r="CG15" s="26">
        <v>5</v>
      </c>
      <c r="CH15" s="26">
        <v>4</v>
      </c>
      <c r="CI15" s="26">
        <v>4</v>
      </c>
      <c r="CJ15" s="26">
        <v>4</v>
      </c>
      <c r="CK15" s="26">
        <v>10</v>
      </c>
      <c r="CL15" s="24" t="s">
        <v>285</v>
      </c>
      <c r="CM15" s="24">
        <v>70</v>
      </c>
      <c r="CN15" s="27">
        <v>79.8</v>
      </c>
      <c r="CO15" s="27">
        <v>80.400000000000006</v>
      </c>
      <c r="CP15" s="27">
        <v>62.1</v>
      </c>
      <c r="CQ15" s="24">
        <v>39.51</v>
      </c>
      <c r="CR15" s="29">
        <v>0</v>
      </c>
      <c r="CS15" s="24">
        <v>47.45</v>
      </c>
      <c r="CT15" s="24">
        <v>13.05</v>
      </c>
      <c r="CU15" s="24">
        <v>0</v>
      </c>
      <c r="CV15" s="24">
        <v>0</v>
      </c>
      <c r="CW15" s="24">
        <v>0</v>
      </c>
      <c r="CX15" s="24">
        <v>0</v>
      </c>
      <c r="CY15" s="24">
        <v>0</v>
      </c>
      <c r="CZ15" s="24">
        <v>0</v>
      </c>
      <c r="DA15" s="24">
        <v>0</v>
      </c>
      <c r="DB15" s="24">
        <v>0</v>
      </c>
      <c r="DC15" s="24">
        <v>0</v>
      </c>
      <c r="DD15" s="24">
        <v>30.76</v>
      </c>
      <c r="DE15" s="24">
        <v>14.19</v>
      </c>
      <c r="DF15" s="24">
        <v>0</v>
      </c>
      <c r="DG15" s="24">
        <v>0</v>
      </c>
      <c r="DH15" s="24">
        <v>0</v>
      </c>
      <c r="DU15" s="24">
        <v>0.3</v>
      </c>
      <c r="DV15" s="24">
        <v>1</v>
      </c>
      <c r="DW15" s="24">
        <v>68</v>
      </c>
      <c r="DX15" s="24">
        <v>1</v>
      </c>
      <c r="DY15" s="24">
        <v>0.13</v>
      </c>
      <c r="DZ15" s="24">
        <v>1</v>
      </c>
      <c r="EG15" s="28"/>
      <c r="EY15" s="24">
        <v>0</v>
      </c>
      <c r="GJ15" s="27">
        <v>0.63</v>
      </c>
      <c r="GK15" s="27">
        <v>1</v>
      </c>
      <c r="GL15" s="27">
        <v>1</v>
      </c>
      <c r="GM15" s="27"/>
      <c r="GN15" s="27">
        <v>1.52</v>
      </c>
      <c r="GO15" s="27"/>
      <c r="GP15" s="27"/>
      <c r="GQ15" s="27"/>
      <c r="GR15" s="27"/>
      <c r="GS15" s="27"/>
      <c r="GT15" s="27"/>
      <c r="GU15" s="27">
        <v>3.55</v>
      </c>
      <c r="GV15" s="27">
        <v>4.46</v>
      </c>
      <c r="GW15" s="27"/>
      <c r="GX15" s="27"/>
      <c r="GY15" s="27">
        <v>0</v>
      </c>
      <c r="GZ15" s="27">
        <v>0</v>
      </c>
      <c r="HA15" s="27">
        <v>0</v>
      </c>
      <c r="HB15" s="24">
        <v>0</v>
      </c>
      <c r="HC15" s="24" t="s">
        <v>286</v>
      </c>
      <c r="HD15" s="24">
        <v>95.5</v>
      </c>
      <c r="HE15" s="27">
        <v>99.1</v>
      </c>
      <c r="HF15" s="27">
        <v>80.400000000000006</v>
      </c>
      <c r="HG15" s="27">
        <v>90.4</v>
      </c>
      <c r="HH15" s="24">
        <v>24.15</v>
      </c>
      <c r="HI15" s="29">
        <v>0</v>
      </c>
      <c r="HJ15" s="24">
        <v>31.26</v>
      </c>
      <c r="HK15" s="24">
        <v>44.6</v>
      </c>
      <c r="HL15" s="24">
        <v>0</v>
      </c>
      <c r="HM15" s="24">
        <v>0</v>
      </c>
      <c r="HN15" s="24">
        <v>0</v>
      </c>
      <c r="HO15" s="24">
        <v>0</v>
      </c>
      <c r="HP15" s="24">
        <v>0</v>
      </c>
      <c r="HQ15" s="24">
        <v>0</v>
      </c>
      <c r="HR15" s="24">
        <v>0</v>
      </c>
      <c r="HS15" s="24">
        <v>0</v>
      </c>
      <c r="HT15" s="24">
        <v>0</v>
      </c>
      <c r="HU15" s="24">
        <v>24.75</v>
      </c>
      <c r="HV15" s="24">
        <v>2.4700000000000002</v>
      </c>
      <c r="HW15" s="24">
        <v>0</v>
      </c>
      <c r="HX15" s="24">
        <v>0</v>
      </c>
      <c r="HY15" s="24">
        <v>0</v>
      </c>
      <c r="IL15" s="24">
        <v>0.2</v>
      </c>
      <c r="IM15" s="24">
        <v>1</v>
      </c>
      <c r="IN15" s="24">
        <v>34</v>
      </c>
      <c r="IO15" s="24">
        <v>16</v>
      </c>
      <c r="IP15" s="24">
        <f>6.09+1.07</f>
        <v>7.16</v>
      </c>
      <c r="IQ15" s="24">
        <v>1</v>
      </c>
      <c r="IR15" s="24">
        <v>68</v>
      </c>
      <c r="IS15" s="24">
        <v>1</v>
      </c>
      <c r="IT15" s="24">
        <v>0.13</v>
      </c>
      <c r="IU15" s="24">
        <v>1</v>
      </c>
      <c r="IX15" s="28"/>
      <c r="JP15" s="24">
        <v>0</v>
      </c>
      <c r="LA15" s="27">
        <v>0.63</v>
      </c>
      <c r="LB15" s="27">
        <v>1</v>
      </c>
      <c r="LC15" s="27">
        <v>1</v>
      </c>
      <c r="LD15" s="27"/>
      <c r="LE15" s="27">
        <v>1.52</v>
      </c>
      <c r="LF15" s="27"/>
      <c r="LG15" s="27"/>
      <c r="LH15" s="27"/>
      <c r="LI15" s="27"/>
      <c r="LJ15" s="27"/>
      <c r="LK15" s="27"/>
      <c r="LL15" s="27">
        <v>0</v>
      </c>
      <c r="LM15" s="27">
        <v>0</v>
      </c>
      <c r="LN15" s="27"/>
      <c r="LO15" s="27"/>
      <c r="LP15" s="27">
        <v>0</v>
      </c>
      <c r="LQ15" s="27">
        <v>0</v>
      </c>
      <c r="LR15" s="27">
        <v>0</v>
      </c>
      <c r="LS15" s="24">
        <v>0</v>
      </c>
      <c r="LT15" s="24" t="s">
        <v>287</v>
      </c>
      <c r="LU15" s="24">
        <v>61.5</v>
      </c>
      <c r="LV15" s="27">
        <v>83.5</v>
      </c>
      <c r="LW15" s="27">
        <v>80.400000000000006</v>
      </c>
      <c r="LX15" s="27">
        <v>56.1</v>
      </c>
      <c r="LY15" s="24">
        <v>51.73</v>
      </c>
      <c r="LZ15" s="29">
        <v>0</v>
      </c>
      <c r="MA15" s="24">
        <v>30.08</v>
      </c>
      <c r="MB15" s="24">
        <v>18.190000000000001</v>
      </c>
      <c r="MC15" s="24">
        <v>0</v>
      </c>
      <c r="MD15" s="24">
        <v>0</v>
      </c>
      <c r="ME15" s="24">
        <v>0</v>
      </c>
      <c r="MF15" s="24">
        <v>0</v>
      </c>
      <c r="MG15" s="24">
        <v>0</v>
      </c>
      <c r="MH15" s="24">
        <v>0</v>
      </c>
      <c r="MI15" s="24">
        <v>0</v>
      </c>
      <c r="MJ15" s="24">
        <v>0</v>
      </c>
      <c r="MK15" s="24">
        <v>0.3</v>
      </c>
      <c r="ML15" s="24">
        <v>27.59</v>
      </c>
      <c r="MM15" s="24">
        <v>0</v>
      </c>
      <c r="MN15" s="24">
        <v>0</v>
      </c>
      <c r="MO15" s="24">
        <v>0</v>
      </c>
      <c r="MP15" s="24">
        <v>0</v>
      </c>
      <c r="NC15" s="24">
        <v>0</v>
      </c>
      <c r="ND15" s="24">
        <v>0</v>
      </c>
      <c r="NO15" s="28"/>
      <c r="OG15" s="24">
        <v>0</v>
      </c>
      <c r="PR15" s="27">
        <v>1.96</v>
      </c>
      <c r="PS15" s="27">
        <v>1</v>
      </c>
      <c r="PT15" s="27">
        <v>1</v>
      </c>
      <c r="PU15" s="27"/>
      <c r="PV15" s="27">
        <f>5.53+3.68+1.71+1.12+0.74</f>
        <v>12.780000000000003</v>
      </c>
      <c r="PW15" s="27"/>
      <c r="PX15" s="27"/>
      <c r="PY15" s="27"/>
      <c r="PZ15" s="27"/>
      <c r="QA15" s="27"/>
      <c r="QB15" s="27"/>
      <c r="QC15" s="27">
        <v>0.94</v>
      </c>
      <c r="QD15" s="27">
        <v>0.94</v>
      </c>
      <c r="QE15" s="27"/>
      <c r="QF15" s="27"/>
      <c r="QG15" s="27">
        <v>0</v>
      </c>
      <c r="QH15" s="27">
        <v>0</v>
      </c>
      <c r="QI15" s="27">
        <v>0</v>
      </c>
      <c r="QJ15" s="24">
        <v>0</v>
      </c>
      <c r="QK15" s="24" t="s">
        <v>288</v>
      </c>
      <c r="QL15" s="24">
        <v>77.5</v>
      </c>
      <c r="QM15" s="27">
        <v>87.4</v>
      </c>
      <c r="QN15" s="27">
        <v>80.400000000000006</v>
      </c>
      <c r="QO15" s="27">
        <v>53.5</v>
      </c>
      <c r="QP15" s="24">
        <v>51.28</v>
      </c>
      <c r="QQ15" s="29">
        <v>0</v>
      </c>
      <c r="QR15" s="24">
        <v>27.27</v>
      </c>
      <c r="QS15" s="24">
        <v>21.22</v>
      </c>
      <c r="QT15" s="24">
        <v>0</v>
      </c>
      <c r="QU15" s="24">
        <v>0</v>
      </c>
      <c r="QV15" s="24">
        <v>0</v>
      </c>
      <c r="QW15" s="24">
        <v>0</v>
      </c>
      <c r="QX15" s="24">
        <v>0</v>
      </c>
      <c r="QY15" s="24">
        <v>0</v>
      </c>
      <c r="QZ15" s="24">
        <v>0</v>
      </c>
      <c r="RA15" s="24">
        <v>0</v>
      </c>
      <c r="RB15" s="24">
        <v>5.93</v>
      </c>
      <c r="RC15" s="24">
        <v>4.6100000000000003</v>
      </c>
      <c r="RD15" s="24">
        <v>5.38</v>
      </c>
      <c r="RE15" s="24">
        <v>0</v>
      </c>
      <c r="RF15" s="24">
        <v>15.4</v>
      </c>
      <c r="RG15" s="24">
        <v>1</v>
      </c>
      <c r="RH15" s="24">
        <v>4</v>
      </c>
      <c r="RJ15" s="24">
        <v>2</v>
      </c>
      <c r="RN15" s="24">
        <v>4</v>
      </c>
      <c r="RP15" s="24">
        <v>2</v>
      </c>
      <c r="RT15" s="24">
        <v>6.7</v>
      </c>
      <c r="RU15" s="24">
        <v>1</v>
      </c>
      <c r="RV15" s="24">
        <v>35</v>
      </c>
      <c r="RW15" s="24">
        <v>6</v>
      </c>
      <c r="RX15" s="24">
        <v>0.8</v>
      </c>
      <c r="RY15" s="24">
        <v>3</v>
      </c>
      <c r="RZ15" s="24">
        <v>47</v>
      </c>
      <c r="SA15" s="24">
        <v>1</v>
      </c>
      <c r="SB15" s="24">
        <v>0.13</v>
      </c>
      <c r="SC15" s="24">
        <v>3</v>
      </c>
      <c r="SF15" s="28"/>
      <c r="SX15" s="24">
        <v>1</v>
      </c>
      <c r="SY15" s="24">
        <v>60</v>
      </c>
      <c r="SZ15" s="24">
        <v>3</v>
      </c>
      <c r="TA15" s="24">
        <v>1.35</v>
      </c>
      <c r="TB15" s="24">
        <v>2</v>
      </c>
      <c r="UI15" s="27">
        <v>0</v>
      </c>
      <c r="UJ15" s="27">
        <v>0</v>
      </c>
      <c r="UK15" s="27"/>
      <c r="UL15" s="27"/>
      <c r="UM15" s="27"/>
      <c r="UN15" s="27"/>
      <c r="UO15" s="27"/>
      <c r="UP15" s="27"/>
      <c r="UQ15" s="27"/>
      <c r="UR15" s="27"/>
      <c r="US15" s="27"/>
      <c r="UT15" s="27">
        <v>0</v>
      </c>
      <c r="UU15" s="27">
        <v>0</v>
      </c>
      <c r="UV15" s="27"/>
      <c r="UW15" s="27"/>
      <c r="UX15" s="27">
        <v>0</v>
      </c>
      <c r="UY15" s="27">
        <v>0</v>
      </c>
      <c r="UZ15" s="27">
        <v>0</v>
      </c>
      <c r="VA15" s="24">
        <v>0</v>
      </c>
      <c r="VB15" s="24" t="s">
        <v>289</v>
      </c>
      <c r="VC15" s="24">
        <v>44</v>
      </c>
      <c r="VD15" s="27">
        <v>69.900000000000006</v>
      </c>
      <c r="VE15" s="27">
        <v>80.400000000000006</v>
      </c>
      <c r="VF15" s="27">
        <v>41</v>
      </c>
      <c r="VG15" s="24">
        <v>68.16</v>
      </c>
      <c r="VH15" s="29">
        <v>0</v>
      </c>
      <c r="VI15" s="24">
        <v>11.52</v>
      </c>
      <c r="VJ15" s="24">
        <v>20.32</v>
      </c>
      <c r="VK15" s="24">
        <v>0</v>
      </c>
      <c r="VL15" s="24">
        <v>0</v>
      </c>
      <c r="VM15" s="24">
        <v>0</v>
      </c>
      <c r="VN15" s="24">
        <v>0</v>
      </c>
      <c r="VO15" s="24">
        <v>0</v>
      </c>
      <c r="VP15" s="24">
        <v>0</v>
      </c>
      <c r="VQ15" s="24">
        <v>0</v>
      </c>
      <c r="VR15" s="24">
        <v>0</v>
      </c>
      <c r="VS15" s="24">
        <v>13.13</v>
      </c>
      <c r="VT15" s="24">
        <v>8.66</v>
      </c>
      <c r="VU15" s="24">
        <v>0</v>
      </c>
      <c r="VV15" s="24">
        <v>0</v>
      </c>
      <c r="VW15" s="24">
        <v>0</v>
      </c>
      <c r="VX15" s="24">
        <v>0</v>
      </c>
      <c r="WK15" s="24">
        <v>1.5</v>
      </c>
      <c r="WL15" s="24">
        <v>1</v>
      </c>
      <c r="WM15" s="24">
        <v>47</v>
      </c>
      <c r="WN15" s="24">
        <v>5</v>
      </c>
      <c r="WO15" s="24">
        <f>0.15+0.04</f>
        <v>0.19</v>
      </c>
      <c r="WP15" s="24">
        <v>3</v>
      </c>
      <c r="WQ15" s="24">
        <v>25</v>
      </c>
      <c r="WR15" s="24">
        <v>1</v>
      </c>
      <c r="WS15" s="24">
        <v>0.4</v>
      </c>
      <c r="WT15" s="24">
        <v>1</v>
      </c>
      <c r="WW15" s="28"/>
      <c r="XO15" s="24">
        <v>0</v>
      </c>
      <c r="YZ15" s="27">
        <v>0.11</v>
      </c>
      <c r="ZA15" s="27">
        <v>1</v>
      </c>
      <c r="ZB15" s="27">
        <v>1</v>
      </c>
      <c r="ZC15" s="27"/>
      <c r="ZD15" s="27">
        <v>0.56000000000000005</v>
      </c>
      <c r="ZE15" s="27"/>
      <c r="ZF15" s="27"/>
      <c r="ZG15" s="27"/>
      <c r="ZH15" s="27"/>
      <c r="ZI15" s="27"/>
      <c r="ZJ15" s="27"/>
      <c r="ZK15" s="27">
        <v>0</v>
      </c>
      <c r="ZL15" s="27">
        <v>0</v>
      </c>
      <c r="ZM15" s="27"/>
      <c r="ZN15" s="27"/>
      <c r="ZO15" s="27">
        <v>0</v>
      </c>
      <c r="ZP15" s="27">
        <v>0</v>
      </c>
      <c r="ZQ15" s="27">
        <v>0</v>
      </c>
      <c r="ZR15" s="24">
        <v>0</v>
      </c>
      <c r="ZS15" s="24" t="s">
        <v>290</v>
      </c>
      <c r="ZT15" s="24">
        <v>43</v>
      </c>
      <c r="ZU15" s="27">
        <v>49.3</v>
      </c>
      <c r="ZV15" s="27">
        <v>80.400000000000006</v>
      </c>
      <c r="ZW15" s="27">
        <v>32.9</v>
      </c>
      <c r="ZX15" s="24">
        <v>73.52</v>
      </c>
      <c r="ZY15" s="29">
        <v>0</v>
      </c>
      <c r="ZZ15" s="24">
        <v>16.84</v>
      </c>
      <c r="AAA15" s="24">
        <v>9.64</v>
      </c>
      <c r="AAB15" s="24">
        <v>0</v>
      </c>
      <c r="AAC15" s="24">
        <v>0</v>
      </c>
      <c r="AAD15" s="24">
        <v>0</v>
      </c>
      <c r="AAE15" s="24">
        <v>0</v>
      </c>
      <c r="AAF15" s="24">
        <v>0</v>
      </c>
      <c r="AAG15" s="24">
        <v>0</v>
      </c>
      <c r="AAH15" s="24">
        <v>0</v>
      </c>
      <c r="AAI15" s="24">
        <v>0</v>
      </c>
      <c r="AAJ15" s="24">
        <v>13.52</v>
      </c>
      <c r="AAK15" s="24">
        <v>3.69</v>
      </c>
      <c r="AAL15" s="24">
        <v>3.85</v>
      </c>
      <c r="AAM15" s="24">
        <v>0</v>
      </c>
      <c r="AAN15" s="24">
        <v>0</v>
      </c>
      <c r="AAO15" s="24">
        <v>0</v>
      </c>
      <c r="ABB15" s="24">
        <v>7.4</v>
      </c>
      <c r="ABC15" s="24">
        <v>1</v>
      </c>
      <c r="ABD15" s="24">
        <v>47</v>
      </c>
      <c r="ABE15" s="24">
        <v>11</v>
      </c>
      <c r="ABF15" s="24">
        <f>2.09+0.15+0.04</f>
        <v>2.2799999999999998</v>
      </c>
      <c r="ABG15" s="24">
        <v>3</v>
      </c>
      <c r="ABN15" s="28"/>
      <c r="ACF15" s="24">
        <v>0</v>
      </c>
      <c r="ADQ15" s="27">
        <v>0.28000000000000003</v>
      </c>
      <c r="ADR15" s="27">
        <v>1</v>
      </c>
      <c r="ADS15" s="27">
        <v>1</v>
      </c>
      <c r="ADT15" s="27"/>
      <c r="ADU15" s="27">
        <v>0.56000000000000005</v>
      </c>
      <c r="ADV15" s="27"/>
      <c r="ADW15" s="27"/>
      <c r="ADX15" s="27"/>
      <c r="ADY15" s="27"/>
      <c r="ADZ15" s="27"/>
      <c r="AEA15" s="27"/>
      <c r="AEB15" s="27">
        <v>0.99</v>
      </c>
      <c r="AEC15" s="27">
        <v>0.39</v>
      </c>
      <c r="AED15" s="27"/>
      <c r="AEE15" s="27"/>
      <c r="AEF15" s="27">
        <v>0</v>
      </c>
      <c r="AEG15" s="27">
        <v>0</v>
      </c>
      <c r="AEH15" s="27">
        <v>0</v>
      </c>
      <c r="AEI15" s="24">
        <v>0</v>
      </c>
      <c r="AEJ15" s="24">
        <v>56</v>
      </c>
      <c r="AEK15" s="24">
        <v>26.5</v>
      </c>
      <c r="AEL15" s="27">
        <v>66.099999999999994</v>
      </c>
      <c r="AEM15" s="27">
        <v>80.400000000000006</v>
      </c>
      <c r="AEN15" s="27">
        <v>15</v>
      </c>
      <c r="AEO15" s="24">
        <v>89</v>
      </c>
      <c r="AEP15" s="29">
        <v>0</v>
      </c>
      <c r="AEQ15" s="24">
        <v>7.09</v>
      </c>
      <c r="AER15" s="24">
        <v>2.12</v>
      </c>
      <c r="AES15" s="24">
        <v>0</v>
      </c>
      <c r="AET15" s="24">
        <v>0</v>
      </c>
      <c r="AEU15" s="24">
        <v>0</v>
      </c>
      <c r="AEV15" s="24">
        <v>0</v>
      </c>
      <c r="AEW15" s="24">
        <v>0</v>
      </c>
      <c r="AEX15" s="24">
        <v>0</v>
      </c>
      <c r="AEY15" s="24">
        <v>0</v>
      </c>
      <c r="AEZ15" s="24">
        <v>0</v>
      </c>
      <c r="AFA15" s="24">
        <v>4.26</v>
      </c>
      <c r="AFB15" s="24">
        <v>32.68</v>
      </c>
      <c r="AFC15" s="24">
        <v>1.91</v>
      </c>
      <c r="AFD15" s="24">
        <v>0</v>
      </c>
      <c r="AFE15" s="24">
        <v>0</v>
      </c>
      <c r="AFF15" s="24">
        <v>0</v>
      </c>
      <c r="AFS15" s="24">
        <v>0</v>
      </c>
      <c r="AFT15" s="24">
        <v>0</v>
      </c>
      <c r="AGE15" s="28"/>
      <c r="AGW15" s="24">
        <v>0</v>
      </c>
      <c r="AIH15" s="27">
        <v>3.52</v>
      </c>
      <c r="AII15" s="27">
        <v>1</v>
      </c>
      <c r="AIJ15" s="27">
        <v>1</v>
      </c>
      <c r="AIK15" s="27"/>
      <c r="AIL15" s="27">
        <f>3.13+3.17*4</f>
        <v>15.809999999999999</v>
      </c>
      <c r="AIM15" s="27">
        <v>2</v>
      </c>
      <c r="AIN15" s="27"/>
      <c r="AIO15" s="27">
        <v>0.87</v>
      </c>
      <c r="AIP15" s="27"/>
      <c r="AIQ15" s="27"/>
      <c r="AIR15" s="27"/>
      <c r="AIS15" s="27">
        <v>5.36</v>
      </c>
      <c r="AIT15" s="27">
        <v>8.39</v>
      </c>
      <c r="AIU15" s="27"/>
      <c r="AIV15" s="27"/>
      <c r="AIW15" s="27">
        <v>0</v>
      </c>
      <c r="AIX15" s="27">
        <v>0</v>
      </c>
      <c r="AIY15" s="27">
        <v>0</v>
      </c>
      <c r="AIZ15" s="24">
        <v>0</v>
      </c>
      <c r="AJA15" s="24" t="s">
        <v>291</v>
      </c>
      <c r="AJB15" s="24">
        <v>35.5</v>
      </c>
      <c r="AJC15" s="27">
        <v>84</v>
      </c>
      <c r="AJD15" s="27">
        <v>80.400000000000006</v>
      </c>
      <c r="AJE15" s="27">
        <v>10.5</v>
      </c>
      <c r="AJF15" s="24">
        <v>95.42</v>
      </c>
      <c r="AJG15" s="29">
        <v>0</v>
      </c>
      <c r="AJH15" s="24">
        <v>4.58</v>
      </c>
      <c r="AJI15" s="24">
        <v>0</v>
      </c>
      <c r="AJJ15" s="24">
        <v>0</v>
      </c>
      <c r="AJK15" s="24">
        <v>0</v>
      </c>
      <c r="AJL15" s="24">
        <v>0</v>
      </c>
      <c r="AJM15" s="24">
        <v>0</v>
      </c>
      <c r="AJN15" s="24">
        <v>0</v>
      </c>
      <c r="AJO15" s="24">
        <v>0</v>
      </c>
      <c r="AJP15" s="24">
        <v>0</v>
      </c>
      <c r="AJQ15" s="24">
        <v>0</v>
      </c>
      <c r="AJR15" s="24">
        <v>17.829999999999998</v>
      </c>
      <c r="AJS15" s="24">
        <v>40.99</v>
      </c>
      <c r="AJT15" s="24">
        <v>9.34</v>
      </c>
      <c r="AJU15" s="24">
        <v>0</v>
      </c>
      <c r="AJV15" s="24">
        <v>0</v>
      </c>
      <c r="AJW15" s="24">
        <v>0</v>
      </c>
      <c r="AKJ15" s="24">
        <v>4.4000000000000004</v>
      </c>
      <c r="AKK15" s="24">
        <v>1</v>
      </c>
      <c r="AKL15" s="24">
        <v>34</v>
      </c>
      <c r="AKM15" s="24">
        <v>10</v>
      </c>
      <c r="AKN15" s="24">
        <f>8.56+1.51</f>
        <v>10.07</v>
      </c>
      <c r="AKO15" s="24">
        <v>1</v>
      </c>
      <c r="AKP15" s="24">
        <v>68</v>
      </c>
      <c r="AKQ15" s="24">
        <v>6</v>
      </c>
      <c r="AKR15" s="24">
        <f>3.43+0.6</f>
        <v>4.03</v>
      </c>
      <c r="AKS15" s="24">
        <v>1</v>
      </c>
      <c r="AKV15" s="28"/>
      <c r="ALN15" s="24">
        <v>0</v>
      </c>
    </row>
    <row r="16" spans="1:1024" x14ac:dyDescent="0.2">
      <c r="A16" s="22" t="s">
        <v>292</v>
      </c>
      <c r="B16" s="23">
        <v>42892</v>
      </c>
      <c r="C16" s="24">
        <v>2</v>
      </c>
      <c r="D16" s="25">
        <v>35620</v>
      </c>
      <c r="E16" s="23">
        <v>26889</v>
      </c>
      <c r="F16" s="14">
        <f t="shared" si="0"/>
        <v>43.813826146475016</v>
      </c>
      <c r="G16" s="14">
        <f t="shared" si="1"/>
        <v>19.909650924024639</v>
      </c>
      <c r="H16" s="21" t="s">
        <v>228</v>
      </c>
      <c r="I16" s="21" t="s">
        <v>240</v>
      </c>
      <c r="J16" s="21" t="s">
        <v>181</v>
      </c>
      <c r="K16" s="21">
        <v>8</v>
      </c>
      <c r="L16" s="26">
        <v>75</v>
      </c>
      <c r="M16" s="24">
        <v>1.73</v>
      </c>
      <c r="N16" s="27">
        <f t="shared" si="2"/>
        <v>25.059307026629689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6">
        <v>0</v>
      </c>
      <c r="V16" s="26">
        <v>0</v>
      </c>
      <c r="W16" s="26">
        <v>0</v>
      </c>
      <c r="X16" s="26">
        <v>0</v>
      </c>
      <c r="Y16" s="26">
        <v>1</v>
      </c>
      <c r="Z16" s="26">
        <v>1</v>
      </c>
      <c r="AA16" s="26">
        <v>90</v>
      </c>
      <c r="AB16" s="26" t="s">
        <v>293</v>
      </c>
      <c r="AC16" s="26">
        <v>1</v>
      </c>
      <c r="AD16" s="26">
        <v>10</v>
      </c>
      <c r="AE16" s="26">
        <v>0</v>
      </c>
      <c r="AF16" s="26">
        <v>0</v>
      </c>
      <c r="AG16" s="26">
        <v>0</v>
      </c>
      <c r="AH16" s="26">
        <v>0</v>
      </c>
      <c r="AI16" s="26">
        <v>0</v>
      </c>
      <c r="AJ16" s="26">
        <v>0</v>
      </c>
      <c r="AK16" s="26">
        <v>0</v>
      </c>
      <c r="AL16" s="26">
        <v>0</v>
      </c>
      <c r="AM16" s="19">
        <v>0</v>
      </c>
      <c r="AN16" s="26">
        <v>0</v>
      </c>
      <c r="AO16" s="26">
        <v>0</v>
      </c>
      <c r="AP16" s="26">
        <v>0</v>
      </c>
      <c r="AQ16" s="26">
        <v>0</v>
      </c>
      <c r="AR16" s="26">
        <v>0</v>
      </c>
      <c r="AS16" s="26">
        <v>1</v>
      </c>
      <c r="AT16" s="26">
        <v>1</v>
      </c>
      <c r="AU16" s="26">
        <v>1</v>
      </c>
      <c r="AV16" s="26"/>
      <c r="AW16" s="26">
        <v>0</v>
      </c>
      <c r="AX16" s="26">
        <v>0</v>
      </c>
      <c r="AY16" s="26">
        <v>0</v>
      </c>
      <c r="AZ16" s="26">
        <v>0</v>
      </c>
      <c r="BA16" s="26">
        <v>0</v>
      </c>
      <c r="BB16" s="26">
        <v>0</v>
      </c>
      <c r="BC16" s="26">
        <v>0</v>
      </c>
      <c r="BD16" s="26">
        <v>0</v>
      </c>
      <c r="BE16" s="26">
        <v>0</v>
      </c>
      <c r="BF16" s="26">
        <v>0</v>
      </c>
      <c r="BG16" s="26">
        <v>0</v>
      </c>
      <c r="BH16" s="26">
        <v>0</v>
      </c>
      <c r="BI16" s="26">
        <v>0</v>
      </c>
      <c r="BJ16" s="26">
        <v>1</v>
      </c>
      <c r="BK16" s="26">
        <v>1</v>
      </c>
      <c r="BL16" s="26">
        <v>1</v>
      </c>
      <c r="BM16" s="26">
        <v>7</v>
      </c>
      <c r="BN16" s="26">
        <v>0</v>
      </c>
      <c r="BO16" s="26">
        <v>0</v>
      </c>
      <c r="BP16" s="26">
        <v>0</v>
      </c>
      <c r="BQ16" s="26">
        <v>0</v>
      </c>
      <c r="BR16" s="26">
        <v>3</v>
      </c>
      <c r="BS16" s="26">
        <v>2</v>
      </c>
      <c r="BT16" s="26">
        <v>3</v>
      </c>
      <c r="BU16" s="26">
        <v>5</v>
      </c>
      <c r="BV16" s="26">
        <v>2</v>
      </c>
      <c r="BW16" s="26">
        <v>4</v>
      </c>
      <c r="BX16" s="26">
        <v>2</v>
      </c>
      <c r="BY16" s="26">
        <v>2</v>
      </c>
      <c r="BZ16" s="26">
        <v>2</v>
      </c>
      <c r="CA16" s="26">
        <v>3</v>
      </c>
      <c r="CB16" s="26">
        <v>4</v>
      </c>
      <c r="CC16" s="26">
        <v>5</v>
      </c>
      <c r="CD16" s="26">
        <v>4</v>
      </c>
      <c r="CE16" s="26">
        <v>3</v>
      </c>
      <c r="CF16" s="26">
        <v>3</v>
      </c>
      <c r="CG16" s="26">
        <v>4</v>
      </c>
      <c r="CH16" s="26">
        <v>2</v>
      </c>
      <c r="CI16" s="26">
        <v>4</v>
      </c>
      <c r="CJ16" s="26">
        <v>3</v>
      </c>
      <c r="CK16" s="26">
        <v>8</v>
      </c>
      <c r="CL16" s="24" t="s">
        <v>242</v>
      </c>
      <c r="CM16" s="24">
        <v>36.5</v>
      </c>
      <c r="CN16" s="27">
        <v>88.3</v>
      </c>
      <c r="CO16" s="27">
        <v>80.400000000000006</v>
      </c>
      <c r="CP16" s="27">
        <v>28.2</v>
      </c>
      <c r="CQ16" s="24">
        <v>73.819999999999993</v>
      </c>
      <c r="CR16" s="24">
        <v>0</v>
      </c>
      <c r="CS16" s="24">
        <v>25.61</v>
      </c>
      <c r="CT16" s="24">
        <v>0</v>
      </c>
      <c r="CU16" s="24">
        <v>0.56999999999999995</v>
      </c>
      <c r="CV16" s="24">
        <v>0</v>
      </c>
      <c r="CW16" s="24">
        <v>0</v>
      </c>
      <c r="CX16" s="24">
        <v>0</v>
      </c>
      <c r="CY16" s="24">
        <v>0</v>
      </c>
      <c r="CZ16" s="24">
        <v>0</v>
      </c>
      <c r="DA16" s="24">
        <v>0</v>
      </c>
      <c r="DB16" s="24">
        <v>1.17</v>
      </c>
      <c r="DC16" s="24">
        <v>31.76</v>
      </c>
      <c r="DD16" s="24">
        <v>23.3</v>
      </c>
      <c r="DE16" s="24">
        <v>26.08</v>
      </c>
      <c r="DF16" s="24">
        <v>0</v>
      </c>
      <c r="DG16" s="24">
        <v>0</v>
      </c>
      <c r="DH16" s="24">
        <v>0</v>
      </c>
      <c r="DU16" s="24">
        <v>2.1</v>
      </c>
      <c r="DV16" s="24">
        <v>1</v>
      </c>
      <c r="DW16" s="24">
        <v>47</v>
      </c>
      <c r="DX16" s="24">
        <v>2</v>
      </c>
      <c r="DY16" s="24">
        <v>0.27</v>
      </c>
      <c r="DZ16" s="24">
        <v>3</v>
      </c>
      <c r="EG16" s="28"/>
      <c r="EY16" s="24">
        <v>0</v>
      </c>
      <c r="GJ16" s="27">
        <v>1.9</v>
      </c>
      <c r="GK16" s="27">
        <v>1</v>
      </c>
      <c r="GL16" s="27">
        <v>1</v>
      </c>
      <c r="GM16" s="27"/>
      <c r="GN16" s="27">
        <f>5.29*3</f>
        <v>15.870000000000001</v>
      </c>
      <c r="GO16" s="27"/>
      <c r="GP16" s="27"/>
      <c r="GQ16" s="27"/>
      <c r="GR16" s="27"/>
      <c r="GS16" s="27"/>
      <c r="GT16" s="27"/>
      <c r="GU16" s="27">
        <v>0.56999999999999995</v>
      </c>
      <c r="GV16" s="27">
        <v>0.56000000000000005</v>
      </c>
      <c r="GW16" s="27"/>
      <c r="GX16" s="27"/>
      <c r="GY16" s="27">
        <v>0</v>
      </c>
      <c r="GZ16" s="27">
        <v>0</v>
      </c>
      <c r="HA16" s="27">
        <v>0</v>
      </c>
      <c r="HB16" s="24">
        <v>0</v>
      </c>
      <c r="HC16" s="24" t="s">
        <v>243</v>
      </c>
      <c r="HD16" s="24">
        <v>38</v>
      </c>
      <c r="HE16" s="27">
        <v>87.8</v>
      </c>
      <c r="HF16" s="27">
        <v>80.400000000000006</v>
      </c>
      <c r="HG16" s="27">
        <v>29.1</v>
      </c>
      <c r="HH16" s="24">
        <v>71.17</v>
      </c>
      <c r="HI16" s="24">
        <v>0</v>
      </c>
      <c r="HJ16" s="24">
        <v>25.61</v>
      </c>
      <c r="HK16" s="24">
        <v>0</v>
      </c>
      <c r="HL16" s="24">
        <v>3.22</v>
      </c>
      <c r="HM16" s="24">
        <v>0</v>
      </c>
      <c r="HN16" s="24">
        <v>0</v>
      </c>
      <c r="HO16" s="24">
        <v>0</v>
      </c>
      <c r="HP16" s="24">
        <v>0</v>
      </c>
      <c r="HQ16" s="24">
        <v>0</v>
      </c>
      <c r="HR16" s="24">
        <v>0</v>
      </c>
      <c r="HS16" s="24">
        <v>1.08</v>
      </c>
      <c r="HT16" s="24">
        <v>31.76</v>
      </c>
      <c r="HU16" s="24">
        <v>22.19</v>
      </c>
      <c r="HV16" s="24">
        <v>26.38</v>
      </c>
      <c r="HW16" s="24">
        <v>0</v>
      </c>
      <c r="HX16" s="24">
        <v>0</v>
      </c>
      <c r="HY16" s="24">
        <v>0</v>
      </c>
      <c r="IL16" s="24">
        <v>2.1</v>
      </c>
      <c r="IM16" s="24">
        <v>1</v>
      </c>
      <c r="IN16" s="24">
        <v>47</v>
      </c>
      <c r="IO16" s="24">
        <v>2</v>
      </c>
      <c r="IP16" s="24">
        <v>0.27</v>
      </c>
      <c r="IQ16" s="24">
        <v>3</v>
      </c>
      <c r="IX16" s="28"/>
      <c r="JP16" s="24">
        <v>0</v>
      </c>
      <c r="LA16" s="27">
        <v>1.9</v>
      </c>
      <c r="LB16" s="27">
        <v>1</v>
      </c>
      <c r="LC16" s="27">
        <v>1</v>
      </c>
      <c r="LD16" s="27"/>
      <c r="LE16" s="27">
        <f>5.29*3</f>
        <v>15.870000000000001</v>
      </c>
      <c r="LF16" s="27"/>
      <c r="LG16" s="27"/>
      <c r="LH16" s="27"/>
      <c r="LI16" s="27"/>
      <c r="LJ16" s="27"/>
      <c r="LK16" s="27"/>
      <c r="LL16" s="27">
        <v>1.1200000000000001</v>
      </c>
      <c r="LM16" s="27">
        <v>0.27</v>
      </c>
      <c r="LN16" s="27"/>
      <c r="LO16" s="27"/>
      <c r="LP16" s="27">
        <v>0</v>
      </c>
      <c r="LQ16" s="27">
        <v>0</v>
      </c>
      <c r="LR16" s="27">
        <v>0</v>
      </c>
      <c r="LS16" s="24">
        <v>0</v>
      </c>
      <c r="LT16" s="24" t="s">
        <v>244</v>
      </c>
      <c r="LU16" s="24">
        <v>24.5</v>
      </c>
      <c r="LV16" s="27">
        <v>84.2</v>
      </c>
      <c r="LW16" s="27">
        <v>80.400000000000006</v>
      </c>
      <c r="LX16" s="27">
        <v>11.9</v>
      </c>
      <c r="LY16" s="24">
        <v>97.51</v>
      </c>
      <c r="LZ16" s="24">
        <v>0</v>
      </c>
      <c r="MA16" s="24">
        <v>2.4900000000000002</v>
      </c>
      <c r="MB16" s="24">
        <v>0</v>
      </c>
      <c r="MC16" s="24">
        <v>0</v>
      </c>
      <c r="MD16" s="24">
        <v>0</v>
      </c>
      <c r="ME16" s="24">
        <v>0</v>
      </c>
      <c r="MF16" s="24">
        <v>0</v>
      </c>
      <c r="MG16" s="24">
        <v>0</v>
      </c>
      <c r="MH16" s="24">
        <v>0</v>
      </c>
      <c r="MI16" s="24">
        <v>0</v>
      </c>
      <c r="MJ16" s="24">
        <v>0</v>
      </c>
      <c r="MK16" s="24">
        <v>3.13</v>
      </c>
      <c r="ML16" s="24">
        <v>26.34</v>
      </c>
      <c r="MM16" s="24">
        <v>45.74</v>
      </c>
      <c r="MN16" s="24">
        <v>0</v>
      </c>
      <c r="MO16" s="24">
        <v>0</v>
      </c>
      <c r="MP16" s="24">
        <v>0</v>
      </c>
      <c r="NC16" s="24">
        <v>0</v>
      </c>
      <c r="ND16" s="24">
        <v>0</v>
      </c>
      <c r="NO16" s="28"/>
      <c r="OG16" s="24">
        <v>0</v>
      </c>
      <c r="PR16" s="27">
        <v>6.4</v>
      </c>
      <c r="PS16" s="27">
        <v>1</v>
      </c>
      <c r="PT16" s="27">
        <v>2</v>
      </c>
      <c r="PU16" s="27"/>
      <c r="PV16" s="27">
        <f>1.24*2</f>
        <v>2.48</v>
      </c>
      <c r="PW16" s="27">
        <v>1</v>
      </c>
      <c r="PX16" s="27"/>
      <c r="PY16" s="27">
        <f>1.24*3+0.62+0.93+3.18+1.59+3.73+7.46</f>
        <v>21.23</v>
      </c>
      <c r="PZ16" s="27"/>
      <c r="QA16" s="27"/>
      <c r="QB16" s="27"/>
      <c r="QC16" s="27">
        <v>1.61</v>
      </c>
      <c r="QD16" s="27">
        <v>1.46</v>
      </c>
      <c r="QE16" s="27"/>
      <c r="QF16" s="27"/>
      <c r="QG16" s="27">
        <v>0</v>
      </c>
      <c r="QH16" s="27">
        <v>0</v>
      </c>
      <c r="QI16" s="27">
        <v>0</v>
      </c>
      <c r="QJ16" s="24">
        <v>0</v>
      </c>
      <c r="QK16" s="24" t="s">
        <v>245</v>
      </c>
      <c r="QL16" s="24">
        <v>19.5</v>
      </c>
      <c r="QM16" s="27">
        <v>76</v>
      </c>
      <c r="QN16" s="27">
        <v>80.400000000000006</v>
      </c>
      <c r="QO16" s="27">
        <v>10.9</v>
      </c>
      <c r="QP16" s="24">
        <v>99.87</v>
      </c>
      <c r="QQ16" s="24">
        <v>0</v>
      </c>
      <c r="QR16" s="24">
        <v>0</v>
      </c>
      <c r="QS16" s="24">
        <v>0</v>
      </c>
      <c r="QT16" s="24">
        <v>0.13</v>
      </c>
      <c r="QU16" s="24">
        <v>0</v>
      </c>
      <c r="QV16" s="24">
        <v>0</v>
      </c>
      <c r="QW16" s="24">
        <v>0</v>
      </c>
      <c r="QX16" s="24">
        <v>0</v>
      </c>
      <c r="QY16" s="24">
        <v>0</v>
      </c>
      <c r="QZ16" s="24">
        <v>0</v>
      </c>
      <c r="RA16" s="24">
        <v>0.1</v>
      </c>
      <c r="RB16" s="24">
        <v>0</v>
      </c>
      <c r="RC16" s="24">
        <v>17.25</v>
      </c>
      <c r="RD16" s="24">
        <v>40.01</v>
      </c>
      <c r="RE16" s="24">
        <v>0</v>
      </c>
      <c r="RF16" s="24">
        <v>0</v>
      </c>
      <c r="RG16" s="24">
        <v>0</v>
      </c>
      <c r="RT16" s="24">
        <v>4.5</v>
      </c>
      <c r="RU16" s="24">
        <v>1</v>
      </c>
      <c r="RV16" s="24">
        <v>34</v>
      </c>
      <c r="RW16" s="24">
        <v>2</v>
      </c>
      <c r="RX16" s="24">
        <v>0.13</v>
      </c>
      <c r="RY16" s="24">
        <v>1</v>
      </c>
      <c r="RZ16" s="24">
        <v>52</v>
      </c>
      <c r="SA16" s="24">
        <v>2</v>
      </c>
      <c r="SB16" s="24">
        <v>1.52</v>
      </c>
      <c r="SC16" s="24">
        <v>2</v>
      </c>
      <c r="SF16" s="28"/>
      <c r="SX16" s="24">
        <v>1</v>
      </c>
      <c r="SY16" s="24">
        <v>70</v>
      </c>
      <c r="SZ16" s="24">
        <v>7</v>
      </c>
      <c r="TA16" s="24">
        <v>0.7</v>
      </c>
      <c r="TB16" s="24">
        <v>3</v>
      </c>
      <c r="UI16" s="27">
        <v>0.72</v>
      </c>
      <c r="UJ16" s="27">
        <v>1</v>
      </c>
      <c r="UK16" s="27">
        <v>1</v>
      </c>
      <c r="UL16" s="27"/>
      <c r="UM16" s="27">
        <f>1.15+0.56+0.29</f>
        <v>2</v>
      </c>
      <c r="UN16" s="27"/>
      <c r="UO16" s="27"/>
      <c r="UP16" s="27"/>
      <c r="UQ16" s="27"/>
      <c r="UR16" s="27"/>
      <c r="US16" s="27"/>
      <c r="UT16" s="27">
        <v>0.17</v>
      </c>
      <c r="UU16" s="27">
        <v>0.17</v>
      </c>
      <c r="UV16" s="27"/>
      <c r="UW16" s="27"/>
      <c r="UX16" s="27">
        <v>0</v>
      </c>
      <c r="UY16" s="27">
        <v>0</v>
      </c>
      <c r="UZ16" s="27">
        <v>0</v>
      </c>
      <c r="VA16" s="24">
        <v>0</v>
      </c>
      <c r="VB16" s="24" t="s">
        <v>246</v>
      </c>
      <c r="VC16" s="24">
        <v>27</v>
      </c>
      <c r="VD16" s="27">
        <v>72</v>
      </c>
      <c r="VE16" s="27">
        <v>80.400000000000006</v>
      </c>
      <c r="VF16" s="27">
        <v>19.2</v>
      </c>
      <c r="VG16" s="24">
        <v>86.83</v>
      </c>
      <c r="VH16" s="24">
        <v>0</v>
      </c>
      <c r="VI16" s="24">
        <v>0</v>
      </c>
      <c r="VJ16" s="24">
        <v>0</v>
      </c>
      <c r="VK16" s="24">
        <v>13.17</v>
      </c>
      <c r="VL16" s="24">
        <v>0</v>
      </c>
      <c r="VM16" s="24">
        <v>0</v>
      </c>
      <c r="VN16" s="24">
        <v>0</v>
      </c>
      <c r="VO16" s="24">
        <v>0</v>
      </c>
      <c r="VP16" s="24">
        <v>0</v>
      </c>
      <c r="VQ16" s="24">
        <v>0</v>
      </c>
      <c r="VR16" s="24">
        <v>18.28</v>
      </c>
      <c r="VS16" s="24">
        <v>16.809999999999999</v>
      </c>
      <c r="VT16" s="24">
        <v>9.64</v>
      </c>
      <c r="VU16" s="24">
        <v>19.739999999999998</v>
      </c>
      <c r="VV16" s="24">
        <v>0</v>
      </c>
      <c r="VW16" s="24">
        <v>0</v>
      </c>
      <c r="VX16" s="24">
        <v>0</v>
      </c>
      <c r="WK16" s="24">
        <v>0</v>
      </c>
      <c r="WL16" s="24">
        <v>0</v>
      </c>
      <c r="WW16" s="28"/>
      <c r="XO16" s="24">
        <v>0</v>
      </c>
      <c r="YZ16" s="27">
        <v>1.43</v>
      </c>
      <c r="ZA16" s="27">
        <v>1</v>
      </c>
      <c r="ZB16" s="27">
        <v>1</v>
      </c>
      <c r="ZC16" s="27"/>
      <c r="ZD16" s="27">
        <f>6.34+2.11+0.08+0.37</f>
        <v>8.8999999999999986</v>
      </c>
      <c r="ZE16" s="27"/>
      <c r="ZF16" s="27"/>
      <c r="ZG16" s="27"/>
      <c r="ZH16" s="27"/>
      <c r="ZI16" s="27"/>
      <c r="ZJ16" s="27"/>
      <c r="ZK16" s="27">
        <v>3.5</v>
      </c>
      <c r="ZL16" s="27">
        <v>3.5</v>
      </c>
      <c r="ZM16" s="27"/>
      <c r="ZN16" s="27"/>
      <c r="ZO16" s="27">
        <v>0</v>
      </c>
      <c r="ZP16" s="27">
        <v>0</v>
      </c>
      <c r="ZQ16" s="27">
        <v>0</v>
      </c>
      <c r="ZR16" s="24">
        <v>0</v>
      </c>
      <c r="ZS16" s="24" t="s">
        <v>247</v>
      </c>
      <c r="ZT16" s="24">
        <v>37</v>
      </c>
      <c r="ZU16" s="27">
        <v>79.2</v>
      </c>
      <c r="ZV16" s="27">
        <v>80.400000000000006</v>
      </c>
      <c r="ZW16" s="27">
        <v>12.1</v>
      </c>
      <c r="ZX16" s="24">
        <v>96.75</v>
      </c>
      <c r="ZY16" s="24">
        <v>0</v>
      </c>
      <c r="ZZ16" s="24">
        <v>0</v>
      </c>
      <c r="AAA16" s="24">
        <v>0</v>
      </c>
      <c r="AAB16" s="24">
        <v>3.25</v>
      </c>
      <c r="AAC16" s="24">
        <v>0</v>
      </c>
      <c r="AAD16" s="24">
        <v>0</v>
      </c>
      <c r="AAE16" s="24">
        <v>0</v>
      </c>
      <c r="AAF16" s="24">
        <v>0</v>
      </c>
      <c r="AAG16" s="24">
        <v>0</v>
      </c>
      <c r="AAH16" s="24">
        <v>0</v>
      </c>
      <c r="AAI16" s="24">
        <v>9.06</v>
      </c>
      <c r="AAJ16" s="24">
        <v>18.149999999999999</v>
      </c>
      <c r="AAK16" s="24">
        <v>25.66</v>
      </c>
      <c r="AAL16" s="24">
        <v>15.61</v>
      </c>
      <c r="AAM16" s="24">
        <v>0</v>
      </c>
      <c r="AAN16" s="24">
        <v>0</v>
      </c>
      <c r="AAO16" s="24">
        <v>0</v>
      </c>
      <c r="ABB16" s="24">
        <v>17.8</v>
      </c>
      <c r="ABC16" s="24">
        <v>1</v>
      </c>
      <c r="ABD16" s="24">
        <v>47</v>
      </c>
      <c r="ABE16" s="24">
        <v>3</v>
      </c>
      <c r="ABF16" s="24">
        <v>2.2799999999999998</v>
      </c>
      <c r="ABG16" s="24">
        <v>3</v>
      </c>
      <c r="ABH16" s="24">
        <v>26</v>
      </c>
      <c r="ABI16" s="24">
        <v>1</v>
      </c>
      <c r="ABJ16" s="24">
        <v>0.76</v>
      </c>
      <c r="ABK16" s="24">
        <v>2</v>
      </c>
      <c r="ABN16" s="28"/>
      <c r="ACF16" s="24">
        <v>0</v>
      </c>
      <c r="ADQ16" s="27">
        <v>1.27</v>
      </c>
      <c r="ADR16" s="27">
        <v>1</v>
      </c>
      <c r="ADS16" s="27">
        <v>1</v>
      </c>
      <c r="ADT16" s="27"/>
      <c r="ADU16" s="27">
        <f>6.34+1.06</f>
        <v>7.4</v>
      </c>
      <c r="ADV16" s="27"/>
      <c r="ADW16" s="27"/>
      <c r="ADX16" s="27"/>
      <c r="ADY16" s="27"/>
      <c r="ADZ16" s="27"/>
      <c r="AEA16" s="27"/>
      <c r="AEB16" s="27">
        <v>2.86</v>
      </c>
      <c r="AEC16" s="27">
        <v>2.86</v>
      </c>
      <c r="AED16" s="27"/>
      <c r="AEE16" s="27"/>
      <c r="AEF16" s="27">
        <v>0</v>
      </c>
      <c r="AEG16" s="27">
        <v>0</v>
      </c>
      <c r="AEH16" s="27">
        <v>0</v>
      </c>
      <c r="AEI16" s="24">
        <v>0</v>
      </c>
      <c r="AEJ16" s="24" t="s">
        <v>248</v>
      </c>
      <c r="AEK16" s="24">
        <v>33</v>
      </c>
      <c r="AEL16" s="27">
        <v>122.1</v>
      </c>
      <c r="AEM16" s="27">
        <v>80.400000000000006</v>
      </c>
      <c r="AEN16" s="27">
        <v>14.1</v>
      </c>
      <c r="AEO16" s="24">
        <v>91.87</v>
      </c>
      <c r="AEP16" s="24">
        <v>0</v>
      </c>
      <c r="AEQ16" s="24">
        <v>5.85</v>
      </c>
      <c r="AER16" s="24">
        <v>0</v>
      </c>
      <c r="AES16" s="24">
        <v>2.2799999999999998</v>
      </c>
      <c r="AET16" s="24">
        <v>0</v>
      </c>
      <c r="AEU16" s="24">
        <v>0</v>
      </c>
      <c r="AEV16" s="24">
        <v>0</v>
      </c>
      <c r="AEW16" s="24">
        <v>0</v>
      </c>
      <c r="AEX16" s="24">
        <v>0</v>
      </c>
      <c r="AEY16" s="24">
        <v>0</v>
      </c>
      <c r="AEZ16" s="24">
        <v>0</v>
      </c>
      <c r="AFA16" s="24">
        <v>23.39</v>
      </c>
      <c r="AFB16" s="24">
        <v>10.3</v>
      </c>
      <c r="AFC16" s="24">
        <v>49.9</v>
      </c>
      <c r="AFD16" s="24">
        <v>0</v>
      </c>
      <c r="AFE16" s="24">
        <v>0</v>
      </c>
      <c r="AFF16" s="24">
        <v>0</v>
      </c>
      <c r="AFS16" s="24">
        <v>0</v>
      </c>
      <c r="AFT16" s="24">
        <v>1</v>
      </c>
      <c r="AFU16" s="24">
        <v>34</v>
      </c>
      <c r="AFV16" s="24">
        <v>1</v>
      </c>
      <c r="AFW16" s="24">
        <v>1.1399999999999999</v>
      </c>
      <c r="AFX16" s="24">
        <v>1</v>
      </c>
      <c r="AGE16" s="28"/>
      <c r="AGW16" s="24">
        <v>0</v>
      </c>
      <c r="AIH16" s="27">
        <v>4.78</v>
      </c>
      <c r="AII16" s="27">
        <v>1</v>
      </c>
      <c r="AIJ16" s="27">
        <v>1</v>
      </c>
      <c r="AIK16" s="27"/>
      <c r="AIL16" s="27">
        <v>4.2300000000000004</v>
      </c>
      <c r="AIM16" s="27">
        <v>2</v>
      </c>
      <c r="AIN16" s="27"/>
      <c r="AIO16" s="27">
        <f>1.14+9.52+1.68</f>
        <v>12.34</v>
      </c>
      <c r="AIP16" s="27"/>
      <c r="AIQ16" s="27"/>
      <c r="AIR16" s="27"/>
      <c r="AIS16" s="27">
        <v>10.43</v>
      </c>
      <c r="AIT16" s="27">
        <v>22.43</v>
      </c>
      <c r="AIU16" s="27"/>
      <c r="AIV16" s="27"/>
      <c r="AIW16" s="27">
        <v>0</v>
      </c>
      <c r="AIX16" s="27">
        <v>0</v>
      </c>
      <c r="AIY16" s="27">
        <v>0</v>
      </c>
      <c r="AIZ16" s="24">
        <v>0</v>
      </c>
      <c r="AJA16" s="24" t="s">
        <v>249</v>
      </c>
      <c r="AJB16" s="24">
        <v>25</v>
      </c>
      <c r="AJC16" s="27">
        <v>87.3</v>
      </c>
      <c r="AJD16" s="27">
        <v>80.400000000000006</v>
      </c>
      <c r="AJE16" s="27">
        <v>8.8000000000000007</v>
      </c>
      <c r="AJF16" s="24">
        <v>100</v>
      </c>
      <c r="AJG16" s="24">
        <v>0</v>
      </c>
      <c r="AJH16" s="24">
        <v>0</v>
      </c>
      <c r="AJI16" s="24">
        <v>0</v>
      </c>
      <c r="AJJ16" s="24">
        <v>0</v>
      </c>
      <c r="AJK16" s="24">
        <v>0</v>
      </c>
      <c r="AJL16" s="24">
        <v>0</v>
      </c>
      <c r="AJM16" s="24">
        <v>0</v>
      </c>
      <c r="AJN16" s="24">
        <v>0</v>
      </c>
      <c r="AJO16" s="24">
        <v>0</v>
      </c>
      <c r="AJP16" s="24">
        <v>0</v>
      </c>
      <c r="AJQ16" s="24">
        <v>0</v>
      </c>
      <c r="AJR16" s="24">
        <v>11.94</v>
      </c>
      <c r="AJS16" s="24">
        <v>34.17</v>
      </c>
      <c r="AJT16" s="24">
        <v>24.72</v>
      </c>
      <c r="AJU16" s="24">
        <v>0</v>
      </c>
      <c r="AJV16" s="24">
        <v>6.9</v>
      </c>
      <c r="AJW16" s="24">
        <v>3</v>
      </c>
      <c r="AJX16" s="24">
        <v>50</v>
      </c>
      <c r="AJZ16" s="24">
        <v>2</v>
      </c>
      <c r="AKD16" s="24">
        <v>50</v>
      </c>
      <c r="AKF16" s="24">
        <v>2</v>
      </c>
      <c r="AKJ16" s="24">
        <v>0</v>
      </c>
      <c r="AKK16" s="24">
        <v>0</v>
      </c>
      <c r="AKV16" s="28"/>
      <c r="ALN16" s="24">
        <v>1</v>
      </c>
      <c r="ALO16" s="24">
        <v>50</v>
      </c>
      <c r="ALP16" s="24">
        <v>1</v>
      </c>
      <c r="ALQ16" s="24">
        <v>1.86</v>
      </c>
      <c r="ALR16" s="24">
        <v>3</v>
      </c>
    </row>
    <row r="17" spans="1:1018" x14ac:dyDescent="0.2">
      <c r="A17" s="1" t="s">
        <v>294</v>
      </c>
      <c r="B17" s="12">
        <v>42893</v>
      </c>
      <c r="C17">
        <v>2</v>
      </c>
      <c r="D17" s="13">
        <v>36060</v>
      </c>
      <c r="E17" s="12">
        <v>27854</v>
      </c>
      <c r="F17" s="14">
        <f t="shared" si="0"/>
        <v>41.17453798767967</v>
      </c>
      <c r="G17" s="14">
        <f t="shared" si="1"/>
        <v>18.70773442847365</v>
      </c>
      <c r="H17" s="15" t="s">
        <v>217</v>
      </c>
      <c r="I17" s="15" t="s">
        <v>272</v>
      </c>
      <c r="J17" s="21" t="s">
        <v>183</v>
      </c>
      <c r="K17" s="21">
        <v>8</v>
      </c>
      <c r="L17" s="19">
        <v>81</v>
      </c>
      <c r="M17">
        <v>1.73</v>
      </c>
      <c r="N17" s="16">
        <f t="shared" si="2"/>
        <v>27.064051588760066</v>
      </c>
      <c r="O17" s="19">
        <v>1</v>
      </c>
      <c r="P17" s="19">
        <v>1</v>
      </c>
      <c r="Q17" s="19" t="s">
        <v>295</v>
      </c>
      <c r="R17" s="19">
        <v>0</v>
      </c>
      <c r="S17" s="19">
        <v>0</v>
      </c>
      <c r="T17" s="19">
        <v>0</v>
      </c>
      <c r="U17" s="19">
        <v>0</v>
      </c>
      <c r="V17" s="19">
        <v>0</v>
      </c>
      <c r="W17" s="19">
        <v>0</v>
      </c>
      <c r="X17" s="19">
        <v>0</v>
      </c>
      <c r="Y17" s="19">
        <v>1</v>
      </c>
      <c r="Z17" s="19">
        <v>2</v>
      </c>
      <c r="AA17" s="19">
        <v>120</v>
      </c>
      <c r="AB17" s="19" t="s">
        <v>296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0</v>
      </c>
      <c r="AI17" s="19">
        <v>0</v>
      </c>
      <c r="AJ17" s="19">
        <v>0</v>
      </c>
      <c r="AK17" s="19">
        <v>0</v>
      </c>
      <c r="AL17" s="19">
        <v>0</v>
      </c>
      <c r="AM17" s="19">
        <v>0</v>
      </c>
      <c r="AN17" s="19">
        <v>0</v>
      </c>
      <c r="AO17" s="19">
        <v>0</v>
      </c>
      <c r="AP17" s="19">
        <v>0</v>
      </c>
      <c r="AQ17" s="19">
        <v>0</v>
      </c>
      <c r="AR17" s="19">
        <v>0</v>
      </c>
      <c r="AS17" s="19">
        <v>0</v>
      </c>
      <c r="AT17" s="19">
        <v>0</v>
      </c>
      <c r="AU17" s="19">
        <v>0</v>
      </c>
      <c r="AV17" s="19">
        <v>0</v>
      </c>
      <c r="AW17" s="19">
        <v>0</v>
      </c>
      <c r="AX17" s="19">
        <v>0</v>
      </c>
      <c r="AY17" s="19">
        <v>0</v>
      </c>
      <c r="AZ17" s="19">
        <v>0</v>
      </c>
      <c r="BA17" s="19">
        <v>0</v>
      </c>
      <c r="BB17" s="19">
        <v>0</v>
      </c>
      <c r="BC17" s="19">
        <v>0</v>
      </c>
      <c r="BD17" s="19">
        <v>0</v>
      </c>
      <c r="BE17" s="19">
        <v>0</v>
      </c>
      <c r="BF17" s="19">
        <v>0</v>
      </c>
      <c r="BG17" s="19">
        <v>0</v>
      </c>
      <c r="BH17" s="19">
        <v>0</v>
      </c>
      <c r="BI17" s="19">
        <v>0</v>
      </c>
      <c r="BJ17" s="19">
        <v>0</v>
      </c>
      <c r="BK17" s="19">
        <v>0</v>
      </c>
      <c r="BL17" s="19">
        <v>0</v>
      </c>
      <c r="BM17" s="19">
        <v>0</v>
      </c>
      <c r="BN17" s="19">
        <v>0</v>
      </c>
      <c r="BO17" s="19">
        <v>0</v>
      </c>
      <c r="BP17" s="19">
        <v>0</v>
      </c>
      <c r="BQ17" s="19">
        <v>0</v>
      </c>
      <c r="BR17" s="19">
        <v>3</v>
      </c>
      <c r="BS17" s="19">
        <v>2</v>
      </c>
      <c r="BT17" s="19">
        <v>3</v>
      </c>
      <c r="BU17" s="19">
        <v>4</v>
      </c>
      <c r="BV17" s="19">
        <v>3</v>
      </c>
      <c r="BW17" s="19">
        <v>2</v>
      </c>
      <c r="BX17" s="19">
        <v>3</v>
      </c>
      <c r="BY17" s="19">
        <v>4</v>
      </c>
      <c r="BZ17" s="19">
        <v>3</v>
      </c>
      <c r="CA17" s="19">
        <v>4</v>
      </c>
      <c r="CB17" s="19">
        <v>4</v>
      </c>
      <c r="CC17" s="19">
        <v>4</v>
      </c>
      <c r="CD17" s="19">
        <v>3</v>
      </c>
      <c r="CE17" s="19">
        <v>3</v>
      </c>
      <c r="CF17" s="19">
        <v>3</v>
      </c>
      <c r="CG17" s="19">
        <v>4</v>
      </c>
      <c r="CH17" s="19">
        <v>3</v>
      </c>
      <c r="CI17" s="19">
        <v>3</v>
      </c>
      <c r="CJ17" s="19">
        <v>3</v>
      </c>
      <c r="CK17" s="19">
        <v>5</v>
      </c>
      <c r="CL17" t="s">
        <v>274</v>
      </c>
      <c r="CM17">
        <v>19.5</v>
      </c>
      <c r="CN17" s="16">
        <v>74.3</v>
      </c>
      <c r="CO17" s="16">
        <v>80.400000000000006</v>
      </c>
      <c r="CP17" s="16">
        <v>7.8</v>
      </c>
      <c r="CQ17">
        <v>89.52</v>
      </c>
      <c r="CR17">
        <v>8.69</v>
      </c>
      <c r="CS17">
        <v>1.79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18.73</v>
      </c>
      <c r="DD17">
        <v>9.35</v>
      </c>
      <c r="DE17">
        <v>0</v>
      </c>
      <c r="DF17">
        <v>0</v>
      </c>
      <c r="DG17">
        <v>0</v>
      </c>
      <c r="DU17">
        <v>3.92</v>
      </c>
      <c r="DV17">
        <v>1</v>
      </c>
      <c r="DW17">
        <v>52</v>
      </c>
      <c r="DX17">
        <v>4</v>
      </c>
      <c r="DY17">
        <f>1.01*2+0.56+0.9</f>
        <v>3.48</v>
      </c>
      <c r="DZ17">
        <v>2</v>
      </c>
      <c r="EG17" s="18"/>
      <c r="EY17">
        <v>1</v>
      </c>
      <c r="EZ17">
        <v>50</v>
      </c>
      <c r="FA17">
        <v>1</v>
      </c>
      <c r="FB17">
        <v>1.9</v>
      </c>
      <c r="FC17">
        <v>3</v>
      </c>
      <c r="GJ17" s="16">
        <v>2.2400000000000002</v>
      </c>
      <c r="GK17" s="16">
        <v>1</v>
      </c>
      <c r="GL17" s="16">
        <v>2</v>
      </c>
      <c r="GM17" s="16"/>
      <c r="GN17" s="16">
        <f>1.87*2</f>
        <v>3.74</v>
      </c>
      <c r="GO17" s="16"/>
      <c r="GP17" s="16"/>
      <c r="GQ17" s="16"/>
      <c r="GR17" s="16"/>
      <c r="GS17" s="16"/>
      <c r="GT17" s="16"/>
      <c r="GU17" s="16">
        <v>5.49</v>
      </c>
      <c r="GV17" s="16">
        <f>1.01*2+0.56+1.87*2+0.9</f>
        <v>7.2200000000000006</v>
      </c>
      <c r="GW17" s="16"/>
      <c r="GX17" s="16"/>
      <c r="GY17" s="16">
        <v>0</v>
      </c>
      <c r="GZ17" s="16">
        <v>0</v>
      </c>
      <c r="HA17" s="16">
        <v>0</v>
      </c>
      <c r="HB17">
        <v>0</v>
      </c>
      <c r="HC17" t="s">
        <v>275</v>
      </c>
      <c r="HD17">
        <v>19.5</v>
      </c>
      <c r="HE17" s="16">
        <v>74.599999999999994</v>
      </c>
      <c r="HF17" s="16">
        <v>80.400000000000006</v>
      </c>
      <c r="HG17" s="16">
        <v>7.8</v>
      </c>
      <c r="HH17">
        <v>89.29</v>
      </c>
      <c r="HI17">
        <v>8.92</v>
      </c>
      <c r="HJ17">
        <v>1.79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18.95</v>
      </c>
      <c r="HU17">
        <v>9.35</v>
      </c>
      <c r="HV17">
        <v>0</v>
      </c>
      <c r="HW17">
        <v>0</v>
      </c>
      <c r="HX17">
        <v>0</v>
      </c>
      <c r="IL17">
        <v>3.9</v>
      </c>
      <c r="IM17">
        <v>1</v>
      </c>
      <c r="IN17">
        <v>52</v>
      </c>
      <c r="IO17">
        <v>4</v>
      </c>
      <c r="IP17">
        <f>1.01*2+0.56+0.9</f>
        <v>3.48</v>
      </c>
      <c r="IQ17">
        <v>3</v>
      </c>
      <c r="IX17" s="18"/>
      <c r="JP17">
        <v>1</v>
      </c>
      <c r="JQ17">
        <v>50</v>
      </c>
      <c r="JR17">
        <v>1</v>
      </c>
      <c r="JS17">
        <v>1.9</v>
      </c>
      <c r="JT17">
        <v>3</v>
      </c>
      <c r="LA17" s="16">
        <v>2.2400000000000002</v>
      </c>
      <c r="LB17" s="16">
        <v>1</v>
      </c>
      <c r="LC17" s="16">
        <v>2</v>
      </c>
      <c r="LD17" s="16"/>
      <c r="LE17" s="16">
        <f>1.87*2</f>
        <v>3.74</v>
      </c>
      <c r="LF17" s="16"/>
      <c r="LG17" s="16"/>
      <c r="LH17" s="16"/>
      <c r="LI17" s="16"/>
      <c r="LJ17" s="16"/>
      <c r="LK17" s="16"/>
      <c r="LL17" s="16">
        <v>6.49</v>
      </c>
      <c r="LM17" s="16">
        <f>1.01*2+0.56+1.87*2+0.9</f>
        <v>7.2200000000000006</v>
      </c>
      <c r="LN17" s="16"/>
      <c r="LO17" s="16"/>
      <c r="LP17" s="16">
        <v>0</v>
      </c>
      <c r="LQ17" s="16">
        <v>0</v>
      </c>
      <c r="LR17" s="16">
        <v>0</v>
      </c>
      <c r="LS17">
        <v>0</v>
      </c>
      <c r="LT17" t="s">
        <v>276</v>
      </c>
      <c r="LU17">
        <v>22.5</v>
      </c>
      <c r="LV17" s="16">
        <v>73.400000000000006</v>
      </c>
      <c r="LW17" s="16">
        <v>80.400000000000006</v>
      </c>
      <c r="LX17" s="16">
        <v>10.4</v>
      </c>
      <c r="LY17">
        <v>88.12</v>
      </c>
      <c r="LZ17">
        <v>6.29</v>
      </c>
      <c r="MA17">
        <v>4.25</v>
      </c>
      <c r="MB17">
        <v>0</v>
      </c>
      <c r="MC17">
        <v>1.34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2.46</v>
      </c>
      <c r="ML17">
        <v>13.2</v>
      </c>
      <c r="MM17">
        <v>0</v>
      </c>
      <c r="MN17">
        <v>0</v>
      </c>
      <c r="MO17">
        <v>0</v>
      </c>
      <c r="NC17">
        <v>0</v>
      </c>
      <c r="NO17" s="18"/>
      <c r="PR17" s="16">
        <v>2.2400000000000002</v>
      </c>
      <c r="PS17" s="16">
        <v>1</v>
      </c>
      <c r="PT17" s="16">
        <v>2</v>
      </c>
      <c r="PU17" s="16">
        <v>3.73</v>
      </c>
      <c r="PV17" s="16"/>
      <c r="PW17" s="16"/>
      <c r="PX17" s="16"/>
      <c r="PY17" s="16"/>
      <c r="PZ17" s="16"/>
      <c r="QA17" s="16"/>
      <c r="QB17" s="16"/>
      <c r="QC17" s="16">
        <v>9.68</v>
      </c>
      <c r="QD17" s="16">
        <f>2.01+1.34+2.69+3.73+0.81</f>
        <v>10.58</v>
      </c>
      <c r="QE17" s="16"/>
      <c r="QF17" s="16"/>
      <c r="QG17" s="16">
        <v>0</v>
      </c>
      <c r="QH17" s="16">
        <v>0</v>
      </c>
      <c r="QI17" s="16">
        <v>0.16</v>
      </c>
      <c r="QJ17">
        <v>0</v>
      </c>
      <c r="QK17" t="s">
        <v>277</v>
      </c>
      <c r="QL17">
        <v>29.5</v>
      </c>
      <c r="QM17" s="16">
        <v>53.8</v>
      </c>
      <c r="QN17" s="16">
        <v>80.400000000000006</v>
      </c>
      <c r="QO17" s="16">
        <v>12.1</v>
      </c>
      <c r="QP17">
        <v>86.6</v>
      </c>
      <c r="QQ17">
        <v>8.48</v>
      </c>
      <c r="QR17">
        <v>4.93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2.02</v>
      </c>
      <c r="RC17">
        <v>19.559999999999999</v>
      </c>
      <c r="RD17">
        <v>0.25</v>
      </c>
      <c r="RE17">
        <v>0</v>
      </c>
      <c r="RF17">
        <v>0</v>
      </c>
      <c r="RG17">
        <v>0</v>
      </c>
      <c r="RH17">
        <v>0</v>
      </c>
      <c r="RN17">
        <v>0</v>
      </c>
      <c r="RT17">
        <v>0</v>
      </c>
      <c r="RU17">
        <v>0</v>
      </c>
      <c r="SF17" s="18"/>
      <c r="SX17">
        <v>0</v>
      </c>
      <c r="UI17" s="16">
        <v>6.72</v>
      </c>
      <c r="UJ17" s="16">
        <v>1</v>
      </c>
      <c r="UK17" s="16">
        <v>2</v>
      </c>
      <c r="UL17" s="16"/>
      <c r="UM17" s="16">
        <f>3.73*3</f>
        <v>11.19</v>
      </c>
      <c r="UN17" s="16"/>
      <c r="UO17" s="16"/>
      <c r="UP17" s="16"/>
      <c r="UQ17" s="16"/>
      <c r="UR17" s="16"/>
      <c r="US17" s="16"/>
      <c r="UT17" s="16">
        <v>10.6</v>
      </c>
      <c r="UU17" s="16">
        <v>12.44</v>
      </c>
      <c r="UV17" s="16"/>
      <c r="UW17" s="16"/>
      <c r="UX17" s="16">
        <v>0</v>
      </c>
      <c r="UY17" s="16">
        <v>0</v>
      </c>
      <c r="UZ17" s="16">
        <v>0</v>
      </c>
      <c r="VA17">
        <v>0</v>
      </c>
      <c r="VB17" t="s">
        <v>278</v>
      </c>
      <c r="VC17">
        <v>51.5</v>
      </c>
      <c r="VD17" s="16">
        <v>63.4</v>
      </c>
      <c r="VE17" s="16">
        <v>80.400000000000006</v>
      </c>
      <c r="VF17" s="16">
        <v>18.100000000000001</v>
      </c>
      <c r="VG17">
        <v>83.5</v>
      </c>
      <c r="VH17">
        <v>5.36</v>
      </c>
      <c r="VI17">
        <v>8.4600000000000009</v>
      </c>
      <c r="VJ17">
        <v>0</v>
      </c>
      <c r="VK17">
        <v>2.69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0.99</v>
      </c>
      <c r="VT17">
        <v>13.55</v>
      </c>
      <c r="VU17">
        <v>16.2</v>
      </c>
      <c r="VV17">
        <v>0</v>
      </c>
      <c r="VW17">
        <v>0</v>
      </c>
      <c r="VX17">
        <v>0</v>
      </c>
      <c r="WK17">
        <v>18.399999999999999</v>
      </c>
      <c r="WL17">
        <v>1</v>
      </c>
      <c r="WM17">
        <v>47</v>
      </c>
      <c r="WN17">
        <v>1</v>
      </c>
      <c r="WO17">
        <v>0.9</v>
      </c>
      <c r="WP17">
        <v>3</v>
      </c>
      <c r="WQ17">
        <v>35</v>
      </c>
      <c r="WR17">
        <v>3</v>
      </c>
      <c r="WS17">
        <f>0.94</f>
        <v>0.94</v>
      </c>
      <c r="WT17">
        <v>3</v>
      </c>
      <c r="WU17">
        <v>68</v>
      </c>
      <c r="WV17">
        <v>1</v>
      </c>
      <c r="WW17" s="18">
        <v>6.22</v>
      </c>
      <c r="WX17">
        <v>1</v>
      </c>
      <c r="XO17">
        <v>0</v>
      </c>
      <c r="YZ17" s="16">
        <v>3.75</v>
      </c>
      <c r="ZA17" s="16">
        <v>1</v>
      </c>
      <c r="ZB17" s="16">
        <v>1</v>
      </c>
      <c r="ZC17" s="16"/>
      <c r="ZD17" s="16">
        <f>2.49+0.05+0.03</f>
        <v>2.57</v>
      </c>
      <c r="ZE17" s="16">
        <v>2</v>
      </c>
      <c r="ZF17" s="16"/>
      <c r="ZG17" s="16">
        <v>2.4900000000000002</v>
      </c>
      <c r="ZH17" s="16"/>
      <c r="ZI17" s="16"/>
      <c r="ZJ17" s="16"/>
      <c r="ZK17" s="16">
        <v>11.1</v>
      </c>
      <c r="ZL17" s="16">
        <v>18.47</v>
      </c>
      <c r="ZM17" s="16"/>
      <c r="ZN17" s="16"/>
      <c r="ZO17" s="16">
        <v>0</v>
      </c>
      <c r="ZP17" s="16">
        <v>0</v>
      </c>
      <c r="ZQ17" s="16">
        <v>0</v>
      </c>
      <c r="ZR17">
        <v>0</v>
      </c>
      <c r="ZS17" t="s">
        <v>279</v>
      </c>
      <c r="ZT17">
        <v>33.5</v>
      </c>
      <c r="ZU17" s="16">
        <v>54</v>
      </c>
      <c r="ZV17" s="16">
        <v>80.400000000000006</v>
      </c>
      <c r="ZW17" s="16">
        <v>9.6</v>
      </c>
      <c r="ZX17">
        <v>86.69</v>
      </c>
      <c r="ZY17">
        <v>8.34</v>
      </c>
      <c r="ZZ17">
        <v>4.97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12.83</v>
      </c>
      <c r="AAK17">
        <v>6.09</v>
      </c>
      <c r="AAL17">
        <v>0</v>
      </c>
      <c r="AAM17">
        <v>0</v>
      </c>
      <c r="AAN17">
        <v>0</v>
      </c>
      <c r="AAO17">
        <v>0</v>
      </c>
      <c r="ABB17">
        <v>11.3</v>
      </c>
      <c r="ABC17">
        <v>1</v>
      </c>
      <c r="ABD17">
        <v>47</v>
      </c>
      <c r="ABE17">
        <v>1</v>
      </c>
      <c r="ABF17">
        <v>0.9</v>
      </c>
      <c r="ABG17">
        <v>3</v>
      </c>
      <c r="ABH17">
        <v>35</v>
      </c>
      <c r="ABI17">
        <v>2</v>
      </c>
      <c r="ABJ17">
        <v>0.92</v>
      </c>
      <c r="ABK17">
        <v>3</v>
      </c>
      <c r="ABN17" s="18"/>
      <c r="ACF17">
        <v>0</v>
      </c>
      <c r="ADQ17" s="16">
        <v>3.75</v>
      </c>
      <c r="ADR17" s="16">
        <v>1</v>
      </c>
      <c r="ADS17" s="16">
        <v>1</v>
      </c>
      <c r="ADT17" s="16"/>
      <c r="ADU17" s="16">
        <f>2.49+0.05+0.03</f>
        <v>2.57</v>
      </c>
      <c r="ADV17" s="16">
        <v>2</v>
      </c>
      <c r="ADW17" s="16"/>
      <c r="ADX17" s="16">
        <v>2.4900000000000002</v>
      </c>
      <c r="ADY17" s="16"/>
      <c r="ADZ17" s="16"/>
      <c r="AEA17" s="16"/>
      <c r="AEB17" s="16">
        <v>8.81</v>
      </c>
      <c r="AEC17" s="16">
        <v>6.01</v>
      </c>
      <c r="AED17" s="16"/>
      <c r="AEE17" s="16"/>
      <c r="AEF17" s="16">
        <v>0</v>
      </c>
      <c r="AEG17" s="16">
        <v>0</v>
      </c>
      <c r="AEH17" s="16">
        <v>0</v>
      </c>
      <c r="AEI17">
        <v>0</v>
      </c>
      <c r="AEJ17" t="s">
        <v>280</v>
      </c>
      <c r="AEK17">
        <v>79</v>
      </c>
      <c r="AEL17" s="16">
        <v>63.9</v>
      </c>
      <c r="AEM17" s="16">
        <v>80.400000000000006</v>
      </c>
      <c r="AEN17" s="16">
        <v>11.2</v>
      </c>
      <c r="AEO17">
        <v>77.430000000000007</v>
      </c>
      <c r="AEP17">
        <v>22.57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45.87</v>
      </c>
      <c r="AFC17">
        <v>0</v>
      </c>
      <c r="AFD17">
        <v>0</v>
      </c>
      <c r="AFE17">
        <v>0</v>
      </c>
      <c r="AFF17">
        <v>0</v>
      </c>
      <c r="AFS17">
        <v>56.3</v>
      </c>
      <c r="AFT17">
        <v>1</v>
      </c>
      <c r="AFU17">
        <v>47</v>
      </c>
      <c r="AFV17">
        <v>18</v>
      </c>
      <c r="AFW17">
        <f>13.43+9.14</f>
        <v>22.57</v>
      </c>
      <c r="AFX17">
        <v>3</v>
      </c>
      <c r="AGE17" s="18"/>
      <c r="AGW17">
        <v>0</v>
      </c>
      <c r="AIH17" s="16">
        <v>0</v>
      </c>
      <c r="AII17" s="16">
        <v>0</v>
      </c>
      <c r="AIJ17" s="16"/>
      <c r="AIK17" s="16"/>
      <c r="AIL17" s="16"/>
      <c r="AIM17" s="16"/>
      <c r="AIN17" s="16"/>
      <c r="AIO17" s="16"/>
      <c r="AIP17" s="16"/>
      <c r="AIQ17" s="16"/>
      <c r="AIR17" s="16"/>
      <c r="AIS17" s="16">
        <v>11.54</v>
      </c>
      <c r="AIT17" s="16">
        <v>22.57</v>
      </c>
      <c r="AIU17" s="16"/>
      <c r="AIV17" s="16"/>
      <c r="AIW17" s="16">
        <v>0</v>
      </c>
      <c r="AIX17" s="16">
        <v>0</v>
      </c>
      <c r="AIY17" s="16">
        <v>0</v>
      </c>
      <c r="AIZ17">
        <v>0</v>
      </c>
      <c r="AJA17" t="s">
        <v>281</v>
      </c>
      <c r="AJB17">
        <v>42.5</v>
      </c>
      <c r="AJC17" s="16">
        <v>76.400000000000006</v>
      </c>
      <c r="AJD17" s="16">
        <v>80.400000000000006</v>
      </c>
      <c r="AJE17" s="16">
        <v>15.3</v>
      </c>
      <c r="AJF17">
        <v>73.599999999999994</v>
      </c>
      <c r="AJG17">
        <v>20.420000000000002</v>
      </c>
      <c r="AJH17">
        <v>3.69</v>
      </c>
      <c r="AJI17">
        <v>0</v>
      </c>
      <c r="AJJ17">
        <v>2.2799999999999998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35.36</v>
      </c>
      <c r="AJT17">
        <v>16.37</v>
      </c>
      <c r="AJU17">
        <v>0</v>
      </c>
      <c r="AJV17">
        <v>4.4000000000000004</v>
      </c>
      <c r="AJW17">
        <v>2</v>
      </c>
      <c r="AJX17">
        <v>10</v>
      </c>
      <c r="AJY17">
        <v>0.9</v>
      </c>
      <c r="AKD17">
        <v>10</v>
      </c>
      <c r="AKE17">
        <v>0.9</v>
      </c>
      <c r="AKJ17">
        <v>9.6999999999999993</v>
      </c>
      <c r="AKK17">
        <v>1</v>
      </c>
      <c r="AKL17">
        <v>68</v>
      </c>
      <c r="AKM17">
        <v>2</v>
      </c>
      <c r="AKN17">
        <f>3.34+5.29</f>
        <v>8.629999999999999</v>
      </c>
      <c r="AKO17">
        <v>1</v>
      </c>
      <c r="AKP17">
        <v>34</v>
      </c>
      <c r="AKQ17">
        <v>86</v>
      </c>
      <c r="AKR17">
        <f>0.8+0.6</f>
        <v>1.4</v>
      </c>
      <c r="AKS17">
        <v>1</v>
      </c>
      <c r="AKT17">
        <v>47</v>
      </c>
      <c r="AKU17">
        <v>1</v>
      </c>
      <c r="AKV17" s="18">
        <v>1.52</v>
      </c>
      <c r="AKW17">
        <v>3</v>
      </c>
      <c r="ALN17">
        <v>0</v>
      </c>
    </row>
    <row r="18" spans="1:1018" x14ac:dyDescent="0.2">
      <c r="A18" s="1" t="s">
        <v>297</v>
      </c>
      <c r="B18" s="12">
        <v>42893</v>
      </c>
      <c r="C18">
        <v>2</v>
      </c>
      <c r="D18" s="13">
        <v>35620</v>
      </c>
      <c r="E18" s="12">
        <v>25758</v>
      </c>
      <c r="F18" s="14">
        <f t="shared" si="0"/>
        <v>46.913073237508556</v>
      </c>
      <c r="G18" s="14">
        <f t="shared" si="1"/>
        <v>19.912388774811774</v>
      </c>
      <c r="H18" s="15" t="s">
        <v>183</v>
      </c>
      <c r="I18" s="15" t="s">
        <v>298</v>
      </c>
      <c r="J18" s="21" t="s">
        <v>183</v>
      </c>
      <c r="K18" s="21">
        <v>8</v>
      </c>
      <c r="L18" s="19">
        <v>88</v>
      </c>
      <c r="M18">
        <v>1.75</v>
      </c>
      <c r="N18" s="16">
        <f t="shared" si="2"/>
        <v>28.73469387755102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</v>
      </c>
      <c r="AI18" s="19">
        <v>1</v>
      </c>
      <c r="AJ18" s="19">
        <v>1</v>
      </c>
      <c r="AK18" s="19">
        <v>0</v>
      </c>
      <c r="AL18" s="19">
        <v>0</v>
      </c>
      <c r="AM18" s="19">
        <v>0</v>
      </c>
      <c r="AN18" s="19">
        <v>0</v>
      </c>
      <c r="AO18" s="19">
        <v>0</v>
      </c>
      <c r="AP18" s="19">
        <v>0</v>
      </c>
      <c r="AQ18" s="19">
        <v>0</v>
      </c>
      <c r="AR18" s="19">
        <v>0</v>
      </c>
      <c r="AS18" s="19">
        <v>0</v>
      </c>
      <c r="AT18" s="19">
        <v>0</v>
      </c>
      <c r="AU18" s="19">
        <v>0</v>
      </c>
      <c r="AV18" s="19">
        <v>0</v>
      </c>
      <c r="AW18" s="19">
        <v>0</v>
      </c>
      <c r="AX18" s="19">
        <v>0</v>
      </c>
      <c r="AY18" s="19">
        <v>0</v>
      </c>
      <c r="AZ18" s="19">
        <v>0</v>
      </c>
      <c r="BA18" s="19">
        <v>0</v>
      </c>
      <c r="BB18" s="19">
        <v>0</v>
      </c>
      <c r="BC18" s="19">
        <v>0</v>
      </c>
      <c r="BD18" s="19">
        <v>0</v>
      </c>
      <c r="BE18" s="19">
        <v>0</v>
      </c>
      <c r="BF18" s="19"/>
      <c r="BG18" s="19"/>
      <c r="BH18" s="19"/>
      <c r="BI18" s="19"/>
      <c r="BJ18" s="19">
        <v>0</v>
      </c>
      <c r="BK18" s="19">
        <v>0</v>
      </c>
      <c r="BL18" s="19">
        <v>0</v>
      </c>
      <c r="BM18" s="19">
        <v>0</v>
      </c>
      <c r="BN18" s="19">
        <v>0</v>
      </c>
      <c r="BO18" s="19">
        <v>0</v>
      </c>
      <c r="BP18" s="19">
        <v>0</v>
      </c>
      <c r="BQ18" s="19">
        <v>0</v>
      </c>
      <c r="BR18" s="19">
        <v>2</v>
      </c>
      <c r="BS18" s="19">
        <v>2</v>
      </c>
      <c r="BT18" s="19">
        <v>4</v>
      </c>
      <c r="BU18" s="19">
        <v>4</v>
      </c>
      <c r="BV18" s="19">
        <v>4</v>
      </c>
      <c r="BW18" s="19">
        <v>4</v>
      </c>
      <c r="BX18" s="19">
        <v>4</v>
      </c>
      <c r="BY18" s="19">
        <v>4</v>
      </c>
      <c r="BZ18" s="19">
        <v>4</v>
      </c>
      <c r="CA18" s="19">
        <v>3</v>
      </c>
      <c r="CB18" s="19">
        <v>3</v>
      </c>
      <c r="CC18" s="19">
        <v>5</v>
      </c>
      <c r="CD18" s="19">
        <v>3</v>
      </c>
      <c r="CE18" s="19">
        <v>4</v>
      </c>
      <c r="CF18" s="19">
        <v>4</v>
      </c>
      <c r="CG18" s="19">
        <v>4</v>
      </c>
      <c r="CH18" s="19">
        <v>3</v>
      </c>
      <c r="CI18" s="19">
        <v>3</v>
      </c>
      <c r="CJ18" s="19">
        <v>4</v>
      </c>
      <c r="CK18" s="19">
        <v>10</v>
      </c>
      <c r="CL18" t="s">
        <v>299</v>
      </c>
      <c r="CM18">
        <v>17.5</v>
      </c>
      <c r="CN18" s="16">
        <v>81.900000000000006</v>
      </c>
      <c r="CO18" s="16">
        <v>80.400000000000006</v>
      </c>
      <c r="CP18" s="16">
        <v>12.5</v>
      </c>
      <c r="CQ18">
        <v>85.79</v>
      </c>
      <c r="CR18" s="17">
        <v>0</v>
      </c>
      <c r="CS18">
        <v>10.02</v>
      </c>
      <c r="CT18">
        <v>0</v>
      </c>
      <c r="CU18">
        <v>0</v>
      </c>
      <c r="CV18">
        <v>0</v>
      </c>
      <c r="CW18">
        <v>4.1900000000000004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53.51</v>
      </c>
      <c r="DD18">
        <v>0</v>
      </c>
      <c r="DE18">
        <v>0</v>
      </c>
      <c r="DF18">
        <v>0</v>
      </c>
      <c r="DG18">
        <v>0</v>
      </c>
      <c r="DH18">
        <v>0</v>
      </c>
      <c r="DU18">
        <v>0</v>
      </c>
      <c r="DV18">
        <v>0</v>
      </c>
      <c r="EG18" s="20"/>
      <c r="EY18">
        <v>0</v>
      </c>
      <c r="GJ18" s="16">
        <v>3.38</v>
      </c>
      <c r="GK18" s="16">
        <v>1</v>
      </c>
      <c r="GL18" s="16">
        <v>1</v>
      </c>
      <c r="GM18" s="16"/>
      <c r="GN18" s="16">
        <v>12.64</v>
      </c>
      <c r="GO18" s="16"/>
      <c r="GP18" s="16"/>
      <c r="GQ18" s="16"/>
      <c r="GR18" s="16"/>
      <c r="GS18" s="16"/>
      <c r="GT18" s="16"/>
      <c r="GU18" s="16">
        <v>0</v>
      </c>
      <c r="GV18" s="16">
        <v>0</v>
      </c>
      <c r="GW18" s="16">
        <v>0</v>
      </c>
      <c r="GX18" s="16">
        <v>0</v>
      </c>
      <c r="GY18" s="16">
        <v>0</v>
      </c>
      <c r="GZ18" s="16">
        <v>0</v>
      </c>
      <c r="HA18" s="16">
        <v>0</v>
      </c>
      <c r="HB18">
        <v>0</v>
      </c>
      <c r="HC18" t="s">
        <v>300</v>
      </c>
      <c r="HD18">
        <v>31</v>
      </c>
      <c r="HE18" s="16">
        <v>86.2</v>
      </c>
      <c r="HF18" s="16">
        <v>80.400000000000006</v>
      </c>
      <c r="HG18" s="16">
        <v>19.399999999999999</v>
      </c>
      <c r="HH18">
        <v>23.44</v>
      </c>
      <c r="HI18" s="17">
        <v>0</v>
      </c>
      <c r="HJ18">
        <v>0</v>
      </c>
      <c r="HK18">
        <v>0</v>
      </c>
      <c r="HL18">
        <v>0.94</v>
      </c>
      <c r="HM18">
        <v>0</v>
      </c>
      <c r="HN18">
        <v>75.62</v>
      </c>
      <c r="HO18">
        <v>16.829999999999998</v>
      </c>
      <c r="HP18">
        <v>0</v>
      </c>
      <c r="HQ18">
        <v>0</v>
      </c>
      <c r="HR18">
        <v>0</v>
      </c>
      <c r="HS18">
        <v>0</v>
      </c>
      <c r="HT18">
        <v>6.9</v>
      </c>
      <c r="HU18">
        <v>42.32</v>
      </c>
      <c r="HV18">
        <v>0</v>
      </c>
      <c r="HW18">
        <v>0</v>
      </c>
      <c r="HX18">
        <v>0</v>
      </c>
      <c r="HY18">
        <v>0</v>
      </c>
      <c r="IL18">
        <v>0</v>
      </c>
      <c r="IM18">
        <v>0</v>
      </c>
      <c r="IX18" s="20"/>
      <c r="JP18">
        <v>0</v>
      </c>
      <c r="LA18" s="16">
        <v>5.0599999999999996</v>
      </c>
      <c r="LB18" s="16">
        <v>1</v>
      </c>
      <c r="LC18" s="16">
        <v>1</v>
      </c>
      <c r="LD18" s="16"/>
      <c r="LE18" s="16">
        <v>6.74</v>
      </c>
      <c r="LF18" s="16">
        <v>2</v>
      </c>
      <c r="LG18" s="16"/>
      <c r="LH18" s="16">
        <v>10.7</v>
      </c>
      <c r="LI18" s="16"/>
      <c r="LJ18" s="16"/>
      <c r="LK18" s="16"/>
      <c r="LL18" s="16">
        <v>0</v>
      </c>
      <c r="LM18" s="16">
        <v>0</v>
      </c>
      <c r="LN18" s="16">
        <v>0</v>
      </c>
      <c r="LO18" s="16">
        <v>0</v>
      </c>
      <c r="LP18" s="16">
        <v>5.97</v>
      </c>
      <c r="LQ18" s="16">
        <v>0</v>
      </c>
      <c r="LR18" s="16">
        <v>0</v>
      </c>
      <c r="LS18">
        <v>1</v>
      </c>
      <c r="LT18" t="s">
        <v>301</v>
      </c>
      <c r="LU18">
        <v>44</v>
      </c>
      <c r="LV18" s="16">
        <v>88.4</v>
      </c>
      <c r="LW18" s="16">
        <v>80.400000000000006</v>
      </c>
      <c r="LX18" s="16">
        <v>40</v>
      </c>
      <c r="LY18">
        <v>11.38</v>
      </c>
      <c r="LZ18" s="17">
        <v>0</v>
      </c>
      <c r="MA18">
        <v>0</v>
      </c>
      <c r="MB18">
        <v>0</v>
      </c>
      <c r="MC18">
        <v>0</v>
      </c>
      <c r="MD18">
        <v>0</v>
      </c>
      <c r="ME18">
        <v>88.62</v>
      </c>
      <c r="MF18">
        <v>22.58</v>
      </c>
      <c r="MG18">
        <v>24.22</v>
      </c>
      <c r="MH18">
        <v>0</v>
      </c>
      <c r="MI18">
        <v>0</v>
      </c>
      <c r="MJ18">
        <v>0</v>
      </c>
      <c r="MK18">
        <v>26.59</v>
      </c>
      <c r="ML18">
        <v>0.54</v>
      </c>
      <c r="MM18">
        <v>0</v>
      </c>
      <c r="MN18">
        <v>0</v>
      </c>
      <c r="MO18">
        <v>0</v>
      </c>
      <c r="MP18">
        <v>0</v>
      </c>
      <c r="NC18">
        <v>0</v>
      </c>
      <c r="ND18">
        <v>0</v>
      </c>
      <c r="NO18" s="20"/>
      <c r="OG18">
        <v>1</v>
      </c>
      <c r="OH18">
        <v>40</v>
      </c>
      <c r="OI18">
        <v>2</v>
      </c>
      <c r="OJ18">
        <v>0.26</v>
      </c>
      <c r="OK18">
        <v>3</v>
      </c>
      <c r="PR18" s="16">
        <v>3.77</v>
      </c>
      <c r="PS18" s="16">
        <v>1</v>
      </c>
      <c r="PT18" s="16">
        <v>1</v>
      </c>
      <c r="PU18" s="16"/>
      <c r="PV18" s="16">
        <v>25.78</v>
      </c>
      <c r="PW18" s="16"/>
      <c r="PX18" s="16"/>
      <c r="PY18" s="16"/>
      <c r="PZ18" s="16"/>
      <c r="QA18" s="16"/>
      <c r="QB18" s="16"/>
      <c r="QC18" s="16">
        <v>0</v>
      </c>
      <c r="QD18" s="16">
        <v>0</v>
      </c>
      <c r="QE18" s="16">
        <v>0</v>
      </c>
      <c r="QF18" s="16">
        <v>0</v>
      </c>
      <c r="QG18" s="16">
        <v>0</v>
      </c>
      <c r="QH18" s="16">
        <v>0</v>
      </c>
      <c r="QI18" s="16">
        <v>0</v>
      </c>
      <c r="QJ18">
        <v>0</v>
      </c>
      <c r="QK18" t="s">
        <v>207</v>
      </c>
      <c r="QL18">
        <v>20.5</v>
      </c>
      <c r="QM18" s="16">
        <v>85.6</v>
      </c>
      <c r="QN18" s="16">
        <v>80.400000000000006</v>
      </c>
      <c r="QO18" s="16">
        <v>17.7</v>
      </c>
      <c r="QP18">
        <v>63.65</v>
      </c>
      <c r="QQ18" s="17">
        <v>0</v>
      </c>
      <c r="QR18">
        <v>0</v>
      </c>
      <c r="QS18">
        <v>0</v>
      </c>
      <c r="QT18">
        <v>47.03</v>
      </c>
      <c r="QU18">
        <v>0</v>
      </c>
      <c r="QV18">
        <v>11.64</v>
      </c>
      <c r="QW18">
        <v>0</v>
      </c>
      <c r="QX18">
        <v>0</v>
      </c>
      <c r="QY18">
        <v>5.03</v>
      </c>
      <c r="QZ18">
        <v>0</v>
      </c>
      <c r="RA18">
        <v>2.93</v>
      </c>
      <c r="RB18">
        <v>24.27</v>
      </c>
      <c r="RC18">
        <v>17.25</v>
      </c>
      <c r="RD18">
        <v>0</v>
      </c>
      <c r="RE18">
        <v>0</v>
      </c>
      <c r="RF18">
        <v>0</v>
      </c>
      <c r="RG18">
        <v>0</v>
      </c>
      <c r="RT18">
        <v>0</v>
      </c>
      <c r="RU18">
        <v>0</v>
      </c>
      <c r="SF18" s="20"/>
      <c r="SX18">
        <v>0</v>
      </c>
      <c r="UI18" s="16">
        <v>1.47</v>
      </c>
      <c r="UJ18" s="16">
        <v>1</v>
      </c>
      <c r="UK18" s="16">
        <v>1</v>
      </c>
      <c r="UL18" s="16"/>
      <c r="UM18" s="16">
        <v>2.94</v>
      </c>
      <c r="UN18" s="16"/>
      <c r="UO18" s="16"/>
      <c r="UP18" s="16"/>
      <c r="UQ18" s="16"/>
      <c r="UR18" s="16"/>
      <c r="US18" s="16"/>
      <c r="UT18" s="16">
        <v>0</v>
      </c>
      <c r="UU18" s="16">
        <v>0</v>
      </c>
      <c r="UV18" s="16">
        <v>0</v>
      </c>
      <c r="UW18" s="16">
        <v>0</v>
      </c>
      <c r="UX18" s="16">
        <v>0</v>
      </c>
      <c r="UY18" s="16">
        <v>0</v>
      </c>
      <c r="UZ18" s="16">
        <v>0</v>
      </c>
      <c r="VA18">
        <v>0</v>
      </c>
      <c r="VB18" t="s">
        <v>208</v>
      </c>
      <c r="VC18">
        <v>35</v>
      </c>
      <c r="VD18" s="16">
        <v>69.2</v>
      </c>
      <c r="VE18" s="16">
        <v>80.400000000000006</v>
      </c>
      <c r="VF18" s="16">
        <v>24</v>
      </c>
      <c r="VG18">
        <v>71.73</v>
      </c>
      <c r="VH18" s="17">
        <v>0</v>
      </c>
      <c r="VI18">
        <v>0</v>
      </c>
      <c r="VJ18">
        <v>6.09</v>
      </c>
      <c r="VK18">
        <v>19.28</v>
      </c>
      <c r="VL18">
        <v>0</v>
      </c>
      <c r="VM18">
        <v>2.83</v>
      </c>
      <c r="VN18">
        <v>0</v>
      </c>
      <c r="VO18">
        <v>0</v>
      </c>
      <c r="VP18">
        <v>0</v>
      </c>
      <c r="VQ18">
        <v>0</v>
      </c>
      <c r="VR18">
        <v>14.46</v>
      </c>
      <c r="VS18">
        <v>19.89</v>
      </c>
      <c r="VT18">
        <v>24.43</v>
      </c>
      <c r="VU18">
        <v>0</v>
      </c>
      <c r="VV18">
        <v>7.0000000000000007E-2</v>
      </c>
      <c r="VW18">
        <v>0</v>
      </c>
      <c r="VX18">
        <v>0</v>
      </c>
      <c r="WK18">
        <v>2</v>
      </c>
      <c r="WL18">
        <v>0</v>
      </c>
      <c r="WW18" s="20"/>
      <c r="XO18">
        <v>1</v>
      </c>
      <c r="XP18">
        <v>40</v>
      </c>
      <c r="XQ18">
        <v>2</v>
      </c>
      <c r="XR18">
        <v>1.52</v>
      </c>
      <c r="XS18">
        <v>3</v>
      </c>
      <c r="XT18">
        <v>50</v>
      </c>
      <c r="XU18">
        <v>4</v>
      </c>
      <c r="XV18">
        <v>0.54</v>
      </c>
      <c r="XW18">
        <v>1</v>
      </c>
      <c r="YZ18" s="16">
        <v>1.6</v>
      </c>
      <c r="ZA18" s="16">
        <v>1</v>
      </c>
      <c r="ZB18" s="16">
        <v>1</v>
      </c>
      <c r="ZC18" s="16"/>
      <c r="ZD18" s="16">
        <v>7.09</v>
      </c>
      <c r="ZE18" s="16"/>
      <c r="ZF18" s="16"/>
      <c r="ZG18" s="16"/>
      <c r="ZH18" s="16"/>
      <c r="ZI18" s="16"/>
      <c r="ZJ18" s="16"/>
      <c r="ZK18" s="16">
        <v>1.1200000000000001</v>
      </c>
      <c r="ZL18" s="16">
        <v>0.27</v>
      </c>
      <c r="ZM18" s="16">
        <v>0</v>
      </c>
      <c r="ZN18" s="16">
        <v>0</v>
      </c>
      <c r="ZO18" s="16">
        <v>0</v>
      </c>
      <c r="ZP18" s="16">
        <v>0</v>
      </c>
      <c r="ZQ18" s="16">
        <v>3</v>
      </c>
      <c r="ZR18">
        <v>0</v>
      </c>
      <c r="ZS18" t="s">
        <v>302</v>
      </c>
      <c r="ZT18">
        <v>22</v>
      </c>
      <c r="ZU18" s="16">
        <v>87.6</v>
      </c>
      <c r="ZV18" s="16">
        <v>80.400000000000006</v>
      </c>
      <c r="ZW18" s="16">
        <v>4.5</v>
      </c>
      <c r="ZX18">
        <v>100</v>
      </c>
      <c r="ZY18" s="17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1.1399999999999999</v>
      </c>
      <c r="AAJ18">
        <v>27.07</v>
      </c>
      <c r="AAK18">
        <v>1.9</v>
      </c>
      <c r="AAL18">
        <v>0</v>
      </c>
      <c r="AAM18">
        <v>0</v>
      </c>
      <c r="AAN18">
        <v>0</v>
      </c>
      <c r="AAO18">
        <v>0</v>
      </c>
      <c r="ABB18">
        <v>8</v>
      </c>
      <c r="ABC18">
        <v>1</v>
      </c>
      <c r="ABD18">
        <v>35</v>
      </c>
      <c r="ABE18">
        <v>2</v>
      </c>
      <c r="ABF18">
        <v>1.52</v>
      </c>
      <c r="ABG18">
        <v>3</v>
      </c>
      <c r="ABN18" s="20"/>
      <c r="ACF18">
        <v>1</v>
      </c>
      <c r="ACG18">
        <v>40</v>
      </c>
      <c r="ACH18">
        <v>3</v>
      </c>
      <c r="ACI18">
        <v>2.2799999999999998</v>
      </c>
      <c r="ACJ18">
        <v>3</v>
      </c>
      <c r="ADQ18" s="16">
        <v>1.1200000000000001</v>
      </c>
      <c r="ADR18" s="16">
        <v>1</v>
      </c>
      <c r="ADS18" s="16">
        <v>1</v>
      </c>
      <c r="ADT18" s="16"/>
      <c r="ADU18" s="16">
        <v>2.2400000000000002</v>
      </c>
      <c r="ADV18" s="16"/>
      <c r="ADW18" s="16"/>
      <c r="ADX18" s="16"/>
      <c r="ADY18" s="16"/>
      <c r="ADZ18" s="16"/>
      <c r="AEA18" s="16"/>
      <c r="AEB18" s="16">
        <v>6.72</v>
      </c>
      <c r="AEC18" s="16">
        <v>0</v>
      </c>
      <c r="AED18" s="16">
        <v>0</v>
      </c>
      <c r="AEE18" s="16">
        <v>0</v>
      </c>
      <c r="AEF18" s="16">
        <v>0</v>
      </c>
      <c r="AEG18" s="16">
        <v>0</v>
      </c>
      <c r="AEH18" s="16">
        <v>0</v>
      </c>
      <c r="AEI18">
        <v>1</v>
      </c>
      <c r="AEJ18" t="s">
        <v>303</v>
      </c>
      <c r="AEK18">
        <v>18</v>
      </c>
      <c r="AEL18" s="16">
        <v>84.7</v>
      </c>
      <c r="AEM18" s="16">
        <v>80.400000000000006</v>
      </c>
      <c r="AEN18" s="16">
        <v>6.7</v>
      </c>
      <c r="AEO18">
        <v>100</v>
      </c>
      <c r="AEP18" s="17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14.84</v>
      </c>
      <c r="AFA18">
        <v>28.79</v>
      </c>
      <c r="AFB18">
        <v>1.9</v>
      </c>
      <c r="AFC18">
        <v>0</v>
      </c>
      <c r="AFD18">
        <v>0</v>
      </c>
      <c r="AFE18">
        <v>0</v>
      </c>
      <c r="AFF18">
        <v>0</v>
      </c>
      <c r="AFS18">
        <v>1.9</v>
      </c>
      <c r="AFT18">
        <v>0</v>
      </c>
      <c r="AGE18" s="20"/>
      <c r="AGW18">
        <v>1</v>
      </c>
      <c r="AGX18">
        <v>50</v>
      </c>
      <c r="AGY18">
        <v>3</v>
      </c>
      <c r="AGZ18">
        <v>2.2799999999999998</v>
      </c>
      <c r="AHA18">
        <v>3</v>
      </c>
      <c r="AIH18" s="16">
        <v>1.1200000000000001</v>
      </c>
      <c r="AII18" s="16">
        <v>1</v>
      </c>
      <c r="AIJ18" s="16">
        <v>1</v>
      </c>
      <c r="AIK18" s="16"/>
      <c r="AIL18" s="16">
        <v>2.2400000000000002</v>
      </c>
      <c r="AIM18" s="16"/>
      <c r="AIN18" s="16"/>
      <c r="AIO18" s="16"/>
      <c r="AIP18" s="16"/>
      <c r="AIQ18" s="16"/>
      <c r="AIR18" s="16"/>
      <c r="AIS18" s="16">
        <v>0</v>
      </c>
      <c r="AIT18" s="16">
        <v>0</v>
      </c>
      <c r="AIU18" s="16">
        <v>0</v>
      </c>
      <c r="AIV18" s="16">
        <v>0</v>
      </c>
      <c r="AIW18" s="16">
        <v>6.72</v>
      </c>
      <c r="AIX18" s="16">
        <v>0</v>
      </c>
      <c r="AIY18" s="16">
        <v>0</v>
      </c>
      <c r="AIZ18">
        <v>1</v>
      </c>
      <c r="AJA18" t="s">
        <v>304</v>
      </c>
      <c r="AJB18">
        <v>29</v>
      </c>
      <c r="AJC18" s="16">
        <v>84.9</v>
      </c>
      <c r="AJD18" s="16">
        <v>80.400000000000006</v>
      </c>
      <c r="AJE18" s="16">
        <v>22.7</v>
      </c>
      <c r="AJF18">
        <v>47.69</v>
      </c>
      <c r="AJG18" s="17">
        <v>0</v>
      </c>
      <c r="AJH18">
        <v>0</v>
      </c>
      <c r="AJI18">
        <v>0</v>
      </c>
      <c r="AJJ18">
        <v>22.69</v>
      </c>
      <c r="AJK18">
        <v>0</v>
      </c>
      <c r="AJL18">
        <v>28.56</v>
      </c>
      <c r="AJM18">
        <v>0</v>
      </c>
      <c r="AJN18">
        <v>0</v>
      </c>
      <c r="AJO18">
        <v>0</v>
      </c>
      <c r="AJP18">
        <v>0</v>
      </c>
      <c r="AJQ18">
        <v>30.64</v>
      </c>
      <c r="AJR18">
        <v>8.3800000000000008</v>
      </c>
      <c r="AJS18">
        <v>43.35</v>
      </c>
      <c r="AJT18">
        <v>6.09</v>
      </c>
      <c r="AJU18">
        <v>0</v>
      </c>
      <c r="AJV18">
        <v>0</v>
      </c>
      <c r="AJW18">
        <v>0</v>
      </c>
      <c r="AKJ18">
        <v>2.5</v>
      </c>
      <c r="AKK18">
        <v>1</v>
      </c>
      <c r="AKL18">
        <v>35</v>
      </c>
      <c r="AKM18">
        <v>4</v>
      </c>
      <c r="AKN18">
        <v>0.54</v>
      </c>
      <c r="AKO18">
        <v>3</v>
      </c>
      <c r="AKV18" s="20"/>
      <c r="ALN18">
        <v>1</v>
      </c>
      <c r="ALO18">
        <v>40</v>
      </c>
      <c r="ALP18">
        <v>2</v>
      </c>
      <c r="ALQ18">
        <v>0.26</v>
      </c>
      <c r="ALR18">
        <v>3</v>
      </c>
    </row>
    <row r="19" spans="1:1018" s="24" customFormat="1" x14ac:dyDescent="0.2">
      <c r="A19" s="1" t="s">
        <v>305</v>
      </c>
      <c r="B19" s="12">
        <v>42893</v>
      </c>
      <c r="C19">
        <v>2</v>
      </c>
      <c r="D19" s="13">
        <v>41080</v>
      </c>
      <c r="E19" s="12">
        <v>32394</v>
      </c>
      <c r="F19" s="14">
        <f t="shared" si="0"/>
        <v>28.744695414099933</v>
      </c>
      <c r="G19" s="14">
        <f t="shared" si="1"/>
        <v>4.9637234770704994</v>
      </c>
      <c r="H19" s="15" t="s">
        <v>306</v>
      </c>
      <c r="I19" s="15" t="s">
        <v>307</v>
      </c>
      <c r="J19" s="21" t="s">
        <v>183</v>
      </c>
      <c r="K19" s="21">
        <v>8</v>
      </c>
      <c r="L19" s="19">
        <v>72</v>
      </c>
      <c r="M19">
        <v>1.71</v>
      </c>
      <c r="N19" s="16">
        <f t="shared" si="2"/>
        <v>24.622960911049557</v>
      </c>
      <c r="O19" s="19">
        <v>0</v>
      </c>
      <c r="P19" s="19">
        <v>0</v>
      </c>
      <c r="Q19" s="19">
        <v>0</v>
      </c>
      <c r="R19" s="19">
        <v>0</v>
      </c>
      <c r="S19" s="19">
        <v>0</v>
      </c>
      <c r="T19" s="19">
        <v>0</v>
      </c>
      <c r="U19" s="19">
        <v>0</v>
      </c>
      <c r="V19" s="19">
        <v>0</v>
      </c>
      <c r="W19" s="19">
        <v>0</v>
      </c>
      <c r="X19" s="19">
        <v>0</v>
      </c>
      <c r="Y19" s="19">
        <v>1</v>
      </c>
      <c r="Z19" s="19">
        <v>2</v>
      </c>
      <c r="AA19" s="19">
        <v>90</v>
      </c>
      <c r="AB19" s="19" t="s">
        <v>308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>
        <v>0</v>
      </c>
      <c r="AI19" s="19">
        <v>0</v>
      </c>
      <c r="AJ19" s="19">
        <v>0</v>
      </c>
      <c r="AK19" s="19">
        <v>0</v>
      </c>
      <c r="AL19" s="19">
        <v>0</v>
      </c>
      <c r="AM19" s="19">
        <v>0</v>
      </c>
      <c r="AN19" s="19">
        <v>0</v>
      </c>
      <c r="AO19" s="19">
        <v>0</v>
      </c>
      <c r="AP19" s="19">
        <v>0</v>
      </c>
      <c r="AQ19" s="19">
        <v>0</v>
      </c>
      <c r="AR19" s="19">
        <v>0</v>
      </c>
      <c r="AS19" s="19">
        <v>0</v>
      </c>
      <c r="AT19" s="19">
        <v>0</v>
      </c>
      <c r="AU19" s="19">
        <v>0</v>
      </c>
      <c r="AV19" s="19">
        <v>0</v>
      </c>
      <c r="AW19" s="19">
        <v>0</v>
      </c>
      <c r="AX19" s="19">
        <v>0</v>
      </c>
      <c r="AY19" s="19">
        <v>0</v>
      </c>
      <c r="AZ19" s="19">
        <v>0</v>
      </c>
      <c r="BA19" s="19">
        <v>0</v>
      </c>
      <c r="BB19" s="19">
        <v>0</v>
      </c>
      <c r="BC19" s="19">
        <v>0</v>
      </c>
      <c r="BD19" s="19">
        <v>0</v>
      </c>
      <c r="BE19" s="19">
        <v>0</v>
      </c>
      <c r="BF19" s="19">
        <v>0</v>
      </c>
      <c r="BG19" s="19">
        <v>0</v>
      </c>
      <c r="BH19" s="19">
        <v>0</v>
      </c>
      <c r="BI19" s="19">
        <v>0</v>
      </c>
      <c r="BJ19" s="19">
        <v>1</v>
      </c>
      <c r="BK19" s="19"/>
      <c r="BL19" s="19"/>
      <c r="BM19" s="19"/>
      <c r="BN19" s="19">
        <v>0</v>
      </c>
      <c r="BO19" s="19">
        <v>0</v>
      </c>
      <c r="BP19" s="19">
        <v>0</v>
      </c>
      <c r="BQ19" s="19">
        <v>0</v>
      </c>
      <c r="BR19" s="19">
        <v>3</v>
      </c>
      <c r="BS19" s="19">
        <v>4</v>
      </c>
      <c r="BT19" s="19">
        <v>3</v>
      </c>
      <c r="BU19" s="19">
        <v>2</v>
      </c>
      <c r="BV19" s="19">
        <v>3</v>
      </c>
      <c r="BW19" s="19">
        <v>4</v>
      </c>
      <c r="BX19" s="19">
        <v>4</v>
      </c>
      <c r="BY19" s="19">
        <v>3</v>
      </c>
      <c r="BZ19" s="19">
        <v>4</v>
      </c>
      <c r="CA19" s="19">
        <v>2</v>
      </c>
      <c r="CB19" s="19">
        <v>3</v>
      </c>
      <c r="CC19" s="19">
        <v>5</v>
      </c>
      <c r="CD19" s="19">
        <v>3</v>
      </c>
      <c r="CE19" s="19">
        <v>3</v>
      </c>
      <c r="CF19" s="19">
        <v>3</v>
      </c>
      <c r="CG19" s="19">
        <v>4</v>
      </c>
      <c r="CH19" s="19">
        <v>4</v>
      </c>
      <c r="CI19" s="19">
        <v>3</v>
      </c>
      <c r="CJ19" s="19">
        <v>4</v>
      </c>
      <c r="CK19" s="19">
        <v>10</v>
      </c>
      <c r="CL19" s="24" t="s">
        <v>309</v>
      </c>
      <c r="CM19" s="24">
        <v>31</v>
      </c>
      <c r="CN19" s="27">
        <v>39.200000000000003</v>
      </c>
      <c r="CO19" s="27">
        <v>83.4</v>
      </c>
      <c r="CP19" s="27">
        <v>17.2</v>
      </c>
      <c r="CQ19" s="24">
        <v>85.69</v>
      </c>
      <c r="CR19" s="24">
        <v>0</v>
      </c>
      <c r="CS19" s="24">
        <v>0.39</v>
      </c>
      <c r="CT19" s="24">
        <v>0</v>
      </c>
      <c r="CU19" s="24">
        <v>13.37</v>
      </c>
      <c r="CV19" s="24">
        <v>0</v>
      </c>
      <c r="CW19" s="24">
        <v>0</v>
      </c>
      <c r="CX19" s="24">
        <v>0</v>
      </c>
      <c r="CY19" s="24">
        <v>0</v>
      </c>
      <c r="CZ19" s="24">
        <v>0</v>
      </c>
      <c r="DA19" s="24">
        <v>0</v>
      </c>
      <c r="DB19" s="24">
        <v>12.36</v>
      </c>
      <c r="DC19" s="24">
        <v>18.21</v>
      </c>
      <c r="DD19" s="24">
        <v>12.25</v>
      </c>
      <c r="DE19" s="24">
        <v>3.27</v>
      </c>
      <c r="DF19" s="24">
        <v>5.0199999999999996</v>
      </c>
      <c r="DG19" s="24">
        <v>4.8</v>
      </c>
      <c r="DH19" s="24">
        <v>1</v>
      </c>
      <c r="DI19" s="24">
        <v>5</v>
      </c>
      <c r="DK19" s="24">
        <v>2</v>
      </c>
      <c r="DL19" s="24">
        <v>3</v>
      </c>
      <c r="DN19" s="24">
        <v>1</v>
      </c>
      <c r="DU19" s="24">
        <v>2.4</v>
      </c>
      <c r="DV19" s="24">
        <v>1</v>
      </c>
      <c r="DW19" s="24">
        <v>35</v>
      </c>
      <c r="DX19" s="24">
        <v>8</v>
      </c>
      <c r="DY19" s="24">
        <f>0.13*4</f>
        <v>0.52</v>
      </c>
      <c r="DZ19" s="24">
        <v>3</v>
      </c>
      <c r="EA19" s="24">
        <v>23</v>
      </c>
      <c r="EB19" s="24">
        <v>2</v>
      </c>
      <c r="EC19" s="24">
        <v>0.12</v>
      </c>
      <c r="ED19" s="24">
        <v>3</v>
      </c>
      <c r="EG19" s="28"/>
      <c r="EY19" s="24">
        <v>1</v>
      </c>
      <c r="EZ19" s="24">
        <v>50</v>
      </c>
      <c r="FA19" s="24">
        <v>5</v>
      </c>
      <c r="FB19" s="24">
        <v>0.32</v>
      </c>
      <c r="FC19" s="24">
        <v>3</v>
      </c>
      <c r="GJ19" s="27">
        <v>0.43</v>
      </c>
      <c r="GK19" s="27">
        <v>1</v>
      </c>
      <c r="GL19" s="27">
        <v>1</v>
      </c>
      <c r="GM19" s="27"/>
      <c r="GN19" s="27">
        <f>0.11+0.06+0.26*2</f>
        <v>0.69</v>
      </c>
      <c r="GO19" s="27">
        <v>2</v>
      </c>
      <c r="GP19" s="27"/>
      <c r="GQ19" s="27">
        <f>3.35*2+0.35*2</f>
        <v>7.4</v>
      </c>
      <c r="GR19" s="27"/>
      <c r="GS19" s="27"/>
      <c r="GT19" s="27"/>
      <c r="GU19" s="27">
        <v>1.74</v>
      </c>
      <c r="GV19" s="27">
        <v>1.32</v>
      </c>
      <c r="GW19" s="27"/>
      <c r="GX19" s="27"/>
      <c r="GY19" s="27">
        <v>4.32</v>
      </c>
      <c r="GZ19" s="27">
        <v>1.2</v>
      </c>
      <c r="HA19" s="27">
        <v>0.11</v>
      </c>
      <c r="HB19" s="24">
        <v>2</v>
      </c>
      <c r="HC19" s="24" t="s">
        <v>310</v>
      </c>
      <c r="HD19" s="24">
        <v>22.5</v>
      </c>
      <c r="HE19" s="27">
        <v>20.9</v>
      </c>
      <c r="HF19" s="27">
        <v>83.4</v>
      </c>
      <c r="HG19" s="27">
        <v>11</v>
      </c>
      <c r="HH19" s="24">
        <v>91.28</v>
      </c>
      <c r="HI19" s="24">
        <v>0</v>
      </c>
      <c r="HJ19" s="24">
        <v>0</v>
      </c>
      <c r="HK19" s="24">
        <v>0</v>
      </c>
      <c r="HL19" s="24">
        <v>4.1500000000000004</v>
      </c>
      <c r="HM19" s="24">
        <v>0</v>
      </c>
      <c r="HN19" s="24">
        <v>0</v>
      </c>
      <c r="HO19" s="24">
        <v>0</v>
      </c>
      <c r="HP19" s="24">
        <v>0</v>
      </c>
      <c r="HQ19" s="24">
        <v>0</v>
      </c>
      <c r="HR19" s="24">
        <v>0</v>
      </c>
      <c r="HS19" s="24">
        <v>0.71</v>
      </c>
      <c r="HT19" s="24">
        <v>7.61</v>
      </c>
      <c r="HU19" s="24">
        <v>5.28</v>
      </c>
      <c r="HV19" s="24">
        <v>2.4700000000000002</v>
      </c>
      <c r="HW19" s="24">
        <v>4.05</v>
      </c>
      <c r="HX19" s="24">
        <v>6.1</v>
      </c>
      <c r="HY19" s="24">
        <v>1</v>
      </c>
      <c r="HZ19" s="24">
        <v>5</v>
      </c>
      <c r="IB19" s="24">
        <v>1</v>
      </c>
      <c r="IC19" s="24">
        <v>3</v>
      </c>
      <c r="IE19" s="24">
        <v>2</v>
      </c>
      <c r="IL19" s="24">
        <v>4.7</v>
      </c>
      <c r="IM19" s="24">
        <v>1</v>
      </c>
      <c r="IN19" s="24">
        <v>35</v>
      </c>
      <c r="IO19" s="24">
        <v>8</v>
      </c>
      <c r="IP19" s="24">
        <f>0.19+0.32</f>
        <v>0.51</v>
      </c>
      <c r="IQ19" s="24">
        <v>3</v>
      </c>
      <c r="IX19" s="28"/>
      <c r="JP19" s="24">
        <v>1</v>
      </c>
      <c r="JQ19" s="24">
        <v>80</v>
      </c>
      <c r="JR19" s="24">
        <v>4</v>
      </c>
      <c r="JS19" s="24">
        <v>1.28</v>
      </c>
      <c r="JT19" s="24">
        <v>3</v>
      </c>
      <c r="JU19" s="24">
        <v>60</v>
      </c>
      <c r="JV19" s="24">
        <v>3</v>
      </c>
      <c r="JW19" s="24">
        <v>0.28999999999999998</v>
      </c>
      <c r="JX19" s="24">
        <v>3</v>
      </c>
      <c r="JY19" s="24">
        <v>70</v>
      </c>
      <c r="JZ19" s="24">
        <v>4</v>
      </c>
      <c r="KA19" s="24">
        <v>0.57999999999999996</v>
      </c>
      <c r="KB19" s="24">
        <v>3</v>
      </c>
      <c r="LA19" s="27">
        <v>0.49</v>
      </c>
      <c r="LB19" s="27">
        <v>1</v>
      </c>
      <c r="LC19" s="27">
        <v>2</v>
      </c>
      <c r="LD19" s="27"/>
      <c r="LE19" s="27">
        <f>0.27*3</f>
        <v>0.81</v>
      </c>
      <c r="LF19" s="27"/>
      <c r="LG19" s="27"/>
      <c r="LH19" s="27"/>
      <c r="LI19" s="27"/>
      <c r="LJ19" s="27"/>
      <c r="LK19" s="27"/>
      <c r="LL19" s="27">
        <v>0</v>
      </c>
      <c r="LM19" s="27"/>
      <c r="LN19" s="27"/>
      <c r="LO19" s="27"/>
      <c r="LP19" s="27">
        <v>0</v>
      </c>
      <c r="LQ19" s="27">
        <v>0</v>
      </c>
      <c r="LR19" s="27">
        <v>0</v>
      </c>
      <c r="LS19" s="24">
        <v>0</v>
      </c>
      <c r="LT19" s="24" t="s">
        <v>311</v>
      </c>
      <c r="LU19" s="24">
        <v>52</v>
      </c>
      <c r="LV19" s="27">
        <v>87.1</v>
      </c>
      <c r="LW19" s="27">
        <v>83.4</v>
      </c>
      <c r="LX19" s="27">
        <v>31.9</v>
      </c>
      <c r="LY19" s="24">
        <v>55.25</v>
      </c>
      <c r="LZ19" s="24">
        <v>0</v>
      </c>
      <c r="MA19" s="24">
        <v>0</v>
      </c>
      <c r="MB19" s="24">
        <v>0</v>
      </c>
      <c r="MC19" s="24">
        <v>36.01</v>
      </c>
      <c r="MD19" s="24">
        <v>0</v>
      </c>
      <c r="ME19" s="24">
        <v>0</v>
      </c>
      <c r="MF19" s="24">
        <v>0</v>
      </c>
      <c r="MG19" s="24">
        <v>0</v>
      </c>
      <c r="MH19" s="24">
        <v>0</v>
      </c>
      <c r="MI19" s="24">
        <v>0</v>
      </c>
      <c r="MJ19" s="24">
        <v>1.03</v>
      </c>
      <c r="MK19" s="24">
        <v>22.5</v>
      </c>
      <c r="ML19" s="24">
        <v>29.21</v>
      </c>
      <c r="MM19" s="24">
        <v>12.38</v>
      </c>
      <c r="MN19" s="24">
        <v>8.73</v>
      </c>
      <c r="MO19" s="24">
        <v>5.3</v>
      </c>
      <c r="MP19" s="24">
        <v>1</v>
      </c>
      <c r="MQ19" s="24">
        <v>5</v>
      </c>
      <c r="MS19" s="24">
        <v>1</v>
      </c>
      <c r="NC19" s="24">
        <v>7.1</v>
      </c>
      <c r="ND19" s="24">
        <v>1</v>
      </c>
      <c r="NE19" s="24">
        <v>35</v>
      </c>
      <c r="NF19" s="24">
        <v>8</v>
      </c>
      <c r="NG19" s="24">
        <f>0.19+0.32</f>
        <v>0.51</v>
      </c>
      <c r="NH19" s="24">
        <v>3</v>
      </c>
      <c r="NO19" s="28"/>
      <c r="OG19" s="24">
        <v>1</v>
      </c>
      <c r="OH19" s="24">
        <v>50</v>
      </c>
      <c r="OI19" s="24">
        <v>7</v>
      </c>
      <c r="OJ19" s="24">
        <f>0.92+0.73+0.32</f>
        <v>1.97</v>
      </c>
      <c r="OK19" s="24">
        <v>3</v>
      </c>
      <c r="OL19" s="24">
        <v>70</v>
      </c>
      <c r="OM19" s="24">
        <v>11</v>
      </c>
      <c r="ON19" s="24">
        <f>0.73+0.65</f>
        <v>1.38</v>
      </c>
      <c r="OO19" s="24">
        <v>3</v>
      </c>
      <c r="OP19" s="24">
        <v>50</v>
      </c>
      <c r="OQ19" s="24">
        <v>1</v>
      </c>
      <c r="OR19" s="24">
        <v>0.37</v>
      </c>
      <c r="OS19" s="24">
        <v>4</v>
      </c>
      <c r="OT19" s="24">
        <v>50</v>
      </c>
      <c r="OU19" s="24">
        <v>1</v>
      </c>
      <c r="OV19" s="24">
        <v>0.37</v>
      </c>
      <c r="OW19" s="24">
        <v>6</v>
      </c>
      <c r="OX19" s="24">
        <v>60</v>
      </c>
      <c r="OY19" s="24">
        <v>12</v>
      </c>
      <c r="OZ19" s="24">
        <f>0.65+0.13</f>
        <v>0.78</v>
      </c>
      <c r="PA19" s="24">
        <v>3</v>
      </c>
      <c r="PB19" s="24">
        <v>60</v>
      </c>
      <c r="PC19" s="24">
        <v>4</v>
      </c>
      <c r="PD19" s="24">
        <v>0.26</v>
      </c>
      <c r="PE19" s="24">
        <v>1</v>
      </c>
      <c r="PF19" s="24">
        <v>70</v>
      </c>
      <c r="PG19" s="24">
        <v>4</v>
      </c>
      <c r="PH19" s="24">
        <v>0.39</v>
      </c>
      <c r="PI19" s="24">
        <v>1</v>
      </c>
      <c r="PJ19" s="24">
        <v>60</v>
      </c>
      <c r="PK19" s="24">
        <v>2</v>
      </c>
      <c r="PL19" s="24">
        <v>0.13</v>
      </c>
      <c r="PM19" s="24">
        <v>6</v>
      </c>
      <c r="PN19" s="24">
        <v>50</v>
      </c>
      <c r="PO19" s="24">
        <v>1</v>
      </c>
      <c r="PP19" s="24">
        <v>0.83</v>
      </c>
      <c r="PQ19" s="24">
        <v>6</v>
      </c>
      <c r="PR19" s="27">
        <v>5.1100000000000003</v>
      </c>
      <c r="PS19" s="27">
        <v>1</v>
      </c>
      <c r="PT19" s="27">
        <v>1</v>
      </c>
      <c r="PU19" s="27"/>
      <c r="PV19" s="27">
        <f>0.18*2</f>
        <v>0.36</v>
      </c>
      <c r="PW19" s="27">
        <v>2</v>
      </c>
      <c r="PX19" s="27"/>
      <c r="PY19" s="27">
        <f>0.75+1.53+2.04+1</f>
        <v>5.32</v>
      </c>
      <c r="PZ19" s="27"/>
      <c r="QA19" s="27"/>
      <c r="QB19" s="27"/>
      <c r="QC19" s="27">
        <v>2.17</v>
      </c>
      <c r="QD19" s="27">
        <v>2.1800000000000002</v>
      </c>
      <c r="QE19" s="27"/>
      <c r="QF19" s="27"/>
      <c r="QG19" s="27">
        <v>0</v>
      </c>
      <c r="QH19" s="27">
        <v>0</v>
      </c>
      <c r="QI19" s="27">
        <v>0</v>
      </c>
      <c r="QJ19" s="24">
        <v>0</v>
      </c>
      <c r="QK19" s="24" t="s">
        <v>312</v>
      </c>
      <c r="QL19" s="24">
        <v>40</v>
      </c>
      <c r="QM19" s="27">
        <v>90.5</v>
      </c>
      <c r="QN19" s="27">
        <v>83.4</v>
      </c>
      <c r="QO19" s="27">
        <v>24.1</v>
      </c>
      <c r="QP19" s="24">
        <v>65.22</v>
      </c>
      <c r="QQ19" s="24">
        <v>0</v>
      </c>
      <c r="QR19" s="24">
        <v>0</v>
      </c>
      <c r="QS19" s="24">
        <v>0</v>
      </c>
      <c r="QT19" s="24">
        <v>27.95</v>
      </c>
      <c r="QU19" s="24">
        <v>0</v>
      </c>
      <c r="QV19" s="24">
        <v>0</v>
      </c>
      <c r="QW19" s="24">
        <v>0</v>
      </c>
      <c r="QX19" s="24">
        <v>0</v>
      </c>
      <c r="QY19" s="24">
        <v>0</v>
      </c>
      <c r="QZ19" s="24">
        <v>0</v>
      </c>
      <c r="RA19" s="24">
        <v>0.5</v>
      </c>
      <c r="RB19" s="24">
        <v>25.43</v>
      </c>
      <c r="RC19" s="24">
        <v>28.69</v>
      </c>
      <c r="RD19" s="24">
        <v>8.32</v>
      </c>
      <c r="RE19" s="24">
        <v>6.81</v>
      </c>
      <c r="RF19" s="24">
        <v>5.3</v>
      </c>
      <c r="RG19" s="24">
        <v>1</v>
      </c>
      <c r="RH19" s="24">
        <v>5</v>
      </c>
      <c r="RJ19" s="24">
        <v>1</v>
      </c>
      <c r="RT19" s="24">
        <v>3.5</v>
      </c>
      <c r="RU19" s="24">
        <v>0</v>
      </c>
      <c r="SF19" s="28"/>
      <c r="SX19" s="24">
        <v>1</v>
      </c>
      <c r="SY19" s="24">
        <v>50</v>
      </c>
      <c r="SZ19" s="24">
        <v>9</v>
      </c>
      <c r="TA19" s="24">
        <f>0.9+0.72+0.92+0.73+0.32</f>
        <v>3.59</v>
      </c>
      <c r="TB19" s="24">
        <v>3</v>
      </c>
      <c r="TC19" s="24">
        <v>70</v>
      </c>
      <c r="TD19" s="24">
        <v>12</v>
      </c>
      <c r="TE19" s="24">
        <f>0.72+0.73+0.65</f>
        <v>2.1</v>
      </c>
      <c r="TF19" s="24">
        <v>3</v>
      </c>
      <c r="TG19" s="24">
        <v>60</v>
      </c>
      <c r="TH19" s="24">
        <v>2</v>
      </c>
      <c r="TI19" s="24">
        <v>0.13</v>
      </c>
      <c r="TJ19" s="24">
        <v>3</v>
      </c>
      <c r="TK19" s="24">
        <v>50</v>
      </c>
      <c r="TL19" s="24">
        <v>1</v>
      </c>
      <c r="TM19" s="24">
        <v>0.83</v>
      </c>
      <c r="TN19" s="24">
        <v>6</v>
      </c>
      <c r="TO19" s="24">
        <v>60</v>
      </c>
      <c r="TP19" s="24">
        <v>1</v>
      </c>
      <c r="TQ19" s="24">
        <v>0.13</v>
      </c>
      <c r="TR19" s="24">
        <v>6</v>
      </c>
      <c r="TS19" s="24">
        <v>70</v>
      </c>
      <c r="TT19" s="24">
        <v>1</v>
      </c>
      <c r="TU19" s="24">
        <v>0.39</v>
      </c>
      <c r="TV19" s="24">
        <v>1</v>
      </c>
      <c r="TW19" s="24">
        <v>50</v>
      </c>
      <c r="TX19" s="24">
        <v>2</v>
      </c>
      <c r="TY19" s="24">
        <f>0.36+0.37</f>
        <v>0.73</v>
      </c>
      <c r="TZ19" s="24">
        <v>4</v>
      </c>
      <c r="UI19" s="27">
        <v>3.9</v>
      </c>
      <c r="UJ19" s="27">
        <v>1</v>
      </c>
      <c r="UK19" s="27">
        <v>1</v>
      </c>
      <c r="UL19" s="27"/>
      <c r="UM19" s="27">
        <f>1.53+0.75+0.18*2</f>
        <v>2.64</v>
      </c>
      <c r="UN19" s="27">
        <v>2</v>
      </c>
      <c r="UO19" s="27"/>
      <c r="UP19" s="27">
        <f>3.06+1.5</f>
        <v>4.5600000000000005</v>
      </c>
      <c r="UQ19" s="27"/>
      <c r="UR19" s="27"/>
      <c r="US19" s="27"/>
      <c r="UT19" s="27">
        <v>3</v>
      </c>
      <c r="UU19" s="27">
        <v>2.19</v>
      </c>
      <c r="UV19" s="27"/>
      <c r="UW19" s="27"/>
      <c r="UX19" s="27">
        <v>0</v>
      </c>
      <c r="UY19" s="27">
        <v>0</v>
      </c>
      <c r="UZ19" s="27">
        <v>0</v>
      </c>
      <c r="VA19" s="24">
        <v>0</v>
      </c>
      <c r="VB19" s="24" t="s">
        <v>313</v>
      </c>
      <c r="VC19" s="24">
        <v>39</v>
      </c>
      <c r="VD19" s="27">
        <v>80.900000000000006</v>
      </c>
      <c r="VE19" s="27">
        <v>83.4</v>
      </c>
      <c r="VF19" s="27">
        <v>19.3</v>
      </c>
      <c r="VG19" s="24">
        <v>75.959999999999994</v>
      </c>
      <c r="VH19" s="24">
        <v>0</v>
      </c>
      <c r="VI19" s="24">
        <v>3.12</v>
      </c>
      <c r="VJ19" s="24">
        <v>0</v>
      </c>
      <c r="VK19" s="24">
        <v>20.93</v>
      </c>
      <c r="VL19" s="24">
        <v>0</v>
      </c>
      <c r="VM19" s="24">
        <v>0</v>
      </c>
      <c r="VN19" s="24">
        <v>0</v>
      </c>
      <c r="VO19" s="24">
        <v>0</v>
      </c>
      <c r="VP19" s="24">
        <v>0</v>
      </c>
      <c r="VQ19" s="24">
        <v>0</v>
      </c>
      <c r="VR19" s="24">
        <v>5.32</v>
      </c>
      <c r="VS19" s="24">
        <v>30.75</v>
      </c>
      <c r="VT19" s="24">
        <v>28.21</v>
      </c>
      <c r="VU19" s="24">
        <v>4.22</v>
      </c>
      <c r="VV19" s="24">
        <v>0</v>
      </c>
      <c r="VW19" s="24">
        <v>0</v>
      </c>
      <c r="VX19" s="24">
        <v>0</v>
      </c>
      <c r="WK19" s="24">
        <v>15.8</v>
      </c>
      <c r="WL19" s="24">
        <v>1</v>
      </c>
      <c r="WM19" s="24">
        <v>35</v>
      </c>
      <c r="WN19" s="24">
        <v>4</v>
      </c>
      <c r="WO19" s="24">
        <f>0.73*4</f>
        <v>2.92</v>
      </c>
      <c r="WP19" s="24">
        <v>3</v>
      </c>
      <c r="WQ19" s="24">
        <v>23</v>
      </c>
      <c r="WR19" s="24">
        <v>1</v>
      </c>
      <c r="WS19" s="24">
        <v>0.06</v>
      </c>
      <c r="WT19" s="24">
        <v>3</v>
      </c>
      <c r="WW19" s="28"/>
      <c r="XO19" s="24">
        <v>1</v>
      </c>
      <c r="XP19" s="24">
        <v>60</v>
      </c>
      <c r="XQ19" s="24">
        <v>1</v>
      </c>
      <c r="XR19" s="24">
        <v>0.73</v>
      </c>
      <c r="XS19" s="24">
        <v>3</v>
      </c>
      <c r="XT19" s="24">
        <v>50</v>
      </c>
      <c r="XU19" s="24">
        <v>1</v>
      </c>
      <c r="XV19" s="24">
        <v>0.73</v>
      </c>
      <c r="XW19" s="24">
        <v>1</v>
      </c>
      <c r="XX19" s="24">
        <v>40</v>
      </c>
      <c r="XY19" s="24">
        <v>1</v>
      </c>
      <c r="XZ19" s="24">
        <v>0.73</v>
      </c>
      <c r="YA19" s="24">
        <v>6</v>
      </c>
      <c r="YB19" s="24">
        <v>50</v>
      </c>
      <c r="YC19" s="24">
        <v>1</v>
      </c>
      <c r="YD19" s="24">
        <v>0.19</v>
      </c>
      <c r="YE19" s="24">
        <v>3</v>
      </c>
      <c r="YF19" s="24">
        <v>70</v>
      </c>
      <c r="YG19" s="24">
        <v>3</v>
      </c>
      <c r="YH19" s="24">
        <v>0.57999999999999996</v>
      </c>
      <c r="YI19" s="24">
        <v>3</v>
      </c>
      <c r="YJ19" s="24">
        <v>50</v>
      </c>
      <c r="YK19" s="24">
        <v>1</v>
      </c>
      <c r="YL19" s="24">
        <v>0.28999999999999998</v>
      </c>
      <c r="YM19" s="24">
        <v>6</v>
      </c>
      <c r="YZ19" s="27">
        <v>0</v>
      </c>
      <c r="ZA19" s="27">
        <v>0</v>
      </c>
      <c r="ZB19" s="27"/>
      <c r="ZC19" s="27"/>
      <c r="ZD19" s="27"/>
      <c r="ZE19" s="27"/>
      <c r="ZF19" s="27"/>
      <c r="ZG19" s="27"/>
      <c r="ZH19" s="27"/>
      <c r="ZI19" s="27"/>
      <c r="ZJ19" s="27"/>
      <c r="ZK19" s="27">
        <v>0.26</v>
      </c>
      <c r="ZL19" s="27">
        <v>0.26</v>
      </c>
      <c r="ZM19" s="27"/>
      <c r="ZN19" s="27"/>
      <c r="ZO19" s="27">
        <v>3.6</v>
      </c>
      <c r="ZP19" s="27">
        <v>0.88</v>
      </c>
      <c r="ZQ19" s="27">
        <v>0</v>
      </c>
      <c r="ZR19" s="24">
        <v>0</v>
      </c>
      <c r="ZS19" s="24" t="s">
        <v>314</v>
      </c>
      <c r="ZT19" s="24">
        <v>36</v>
      </c>
      <c r="ZU19" s="27">
        <v>71.400000000000006</v>
      </c>
      <c r="ZV19" s="27">
        <v>83.4</v>
      </c>
      <c r="ZW19" s="27">
        <v>17.2</v>
      </c>
      <c r="ZX19" s="24">
        <v>79.88</v>
      </c>
      <c r="ZY19" s="24">
        <v>0</v>
      </c>
      <c r="ZZ19" s="24">
        <v>3.12</v>
      </c>
      <c r="AAA19" s="24">
        <v>0</v>
      </c>
      <c r="AAB19" s="24">
        <v>17</v>
      </c>
      <c r="AAC19" s="24">
        <v>0</v>
      </c>
      <c r="AAD19" s="24">
        <v>0</v>
      </c>
      <c r="AAE19" s="24">
        <v>0</v>
      </c>
      <c r="AAF19" s="24">
        <v>0</v>
      </c>
      <c r="AAG19" s="24">
        <v>0</v>
      </c>
      <c r="AAH19" s="24">
        <v>0</v>
      </c>
      <c r="AAI19" s="24">
        <v>5.32</v>
      </c>
      <c r="AAJ19" s="24">
        <v>31.86</v>
      </c>
      <c r="AAK19" s="24">
        <v>24.1</v>
      </c>
      <c r="AAL19" s="24">
        <v>2.02</v>
      </c>
      <c r="AAM19" s="24">
        <v>0</v>
      </c>
      <c r="AAN19" s="24">
        <v>0</v>
      </c>
      <c r="AAO19" s="24">
        <v>0</v>
      </c>
      <c r="ABB19" s="24">
        <v>15.1</v>
      </c>
      <c r="ABC19" s="24">
        <v>1</v>
      </c>
      <c r="ABD19" s="24">
        <v>35</v>
      </c>
      <c r="ABE19" s="24">
        <v>4</v>
      </c>
      <c r="ABF19" s="24">
        <f>0.73*4</f>
        <v>2.92</v>
      </c>
      <c r="ABG19" s="24">
        <v>3</v>
      </c>
      <c r="ABN19" s="28"/>
      <c r="ACF19" s="24">
        <v>1</v>
      </c>
      <c r="ACG19" s="24">
        <v>50</v>
      </c>
      <c r="ACH19" s="24">
        <v>2</v>
      </c>
      <c r="ACI19" s="24">
        <f>0.73+0.19</f>
        <v>0.91999999999999993</v>
      </c>
      <c r="ACJ19" s="24">
        <v>3</v>
      </c>
      <c r="ACK19" s="24">
        <v>50</v>
      </c>
      <c r="ACL19" s="24">
        <v>1</v>
      </c>
      <c r="ACM19" s="24">
        <v>0.73</v>
      </c>
      <c r="ACN19" s="24">
        <v>1</v>
      </c>
      <c r="ACO19" s="24">
        <v>70</v>
      </c>
      <c r="ACP19" s="24">
        <v>3</v>
      </c>
      <c r="ACQ19" s="24">
        <v>0.57999999999999996</v>
      </c>
      <c r="ACR19" s="24">
        <v>3</v>
      </c>
      <c r="ACS19" s="24">
        <v>40</v>
      </c>
      <c r="ACT19" s="24">
        <v>1</v>
      </c>
      <c r="ACU19" s="24">
        <v>1.65</v>
      </c>
      <c r="ACV19" s="24">
        <v>6</v>
      </c>
      <c r="ADQ19" s="27">
        <v>0</v>
      </c>
      <c r="ADR19" s="27">
        <v>0</v>
      </c>
      <c r="ADS19" s="27"/>
      <c r="ADT19" s="27"/>
      <c r="ADU19" s="27"/>
      <c r="ADV19" s="27"/>
      <c r="ADW19" s="27"/>
      <c r="ADX19" s="27"/>
      <c r="ADY19" s="27"/>
      <c r="ADZ19" s="27"/>
      <c r="AEA19" s="27"/>
      <c r="AEB19" s="27">
        <v>0</v>
      </c>
      <c r="AEC19" s="27">
        <v>0</v>
      </c>
      <c r="AED19" s="27"/>
      <c r="AEE19" s="27"/>
      <c r="AEF19" s="27">
        <v>3.6</v>
      </c>
      <c r="AEG19" s="27">
        <v>0.88</v>
      </c>
      <c r="AEH19" s="27">
        <v>0</v>
      </c>
      <c r="AEI19" s="24">
        <v>0</v>
      </c>
      <c r="AEJ19" s="24" t="s">
        <v>315</v>
      </c>
      <c r="AEK19" s="24">
        <v>38.5</v>
      </c>
      <c r="AEL19" s="27">
        <v>90.6</v>
      </c>
      <c r="AEM19" s="27">
        <v>83.4</v>
      </c>
      <c r="AEN19" s="27">
        <v>29.4</v>
      </c>
      <c r="AEO19" s="24">
        <v>59.08</v>
      </c>
      <c r="AEP19" s="24">
        <v>0</v>
      </c>
      <c r="AEQ19" s="24">
        <v>0</v>
      </c>
      <c r="AER19" s="24">
        <v>0</v>
      </c>
      <c r="AES19" s="24">
        <v>40.92</v>
      </c>
      <c r="AET19" s="24">
        <v>0</v>
      </c>
      <c r="AEU19" s="24">
        <v>0</v>
      </c>
      <c r="AEV19" s="24">
        <v>0</v>
      </c>
      <c r="AEW19" s="24">
        <v>0</v>
      </c>
      <c r="AEX19" s="24">
        <v>0</v>
      </c>
      <c r="AEY19" s="24">
        <v>0</v>
      </c>
      <c r="AEZ19" s="24">
        <v>3.67</v>
      </c>
      <c r="AFA19" s="24">
        <v>24.93</v>
      </c>
      <c r="AFB19" s="24">
        <v>39.44</v>
      </c>
      <c r="AFC19" s="24">
        <v>8.51</v>
      </c>
      <c r="AFD19" s="24">
        <v>0</v>
      </c>
      <c r="AFE19" s="24">
        <v>0</v>
      </c>
      <c r="AFF19" s="24">
        <v>0</v>
      </c>
      <c r="AFS19" s="24">
        <v>3.7</v>
      </c>
      <c r="AFT19" s="24">
        <v>1</v>
      </c>
      <c r="AFU19" s="24">
        <v>34</v>
      </c>
      <c r="AFV19" s="24">
        <v>2</v>
      </c>
      <c r="AFW19" s="24">
        <f>4.05</f>
        <v>4.05</v>
      </c>
      <c r="AFX19" s="24">
        <v>1</v>
      </c>
      <c r="AGE19" s="28"/>
      <c r="AGW19" s="24">
        <v>1</v>
      </c>
      <c r="AGX19" s="24">
        <v>50</v>
      </c>
      <c r="AGY19" s="24">
        <v>2</v>
      </c>
      <c r="AGZ19" s="24">
        <f>0.73*2</f>
        <v>1.46</v>
      </c>
      <c r="AHA19" s="24">
        <v>6</v>
      </c>
      <c r="AIH19" s="27">
        <v>4.96</v>
      </c>
      <c r="AII19" s="27">
        <v>1</v>
      </c>
      <c r="AIJ19" s="27">
        <v>2</v>
      </c>
      <c r="AIK19" s="27"/>
      <c r="AIL19" s="27">
        <f>7.34*2+0.65*4</f>
        <v>17.28</v>
      </c>
      <c r="AIM19" s="27"/>
      <c r="AIN19" s="27"/>
      <c r="AIO19" s="27"/>
      <c r="AIP19" s="27"/>
      <c r="AIQ19" s="27"/>
      <c r="AIR19" s="27"/>
      <c r="AIS19" s="27">
        <v>0.19</v>
      </c>
      <c r="AIT19" s="27">
        <v>0.19</v>
      </c>
      <c r="AIU19" s="27"/>
      <c r="AIV19" s="27"/>
      <c r="AIW19" s="27">
        <v>0</v>
      </c>
      <c r="AIX19" s="27">
        <v>0</v>
      </c>
      <c r="AIY19" s="27">
        <v>0</v>
      </c>
      <c r="AIZ19" s="24">
        <v>0</v>
      </c>
      <c r="AJA19" s="24" t="s">
        <v>316</v>
      </c>
      <c r="AJB19" s="24">
        <v>36</v>
      </c>
      <c r="AJC19" s="27">
        <v>94.1</v>
      </c>
      <c r="AJD19" s="27">
        <v>83.4</v>
      </c>
      <c r="AJE19" s="27">
        <v>25.8</v>
      </c>
      <c r="AJF19" s="24">
        <v>60.57</v>
      </c>
      <c r="AJG19" s="24">
        <v>0</v>
      </c>
      <c r="AJH19" s="24">
        <v>0</v>
      </c>
      <c r="AJI19" s="24">
        <v>0</v>
      </c>
      <c r="AJJ19" s="24">
        <v>39.43</v>
      </c>
      <c r="AJK19" s="24">
        <v>0</v>
      </c>
      <c r="AJL19" s="24">
        <v>0</v>
      </c>
      <c r="AJM19" s="24">
        <v>0</v>
      </c>
      <c r="AJN19" s="24">
        <v>0</v>
      </c>
      <c r="AJO19" s="24">
        <v>0</v>
      </c>
      <c r="AJP19" s="24">
        <v>0</v>
      </c>
      <c r="AJQ19" s="24">
        <v>0</v>
      </c>
      <c r="AJR19" s="24">
        <v>30.64</v>
      </c>
      <c r="AJS19" s="24">
        <v>37.97</v>
      </c>
      <c r="AJT19" s="24">
        <v>4.59</v>
      </c>
      <c r="AJU19" s="24">
        <v>0</v>
      </c>
      <c r="AJV19" s="24">
        <v>0</v>
      </c>
      <c r="AJW19" s="24">
        <v>0</v>
      </c>
      <c r="AKJ19" s="24">
        <v>4.8</v>
      </c>
      <c r="AKK19" s="24">
        <v>0</v>
      </c>
      <c r="AKV19" s="28"/>
      <c r="ALN19" s="24">
        <v>1</v>
      </c>
      <c r="ALO19" s="24">
        <v>50</v>
      </c>
      <c r="ALP19" s="24">
        <v>3</v>
      </c>
      <c r="ALQ19" s="24">
        <f>0.73*3</f>
        <v>2.19</v>
      </c>
      <c r="ALR19" s="24">
        <v>6</v>
      </c>
    </row>
    <row r="20" spans="1:1018" x14ac:dyDescent="0.2">
      <c r="A20" s="1" t="s">
        <v>317</v>
      </c>
      <c r="B20" s="12">
        <v>42893</v>
      </c>
      <c r="C20">
        <v>2</v>
      </c>
      <c r="D20" s="13">
        <v>35465</v>
      </c>
      <c r="E20" s="12">
        <v>27471</v>
      </c>
      <c r="F20" s="14">
        <f t="shared" si="0"/>
        <v>42.223134839151264</v>
      </c>
      <c r="G20" s="14">
        <f t="shared" si="1"/>
        <v>20.336755646817249</v>
      </c>
      <c r="H20" s="15" t="s">
        <v>217</v>
      </c>
      <c r="I20" s="15" t="s">
        <v>218</v>
      </c>
      <c r="J20" s="21" t="s">
        <v>183</v>
      </c>
      <c r="K20" s="21">
        <v>8</v>
      </c>
      <c r="L20" s="19">
        <v>95</v>
      </c>
      <c r="M20">
        <v>1.77</v>
      </c>
      <c r="N20" s="16">
        <f t="shared" si="2"/>
        <v>30.323342589932647</v>
      </c>
      <c r="O20" s="19">
        <v>1</v>
      </c>
      <c r="P20" s="19">
        <v>1</v>
      </c>
      <c r="Q20" s="19" t="s">
        <v>318</v>
      </c>
      <c r="R20" s="19">
        <v>0</v>
      </c>
      <c r="S20" s="19">
        <v>0</v>
      </c>
      <c r="T20" s="19">
        <v>0</v>
      </c>
      <c r="U20" s="19">
        <v>0</v>
      </c>
      <c r="V20" s="19">
        <v>0</v>
      </c>
      <c r="W20" s="19">
        <v>0</v>
      </c>
      <c r="X20" s="19">
        <v>0</v>
      </c>
      <c r="Y20" s="19">
        <v>1</v>
      </c>
      <c r="Z20" s="19">
        <v>1</v>
      </c>
      <c r="AA20" s="19">
        <v>60</v>
      </c>
      <c r="AB20" s="19" t="s">
        <v>215</v>
      </c>
      <c r="AC20" s="19">
        <v>0</v>
      </c>
      <c r="AD20" s="19">
        <v>0</v>
      </c>
      <c r="AE20" s="19">
        <v>0</v>
      </c>
      <c r="AF20" s="19">
        <v>0</v>
      </c>
      <c r="AG20" s="19">
        <v>0</v>
      </c>
      <c r="AH20" s="19">
        <v>0</v>
      </c>
      <c r="AI20" s="19">
        <v>0</v>
      </c>
      <c r="AJ20" s="19">
        <v>0</v>
      </c>
      <c r="AK20" s="19">
        <v>0</v>
      </c>
      <c r="AL20" s="19">
        <v>0</v>
      </c>
      <c r="AM20" s="19">
        <v>0</v>
      </c>
      <c r="AN20" s="19">
        <v>2</v>
      </c>
      <c r="AO20" s="19">
        <v>2</v>
      </c>
      <c r="AP20" s="19">
        <v>0</v>
      </c>
      <c r="AQ20" s="19">
        <v>0</v>
      </c>
      <c r="AR20" s="19">
        <v>0</v>
      </c>
      <c r="AS20" s="19">
        <v>0</v>
      </c>
      <c r="AT20" s="19">
        <v>0</v>
      </c>
      <c r="AU20" s="19">
        <v>0</v>
      </c>
      <c r="AV20" s="19">
        <v>0</v>
      </c>
      <c r="AW20" s="19">
        <v>0</v>
      </c>
      <c r="AX20" s="19">
        <v>0</v>
      </c>
      <c r="AY20" s="19">
        <v>0</v>
      </c>
      <c r="AZ20" s="19">
        <v>0</v>
      </c>
      <c r="BA20" s="19">
        <v>0</v>
      </c>
      <c r="BB20" s="19">
        <v>0</v>
      </c>
      <c r="BC20" s="19">
        <v>0</v>
      </c>
      <c r="BD20" s="19">
        <v>0</v>
      </c>
      <c r="BE20" s="19">
        <v>0</v>
      </c>
      <c r="BF20" s="19">
        <v>0</v>
      </c>
      <c r="BG20" s="19">
        <v>0</v>
      </c>
      <c r="BH20" s="19">
        <v>0</v>
      </c>
      <c r="BI20" s="19">
        <v>0</v>
      </c>
      <c r="BJ20" s="19">
        <v>0</v>
      </c>
      <c r="BK20" s="19">
        <v>0</v>
      </c>
      <c r="BL20" s="19">
        <v>0</v>
      </c>
      <c r="BM20" s="19">
        <v>0</v>
      </c>
      <c r="BN20" s="19">
        <v>0</v>
      </c>
      <c r="BO20" s="19">
        <v>0</v>
      </c>
      <c r="BP20" s="19">
        <v>0</v>
      </c>
      <c r="BQ20" s="19">
        <v>0</v>
      </c>
      <c r="BR20" s="19">
        <v>3</v>
      </c>
      <c r="BS20" s="19">
        <v>3</v>
      </c>
      <c r="BT20" s="19">
        <v>4</v>
      </c>
      <c r="BU20" s="19">
        <v>5</v>
      </c>
      <c r="BV20" s="19">
        <v>3</v>
      </c>
      <c r="BW20" s="19">
        <v>3</v>
      </c>
      <c r="BX20" s="19">
        <v>5</v>
      </c>
      <c r="BY20" s="19">
        <v>3</v>
      </c>
      <c r="BZ20" s="19">
        <v>3</v>
      </c>
      <c r="CA20" s="19">
        <v>2</v>
      </c>
      <c r="CB20" s="19">
        <v>3</v>
      </c>
      <c r="CC20" s="19">
        <v>4</v>
      </c>
      <c r="CD20" s="19">
        <v>3</v>
      </c>
      <c r="CE20" s="19">
        <v>3</v>
      </c>
      <c r="CF20" s="19">
        <v>2</v>
      </c>
      <c r="CG20" s="19">
        <v>4</v>
      </c>
      <c r="CH20" s="19">
        <v>3</v>
      </c>
      <c r="CI20" s="19">
        <v>3</v>
      </c>
      <c r="CJ20" s="19">
        <v>3</v>
      </c>
      <c r="CK20" s="19">
        <v>7</v>
      </c>
      <c r="CL20" t="s">
        <v>219</v>
      </c>
      <c r="CM20">
        <v>33.5</v>
      </c>
      <c r="CN20" s="16">
        <v>91.5</v>
      </c>
      <c r="CO20" s="16">
        <v>80.400000000000006</v>
      </c>
      <c r="CP20" s="16">
        <v>20</v>
      </c>
      <c r="CQ20">
        <v>84.58</v>
      </c>
      <c r="CR20" s="17">
        <v>0</v>
      </c>
      <c r="CS20">
        <v>15.42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13.79</v>
      </c>
      <c r="DD20">
        <v>2.67</v>
      </c>
      <c r="DE20">
        <v>11.54</v>
      </c>
      <c r="DF20">
        <v>0</v>
      </c>
      <c r="DG20">
        <v>12.3</v>
      </c>
      <c r="DH20">
        <v>2</v>
      </c>
      <c r="DI20">
        <v>5</v>
      </c>
      <c r="DJ20">
        <v>2</v>
      </c>
      <c r="DO20">
        <v>5</v>
      </c>
      <c r="DP20">
        <v>2</v>
      </c>
      <c r="DU20">
        <v>0</v>
      </c>
      <c r="DV20">
        <v>1</v>
      </c>
      <c r="DW20">
        <v>34</v>
      </c>
      <c r="DX20">
        <v>2</v>
      </c>
      <c r="DY20">
        <v>0.1</v>
      </c>
      <c r="DZ20">
        <v>1</v>
      </c>
      <c r="EA20">
        <v>10</v>
      </c>
      <c r="EB20">
        <f>8*4</f>
        <v>32</v>
      </c>
      <c r="EC20">
        <f>0.06+0.01+0.4+1.7+0.24+0.14+0.96</f>
        <v>3.5100000000000002</v>
      </c>
      <c r="ED20">
        <v>3</v>
      </c>
      <c r="EG20" s="18"/>
      <c r="EY20">
        <v>0</v>
      </c>
      <c r="GJ20" s="16">
        <v>0.25</v>
      </c>
      <c r="GK20" s="16">
        <v>1</v>
      </c>
      <c r="GL20" s="16">
        <v>2</v>
      </c>
      <c r="GM20" s="16"/>
      <c r="GN20" s="16">
        <v>0.55000000000000004</v>
      </c>
      <c r="GO20" s="16"/>
      <c r="GP20" s="16"/>
      <c r="GQ20" s="16"/>
      <c r="GR20" s="16"/>
      <c r="GS20" s="16"/>
      <c r="GT20" s="16"/>
      <c r="GU20" s="16">
        <v>0.55000000000000004</v>
      </c>
      <c r="GV20" s="16">
        <v>0.55000000000000004</v>
      </c>
      <c r="GW20" s="16"/>
      <c r="GX20" s="16"/>
      <c r="GY20" s="16">
        <v>0</v>
      </c>
      <c r="GZ20" s="16">
        <v>0</v>
      </c>
      <c r="HA20" s="16">
        <v>0</v>
      </c>
      <c r="HB20">
        <v>0</v>
      </c>
      <c r="HC20" t="s">
        <v>220</v>
      </c>
      <c r="HD20">
        <v>27</v>
      </c>
      <c r="HE20" s="16">
        <v>54.4</v>
      </c>
      <c r="HF20" s="16">
        <v>80.400000000000006</v>
      </c>
      <c r="HG20" s="16">
        <v>18.100000000000001</v>
      </c>
      <c r="HH20">
        <v>81.88</v>
      </c>
      <c r="HI20" s="17">
        <v>0</v>
      </c>
      <c r="HJ20">
        <v>9.83</v>
      </c>
      <c r="HK20">
        <v>0</v>
      </c>
      <c r="HL20">
        <v>2.14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2.3199999999999998</v>
      </c>
      <c r="HU20">
        <v>19.66</v>
      </c>
      <c r="HV20">
        <v>3.64</v>
      </c>
      <c r="HW20">
        <v>0</v>
      </c>
      <c r="HX20">
        <v>0</v>
      </c>
      <c r="HY20">
        <v>0</v>
      </c>
      <c r="IL20">
        <v>0</v>
      </c>
      <c r="IM20">
        <v>1</v>
      </c>
      <c r="IN20">
        <v>26</v>
      </c>
      <c r="IO20">
        <v>2</v>
      </c>
      <c r="IP20">
        <v>0.05</v>
      </c>
      <c r="IQ20">
        <v>2</v>
      </c>
      <c r="IX20" s="18"/>
      <c r="JP20">
        <v>0</v>
      </c>
      <c r="LA20" s="16">
        <v>2.1</v>
      </c>
      <c r="LB20" s="16">
        <v>1</v>
      </c>
      <c r="LC20" s="16">
        <v>1</v>
      </c>
      <c r="LD20" s="16"/>
      <c r="LE20" s="16">
        <f>0.1+0.76*2+2.02+1.35*2+0.67</f>
        <v>7.01</v>
      </c>
      <c r="LF20" s="16"/>
      <c r="LG20" s="16"/>
      <c r="LH20" s="16"/>
      <c r="LI20" s="16"/>
      <c r="LJ20" s="16"/>
      <c r="LK20" s="16"/>
      <c r="LL20" s="16">
        <v>6.35</v>
      </c>
      <c r="LM20" s="16">
        <v>14.8</v>
      </c>
      <c r="LN20" s="16"/>
      <c r="LO20" s="16"/>
      <c r="LP20" s="16">
        <v>0</v>
      </c>
      <c r="LQ20" s="16">
        <v>0</v>
      </c>
      <c r="LR20" s="16">
        <v>0</v>
      </c>
      <c r="LS20">
        <v>0</v>
      </c>
      <c r="LT20" t="s">
        <v>221</v>
      </c>
      <c r="LU20">
        <v>20.5</v>
      </c>
      <c r="LV20" s="16">
        <v>76.900000000000006</v>
      </c>
      <c r="LW20" s="16">
        <v>80.400000000000006</v>
      </c>
      <c r="LX20" s="16">
        <v>9.1</v>
      </c>
      <c r="LY20">
        <v>88.58</v>
      </c>
      <c r="LZ20">
        <v>10.3</v>
      </c>
      <c r="MA20">
        <v>1.1200000000000001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6.33</v>
      </c>
      <c r="ML20">
        <v>16.97</v>
      </c>
      <c r="MM20">
        <v>0</v>
      </c>
      <c r="MN20">
        <v>0</v>
      </c>
      <c r="MO20">
        <v>4.0999999999999996</v>
      </c>
      <c r="MP20">
        <v>2</v>
      </c>
      <c r="MQ20">
        <v>5</v>
      </c>
      <c r="MR20">
        <v>1</v>
      </c>
      <c r="MW20">
        <v>5</v>
      </c>
      <c r="MX20">
        <v>1</v>
      </c>
      <c r="NC20">
        <v>0</v>
      </c>
      <c r="ND20">
        <v>0</v>
      </c>
      <c r="NO20" s="18"/>
      <c r="OG20">
        <v>0</v>
      </c>
      <c r="PR20" s="16">
        <v>2.2400000000000002</v>
      </c>
      <c r="PS20" s="16">
        <v>1</v>
      </c>
      <c r="PT20" s="16">
        <v>2</v>
      </c>
      <c r="PU20" s="16"/>
      <c r="PV20" s="16">
        <v>4.97</v>
      </c>
      <c r="PW20" s="16"/>
      <c r="PX20" s="16"/>
      <c r="PY20" s="16"/>
      <c r="PZ20" s="16"/>
      <c r="QA20" s="16"/>
      <c r="QB20" s="16"/>
      <c r="QC20" s="16">
        <v>5.0999999999999996</v>
      </c>
      <c r="QD20" s="16">
        <v>5.97</v>
      </c>
      <c r="QE20" s="16"/>
      <c r="QF20" s="16"/>
      <c r="QG20" s="16">
        <v>0</v>
      </c>
      <c r="QH20" s="16">
        <v>0</v>
      </c>
      <c r="QI20" s="16">
        <v>0</v>
      </c>
      <c r="QJ20">
        <v>0</v>
      </c>
      <c r="QK20" t="s">
        <v>222</v>
      </c>
      <c r="QL20">
        <v>32.5</v>
      </c>
      <c r="QM20" s="16">
        <v>96.7</v>
      </c>
      <c r="QN20" s="16">
        <v>80.400000000000006</v>
      </c>
      <c r="QO20" s="16">
        <v>15.1</v>
      </c>
      <c r="QP20">
        <v>52.24</v>
      </c>
      <c r="QQ20">
        <v>45.43</v>
      </c>
      <c r="QR20">
        <v>1.1200000000000001</v>
      </c>
      <c r="QS20">
        <v>0</v>
      </c>
      <c r="QT20">
        <v>1.2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1.2</v>
      </c>
      <c r="RB20">
        <v>15.88</v>
      </c>
      <c r="RC20">
        <v>48.59</v>
      </c>
      <c r="RD20">
        <v>0</v>
      </c>
      <c r="RE20">
        <v>0</v>
      </c>
      <c r="RF20">
        <v>0</v>
      </c>
      <c r="RG20">
        <v>0</v>
      </c>
      <c r="RT20">
        <v>0</v>
      </c>
      <c r="RU20">
        <v>0</v>
      </c>
      <c r="SF20" s="18"/>
      <c r="SX20">
        <v>1</v>
      </c>
      <c r="SY20">
        <v>50</v>
      </c>
      <c r="SZ20">
        <v>2</v>
      </c>
      <c r="TA20">
        <f>3.18+12.73</f>
        <v>15.91</v>
      </c>
      <c r="TB20">
        <v>1</v>
      </c>
      <c r="UI20" s="16">
        <v>5.9</v>
      </c>
      <c r="UJ20" s="16">
        <v>1</v>
      </c>
      <c r="UK20" s="16">
        <v>2</v>
      </c>
      <c r="UL20" s="16"/>
      <c r="UM20" s="16">
        <f>0.09+0.18*3+0.13+0.53+1.07*2+1.34*2+0.17*2+3.18+12.73</f>
        <v>22.36</v>
      </c>
      <c r="UN20" s="16"/>
      <c r="UO20" s="16"/>
      <c r="UP20" s="16"/>
      <c r="UQ20" s="16"/>
      <c r="UR20" s="16"/>
      <c r="US20" s="16"/>
      <c r="UT20" s="16">
        <v>11.45</v>
      </c>
      <c r="UU20" s="16">
        <v>41.19</v>
      </c>
      <c r="UV20" s="16"/>
      <c r="UW20" s="16"/>
      <c r="UX20" s="16">
        <v>0</v>
      </c>
      <c r="UY20" s="16">
        <v>0</v>
      </c>
      <c r="UZ20" s="16">
        <v>0</v>
      </c>
      <c r="VA20">
        <v>0</v>
      </c>
      <c r="VB20" t="s">
        <v>223</v>
      </c>
      <c r="VC20">
        <v>30.5</v>
      </c>
      <c r="VD20" s="16">
        <v>68.8</v>
      </c>
      <c r="VE20" s="16">
        <v>80.400000000000006</v>
      </c>
      <c r="VF20" s="16">
        <v>16.3</v>
      </c>
      <c r="VG20">
        <v>66.28</v>
      </c>
      <c r="VH20">
        <v>20.09</v>
      </c>
      <c r="VI20">
        <v>1.81</v>
      </c>
      <c r="VJ20">
        <v>0</v>
      </c>
      <c r="VK20">
        <v>11.82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13.17</v>
      </c>
      <c r="VT20">
        <v>35.75</v>
      </c>
      <c r="VU20">
        <v>0</v>
      </c>
      <c r="VV20">
        <v>0</v>
      </c>
      <c r="VW20">
        <v>0</v>
      </c>
      <c r="VX20">
        <v>0</v>
      </c>
      <c r="WK20">
        <v>0</v>
      </c>
      <c r="WL20">
        <v>1</v>
      </c>
      <c r="WM20">
        <v>52</v>
      </c>
      <c r="WN20">
        <v>1</v>
      </c>
      <c r="WO20">
        <v>0.01</v>
      </c>
      <c r="WP20">
        <v>2</v>
      </c>
      <c r="WW20" s="18"/>
      <c r="XO20">
        <v>0</v>
      </c>
      <c r="YZ20" s="16">
        <v>5.43</v>
      </c>
      <c r="ZA20" s="16">
        <v>1</v>
      </c>
      <c r="ZB20" s="16">
        <v>1</v>
      </c>
      <c r="ZC20" s="16"/>
      <c r="ZD20" s="16">
        <f>0.09*2+0.07+1.36</f>
        <v>1.61</v>
      </c>
      <c r="ZE20" s="16">
        <v>2</v>
      </c>
      <c r="ZF20" s="16"/>
      <c r="ZG20" s="16">
        <f>4.2+0.09+0.66+0.01+3.18+3.18</f>
        <v>11.32</v>
      </c>
      <c r="ZH20" s="16"/>
      <c r="ZI20" s="16"/>
      <c r="ZJ20" s="16"/>
      <c r="ZK20" s="16">
        <v>8.61</v>
      </c>
      <c r="ZL20" s="16">
        <v>26.91</v>
      </c>
      <c r="ZM20" s="16"/>
      <c r="ZN20" s="16"/>
      <c r="ZO20" s="16">
        <v>0</v>
      </c>
      <c r="ZP20" s="16">
        <v>0</v>
      </c>
      <c r="ZQ20" s="16">
        <v>0</v>
      </c>
      <c r="ZR20">
        <v>0</v>
      </c>
      <c r="ZS20" t="s">
        <v>224</v>
      </c>
      <c r="ZT20">
        <v>39.5</v>
      </c>
      <c r="ZU20" s="16">
        <v>60.8</v>
      </c>
      <c r="ZV20" s="16">
        <v>80.400000000000006</v>
      </c>
      <c r="ZW20" s="16">
        <v>22.9</v>
      </c>
      <c r="ZX20">
        <v>67.010000000000005</v>
      </c>
      <c r="ZY20">
        <v>11.71</v>
      </c>
      <c r="ZZ20">
        <v>16.61</v>
      </c>
      <c r="AAA20">
        <v>0</v>
      </c>
      <c r="AAB20">
        <v>4.67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20.9</v>
      </c>
      <c r="AAK20">
        <v>25.23</v>
      </c>
      <c r="AAL20">
        <v>0.57999999999999996</v>
      </c>
      <c r="AAM20">
        <v>0</v>
      </c>
      <c r="AAN20">
        <v>0</v>
      </c>
      <c r="AAO20">
        <v>0</v>
      </c>
      <c r="ABB20">
        <v>2</v>
      </c>
      <c r="ABC20">
        <v>1</v>
      </c>
      <c r="ABD20">
        <v>103</v>
      </c>
      <c r="ABE20">
        <v>2</v>
      </c>
      <c r="ABF20">
        <f>0.18+0.14</f>
        <v>0.32</v>
      </c>
      <c r="ABG20">
        <v>1</v>
      </c>
      <c r="ABH20">
        <v>68</v>
      </c>
      <c r="ABI20">
        <v>1</v>
      </c>
      <c r="ABJ20">
        <v>0.01</v>
      </c>
      <c r="ABK20">
        <v>1</v>
      </c>
      <c r="ABL20">
        <v>52</v>
      </c>
      <c r="ABM20">
        <v>3</v>
      </c>
      <c r="ABN20" s="18">
        <v>0.05</v>
      </c>
      <c r="ABO20">
        <v>2</v>
      </c>
      <c r="ACF20">
        <v>0</v>
      </c>
      <c r="ADQ20" s="16">
        <v>3.66</v>
      </c>
      <c r="ADR20" s="16">
        <v>1</v>
      </c>
      <c r="ADS20" s="16">
        <v>1</v>
      </c>
      <c r="ADT20" s="16"/>
      <c r="ADU20" s="16">
        <f>2.69*3+1.35*3+0.14*2+0.1</f>
        <v>12.5</v>
      </c>
      <c r="ADV20" s="16">
        <v>2</v>
      </c>
      <c r="ADW20" s="16"/>
      <c r="ADX20" s="16">
        <f>0.66+0.35+0.18+0.14+1.25+1.23</f>
        <v>3.81</v>
      </c>
      <c r="ADY20" s="16"/>
      <c r="ADZ20" s="16"/>
      <c r="AEA20" s="16"/>
      <c r="AEB20" s="16">
        <v>10.050000000000001</v>
      </c>
      <c r="AEC20" s="16">
        <v>27.11</v>
      </c>
      <c r="AED20" s="16"/>
      <c r="AEE20" s="16"/>
      <c r="AEF20" s="16">
        <v>0</v>
      </c>
      <c r="AEG20" s="16">
        <v>0</v>
      </c>
      <c r="AEH20" s="16">
        <v>0</v>
      </c>
      <c r="AEI20">
        <v>0</v>
      </c>
      <c r="AEJ20" t="s">
        <v>225</v>
      </c>
      <c r="AEK20">
        <v>47</v>
      </c>
      <c r="AEL20" s="16">
        <v>72.3</v>
      </c>
      <c r="AEM20" s="16">
        <v>80.400000000000006</v>
      </c>
      <c r="AEN20" s="16">
        <v>18</v>
      </c>
      <c r="AEO20">
        <v>70.55</v>
      </c>
      <c r="AEP20">
        <v>6.81</v>
      </c>
      <c r="AEQ20">
        <v>3.09</v>
      </c>
      <c r="AER20">
        <v>0</v>
      </c>
      <c r="AES20">
        <v>19.55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18.07</v>
      </c>
      <c r="AFB20">
        <v>30.57</v>
      </c>
      <c r="AFC20">
        <v>7.61</v>
      </c>
      <c r="AFD20">
        <v>0</v>
      </c>
      <c r="AFE20">
        <v>14</v>
      </c>
      <c r="AFF20">
        <v>2</v>
      </c>
      <c r="AFG20">
        <v>5</v>
      </c>
      <c r="AFH20">
        <v>4.47</v>
      </c>
      <c r="AFJ20">
        <v>7</v>
      </c>
      <c r="AFK20">
        <v>5.15</v>
      </c>
      <c r="AFM20">
        <v>5</v>
      </c>
      <c r="AFN20">
        <v>4.47</v>
      </c>
      <c r="AFP20">
        <v>7</v>
      </c>
      <c r="AFQ20">
        <v>5.15</v>
      </c>
      <c r="AFS20">
        <v>0</v>
      </c>
      <c r="AFT20">
        <v>0</v>
      </c>
      <c r="AGE20" s="18"/>
      <c r="AGW20">
        <v>0</v>
      </c>
      <c r="AIH20" s="16">
        <v>4.21</v>
      </c>
      <c r="AII20" s="16">
        <v>1</v>
      </c>
      <c r="AIJ20" s="16">
        <v>2</v>
      </c>
      <c r="AIK20" s="16"/>
      <c r="AIL20" s="16">
        <f>7.46+1.59+0.6</f>
        <v>9.65</v>
      </c>
      <c r="AIM20" s="16"/>
      <c r="AIN20" s="16"/>
      <c r="AIO20" s="16"/>
      <c r="AIP20" s="16"/>
      <c r="AIQ20" s="16"/>
      <c r="AIR20" s="16"/>
      <c r="AIS20" s="16">
        <v>10.63</v>
      </c>
      <c r="AIT20" s="16">
        <v>36.380000000000003</v>
      </c>
      <c r="AIU20" s="16"/>
      <c r="AIV20" s="16"/>
      <c r="AIW20" s="16">
        <v>0</v>
      </c>
      <c r="AIX20" s="16">
        <v>0</v>
      </c>
      <c r="AIY20" s="16">
        <v>0</v>
      </c>
      <c r="AIZ20">
        <v>0</v>
      </c>
      <c r="AJA20" t="s">
        <v>226</v>
      </c>
      <c r="AJB20">
        <v>19</v>
      </c>
      <c r="AJC20" s="16">
        <v>82.6</v>
      </c>
      <c r="AJD20" s="16">
        <v>80.400000000000006</v>
      </c>
      <c r="AJE20" s="16">
        <v>7.7</v>
      </c>
      <c r="AJF20">
        <v>86.83</v>
      </c>
      <c r="AJG20">
        <v>12.69</v>
      </c>
      <c r="AJH20">
        <v>0</v>
      </c>
      <c r="AJI20">
        <v>0</v>
      </c>
      <c r="AJJ20">
        <v>0.48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7.16</v>
      </c>
      <c r="AJS20">
        <v>10.76</v>
      </c>
      <c r="AJT20">
        <v>0</v>
      </c>
      <c r="AJU20">
        <v>0</v>
      </c>
      <c r="AJV20">
        <v>3.4</v>
      </c>
      <c r="AJW20">
        <v>2</v>
      </c>
      <c r="AJX20">
        <v>11.9</v>
      </c>
      <c r="AJY20">
        <v>0.48</v>
      </c>
      <c r="AKD20">
        <v>11.9</v>
      </c>
      <c r="AKE20">
        <v>0.48</v>
      </c>
      <c r="AKJ20">
        <v>0</v>
      </c>
      <c r="AKK20">
        <v>1</v>
      </c>
      <c r="AKL20">
        <v>34</v>
      </c>
      <c r="AKM20">
        <v>2</v>
      </c>
      <c r="AKN20">
        <f>0.84*2</f>
        <v>1.68</v>
      </c>
      <c r="AKO20">
        <v>1</v>
      </c>
      <c r="AKV20" s="18"/>
      <c r="ALN20">
        <v>0</v>
      </c>
    </row>
    <row r="21" spans="1:1018" x14ac:dyDescent="0.2">
      <c r="A21" s="1" t="s">
        <v>319</v>
      </c>
      <c r="B21" s="12">
        <v>42893</v>
      </c>
      <c r="C21">
        <v>2</v>
      </c>
      <c r="D21" s="13">
        <v>35184</v>
      </c>
      <c r="E21" s="12">
        <v>27663</v>
      </c>
      <c r="F21" s="14">
        <f t="shared" si="0"/>
        <v>41.6974674880219</v>
      </c>
      <c r="G21" s="14">
        <f t="shared" si="1"/>
        <v>21.10609171800137</v>
      </c>
      <c r="H21" s="15" t="s">
        <v>205</v>
      </c>
      <c r="I21" s="15" t="s">
        <v>320</v>
      </c>
      <c r="J21" s="21" t="s">
        <v>183</v>
      </c>
      <c r="K21" s="21">
        <v>8</v>
      </c>
      <c r="L21" s="19">
        <v>75</v>
      </c>
      <c r="M21">
        <v>1.72</v>
      </c>
      <c r="N21" s="16">
        <f t="shared" si="2"/>
        <v>25.351541373715524</v>
      </c>
      <c r="O21" s="19">
        <v>0</v>
      </c>
      <c r="P21" s="19">
        <v>0</v>
      </c>
      <c r="Q21" s="19">
        <v>0</v>
      </c>
      <c r="R21" s="19">
        <v>0</v>
      </c>
      <c r="S21" s="19">
        <v>0</v>
      </c>
      <c r="T21" s="19">
        <v>0</v>
      </c>
      <c r="U21" s="19">
        <v>0</v>
      </c>
      <c r="V21" s="19">
        <v>0</v>
      </c>
      <c r="W21" s="19">
        <v>1</v>
      </c>
      <c r="X21" s="19">
        <v>0</v>
      </c>
      <c r="Y21" s="19">
        <v>0</v>
      </c>
      <c r="Z21" s="19">
        <v>0</v>
      </c>
      <c r="AA21" s="19">
        <v>0</v>
      </c>
      <c r="AB21" s="19">
        <v>0</v>
      </c>
      <c r="AC21" s="19">
        <v>0</v>
      </c>
      <c r="AD21" s="19">
        <v>0</v>
      </c>
      <c r="AE21" s="19">
        <v>1</v>
      </c>
      <c r="AF21" s="19">
        <v>0</v>
      </c>
      <c r="AG21" s="19">
        <v>1</v>
      </c>
      <c r="AH21" s="19">
        <v>4</v>
      </c>
      <c r="AI21" s="19">
        <v>0</v>
      </c>
      <c r="AJ21" s="19">
        <v>0</v>
      </c>
      <c r="AK21" s="19">
        <v>0</v>
      </c>
      <c r="AL21" s="19">
        <v>0</v>
      </c>
      <c r="AM21" s="19">
        <v>0</v>
      </c>
      <c r="AN21" s="19">
        <v>0</v>
      </c>
      <c r="AO21" s="19">
        <v>0</v>
      </c>
      <c r="AP21" s="19">
        <v>0</v>
      </c>
      <c r="AQ21" s="19">
        <v>0</v>
      </c>
      <c r="AR21" s="19">
        <v>0</v>
      </c>
      <c r="AS21" s="19">
        <v>3</v>
      </c>
      <c r="AT21" s="19">
        <v>0</v>
      </c>
      <c r="AU21" s="19">
        <v>0</v>
      </c>
      <c r="AV21" s="19">
        <v>0</v>
      </c>
      <c r="AW21" s="19">
        <v>0</v>
      </c>
      <c r="AX21" s="19">
        <v>0</v>
      </c>
      <c r="AY21" s="19">
        <v>0</v>
      </c>
      <c r="AZ21" s="19">
        <v>0</v>
      </c>
      <c r="BA21" s="19">
        <v>0</v>
      </c>
      <c r="BB21" s="19">
        <v>0</v>
      </c>
      <c r="BC21" s="19">
        <v>0</v>
      </c>
      <c r="BD21" s="19">
        <v>0</v>
      </c>
      <c r="BE21" s="19">
        <v>0</v>
      </c>
      <c r="BF21" s="19">
        <v>0</v>
      </c>
      <c r="BG21" s="19">
        <v>0</v>
      </c>
      <c r="BH21" s="19">
        <v>0</v>
      </c>
      <c r="BI21" s="19">
        <v>0</v>
      </c>
      <c r="BJ21" s="19">
        <v>1</v>
      </c>
      <c r="BK21" s="19">
        <v>0</v>
      </c>
      <c r="BL21" s="19">
        <v>1</v>
      </c>
      <c r="BM21" s="19">
        <v>7</v>
      </c>
      <c r="BN21" s="19">
        <v>0</v>
      </c>
      <c r="BO21" s="19">
        <v>0</v>
      </c>
      <c r="BP21" s="19">
        <v>0</v>
      </c>
      <c r="BQ21" s="19">
        <v>0</v>
      </c>
      <c r="BR21" s="19">
        <v>3</v>
      </c>
      <c r="BS21" s="19">
        <v>3</v>
      </c>
      <c r="BT21" s="19">
        <v>3</v>
      </c>
      <c r="BU21" s="19">
        <v>5</v>
      </c>
      <c r="BV21" s="19">
        <v>5</v>
      </c>
      <c r="BW21" s="19">
        <v>5</v>
      </c>
      <c r="BX21" s="19">
        <v>3</v>
      </c>
      <c r="BY21" s="19">
        <v>5</v>
      </c>
      <c r="BZ21" s="19">
        <v>4</v>
      </c>
      <c r="CA21" s="19">
        <v>2</v>
      </c>
      <c r="CB21" s="19">
        <v>2</v>
      </c>
      <c r="CC21" s="19">
        <v>5</v>
      </c>
      <c r="CD21" s="19">
        <v>3</v>
      </c>
      <c r="CE21" s="19">
        <v>4</v>
      </c>
      <c r="CF21" s="19">
        <v>5</v>
      </c>
      <c r="CG21" s="19">
        <v>4</v>
      </c>
      <c r="CH21" s="19">
        <v>4</v>
      </c>
      <c r="CI21" s="19">
        <v>4</v>
      </c>
      <c r="CJ21" s="19">
        <v>4</v>
      </c>
      <c r="CK21" s="19">
        <v>8</v>
      </c>
      <c r="CL21" t="s">
        <v>321</v>
      </c>
      <c r="CM21">
        <v>22</v>
      </c>
      <c r="CN21" s="16">
        <v>98.4</v>
      </c>
      <c r="CO21" s="16">
        <v>99.31</v>
      </c>
      <c r="CP21" s="16">
        <v>9.8000000000000007</v>
      </c>
      <c r="CQ21">
        <v>94.34</v>
      </c>
      <c r="CR21">
        <v>0</v>
      </c>
      <c r="CS21">
        <v>0</v>
      </c>
      <c r="CT21">
        <v>2.31</v>
      </c>
      <c r="CU21">
        <v>3.35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1.68</v>
      </c>
      <c r="DC21">
        <v>10.07</v>
      </c>
      <c r="DD21">
        <v>6.51</v>
      </c>
      <c r="DE21">
        <v>0</v>
      </c>
      <c r="DF21">
        <v>0</v>
      </c>
      <c r="DG21">
        <v>0</v>
      </c>
      <c r="DH21">
        <v>0</v>
      </c>
      <c r="DU21">
        <v>5.4</v>
      </c>
      <c r="DV21">
        <v>1</v>
      </c>
      <c r="DW21">
        <v>23</v>
      </c>
      <c r="DX21">
        <v>1</v>
      </c>
      <c r="DY21">
        <v>0.54</v>
      </c>
      <c r="DZ21">
        <v>3</v>
      </c>
      <c r="EA21">
        <v>34</v>
      </c>
      <c r="EB21">
        <v>2</v>
      </c>
      <c r="EC21">
        <v>1.27</v>
      </c>
      <c r="ED21">
        <v>1</v>
      </c>
      <c r="EG21" s="18"/>
      <c r="EY21">
        <v>1</v>
      </c>
      <c r="EZ21">
        <v>100</v>
      </c>
      <c r="FA21">
        <v>1</v>
      </c>
      <c r="FB21">
        <v>0.18</v>
      </c>
      <c r="FC21">
        <v>1</v>
      </c>
      <c r="FD21">
        <v>80</v>
      </c>
      <c r="FE21">
        <v>1</v>
      </c>
      <c r="FF21">
        <v>1.5</v>
      </c>
      <c r="FG21">
        <v>1</v>
      </c>
      <c r="GJ21" s="16">
        <v>0.77</v>
      </c>
      <c r="GK21" s="16">
        <v>1</v>
      </c>
      <c r="GL21" s="16">
        <v>1</v>
      </c>
      <c r="GM21" s="16"/>
      <c r="GN21" s="16">
        <f>0.76+3.02*2</f>
        <v>6.8</v>
      </c>
      <c r="GO21" s="16"/>
      <c r="GP21" s="16"/>
      <c r="GQ21" s="16"/>
      <c r="GR21" s="16"/>
      <c r="GS21" s="16"/>
      <c r="GT21" s="16"/>
      <c r="GU21" s="16">
        <v>5.78</v>
      </c>
      <c r="GV21" s="16">
        <v>2.2599999999999998</v>
      </c>
      <c r="GW21" s="16"/>
      <c r="GX21" s="16"/>
      <c r="GY21" s="16">
        <v>0</v>
      </c>
      <c r="GZ21" s="16">
        <v>0</v>
      </c>
      <c r="HA21" s="16">
        <v>0</v>
      </c>
      <c r="HB21">
        <v>0</v>
      </c>
      <c r="HC21">
        <v>138</v>
      </c>
      <c r="HD21">
        <v>46.5</v>
      </c>
      <c r="HE21" s="16">
        <v>95</v>
      </c>
      <c r="HF21" s="16">
        <v>99.31</v>
      </c>
      <c r="HG21" s="16">
        <v>14.8</v>
      </c>
      <c r="HH21">
        <v>86.79</v>
      </c>
      <c r="HI21">
        <v>0</v>
      </c>
      <c r="HJ21">
        <v>4.79</v>
      </c>
      <c r="HK21">
        <v>5.44</v>
      </c>
      <c r="HL21">
        <v>2.98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0.5</v>
      </c>
      <c r="HT21">
        <v>29.66</v>
      </c>
      <c r="HU21">
        <v>4.24</v>
      </c>
      <c r="HV21">
        <v>0.27</v>
      </c>
      <c r="HW21">
        <v>0</v>
      </c>
      <c r="HX21">
        <v>0</v>
      </c>
      <c r="HY21">
        <v>0</v>
      </c>
      <c r="IL21">
        <v>28.2</v>
      </c>
      <c r="IM21">
        <v>1</v>
      </c>
      <c r="IN21">
        <v>34</v>
      </c>
      <c r="IO21">
        <v>12</v>
      </c>
      <c r="IP21">
        <f>0.18*5</f>
        <v>0.89999999999999991</v>
      </c>
      <c r="IQ21">
        <v>1</v>
      </c>
      <c r="IX21" s="18"/>
      <c r="JP21">
        <v>1</v>
      </c>
      <c r="JQ21">
        <v>40</v>
      </c>
      <c r="JR21">
        <v>18</v>
      </c>
      <c r="JS21">
        <f>0.54*3</f>
        <v>1.62</v>
      </c>
      <c r="JT21">
        <v>1</v>
      </c>
      <c r="JU21">
        <v>160</v>
      </c>
      <c r="JV21">
        <v>6</v>
      </c>
      <c r="JW21">
        <v>0.54</v>
      </c>
      <c r="JX21">
        <v>1</v>
      </c>
      <c r="JY21">
        <v>180</v>
      </c>
      <c r="JZ21">
        <v>16</v>
      </c>
      <c r="KA21">
        <f>0.18*8</f>
        <v>1.44</v>
      </c>
      <c r="KB21">
        <v>3</v>
      </c>
      <c r="LA21" s="16">
        <v>0.61</v>
      </c>
      <c r="LB21" s="16">
        <v>1</v>
      </c>
      <c r="LC21" s="16">
        <v>1</v>
      </c>
      <c r="LD21" s="16"/>
      <c r="LE21" s="16">
        <f>0.18+0.27+0.54+0.27+0.54+0.27+0.18*2+0.25*2</f>
        <v>2.93</v>
      </c>
      <c r="LF21" s="16"/>
      <c r="LG21" s="16"/>
      <c r="LH21" s="16"/>
      <c r="LI21" s="16"/>
      <c r="LJ21" s="16"/>
      <c r="LK21" s="16"/>
      <c r="LL21" s="16">
        <v>2.57</v>
      </c>
      <c r="LM21" s="16">
        <v>0.72</v>
      </c>
      <c r="LN21" s="16"/>
      <c r="LO21" s="16"/>
      <c r="LP21" s="16">
        <v>0</v>
      </c>
      <c r="LQ21" s="16">
        <v>0</v>
      </c>
      <c r="LR21" s="16">
        <v>0</v>
      </c>
      <c r="LS21">
        <v>0</v>
      </c>
      <c r="LT21" t="s">
        <v>322</v>
      </c>
      <c r="LU21">
        <v>53.5</v>
      </c>
      <c r="LV21" s="16">
        <v>128.69999999999999</v>
      </c>
      <c r="LW21" s="16">
        <v>99.31</v>
      </c>
      <c r="LX21" s="16">
        <v>28.1</v>
      </c>
      <c r="LY21">
        <v>92.17</v>
      </c>
      <c r="LZ21">
        <v>0</v>
      </c>
      <c r="MA21">
        <v>10.06</v>
      </c>
      <c r="MB21">
        <v>7.54</v>
      </c>
      <c r="MC21">
        <v>15.53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106.88</v>
      </c>
      <c r="ML21">
        <v>4.3</v>
      </c>
      <c r="MM21">
        <v>0.45</v>
      </c>
      <c r="MN21">
        <v>0</v>
      </c>
      <c r="MO21">
        <v>0</v>
      </c>
      <c r="MP21">
        <v>0</v>
      </c>
      <c r="NC21">
        <v>20.100000000000001</v>
      </c>
      <c r="ND21">
        <v>1</v>
      </c>
      <c r="NE21">
        <v>23</v>
      </c>
      <c r="NF21">
        <v>6</v>
      </c>
      <c r="NG21">
        <f>0.72*2+0.04+0.09</f>
        <v>1.57</v>
      </c>
      <c r="NH21">
        <v>3</v>
      </c>
      <c r="NI21">
        <v>52</v>
      </c>
      <c r="NJ21">
        <v>1</v>
      </c>
      <c r="NK21">
        <v>21.15</v>
      </c>
      <c r="NL21">
        <v>2</v>
      </c>
      <c r="NM21">
        <v>28</v>
      </c>
      <c r="NN21">
        <v>4</v>
      </c>
      <c r="NO21" s="18">
        <f>0.48*2</f>
        <v>0.96</v>
      </c>
      <c r="NP21">
        <v>5</v>
      </c>
      <c r="NQ21">
        <v>35</v>
      </c>
      <c r="NR21">
        <v>2</v>
      </c>
      <c r="NS21">
        <v>0.48</v>
      </c>
      <c r="NT21">
        <v>3</v>
      </c>
      <c r="OG21">
        <v>1</v>
      </c>
      <c r="OH21">
        <v>40</v>
      </c>
      <c r="OI21">
        <v>1</v>
      </c>
      <c r="OJ21">
        <v>7.05</v>
      </c>
      <c r="OK21">
        <v>2</v>
      </c>
      <c r="OL21">
        <v>50</v>
      </c>
      <c r="OM21">
        <v>2</v>
      </c>
      <c r="ON21">
        <v>0.08</v>
      </c>
      <c r="OO21">
        <v>3</v>
      </c>
      <c r="OP21">
        <v>50</v>
      </c>
      <c r="OQ21">
        <v>10</v>
      </c>
      <c r="OR21">
        <f>0.04*6+0.09+0.09</f>
        <v>0.41999999999999993</v>
      </c>
      <c r="OS21">
        <v>3</v>
      </c>
      <c r="PR21" s="16">
        <v>0.24</v>
      </c>
      <c r="PS21" s="16">
        <v>1</v>
      </c>
      <c r="PT21" s="16">
        <v>1</v>
      </c>
      <c r="PU21" s="16"/>
      <c r="PV21" s="16">
        <f>0.18+0.27+0.54+0.27+0.54+0.27+0.18*2+0.25*2</f>
        <v>2.93</v>
      </c>
      <c r="PW21" s="16"/>
      <c r="PX21" s="16"/>
      <c r="PY21" s="16"/>
      <c r="PZ21" s="16"/>
      <c r="QA21" s="16"/>
      <c r="QB21" s="16"/>
      <c r="QC21" s="16">
        <v>4.9800000000000004</v>
      </c>
      <c r="QD21" s="16">
        <v>2.13</v>
      </c>
      <c r="QE21" s="16"/>
      <c r="QF21" s="16"/>
      <c r="QG21" s="16">
        <v>0</v>
      </c>
      <c r="QH21" s="16">
        <v>0</v>
      </c>
      <c r="QI21" s="16">
        <v>0</v>
      </c>
      <c r="QJ21">
        <v>0</v>
      </c>
      <c r="QO21" s="15"/>
      <c r="QP21" s="15"/>
      <c r="QW21" s="15"/>
      <c r="QX21" s="15"/>
      <c r="RE21" s="15"/>
      <c r="RF21" s="15"/>
      <c r="RM21" s="15"/>
      <c r="RN21" s="15"/>
      <c r="RU21" s="15"/>
      <c r="RV21" s="15"/>
      <c r="SC21" s="15"/>
      <c r="SD21" s="15"/>
      <c r="SK21" s="15"/>
      <c r="SL21" s="15"/>
      <c r="SS21" s="15"/>
      <c r="ST21" s="15"/>
      <c r="TA21" s="15"/>
      <c r="TB21" s="15"/>
      <c r="TI21" s="15"/>
      <c r="TJ21" s="15"/>
      <c r="TQ21" s="15"/>
      <c r="TR21" s="15"/>
      <c r="TY21" s="15"/>
      <c r="TZ21" s="15"/>
      <c r="UG21" s="15"/>
      <c r="UH21" s="15"/>
      <c r="UO21" s="15"/>
      <c r="UP21" s="15"/>
      <c r="UW21" s="15"/>
      <c r="UX21" s="15"/>
      <c r="VE21" s="15"/>
      <c r="VF21" s="15"/>
      <c r="VM21" s="15"/>
      <c r="VN21" s="15"/>
      <c r="VU21" s="15"/>
      <c r="VV21" s="15"/>
      <c r="WC21" s="15"/>
      <c r="WD21" s="15"/>
      <c r="WK21" s="15"/>
      <c r="WL21" s="15"/>
      <c r="WS21" s="15"/>
      <c r="WT21" s="15"/>
      <c r="XA21" s="15"/>
      <c r="XB21" s="15"/>
      <c r="XI21" s="15"/>
      <c r="XJ21" s="15"/>
      <c r="XQ21" s="15"/>
      <c r="XR21" s="15"/>
      <c r="XY21" s="15"/>
      <c r="XZ21" s="15"/>
      <c r="YG21" s="15"/>
      <c r="YH21" s="15"/>
      <c r="YO21" s="15"/>
      <c r="YP21" s="15"/>
      <c r="YW21" s="15"/>
      <c r="YX21" s="15"/>
      <c r="ZE21" s="15"/>
      <c r="ZF21" s="15"/>
      <c r="ZM21" s="15"/>
      <c r="ZN21" s="15"/>
      <c r="ZU21" s="15"/>
      <c r="ZV21" s="15"/>
      <c r="AAC21" s="15"/>
      <c r="AAD21" s="15"/>
      <c r="AAK21" s="15"/>
      <c r="AAL21" s="15"/>
      <c r="AAS21" s="15"/>
      <c r="AAT21" s="15"/>
      <c r="ABA21" s="15"/>
      <c r="ABB21" s="15"/>
      <c r="ABI21" s="15"/>
      <c r="ABJ21" s="15"/>
      <c r="ABQ21" s="15"/>
      <c r="ABR21" s="15"/>
      <c r="ABY21" s="15"/>
      <c r="ABZ21" s="15"/>
      <c r="ACG21" s="15"/>
      <c r="ACH21" s="15"/>
      <c r="ACO21" s="15"/>
      <c r="ACP21" s="15"/>
      <c r="ACW21" s="15"/>
      <c r="ACX21" s="15"/>
      <c r="ADE21" s="15"/>
      <c r="ADF21" s="15"/>
      <c r="ADM21" s="15"/>
      <c r="ADN21" s="15"/>
      <c r="ADU21" s="15"/>
      <c r="ADV21" s="15"/>
      <c r="AEC21" s="15"/>
      <c r="AED21" s="15"/>
      <c r="AEK21" s="15"/>
      <c r="AEL21" s="15"/>
      <c r="AES21" s="15"/>
      <c r="AET21" s="15"/>
      <c r="AFA21" s="15"/>
      <c r="AFB21" s="15"/>
      <c r="AFI21" s="15"/>
      <c r="AFJ21" s="15"/>
      <c r="AFQ21" s="15"/>
      <c r="AFR21" s="15"/>
      <c r="AFY21" s="15"/>
      <c r="AFZ21" s="15"/>
      <c r="AGG21" s="15"/>
      <c r="AGH21" s="15"/>
      <c r="AGO21" s="15"/>
      <c r="AGP21" s="15"/>
      <c r="AGW21" s="15"/>
      <c r="AGX21" s="15"/>
      <c r="AHE21" s="15"/>
      <c r="AHF21" s="15"/>
      <c r="AHM21" s="15"/>
      <c r="AHN21" s="15"/>
      <c r="AHU21" s="15"/>
      <c r="AHV21" s="15"/>
      <c r="AIC21" s="15"/>
      <c r="AID21" s="15"/>
      <c r="AIK21" s="15"/>
      <c r="AIL21" s="15"/>
      <c r="AIS21" s="15"/>
      <c r="AIT21" s="15"/>
      <c r="AJA21" s="15"/>
      <c r="AJB21" s="15"/>
      <c r="AJI21" s="15"/>
      <c r="AJJ21" s="15"/>
      <c r="AJQ21" s="15"/>
      <c r="AJR21" s="15"/>
      <c r="AJY21" s="15"/>
      <c r="AJZ21" s="15"/>
      <c r="AKG21" s="15"/>
      <c r="AKH21" s="15"/>
      <c r="AKO21" s="15"/>
      <c r="AKP21" s="15"/>
      <c r="AKW21" s="15"/>
      <c r="AKX21" s="15"/>
      <c r="ALE21" s="15"/>
      <c r="ALF21" s="15"/>
      <c r="ALM21" s="15"/>
      <c r="ALN21" s="15"/>
      <c r="ALU21" s="15"/>
      <c r="ALV21" s="15"/>
      <c r="AMC21" s="15"/>
      <c r="AMD21" s="15"/>
    </row>
    <row r="22" spans="1:1018" x14ac:dyDescent="0.2">
      <c r="A22" s="1" t="s">
        <v>323</v>
      </c>
      <c r="B22" s="12">
        <v>42893</v>
      </c>
      <c r="C22">
        <v>2</v>
      </c>
      <c r="D22" s="13">
        <v>34785</v>
      </c>
      <c r="E22" s="12">
        <v>25569</v>
      </c>
      <c r="F22" s="14">
        <f t="shared" si="0"/>
        <v>47.430527036276523</v>
      </c>
      <c r="G22" s="14">
        <f t="shared" si="1"/>
        <v>22.198494182067076</v>
      </c>
      <c r="H22" s="15" t="s">
        <v>205</v>
      </c>
      <c r="I22" s="15" t="s">
        <v>324</v>
      </c>
      <c r="J22" s="21" t="s">
        <v>181</v>
      </c>
      <c r="K22" s="21">
        <v>8</v>
      </c>
      <c r="L22" s="19">
        <v>89</v>
      </c>
      <c r="M22">
        <v>1.7</v>
      </c>
      <c r="N22" s="16">
        <f t="shared" si="2"/>
        <v>30.795847750865054</v>
      </c>
      <c r="O22" s="19">
        <v>1</v>
      </c>
      <c r="P22" s="19">
        <v>1</v>
      </c>
      <c r="Q22" s="19"/>
      <c r="R22" s="19">
        <v>0</v>
      </c>
      <c r="S22" s="19">
        <v>0</v>
      </c>
      <c r="T22" s="19">
        <v>0</v>
      </c>
      <c r="U22" s="19">
        <v>0</v>
      </c>
      <c r="V22" s="19">
        <v>0</v>
      </c>
      <c r="W22" s="19">
        <v>1</v>
      </c>
      <c r="X22" s="19">
        <v>0</v>
      </c>
      <c r="Y22" s="19">
        <v>1</v>
      </c>
      <c r="Z22" s="19">
        <v>1</v>
      </c>
      <c r="AA22" s="19">
        <v>60</v>
      </c>
      <c r="AB22" s="19" t="s">
        <v>215</v>
      </c>
      <c r="AC22" s="19">
        <v>0</v>
      </c>
      <c r="AD22" s="19">
        <v>0</v>
      </c>
      <c r="AE22" s="19">
        <v>0</v>
      </c>
      <c r="AF22" s="19">
        <v>0</v>
      </c>
      <c r="AG22" s="19">
        <v>0</v>
      </c>
      <c r="AH22" s="19">
        <v>0</v>
      </c>
      <c r="AI22" s="19">
        <v>3</v>
      </c>
      <c r="AJ22" s="19">
        <v>3</v>
      </c>
      <c r="AK22" s="19">
        <v>3</v>
      </c>
      <c r="AL22" s="19">
        <v>5</v>
      </c>
      <c r="AM22" s="19">
        <v>5</v>
      </c>
      <c r="AN22" s="19">
        <v>1</v>
      </c>
      <c r="AO22" s="19">
        <v>1</v>
      </c>
      <c r="AP22" s="19">
        <v>1</v>
      </c>
      <c r="AQ22" s="19">
        <v>9</v>
      </c>
      <c r="AR22" s="19">
        <v>0</v>
      </c>
      <c r="AS22" s="19">
        <v>3</v>
      </c>
      <c r="AT22" s="19">
        <v>0</v>
      </c>
      <c r="AU22" s="19">
        <v>3</v>
      </c>
      <c r="AV22" s="19">
        <v>3</v>
      </c>
      <c r="AW22" s="19">
        <v>3</v>
      </c>
      <c r="AX22" s="19">
        <v>1</v>
      </c>
      <c r="AY22" s="19">
        <v>0</v>
      </c>
      <c r="AZ22" s="19">
        <v>0</v>
      </c>
      <c r="BA22" s="19">
        <v>0</v>
      </c>
      <c r="BB22" s="19">
        <v>1</v>
      </c>
      <c r="BC22" s="19">
        <v>0</v>
      </c>
      <c r="BD22" s="19">
        <v>0</v>
      </c>
      <c r="BE22" s="19">
        <v>0</v>
      </c>
      <c r="BF22" s="19">
        <v>1</v>
      </c>
      <c r="BG22" s="19">
        <v>0</v>
      </c>
      <c r="BH22" s="19">
        <v>0</v>
      </c>
      <c r="BI22" s="19">
        <v>0</v>
      </c>
      <c r="BJ22" s="19">
        <v>1</v>
      </c>
      <c r="BK22" s="19">
        <v>0</v>
      </c>
      <c r="BL22" s="19">
        <v>1</v>
      </c>
      <c r="BM22" s="19">
        <v>3</v>
      </c>
      <c r="BN22" s="19">
        <v>1</v>
      </c>
      <c r="BO22" s="19">
        <v>0</v>
      </c>
      <c r="BP22" s="19">
        <v>0</v>
      </c>
      <c r="BQ22" s="19">
        <v>0</v>
      </c>
      <c r="BR22" s="19">
        <v>3</v>
      </c>
      <c r="BS22" s="19">
        <v>2</v>
      </c>
      <c r="BT22" s="19">
        <v>2</v>
      </c>
      <c r="BU22" s="19">
        <v>4</v>
      </c>
      <c r="BV22" s="19">
        <v>4</v>
      </c>
      <c r="BW22" s="19">
        <v>4</v>
      </c>
      <c r="BX22" s="19">
        <v>4</v>
      </c>
      <c r="BY22" s="19">
        <v>4</v>
      </c>
      <c r="BZ22" s="19">
        <v>4</v>
      </c>
      <c r="CA22" s="19">
        <v>2</v>
      </c>
      <c r="CB22" s="19">
        <v>2</v>
      </c>
      <c r="CC22" s="19">
        <v>4</v>
      </c>
      <c r="CD22" s="19">
        <v>3</v>
      </c>
      <c r="CE22" s="19">
        <v>3</v>
      </c>
      <c r="CF22" s="19">
        <v>3</v>
      </c>
      <c r="CG22" s="19">
        <v>3</v>
      </c>
      <c r="CH22" s="19">
        <v>3</v>
      </c>
      <c r="CI22" s="19">
        <v>3</v>
      </c>
      <c r="CJ22" s="19">
        <v>3</v>
      </c>
      <c r="CK22" s="19">
        <v>9</v>
      </c>
      <c r="CL22" t="s">
        <v>325</v>
      </c>
      <c r="CM22">
        <v>41</v>
      </c>
      <c r="CN22" s="16">
        <v>74.8</v>
      </c>
      <c r="CO22" s="16">
        <v>98.89</v>
      </c>
      <c r="CP22" s="16">
        <v>31.2</v>
      </c>
      <c r="CQ22">
        <v>69.73</v>
      </c>
      <c r="CR22">
        <v>0</v>
      </c>
      <c r="CS22">
        <v>28.78</v>
      </c>
      <c r="CT22">
        <v>1.46</v>
      </c>
      <c r="CU22">
        <v>0</v>
      </c>
      <c r="CV22">
        <v>0</v>
      </c>
      <c r="CW22">
        <v>0.03</v>
      </c>
      <c r="CX22">
        <v>0</v>
      </c>
      <c r="CY22">
        <v>0</v>
      </c>
      <c r="CZ22">
        <v>0</v>
      </c>
      <c r="DA22">
        <v>0</v>
      </c>
      <c r="DB22">
        <v>0.03</v>
      </c>
      <c r="DC22">
        <v>20.420000000000002</v>
      </c>
      <c r="DD22">
        <v>29.68</v>
      </c>
      <c r="DE22">
        <v>0.17</v>
      </c>
      <c r="DF22">
        <v>0</v>
      </c>
      <c r="DG22">
        <v>0</v>
      </c>
      <c r="DH22">
        <v>0</v>
      </c>
      <c r="DU22">
        <v>9.8000000000000007</v>
      </c>
      <c r="DV22">
        <v>0</v>
      </c>
      <c r="EG22" s="18"/>
      <c r="EY22">
        <v>1</v>
      </c>
      <c r="EZ22">
        <v>40</v>
      </c>
      <c r="FA22">
        <v>7</v>
      </c>
      <c r="FB22">
        <v>7.33</v>
      </c>
      <c r="FC22">
        <v>3</v>
      </c>
      <c r="FD22">
        <v>60</v>
      </c>
      <c r="FE22">
        <v>2</v>
      </c>
      <c r="FF22">
        <f>0.7*2</f>
        <v>1.4</v>
      </c>
      <c r="FG22">
        <v>1</v>
      </c>
      <c r="FH22">
        <v>40</v>
      </c>
      <c r="FI22">
        <v>7</v>
      </c>
      <c r="FJ22">
        <f>7.68+2.09*2+2.79</f>
        <v>14.649999999999999</v>
      </c>
      <c r="FK22">
        <v>1</v>
      </c>
      <c r="GJ22" s="16">
        <v>0</v>
      </c>
      <c r="GK22" s="16">
        <v>0</v>
      </c>
      <c r="GL22" s="16"/>
      <c r="GM22" s="16"/>
      <c r="GN22" s="16"/>
      <c r="GO22" s="16"/>
      <c r="GP22" s="16"/>
      <c r="GQ22" s="16"/>
      <c r="GR22" s="16"/>
      <c r="GS22" s="16"/>
      <c r="GT22" s="16"/>
      <c r="GU22" s="16">
        <v>0</v>
      </c>
      <c r="GV22" s="16">
        <v>0</v>
      </c>
      <c r="GW22" s="16"/>
      <c r="GX22" s="16"/>
      <c r="GY22" s="16">
        <v>0</v>
      </c>
      <c r="GZ22" s="16">
        <v>0</v>
      </c>
      <c r="HA22" s="16">
        <v>0</v>
      </c>
      <c r="HB22">
        <v>0</v>
      </c>
      <c r="HC22" t="s">
        <v>326</v>
      </c>
      <c r="HD22">
        <v>42</v>
      </c>
      <c r="HE22" s="16">
        <v>84.6</v>
      </c>
      <c r="HF22" s="16">
        <v>98.89</v>
      </c>
      <c r="HG22" s="16">
        <v>30.3</v>
      </c>
      <c r="HH22">
        <v>65.209999999999994</v>
      </c>
      <c r="HI22">
        <v>0</v>
      </c>
      <c r="HJ22">
        <f>29.69-0.91</f>
        <v>28.78</v>
      </c>
      <c r="HK22">
        <v>0</v>
      </c>
      <c r="HL22">
        <v>0</v>
      </c>
      <c r="HM22">
        <v>0</v>
      </c>
      <c r="HN22">
        <v>6</v>
      </c>
      <c r="HO22">
        <v>0.91</v>
      </c>
      <c r="HP22">
        <v>0</v>
      </c>
      <c r="HQ22">
        <v>0</v>
      </c>
      <c r="HR22">
        <v>0</v>
      </c>
      <c r="HS22">
        <v>2.35</v>
      </c>
      <c r="HT22">
        <v>28.96</v>
      </c>
      <c r="HU22">
        <v>26.7</v>
      </c>
      <c r="HV22">
        <v>0.17</v>
      </c>
      <c r="HW22">
        <v>0</v>
      </c>
      <c r="HX22">
        <v>0</v>
      </c>
      <c r="HY22">
        <v>0</v>
      </c>
      <c r="IL22">
        <v>8.5</v>
      </c>
      <c r="IM22">
        <v>0</v>
      </c>
      <c r="IX22" s="18"/>
      <c r="JP22">
        <v>1</v>
      </c>
      <c r="JQ22">
        <v>40</v>
      </c>
      <c r="JR22">
        <v>5</v>
      </c>
      <c r="JS22">
        <v>5.23</v>
      </c>
      <c r="JT22">
        <v>3</v>
      </c>
      <c r="JU22">
        <v>60</v>
      </c>
      <c r="JV22">
        <v>2</v>
      </c>
      <c r="JW22">
        <v>0.17</v>
      </c>
      <c r="JX22">
        <v>1</v>
      </c>
      <c r="JY22">
        <v>40</v>
      </c>
      <c r="JZ22">
        <v>7</v>
      </c>
      <c r="KA22">
        <f>7.68+2.09*2+2.79</f>
        <v>14.649999999999999</v>
      </c>
      <c r="KB22">
        <v>1</v>
      </c>
      <c r="LA22" s="16">
        <v>0.97</v>
      </c>
      <c r="LB22" s="16">
        <v>1</v>
      </c>
      <c r="LC22" s="16">
        <v>2</v>
      </c>
      <c r="LD22" s="16"/>
      <c r="LE22" s="16">
        <f>0.63*2</f>
        <v>1.26</v>
      </c>
      <c r="LF22" s="16"/>
      <c r="LG22" s="16"/>
      <c r="LH22" s="16"/>
      <c r="LI22" s="16"/>
      <c r="LJ22" s="16"/>
      <c r="LK22" s="16"/>
      <c r="LL22" s="16">
        <v>0</v>
      </c>
      <c r="LM22" s="16">
        <v>0</v>
      </c>
      <c r="LN22" s="16"/>
      <c r="LO22" s="16"/>
      <c r="LP22" s="16">
        <v>0</v>
      </c>
      <c r="LQ22" s="16">
        <v>0</v>
      </c>
      <c r="LR22" s="16">
        <v>1.98</v>
      </c>
      <c r="LS22">
        <v>0</v>
      </c>
      <c r="LT22" t="s">
        <v>327</v>
      </c>
      <c r="LU22">
        <v>51.5</v>
      </c>
      <c r="LV22" s="16">
        <v>89.9</v>
      </c>
      <c r="LW22" s="16">
        <v>98.89</v>
      </c>
      <c r="LX22" s="16">
        <v>39.4</v>
      </c>
      <c r="LY22">
        <v>64.19</v>
      </c>
      <c r="LZ22">
        <v>0</v>
      </c>
      <c r="MA22">
        <v>35.81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4.1900000000000004</v>
      </c>
      <c r="MK22">
        <v>14.6</v>
      </c>
      <c r="ML22">
        <v>40.18</v>
      </c>
      <c r="MM22">
        <v>8.3699999999999992</v>
      </c>
      <c r="MN22">
        <v>0</v>
      </c>
      <c r="MO22">
        <v>0</v>
      </c>
      <c r="MP22">
        <v>0</v>
      </c>
      <c r="NC22">
        <v>10.1</v>
      </c>
      <c r="ND22">
        <v>0</v>
      </c>
      <c r="NO22" s="18"/>
      <c r="OG22">
        <v>1</v>
      </c>
      <c r="OH22">
        <v>40</v>
      </c>
      <c r="OI22">
        <v>3</v>
      </c>
      <c r="OJ22">
        <f>2.73*2+5.23</f>
        <v>10.690000000000001</v>
      </c>
      <c r="OK22">
        <v>3</v>
      </c>
      <c r="OL22">
        <v>60</v>
      </c>
      <c r="OM22">
        <v>2</v>
      </c>
      <c r="ON22">
        <v>0.14000000000000001</v>
      </c>
      <c r="OO22">
        <v>1</v>
      </c>
      <c r="OP22">
        <v>40</v>
      </c>
      <c r="OQ22">
        <v>5</v>
      </c>
      <c r="OR22">
        <f>7.68+2.09+2.79</f>
        <v>12.559999999999999</v>
      </c>
      <c r="OS22">
        <v>1</v>
      </c>
      <c r="OT22">
        <v>40</v>
      </c>
      <c r="OU22">
        <v>3</v>
      </c>
      <c r="OV22">
        <v>2.1800000000000002</v>
      </c>
      <c r="OW22">
        <v>6</v>
      </c>
      <c r="PR22" s="16">
        <v>0</v>
      </c>
      <c r="PS22" s="16">
        <v>0</v>
      </c>
      <c r="PT22" s="16"/>
      <c r="PU22" s="16"/>
      <c r="PV22" s="16"/>
      <c r="PW22" s="16"/>
      <c r="PX22" s="16"/>
      <c r="PY22" s="16"/>
      <c r="PZ22" s="16"/>
      <c r="QA22" s="16"/>
      <c r="QB22" s="16"/>
      <c r="QC22" s="16">
        <v>0</v>
      </c>
      <c r="QD22" s="16">
        <v>0</v>
      </c>
      <c r="QE22" s="16"/>
      <c r="QF22" s="16"/>
      <c r="QG22" s="16">
        <v>0</v>
      </c>
      <c r="QH22" s="16">
        <v>0</v>
      </c>
      <c r="QI22" s="16">
        <v>1.98</v>
      </c>
      <c r="QJ22">
        <v>0</v>
      </c>
      <c r="QK22" t="s">
        <v>328</v>
      </c>
      <c r="QL22">
        <v>51.5</v>
      </c>
      <c r="QM22" s="16">
        <v>89.9</v>
      </c>
      <c r="QN22" s="16">
        <v>98.89</v>
      </c>
      <c r="QO22" s="16">
        <v>39.4</v>
      </c>
      <c r="QP22">
        <v>64.19</v>
      </c>
      <c r="QQ22">
        <v>0</v>
      </c>
      <c r="QR22">
        <v>35.81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4.1900000000000004</v>
      </c>
      <c r="RB22">
        <v>14.6</v>
      </c>
      <c r="RC22">
        <v>40.18</v>
      </c>
      <c r="RD22">
        <v>8.3699999999999992</v>
      </c>
      <c r="RE22">
        <v>0</v>
      </c>
      <c r="RF22">
        <v>0</v>
      </c>
      <c r="RG22">
        <v>0</v>
      </c>
      <c r="RT22">
        <v>10.1</v>
      </c>
      <c r="RU22">
        <v>0</v>
      </c>
      <c r="SF22" s="18"/>
      <c r="SX22">
        <v>1</v>
      </c>
      <c r="SY22">
        <v>40</v>
      </c>
      <c r="SZ22">
        <v>3</v>
      </c>
      <c r="TA22">
        <f>2.73*2+5.23</f>
        <v>10.690000000000001</v>
      </c>
      <c r="TB22">
        <v>3</v>
      </c>
      <c r="TC22">
        <v>60</v>
      </c>
      <c r="TD22">
        <v>2</v>
      </c>
      <c r="TE22">
        <v>0.14000000000000001</v>
      </c>
      <c r="TF22">
        <v>1</v>
      </c>
      <c r="TG22">
        <v>40</v>
      </c>
      <c r="TH22">
        <v>5</v>
      </c>
      <c r="TI22">
        <f>7.68+2.09+2.79</f>
        <v>12.559999999999999</v>
      </c>
      <c r="TJ22">
        <v>1</v>
      </c>
      <c r="TK22">
        <v>40</v>
      </c>
      <c r="TL22">
        <v>3</v>
      </c>
      <c r="TM22">
        <v>2.1800000000000002</v>
      </c>
      <c r="TN22">
        <v>6</v>
      </c>
      <c r="UI22" s="16">
        <v>0</v>
      </c>
      <c r="UJ22" s="16">
        <v>0</v>
      </c>
      <c r="UK22" s="16"/>
      <c r="UL22" s="16"/>
      <c r="UM22" s="16"/>
      <c r="UN22" s="16"/>
      <c r="UO22" s="16"/>
      <c r="UP22" s="16"/>
      <c r="UQ22" s="16"/>
      <c r="UR22" s="16"/>
      <c r="US22" s="16"/>
      <c r="UT22" s="16">
        <v>0</v>
      </c>
      <c r="UU22" s="16">
        <v>0</v>
      </c>
      <c r="UV22" s="16"/>
      <c r="UW22" s="16"/>
      <c r="UX22" s="16">
        <v>0</v>
      </c>
      <c r="UY22" s="16">
        <v>0</v>
      </c>
      <c r="UZ22" s="16">
        <v>1.98</v>
      </c>
      <c r="VA22">
        <v>0</v>
      </c>
      <c r="VB22" t="s">
        <v>329</v>
      </c>
      <c r="VC22">
        <v>47.5</v>
      </c>
      <c r="VD22" s="16">
        <v>96.7</v>
      </c>
      <c r="VE22" s="16">
        <v>98.89</v>
      </c>
      <c r="VF22" s="16">
        <v>18.2</v>
      </c>
      <c r="VG22">
        <v>16.87</v>
      </c>
      <c r="VH22">
        <v>0</v>
      </c>
      <c r="VI22">
        <v>0.64</v>
      </c>
      <c r="VJ22">
        <v>0</v>
      </c>
      <c r="VK22">
        <v>0.71</v>
      </c>
      <c r="VL22">
        <v>0</v>
      </c>
      <c r="VM22">
        <v>81.790000000000006</v>
      </c>
      <c r="VN22">
        <v>0</v>
      </c>
      <c r="VO22">
        <v>0</v>
      </c>
      <c r="VP22">
        <v>34.950000000000003</v>
      </c>
      <c r="VQ22">
        <v>0</v>
      </c>
      <c r="VR22">
        <v>14.93</v>
      </c>
      <c r="VS22">
        <v>18.57</v>
      </c>
      <c r="VT22">
        <v>33.75</v>
      </c>
      <c r="VU22">
        <v>4.1900000000000004</v>
      </c>
      <c r="VV22">
        <v>0</v>
      </c>
      <c r="VW22">
        <v>25.1</v>
      </c>
      <c r="VX22">
        <v>1</v>
      </c>
      <c r="VY22">
        <v>4.5</v>
      </c>
      <c r="WA22">
        <v>1</v>
      </c>
      <c r="WK22">
        <v>0</v>
      </c>
      <c r="WL22">
        <v>1</v>
      </c>
      <c r="WM22">
        <v>12</v>
      </c>
      <c r="WN22">
        <v>1</v>
      </c>
      <c r="WO22">
        <v>0.73</v>
      </c>
      <c r="WP22">
        <v>3</v>
      </c>
      <c r="WQ22">
        <v>23</v>
      </c>
      <c r="WR22">
        <v>5</v>
      </c>
      <c r="WS22">
        <v>1.82</v>
      </c>
      <c r="WT22">
        <v>3</v>
      </c>
      <c r="WU22">
        <v>18</v>
      </c>
      <c r="WV22">
        <v>1</v>
      </c>
      <c r="WW22" s="18">
        <v>4.37</v>
      </c>
      <c r="WX22">
        <v>5</v>
      </c>
      <c r="WY22">
        <v>28</v>
      </c>
      <c r="WZ22">
        <v>6</v>
      </c>
      <c r="XA22">
        <f>2.18*2</f>
        <v>4.3600000000000003</v>
      </c>
      <c r="XB22">
        <v>5</v>
      </c>
      <c r="XO22">
        <v>1</v>
      </c>
      <c r="XP22">
        <v>30</v>
      </c>
      <c r="XQ22">
        <v>2</v>
      </c>
      <c r="XR22">
        <v>1.46</v>
      </c>
      <c r="XS22">
        <v>3</v>
      </c>
      <c r="YZ22" s="16">
        <v>3.87</v>
      </c>
      <c r="ZA22" s="16">
        <v>1</v>
      </c>
      <c r="ZB22" s="16">
        <v>2</v>
      </c>
      <c r="ZC22" s="16"/>
      <c r="ZD22" s="16">
        <v>0.18</v>
      </c>
      <c r="ZE22" s="16"/>
      <c r="ZF22" s="16"/>
      <c r="ZG22" s="16"/>
      <c r="ZH22" s="16"/>
      <c r="ZI22" s="16"/>
      <c r="ZJ22" s="16"/>
      <c r="ZK22" s="16">
        <v>0</v>
      </c>
      <c r="ZL22" s="16">
        <v>0</v>
      </c>
      <c r="ZM22" s="16"/>
      <c r="ZN22" s="16"/>
      <c r="ZO22" s="16">
        <v>0</v>
      </c>
      <c r="ZP22" s="16">
        <v>0</v>
      </c>
      <c r="ZQ22" s="16">
        <v>0</v>
      </c>
      <c r="ZR22">
        <v>0</v>
      </c>
      <c r="ZS22" t="s">
        <v>330</v>
      </c>
      <c r="ZT22">
        <v>45.5</v>
      </c>
      <c r="ZU22" s="16">
        <v>81</v>
      </c>
      <c r="ZV22" s="16">
        <v>98.89</v>
      </c>
      <c r="ZW22" s="16">
        <v>37.299999999999997</v>
      </c>
      <c r="ZX22">
        <v>19.309999999999999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80.69</v>
      </c>
      <c r="AAE22">
        <v>36.25</v>
      </c>
      <c r="AAF22">
        <v>0</v>
      </c>
      <c r="AAG22">
        <v>7.1</v>
      </c>
      <c r="AAH22">
        <v>0</v>
      </c>
      <c r="AAI22">
        <v>38.299999999999997</v>
      </c>
      <c r="AAJ22">
        <v>20.8</v>
      </c>
      <c r="AAK22">
        <v>41.34</v>
      </c>
      <c r="AAL22">
        <v>2.78</v>
      </c>
      <c r="AAM22">
        <v>0</v>
      </c>
      <c r="AAN22">
        <v>0</v>
      </c>
      <c r="AAO22">
        <v>0</v>
      </c>
      <c r="ABB22">
        <v>7.8</v>
      </c>
      <c r="ABC22">
        <v>1</v>
      </c>
      <c r="ABD22">
        <v>28</v>
      </c>
      <c r="ABE22">
        <v>5</v>
      </c>
      <c r="ABF22">
        <f>0.13+1.45+1.03</f>
        <v>2.6100000000000003</v>
      </c>
      <c r="ABG22">
        <v>5</v>
      </c>
      <c r="ABH22">
        <v>23</v>
      </c>
      <c r="ABI22">
        <v>8</v>
      </c>
      <c r="ABJ22">
        <f>0.13+0.72+0.01+0.51+0.27</f>
        <v>1.6400000000000001</v>
      </c>
      <c r="ABK22">
        <v>3</v>
      </c>
      <c r="ABL22">
        <v>35</v>
      </c>
      <c r="ABM22">
        <v>4</v>
      </c>
      <c r="ABN22" s="18">
        <f>0.73+21</f>
        <v>21.73</v>
      </c>
      <c r="ABO22">
        <v>3</v>
      </c>
      <c r="ABP22">
        <v>40</v>
      </c>
      <c r="ABQ22">
        <v>1</v>
      </c>
      <c r="ABR22">
        <v>0.73</v>
      </c>
      <c r="ABS22">
        <v>5</v>
      </c>
      <c r="ABT22">
        <v>18</v>
      </c>
      <c r="ABU22">
        <v>2</v>
      </c>
      <c r="ABV22">
        <v>1.19</v>
      </c>
      <c r="ABW22">
        <v>5</v>
      </c>
      <c r="ACF22">
        <v>1</v>
      </c>
      <c r="ACG22">
        <v>30</v>
      </c>
      <c r="ACH22">
        <v>1</v>
      </c>
      <c r="ACI22">
        <v>0.52</v>
      </c>
      <c r="ACJ22">
        <v>2</v>
      </c>
      <c r="ACK22">
        <v>40</v>
      </c>
      <c r="ACL22">
        <v>2</v>
      </c>
      <c r="ACM22">
        <f>0.16+0.93</f>
        <v>1.0900000000000001</v>
      </c>
      <c r="ACN22">
        <v>3</v>
      </c>
      <c r="ADQ22" s="16">
        <v>0</v>
      </c>
      <c r="ADR22" s="16">
        <v>0</v>
      </c>
      <c r="ADS22" s="16"/>
      <c r="ADT22" s="16"/>
      <c r="ADU22" s="16"/>
      <c r="ADV22" s="16"/>
      <c r="ADW22" s="16"/>
      <c r="ADX22" s="16"/>
      <c r="ADY22" s="16"/>
      <c r="ADZ22" s="16"/>
      <c r="AEA22" s="16"/>
      <c r="AEB22" s="16">
        <v>0</v>
      </c>
      <c r="AEC22" s="16">
        <v>0</v>
      </c>
      <c r="AED22" s="16"/>
      <c r="AEE22" s="16"/>
      <c r="AEF22" s="16">
        <v>0</v>
      </c>
      <c r="AEG22" s="16">
        <v>0</v>
      </c>
      <c r="AEH22" s="16">
        <v>0</v>
      </c>
      <c r="AEI22">
        <v>0</v>
      </c>
      <c r="AEJ22" t="s">
        <v>331</v>
      </c>
      <c r="AEK22">
        <v>31</v>
      </c>
      <c r="AEL22" s="16">
        <v>86</v>
      </c>
      <c r="AEM22" s="16">
        <v>98.89</v>
      </c>
      <c r="AEN22" s="16">
        <v>20.5</v>
      </c>
      <c r="AEO22">
        <v>68.53</v>
      </c>
      <c r="AEP22">
        <v>0</v>
      </c>
      <c r="AEQ22">
        <v>2.91</v>
      </c>
      <c r="AER22">
        <v>0</v>
      </c>
      <c r="AES22">
        <v>25.84</v>
      </c>
      <c r="AET22">
        <v>0</v>
      </c>
      <c r="AEU22">
        <v>2.73</v>
      </c>
      <c r="AEV22">
        <v>0</v>
      </c>
      <c r="AEW22">
        <v>0</v>
      </c>
      <c r="AEX22">
        <v>2.72</v>
      </c>
      <c r="AEY22">
        <v>0</v>
      </c>
      <c r="AEZ22">
        <v>2.5499999999999998</v>
      </c>
      <c r="AFA22">
        <v>18.97</v>
      </c>
      <c r="AFB22">
        <v>8.86</v>
      </c>
      <c r="AFC22">
        <v>5.82</v>
      </c>
      <c r="AFD22">
        <v>0</v>
      </c>
      <c r="AFE22">
        <v>0</v>
      </c>
      <c r="AFF22">
        <v>0</v>
      </c>
      <c r="AFS22">
        <v>0</v>
      </c>
      <c r="AFT22">
        <v>1</v>
      </c>
      <c r="AFU22">
        <v>34</v>
      </c>
      <c r="AFV22">
        <v>1</v>
      </c>
      <c r="AFW22">
        <v>2.91</v>
      </c>
      <c r="AFX22">
        <v>1</v>
      </c>
      <c r="AGE22" s="18"/>
      <c r="AGW22">
        <v>0</v>
      </c>
      <c r="AIH22" s="16">
        <v>2.06</v>
      </c>
      <c r="AII22" s="16">
        <v>1</v>
      </c>
      <c r="AIJ22" s="16">
        <v>1</v>
      </c>
      <c r="AIK22" s="16"/>
      <c r="AIL22" s="16">
        <f>4.05+3.03</f>
        <v>7.08</v>
      </c>
      <c r="AIM22" s="16"/>
      <c r="AIN22" s="16"/>
      <c r="AIO22" s="16"/>
      <c r="AIP22" s="16"/>
      <c r="AIQ22" s="16"/>
      <c r="AIR22" s="16"/>
      <c r="AIS22" s="16">
        <v>5.19</v>
      </c>
      <c r="AIT22" s="16">
        <v>6.85</v>
      </c>
      <c r="AIU22" s="16"/>
      <c r="AIV22" s="16"/>
      <c r="AIW22" s="16">
        <v>3.03</v>
      </c>
      <c r="AIX22" s="16">
        <v>2.5499999999999998</v>
      </c>
      <c r="AIY22" s="16">
        <v>0</v>
      </c>
      <c r="AIZ22">
        <v>0</v>
      </c>
      <c r="AJA22" t="s">
        <v>332</v>
      </c>
      <c r="AJB22">
        <v>30</v>
      </c>
      <c r="AJC22" s="16">
        <v>67.2</v>
      </c>
      <c r="AJD22" s="16">
        <v>98.89</v>
      </c>
      <c r="AJE22" s="16">
        <v>7.7</v>
      </c>
      <c r="AJF22">
        <v>60.59</v>
      </c>
      <c r="AJG22">
        <v>6.96</v>
      </c>
      <c r="AJH22">
        <v>0</v>
      </c>
      <c r="AJI22">
        <v>0</v>
      </c>
      <c r="AJJ22">
        <v>0</v>
      </c>
      <c r="AJK22">
        <v>0</v>
      </c>
      <c r="AJL22">
        <v>32.450000000000003</v>
      </c>
      <c r="AJM22">
        <v>0</v>
      </c>
      <c r="AJN22">
        <v>0</v>
      </c>
      <c r="AJO22">
        <v>4</v>
      </c>
      <c r="AJP22">
        <v>0</v>
      </c>
      <c r="AJQ22">
        <v>18.75</v>
      </c>
      <c r="AJR22">
        <v>47.97</v>
      </c>
      <c r="AJS22">
        <v>0</v>
      </c>
      <c r="AJT22">
        <v>0</v>
      </c>
      <c r="AJU22">
        <v>0</v>
      </c>
      <c r="AJV22">
        <v>0</v>
      </c>
      <c r="AJW22">
        <v>0</v>
      </c>
      <c r="AKJ22">
        <v>8.8000000000000007</v>
      </c>
      <c r="AKK22">
        <v>1</v>
      </c>
      <c r="AKL22">
        <v>35</v>
      </c>
      <c r="AKM22">
        <v>2</v>
      </c>
      <c r="AKN22">
        <v>0.64</v>
      </c>
      <c r="AKO22">
        <v>3</v>
      </c>
      <c r="AKV22" s="18"/>
      <c r="ALN22">
        <v>1</v>
      </c>
      <c r="ALO22">
        <v>60</v>
      </c>
      <c r="ALP22">
        <v>1</v>
      </c>
      <c r="ALQ22">
        <v>3.64</v>
      </c>
      <c r="ALR22">
        <v>3</v>
      </c>
    </row>
    <row r="23" spans="1:1018" s="24" customFormat="1" x14ac:dyDescent="0.2">
      <c r="A23" s="1" t="s">
        <v>333</v>
      </c>
      <c r="B23" s="12">
        <v>42899</v>
      </c>
      <c r="C23">
        <v>2</v>
      </c>
      <c r="D23" s="13">
        <v>42793</v>
      </c>
      <c r="E23" s="12">
        <v>31945</v>
      </c>
      <c r="F23" s="14">
        <f t="shared" si="0"/>
        <v>29.990417522245039</v>
      </c>
      <c r="G23" s="14">
        <f t="shared" si="1"/>
        <v>0.29021218343600275</v>
      </c>
      <c r="H23" s="15" t="s">
        <v>306</v>
      </c>
      <c r="I23" s="15" t="s">
        <v>307</v>
      </c>
      <c r="J23" s="21" t="s">
        <v>181</v>
      </c>
      <c r="K23" s="21">
        <v>4</v>
      </c>
      <c r="L23" s="19">
        <v>90</v>
      </c>
      <c r="M23">
        <v>1.73</v>
      </c>
      <c r="N23" s="16">
        <f t="shared" si="2"/>
        <v>30.071168431955627</v>
      </c>
      <c r="O23" s="19">
        <v>0</v>
      </c>
      <c r="P23" s="19">
        <v>0</v>
      </c>
      <c r="Q23" s="19">
        <v>0</v>
      </c>
      <c r="R23" s="19">
        <v>0</v>
      </c>
      <c r="S23" s="19"/>
      <c r="T23" s="19"/>
      <c r="U23" s="19">
        <v>1</v>
      </c>
      <c r="V23" s="19">
        <v>6</v>
      </c>
      <c r="W23" s="19">
        <v>0</v>
      </c>
      <c r="X23" s="19">
        <v>0</v>
      </c>
      <c r="Y23" s="19">
        <v>0</v>
      </c>
      <c r="Z23" s="19">
        <v>0</v>
      </c>
      <c r="AA23" s="19">
        <v>0</v>
      </c>
      <c r="AB23" s="19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9">
        <v>0</v>
      </c>
      <c r="AJ23" s="19">
        <v>0</v>
      </c>
      <c r="AK23" s="19">
        <v>0</v>
      </c>
      <c r="AL23" s="19">
        <v>0</v>
      </c>
      <c r="AM23" s="19">
        <v>0</v>
      </c>
      <c r="AN23" s="19">
        <v>1</v>
      </c>
      <c r="AO23" s="19">
        <v>0</v>
      </c>
      <c r="AP23" s="19">
        <v>0</v>
      </c>
      <c r="AQ23" s="19">
        <v>0</v>
      </c>
      <c r="AR23" s="19">
        <v>0</v>
      </c>
      <c r="AS23" s="19">
        <v>3</v>
      </c>
      <c r="AT23" s="19">
        <v>0</v>
      </c>
      <c r="AU23" s="19">
        <v>3</v>
      </c>
      <c r="AV23" s="19">
        <v>5</v>
      </c>
      <c r="AW23" s="19">
        <v>5</v>
      </c>
      <c r="AX23" s="19">
        <v>0</v>
      </c>
      <c r="AY23" s="19">
        <v>0</v>
      </c>
      <c r="AZ23" s="19">
        <v>0</v>
      </c>
      <c r="BA23" s="19">
        <v>0</v>
      </c>
      <c r="BB23" s="19">
        <v>0</v>
      </c>
      <c r="BC23" s="19">
        <v>0</v>
      </c>
      <c r="BD23" s="19">
        <v>0</v>
      </c>
      <c r="BE23" s="19">
        <v>0</v>
      </c>
      <c r="BF23" s="19">
        <v>0</v>
      </c>
      <c r="BG23" s="19">
        <v>0</v>
      </c>
      <c r="BH23" s="19">
        <v>0</v>
      </c>
      <c r="BI23" s="19">
        <v>0</v>
      </c>
      <c r="BJ23" s="19">
        <v>1</v>
      </c>
      <c r="BK23" s="19"/>
      <c r="BL23" s="19"/>
      <c r="BM23" s="19"/>
      <c r="BN23" s="19">
        <v>0</v>
      </c>
      <c r="BO23" s="19">
        <v>0</v>
      </c>
      <c r="BP23" s="19">
        <v>0</v>
      </c>
      <c r="BQ23" s="19">
        <v>0</v>
      </c>
      <c r="BR23" s="19">
        <v>1</v>
      </c>
      <c r="BS23" s="19">
        <v>2</v>
      </c>
      <c r="BT23" s="19">
        <v>1</v>
      </c>
      <c r="BU23" s="19">
        <v>2</v>
      </c>
      <c r="BV23" s="19">
        <v>2</v>
      </c>
      <c r="BW23" s="19">
        <v>1</v>
      </c>
      <c r="BX23" s="19">
        <v>1</v>
      </c>
      <c r="BY23" s="19">
        <v>2</v>
      </c>
      <c r="BZ23" s="19">
        <v>3</v>
      </c>
      <c r="CA23" s="19">
        <v>5</v>
      </c>
      <c r="CB23" s="19">
        <v>5</v>
      </c>
      <c r="CC23" s="19">
        <v>5</v>
      </c>
      <c r="CD23" s="19">
        <v>5</v>
      </c>
      <c r="CE23" s="19">
        <v>5</v>
      </c>
      <c r="CF23" s="19">
        <v>2</v>
      </c>
      <c r="CG23" s="19">
        <v>4</v>
      </c>
      <c r="CH23" s="19">
        <v>2</v>
      </c>
      <c r="CI23" s="19">
        <v>5</v>
      </c>
      <c r="CJ23" s="19">
        <v>4</v>
      </c>
      <c r="CK23" s="19">
        <v>10</v>
      </c>
      <c r="CL23" s="24" t="s">
        <v>309</v>
      </c>
      <c r="CM23" s="24">
        <v>31</v>
      </c>
      <c r="CN23" s="27">
        <v>39.200000000000003</v>
      </c>
      <c r="CO23" s="27">
        <v>83.4</v>
      </c>
      <c r="CP23" s="27">
        <v>17.2</v>
      </c>
      <c r="CQ23" s="24">
        <v>85.69</v>
      </c>
      <c r="CR23" s="24">
        <v>0</v>
      </c>
      <c r="CS23" s="24">
        <v>0.39</v>
      </c>
      <c r="CT23" s="24">
        <v>0</v>
      </c>
      <c r="CU23" s="24">
        <v>13.37</v>
      </c>
      <c r="CV23" s="24">
        <v>0</v>
      </c>
      <c r="CW23" s="24">
        <v>0</v>
      </c>
      <c r="CX23" s="24">
        <v>0</v>
      </c>
      <c r="CY23" s="24">
        <v>0</v>
      </c>
      <c r="CZ23" s="24">
        <v>0</v>
      </c>
      <c r="DA23" s="24">
        <v>0</v>
      </c>
      <c r="DB23" s="24">
        <v>12.36</v>
      </c>
      <c r="DC23" s="24">
        <v>18.21</v>
      </c>
      <c r="DD23" s="24">
        <v>12.25</v>
      </c>
      <c r="DE23" s="24">
        <v>3.27</v>
      </c>
      <c r="DF23" s="24">
        <v>5.0199999999999996</v>
      </c>
      <c r="DG23" s="24">
        <v>4.8</v>
      </c>
      <c r="DH23" s="24">
        <v>1</v>
      </c>
      <c r="DI23" s="24">
        <v>5</v>
      </c>
      <c r="DK23" s="24">
        <v>2</v>
      </c>
      <c r="DL23" s="24">
        <v>3</v>
      </c>
      <c r="DN23" s="24">
        <v>1</v>
      </c>
      <c r="DU23" s="24">
        <v>2.4</v>
      </c>
      <c r="DV23" s="24">
        <v>1</v>
      </c>
      <c r="DW23" s="24">
        <v>35</v>
      </c>
      <c r="DX23" s="24">
        <v>8</v>
      </c>
      <c r="DY23" s="24">
        <f t="shared" ref="DY23:DY29" si="3">0.13*4</f>
        <v>0.52</v>
      </c>
      <c r="DZ23" s="24">
        <v>3</v>
      </c>
      <c r="EA23" s="24">
        <v>23</v>
      </c>
      <c r="EB23" s="24">
        <v>2</v>
      </c>
      <c r="EC23" s="24">
        <v>0.12</v>
      </c>
      <c r="ED23" s="24">
        <v>3</v>
      </c>
      <c r="EG23" s="28"/>
      <c r="EY23" s="24">
        <v>1</v>
      </c>
      <c r="EZ23" s="24">
        <v>50</v>
      </c>
      <c r="FA23" s="24">
        <v>5</v>
      </c>
      <c r="FB23" s="24">
        <v>0.32</v>
      </c>
      <c r="FC23" s="24">
        <v>3</v>
      </c>
      <c r="GJ23" s="27">
        <v>0.43</v>
      </c>
      <c r="GK23" s="27">
        <v>1</v>
      </c>
      <c r="GL23" s="27">
        <v>1</v>
      </c>
      <c r="GM23" s="27"/>
      <c r="GN23" s="27">
        <f t="shared" ref="GN23:GN29" si="4">0.11+0.06+0.26*2</f>
        <v>0.69</v>
      </c>
      <c r="GO23" s="27">
        <v>2</v>
      </c>
      <c r="GP23" s="27"/>
      <c r="GQ23" s="27">
        <f t="shared" ref="GQ23:GQ29" si="5">3.35*2+0.35*2</f>
        <v>7.4</v>
      </c>
      <c r="GR23" s="27"/>
      <c r="GS23" s="27"/>
      <c r="GT23" s="27"/>
      <c r="GU23" s="27">
        <v>1.74</v>
      </c>
      <c r="GV23" s="27">
        <v>1.32</v>
      </c>
      <c r="GW23" s="27"/>
      <c r="GX23" s="27"/>
      <c r="GY23" s="27">
        <v>4.32</v>
      </c>
      <c r="GZ23" s="27">
        <v>1.2</v>
      </c>
      <c r="HA23" s="27">
        <v>0.11</v>
      </c>
      <c r="HB23" s="24">
        <v>2</v>
      </c>
      <c r="HC23" s="24" t="s">
        <v>310</v>
      </c>
      <c r="HD23" s="24">
        <v>22.5</v>
      </c>
      <c r="HE23" s="27">
        <v>20.9</v>
      </c>
      <c r="HF23" s="27">
        <v>83.4</v>
      </c>
      <c r="HG23" s="27">
        <v>11</v>
      </c>
      <c r="HH23" s="24">
        <v>91.28</v>
      </c>
      <c r="HI23" s="24">
        <v>0</v>
      </c>
      <c r="HJ23" s="24">
        <v>0</v>
      </c>
      <c r="HK23" s="24">
        <v>0</v>
      </c>
      <c r="HL23" s="24">
        <v>4.1500000000000004</v>
      </c>
      <c r="HM23" s="24">
        <v>0</v>
      </c>
      <c r="HN23" s="24">
        <v>0</v>
      </c>
      <c r="HO23" s="24">
        <v>0</v>
      </c>
      <c r="HP23" s="24">
        <v>0</v>
      </c>
      <c r="HQ23" s="24">
        <v>0</v>
      </c>
      <c r="HR23" s="24">
        <v>0</v>
      </c>
      <c r="HS23" s="24">
        <v>0.71</v>
      </c>
      <c r="HT23" s="24">
        <v>7.61</v>
      </c>
      <c r="HU23" s="24">
        <v>5.28</v>
      </c>
      <c r="HV23" s="24">
        <v>2.4700000000000002</v>
      </c>
      <c r="HW23" s="24">
        <v>4.05</v>
      </c>
      <c r="HX23" s="24">
        <v>6.1</v>
      </c>
      <c r="HY23" s="24">
        <v>1</v>
      </c>
      <c r="HZ23" s="24">
        <v>5</v>
      </c>
      <c r="IB23" s="24">
        <v>1</v>
      </c>
      <c r="IC23" s="24">
        <v>3</v>
      </c>
      <c r="IE23" s="24">
        <v>2</v>
      </c>
      <c r="IL23" s="24">
        <v>4.7</v>
      </c>
      <c r="IM23" s="24">
        <v>1</v>
      </c>
      <c r="IN23" s="24">
        <v>35</v>
      </c>
      <c r="IO23" s="24">
        <v>8</v>
      </c>
      <c r="IP23" s="24">
        <f t="shared" ref="IP23:IP29" si="6">0.19+0.32</f>
        <v>0.51</v>
      </c>
      <c r="IQ23" s="24">
        <v>3</v>
      </c>
      <c r="IX23" s="28"/>
      <c r="JP23" s="24">
        <v>1</v>
      </c>
      <c r="JQ23" s="24">
        <v>80</v>
      </c>
      <c r="JR23" s="24">
        <v>4</v>
      </c>
      <c r="JS23" s="24">
        <v>1.28</v>
      </c>
      <c r="JT23" s="24">
        <v>3</v>
      </c>
      <c r="JU23" s="24">
        <v>60</v>
      </c>
      <c r="JV23" s="24">
        <v>3</v>
      </c>
      <c r="JW23" s="24">
        <v>0.28999999999999998</v>
      </c>
      <c r="JX23" s="24">
        <v>3</v>
      </c>
      <c r="JY23" s="24">
        <v>70</v>
      </c>
      <c r="JZ23" s="24">
        <v>4</v>
      </c>
      <c r="KA23" s="24">
        <v>0.57999999999999996</v>
      </c>
      <c r="KB23" s="24">
        <v>3</v>
      </c>
      <c r="LA23" s="27">
        <v>0.49</v>
      </c>
      <c r="LB23" s="27">
        <v>1</v>
      </c>
      <c r="LC23" s="27">
        <v>2</v>
      </c>
      <c r="LD23" s="27"/>
      <c r="LE23" s="27">
        <f t="shared" ref="LE23:LE29" si="7">0.27*3</f>
        <v>0.81</v>
      </c>
      <c r="LF23" s="27"/>
      <c r="LG23" s="27"/>
      <c r="LH23" s="27"/>
      <c r="LI23" s="27"/>
      <c r="LJ23" s="27"/>
      <c r="LK23" s="27"/>
      <c r="LL23" s="27">
        <v>0</v>
      </c>
      <c r="LM23" s="27"/>
      <c r="LN23" s="27"/>
      <c r="LO23" s="27"/>
      <c r="LP23" s="27">
        <v>0</v>
      </c>
      <c r="LQ23" s="27">
        <v>0</v>
      </c>
      <c r="LR23" s="27">
        <v>0</v>
      </c>
      <c r="LS23" s="24">
        <v>0</v>
      </c>
      <c r="LT23" s="24" t="s">
        <v>311</v>
      </c>
      <c r="LU23" s="24">
        <v>52</v>
      </c>
      <c r="LV23" s="27">
        <v>87.1</v>
      </c>
      <c r="LW23" s="27">
        <v>83.4</v>
      </c>
      <c r="LX23" s="27">
        <v>31.9</v>
      </c>
      <c r="LY23" s="24">
        <v>55.25</v>
      </c>
      <c r="LZ23" s="24">
        <v>0</v>
      </c>
      <c r="MA23" s="24">
        <v>0</v>
      </c>
      <c r="MB23" s="24">
        <v>0</v>
      </c>
      <c r="MC23" s="24">
        <v>36.01</v>
      </c>
      <c r="MD23" s="24">
        <v>0</v>
      </c>
      <c r="ME23" s="24">
        <v>0</v>
      </c>
      <c r="MF23" s="24">
        <v>0</v>
      </c>
      <c r="MG23" s="24">
        <v>0</v>
      </c>
      <c r="MH23" s="24">
        <v>0</v>
      </c>
      <c r="MI23" s="24">
        <v>0</v>
      </c>
      <c r="MJ23" s="24">
        <v>1.03</v>
      </c>
      <c r="MK23" s="24">
        <v>22.5</v>
      </c>
      <c r="ML23" s="24">
        <v>29.21</v>
      </c>
      <c r="MM23" s="24">
        <v>12.38</v>
      </c>
      <c r="MN23" s="24">
        <v>8.73</v>
      </c>
      <c r="MO23" s="24">
        <v>5.3</v>
      </c>
      <c r="MP23" s="24">
        <v>1</v>
      </c>
      <c r="MQ23" s="24">
        <v>5</v>
      </c>
      <c r="MS23" s="24">
        <v>1</v>
      </c>
      <c r="NC23" s="24">
        <v>7.1</v>
      </c>
      <c r="ND23" s="24">
        <v>1</v>
      </c>
      <c r="NE23" s="24">
        <v>35</v>
      </c>
      <c r="NF23" s="24">
        <v>8</v>
      </c>
      <c r="NG23" s="24">
        <f t="shared" ref="NG23:NG29" si="8">0.19+0.32</f>
        <v>0.51</v>
      </c>
      <c r="NH23" s="24">
        <v>3</v>
      </c>
      <c r="NO23" s="28"/>
      <c r="OG23" s="24">
        <v>1</v>
      </c>
      <c r="OH23" s="24">
        <v>50</v>
      </c>
      <c r="OI23" s="24">
        <v>7</v>
      </c>
      <c r="OJ23" s="24">
        <f t="shared" ref="OJ23:OJ29" si="9">0.92+0.73+0.32</f>
        <v>1.97</v>
      </c>
      <c r="OK23" s="24">
        <v>3</v>
      </c>
      <c r="OL23" s="24">
        <v>70</v>
      </c>
      <c r="OM23" s="24">
        <v>11</v>
      </c>
      <c r="ON23" s="24">
        <f t="shared" ref="ON23:ON29" si="10">0.73+0.65</f>
        <v>1.38</v>
      </c>
      <c r="OO23" s="24">
        <v>3</v>
      </c>
      <c r="OP23" s="24">
        <v>50</v>
      </c>
      <c r="OQ23" s="24">
        <v>1</v>
      </c>
      <c r="OR23" s="24">
        <v>0.37</v>
      </c>
      <c r="OS23" s="24">
        <v>4</v>
      </c>
      <c r="OT23" s="24">
        <v>50</v>
      </c>
      <c r="OU23" s="24">
        <v>1</v>
      </c>
      <c r="OV23" s="24">
        <v>0.37</v>
      </c>
      <c r="OW23" s="24">
        <v>6</v>
      </c>
      <c r="OX23" s="24">
        <v>60</v>
      </c>
      <c r="OY23" s="24">
        <v>12</v>
      </c>
      <c r="OZ23" s="24">
        <f t="shared" ref="OZ23:OZ29" si="11">0.65+0.13</f>
        <v>0.78</v>
      </c>
      <c r="PA23" s="24">
        <v>3</v>
      </c>
      <c r="PB23" s="24">
        <v>60</v>
      </c>
      <c r="PC23" s="24">
        <v>4</v>
      </c>
      <c r="PD23" s="24">
        <v>0.26</v>
      </c>
      <c r="PE23" s="24">
        <v>1</v>
      </c>
      <c r="PF23" s="24">
        <v>70</v>
      </c>
      <c r="PG23" s="24">
        <v>4</v>
      </c>
      <c r="PH23" s="24">
        <v>0.39</v>
      </c>
      <c r="PI23" s="24">
        <v>1</v>
      </c>
      <c r="PJ23" s="24">
        <v>60</v>
      </c>
      <c r="PK23" s="24">
        <v>2</v>
      </c>
      <c r="PL23" s="24">
        <v>0.13</v>
      </c>
      <c r="PM23" s="24">
        <v>6</v>
      </c>
      <c r="PN23" s="24">
        <v>50</v>
      </c>
      <c r="PO23" s="24">
        <v>1</v>
      </c>
      <c r="PP23" s="24">
        <v>0.83</v>
      </c>
      <c r="PQ23" s="24">
        <v>6</v>
      </c>
      <c r="PR23" s="27">
        <v>5.1100000000000003</v>
      </c>
      <c r="PS23" s="27">
        <v>1</v>
      </c>
      <c r="PT23" s="27">
        <v>1</v>
      </c>
      <c r="PU23" s="27"/>
      <c r="PV23" s="27">
        <f t="shared" ref="PV23:PV29" si="12">0.18*2</f>
        <v>0.36</v>
      </c>
      <c r="PW23" s="27">
        <v>2</v>
      </c>
      <c r="PX23" s="27"/>
      <c r="PY23" s="27">
        <f t="shared" ref="PY23:PY29" si="13">0.75+1.53+2.04+1</f>
        <v>5.32</v>
      </c>
      <c r="PZ23" s="27"/>
      <c r="QA23" s="27"/>
      <c r="QB23" s="27"/>
      <c r="QC23" s="27">
        <v>2.17</v>
      </c>
      <c r="QD23" s="27">
        <v>2.1800000000000002</v>
      </c>
      <c r="QE23" s="27"/>
      <c r="QF23" s="27"/>
      <c r="QG23" s="27">
        <v>0</v>
      </c>
      <c r="QH23" s="27">
        <v>0</v>
      </c>
      <c r="QI23" s="27">
        <v>0</v>
      </c>
      <c r="QJ23" s="24">
        <v>0</v>
      </c>
      <c r="QK23" s="24" t="s">
        <v>312</v>
      </c>
      <c r="QL23" s="24">
        <v>40</v>
      </c>
      <c r="QM23" s="27">
        <v>90.5</v>
      </c>
      <c r="QN23" s="27">
        <v>83.4</v>
      </c>
      <c r="QO23" s="27">
        <v>24.1</v>
      </c>
      <c r="QP23" s="24">
        <v>65.22</v>
      </c>
      <c r="QQ23" s="24">
        <v>0</v>
      </c>
      <c r="QR23" s="24">
        <v>0</v>
      </c>
      <c r="QS23" s="24">
        <v>0</v>
      </c>
      <c r="QT23" s="24">
        <v>27.95</v>
      </c>
      <c r="QU23" s="24">
        <v>0</v>
      </c>
      <c r="QV23" s="24">
        <v>0</v>
      </c>
      <c r="QW23" s="24">
        <v>0</v>
      </c>
      <c r="QX23" s="24">
        <v>0</v>
      </c>
      <c r="QY23" s="24">
        <v>0</v>
      </c>
      <c r="QZ23" s="24">
        <v>0</v>
      </c>
      <c r="RA23" s="24">
        <v>0.5</v>
      </c>
      <c r="RB23" s="24">
        <v>25.43</v>
      </c>
      <c r="RC23" s="24">
        <v>28.69</v>
      </c>
      <c r="RD23" s="24">
        <v>8.32</v>
      </c>
      <c r="RE23" s="24">
        <v>6.81</v>
      </c>
      <c r="RF23" s="24">
        <v>5.3</v>
      </c>
      <c r="RG23" s="24">
        <v>1</v>
      </c>
      <c r="RH23" s="24">
        <v>5</v>
      </c>
      <c r="RJ23" s="24">
        <v>1</v>
      </c>
      <c r="RT23" s="24">
        <v>3.5</v>
      </c>
      <c r="RU23" s="24">
        <v>0</v>
      </c>
      <c r="SF23" s="28"/>
      <c r="SX23" s="24">
        <v>1</v>
      </c>
      <c r="SY23" s="24">
        <v>50</v>
      </c>
      <c r="SZ23" s="24">
        <v>9</v>
      </c>
      <c r="TA23" s="24">
        <f t="shared" ref="TA23:TA29" si="14">0.9+0.72+0.92+0.73+0.32</f>
        <v>3.59</v>
      </c>
      <c r="TB23" s="24">
        <v>3</v>
      </c>
      <c r="TC23" s="24">
        <v>70</v>
      </c>
      <c r="TD23" s="24">
        <v>12</v>
      </c>
      <c r="TE23" s="24">
        <f t="shared" ref="TE23:TE29" si="15">0.72+0.73+0.65</f>
        <v>2.1</v>
      </c>
      <c r="TF23" s="24">
        <v>3</v>
      </c>
      <c r="TG23" s="24">
        <v>60</v>
      </c>
      <c r="TH23" s="24">
        <v>2</v>
      </c>
      <c r="TI23" s="24">
        <v>0.13</v>
      </c>
      <c r="TJ23" s="24">
        <v>3</v>
      </c>
      <c r="TK23" s="24">
        <v>50</v>
      </c>
      <c r="TL23" s="24">
        <v>1</v>
      </c>
      <c r="TM23" s="24">
        <v>0.83</v>
      </c>
      <c r="TN23" s="24">
        <v>6</v>
      </c>
      <c r="TO23" s="24">
        <v>60</v>
      </c>
      <c r="TP23" s="24">
        <v>1</v>
      </c>
      <c r="TQ23" s="24">
        <v>0.13</v>
      </c>
      <c r="TR23" s="24">
        <v>6</v>
      </c>
      <c r="TS23" s="24">
        <v>70</v>
      </c>
      <c r="TT23" s="24">
        <v>1</v>
      </c>
      <c r="TU23" s="24">
        <v>0.39</v>
      </c>
      <c r="TV23" s="24">
        <v>1</v>
      </c>
      <c r="TW23" s="24">
        <v>50</v>
      </c>
      <c r="TX23" s="24">
        <v>2</v>
      </c>
      <c r="TY23" s="24">
        <f t="shared" ref="TY23:TY29" si="16">0.36+0.37</f>
        <v>0.73</v>
      </c>
      <c r="TZ23" s="24">
        <v>4</v>
      </c>
      <c r="UI23" s="27">
        <v>3.9</v>
      </c>
      <c r="UJ23" s="27">
        <v>1</v>
      </c>
      <c r="UK23" s="27">
        <v>1</v>
      </c>
      <c r="UL23" s="27"/>
      <c r="UM23" s="27">
        <f t="shared" ref="UM23:UM29" si="17">1.53+0.75+0.18*2</f>
        <v>2.64</v>
      </c>
      <c r="UN23" s="27">
        <v>2</v>
      </c>
      <c r="UO23" s="27"/>
      <c r="UP23" s="27">
        <f t="shared" ref="UP23:UP29" si="18">3.06+1.5</f>
        <v>4.5600000000000005</v>
      </c>
      <c r="UQ23" s="27"/>
      <c r="UR23" s="27"/>
      <c r="US23" s="27"/>
      <c r="UT23" s="27">
        <v>3</v>
      </c>
      <c r="UU23" s="27">
        <v>2.19</v>
      </c>
      <c r="UV23" s="27"/>
      <c r="UW23" s="27"/>
      <c r="UX23" s="27">
        <v>0</v>
      </c>
      <c r="UY23" s="27">
        <v>0</v>
      </c>
      <c r="UZ23" s="27">
        <v>0</v>
      </c>
      <c r="VA23" s="24">
        <v>0</v>
      </c>
      <c r="VB23" s="24" t="s">
        <v>313</v>
      </c>
      <c r="VC23" s="24">
        <v>39</v>
      </c>
      <c r="VD23" s="27">
        <v>80.900000000000006</v>
      </c>
      <c r="VE23" s="27">
        <v>83.4</v>
      </c>
      <c r="VF23" s="27">
        <v>19.3</v>
      </c>
      <c r="VG23" s="24">
        <v>75.959999999999994</v>
      </c>
      <c r="VH23" s="24">
        <v>0</v>
      </c>
      <c r="VI23" s="24">
        <v>3.12</v>
      </c>
      <c r="VJ23" s="24">
        <v>0</v>
      </c>
      <c r="VK23" s="24">
        <v>20.93</v>
      </c>
      <c r="VL23" s="24">
        <v>0</v>
      </c>
      <c r="VM23" s="24">
        <v>0</v>
      </c>
      <c r="VN23" s="24">
        <v>0</v>
      </c>
      <c r="VO23" s="24">
        <v>0</v>
      </c>
      <c r="VP23" s="24">
        <v>0</v>
      </c>
      <c r="VQ23" s="24">
        <v>0</v>
      </c>
      <c r="VR23" s="24">
        <v>5.32</v>
      </c>
      <c r="VS23" s="24">
        <v>30.75</v>
      </c>
      <c r="VT23" s="24">
        <v>28.21</v>
      </c>
      <c r="VU23" s="24">
        <v>4.22</v>
      </c>
      <c r="VV23" s="24">
        <v>0</v>
      </c>
      <c r="VW23" s="24">
        <v>0</v>
      </c>
      <c r="VX23" s="24">
        <v>0</v>
      </c>
      <c r="WK23" s="24">
        <v>15.8</v>
      </c>
      <c r="WL23" s="24">
        <v>1</v>
      </c>
      <c r="WM23" s="24">
        <v>35</v>
      </c>
      <c r="WN23" s="24">
        <v>4</v>
      </c>
      <c r="WO23" s="24">
        <f t="shared" ref="WO23:WO29" si="19">0.73*4</f>
        <v>2.92</v>
      </c>
      <c r="WP23" s="24">
        <v>3</v>
      </c>
      <c r="WQ23" s="24">
        <v>23</v>
      </c>
      <c r="WR23" s="24">
        <v>1</v>
      </c>
      <c r="WS23" s="24">
        <v>0.06</v>
      </c>
      <c r="WT23" s="24">
        <v>3</v>
      </c>
      <c r="WW23" s="28"/>
      <c r="XO23" s="24">
        <v>1</v>
      </c>
      <c r="XP23" s="24">
        <v>60</v>
      </c>
      <c r="XQ23" s="24">
        <v>1</v>
      </c>
      <c r="XR23" s="24">
        <v>0.73</v>
      </c>
      <c r="XS23" s="24">
        <v>3</v>
      </c>
      <c r="XT23" s="24">
        <v>50</v>
      </c>
      <c r="XU23" s="24">
        <v>1</v>
      </c>
      <c r="XV23" s="24">
        <v>0.73</v>
      </c>
      <c r="XW23" s="24">
        <v>1</v>
      </c>
      <c r="XX23" s="24">
        <v>40</v>
      </c>
      <c r="XY23" s="24">
        <v>1</v>
      </c>
      <c r="XZ23" s="24">
        <v>0.73</v>
      </c>
      <c r="YA23" s="24">
        <v>6</v>
      </c>
      <c r="YB23" s="24">
        <v>50</v>
      </c>
      <c r="YC23" s="24">
        <v>1</v>
      </c>
      <c r="YD23" s="24">
        <v>0.19</v>
      </c>
      <c r="YE23" s="24">
        <v>3</v>
      </c>
      <c r="YF23" s="24">
        <v>70</v>
      </c>
      <c r="YG23" s="24">
        <v>3</v>
      </c>
      <c r="YH23" s="24">
        <v>0.57999999999999996</v>
      </c>
      <c r="YI23" s="24">
        <v>3</v>
      </c>
      <c r="YJ23" s="24">
        <v>50</v>
      </c>
      <c r="YK23" s="24">
        <v>1</v>
      </c>
      <c r="YL23" s="24">
        <v>0.28999999999999998</v>
      </c>
      <c r="YM23" s="24">
        <v>6</v>
      </c>
      <c r="YZ23" s="27">
        <v>0</v>
      </c>
      <c r="ZA23" s="27">
        <v>0</v>
      </c>
      <c r="ZB23" s="27"/>
      <c r="ZC23" s="27"/>
      <c r="ZD23" s="27"/>
      <c r="ZE23" s="27"/>
      <c r="ZF23" s="27"/>
      <c r="ZG23" s="27"/>
      <c r="ZH23" s="27"/>
      <c r="ZI23" s="27"/>
      <c r="ZJ23" s="27"/>
      <c r="ZK23" s="27">
        <v>0.26</v>
      </c>
      <c r="ZL23" s="27">
        <v>0.26</v>
      </c>
      <c r="ZM23" s="27"/>
      <c r="ZN23" s="27"/>
      <c r="ZO23" s="27">
        <v>3.6</v>
      </c>
      <c r="ZP23" s="27">
        <v>0.88</v>
      </c>
      <c r="ZQ23" s="27">
        <v>0</v>
      </c>
      <c r="ZR23" s="24">
        <v>0</v>
      </c>
      <c r="ZS23" s="24" t="s">
        <v>314</v>
      </c>
      <c r="ZT23" s="24">
        <v>36</v>
      </c>
      <c r="ZU23" s="27">
        <v>71.400000000000006</v>
      </c>
      <c r="ZV23" s="27">
        <v>83.4</v>
      </c>
      <c r="ZW23" s="27">
        <v>17.2</v>
      </c>
      <c r="ZX23" s="24">
        <v>79.88</v>
      </c>
      <c r="ZY23" s="24">
        <v>0</v>
      </c>
      <c r="ZZ23" s="24">
        <v>3.12</v>
      </c>
      <c r="AAA23" s="24">
        <v>0</v>
      </c>
      <c r="AAB23" s="24">
        <v>17</v>
      </c>
      <c r="AAC23" s="24">
        <v>0</v>
      </c>
      <c r="AAD23" s="24">
        <v>0</v>
      </c>
      <c r="AAE23" s="24">
        <v>0</v>
      </c>
      <c r="AAF23" s="24">
        <v>0</v>
      </c>
      <c r="AAG23" s="24">
        <v>0</v>
      </c>
      <c r="AAH23" s="24">
        <v>0</v>
      </c>
      <c r="AAI23" s="24">
        <v>5.32</v>
      </c>
      <c r="AAJ23" s="24">
        <v>31.86</v>
      </c>
      <c r="AAK23" s="24">
        <v>24.1</v>
      </c>
      <c r="AAL23" s="24">
        <v>2.02</v>
      </c>
      <c r="AAM23" s="24">
        <v>0</v>
      </c>
      <c r="AAN23" s="24">
        <v>0</v>
      </c>
      <c r="AAO23" s="24">
        <v>0</v>
      </c>
      <c r="ABB23" s="24">
        <v>15.1</v>
      </c>
      <c r="ABC23" s="24">
        <v>1</v>
      </c>
      <c r="ABD23" s="24">
        <v>35</v>
      </c>
      <c r="ABE23" s="24">
        <v>4</v>
      </c>
      <c r="ABF23" s="24">
        <f t="shared" ref="ABF23:ABF29" si="20">0.73*4</f>
        <v>2.92</v>
      </c>
      <c r="ABG23" s="24">
        <v>3</v>
      </c>
      <c r="ABN23" s="28"/>
      <c r="ACF23" s="24">
        <v>1</v>
      </c>
      <c r="ACG23" s="24">
        <v>50</v>
      </c>
      <c r="ACH23" s="24">
        <v>2</v>
      </c>
      <c r="ACI23" s="24">
        <f t="shared" ref="ACI23:ACI29" si="21">0.73+0.19</f>
        <v>0.91999999999999993</v>
      </c>
      <c r="ACJ23" s="24">
        <v>3</v>
      </c>
      <c r="ACK23" s="24">
        <v>50</v>
      </c>
      <c r="ACL23" s="24">
        <v>1</v>
      </c>
      <c r="ACM23" s="24">
        <v>0.73</v>
      </c>
      <c r="ACN23" s="24">
        <v>1</v>
      </c>
      <c r="ACO23" s="24">
        <v>70</v>
      </c>
      <c r="ACP23" s="24">
        <v>3</v>
      </c>
      <c r="ACQ23" s="24">
        <v>0.57999999999999996</v>
      </c>
      <c r="ACR23" s="24">
        <v>3</v>
      </c>
      <c r="ACS23" s="24">
        <v>40</v>
      </c>
      <c r="ACT23" s="24">
        <v>1</v>
      </c>
      <c r="ACU23" s="24">
        <v>1.65</v>
      </c>
      <c r="ACV23" s="24">
        <v>6</v>
      </c>
      <c r="ADQ23" s="27">
        <v>0</v>
      </c>
      <c r="ADR23" s="27">
        <v>0</v>
      </c>
      <c r="ADS23" s="27"/>
      <c r="ADT23" s="27"/>
      <c r="ADU23" s="27"/>
      <c r="ADV23" s="27"/>
      <c r="ADW23" s="27"/>
      <c r="ADX23" s="27"/>
      <c r="ADY23" s="27"/>
      <c r="ADZ23" s="27"/>
      <c r="AEA23" s="27"/>
      <c r="AEB23" s="27">
        <v>0</v>
      </c>
      <c r="AEC23" s="27">
        <v>0</v>
      </c>
      <c r="AED23" s="27"/>
      <c r="AEE23" s="27"/>
      <c r="AEF23" s="27">
        <v>3.6</v>
      </c>
      <c r="AEG23" s="27">
        <v>0.88</v>
      </c>
      <c r="AEH23" s="27">
        <v>0</v>
      </c>
      <c r="AEI23" s="24">
        <v>0</v>
      </c>
      <c r="AEJ23" s="24" t="s">
        <v>315</v>
      </c>
      <c r="AEK23" s="24">
        <v>38.5</v>
      </c>
      <c r="AEL23" s="27">
        <v>90.6</v>
      </c>
      <c r="AEM23" s="27">
        <v>83.4</v>
      </c>
      <c r="AEN23" s="27">
        <v>29.4</v>
      </c>
      <c r="AEO23" s="24">
        <v>59.08</v>
      </c>
      <c r="AEP23" s="24">
        <v>0</v>
      </c>
      <c r="AEQ23" s="24">
        <v>0</v>
      </c>
      <c r="AER23" s="24">
        <v>0</v>
      </c>
      <c r="AES23" s="24">
        <v>40.92</v>
      </c>
      <c r="AET23" s="24">
        <v>0</v>
      </c>
      <c r="AEU23" s="24">
        <v>0</v>
      </c>
      <c r="AEV23" s="24">
        <v>0</v>
      </c>
      <c r="AEW23" s="24">
        <v>0</v>
      </c>
      <c r="AEX23" s="24">
        <v>0</v>
      </c>
      <c r="AEY23" s="24">
        <v>0</v>
      </c>
      <c r="AEZ23" s="24">
        <v>3.67</v>
      </c>
      <c r="AFA23" s="24">
        <v>24.93</v>
      </c>
      <c r="AFB23" s="24">
        <v>39.44</v>
      </c>
      <c r="AFC23" s="24">
        <v>8.51</v>
      </c>
      <c r="AFD23" s="24">
        <v>0</v>
      </c>
      <c r="AFE23" s="24">
        <v>0</v>
      </c>
      <c r="AFF23" s="24">
        <v>0</v>
      </c>
      <c r="AFS23" s="24">
        <v>3.7</v>
      </c>
      <c r="AFT23" s="24">
        <v>1</v>
      </c>
      <c r="AFU23" s="24">
        <v>34</v>
      </c>
      <c r="AFV23" s="24">
        <v>2</v>
      </c>
      <c r="AFW23" s="24">
        <f t="shared" ref="AFW23:AFW29" si="22">4.05</f>
        <v>4.05</v>
      </c>
      <c r="AFX23" s="24">
        <v>1</v>
      </c>
      <c r="AGE23" s="28"/>
      <c r="AGW23" s="24">
        <v>1</v>
      </c>
      <c r="AGX23" s="24">
        <v>50</v>
      </c>
      <c r="AGY23" s="24">
        <v>2</v>
      </c>
      <c r="AGZ23" s="24">
        <f t="shared" ref="AGZ23:AGZ29" si="23">0.73*2</f>
        <v>1.46</v>
      </c>
      <c r="AHA23" s="24">
        <v>6</v>
      </c>
      <c r="AIH23" s="27">
        <v>4.96</v>
      </c>
      <c r="AII23" s="27">
        <v>1</v>
      </c>
      <c r="AIJ23" s="27">
        <v>2</v>
      </c>
      <c r="AIK23" s="27"/>
      <c r="AIL23" s="27">
        <f t="shared" ref="AIL23:AIL29" si="24">7.34*2+0.65*4</f>
        <v>17.28</v>
      </c>
      <c r="AIM23" s="27"/>
      <c r="AIN23" s="27"/>
      <c r="AIO23" s="27"/>
      <c r="AIP23" s="27"/>
      <c r="AIQ23" s="27"/>
      <c r="AIR23" s="27"/>
      <c r="AIS23" s="27">
        <v>0.19</v>
      </c>
      <c r="AIT23" s="27">
        <v>0.19</v>
      </c>
      <c r="AIU23" s="27"/>
      <c r="AIV23" s="27"/>
      <c r="AIW23" s="27">
        <v>0</v>
      </c>
      <c r="AIX23" s="27">
        <v>0</v>
      </c>
      <c r="AIY23" s="27">
        <v>0</v>
      </c>
      <c r="AIZ23" s="24">
        <v>0</v>
      </c>
      <c r="AJA23" s="24" t="s">
        <v>316</v>
      </c>
      <c r="AJB23" s="24">
        <v>36</v>
      </c>
      <c r="AJC23" s="27">
        <v>94.1</v>
      </c>
      <c r="AJD23" s="27">
        <v>83.4</v>
      </c>
      <c r="AJE23" s="27">
        <v>25.8</v>
      </c>
      <c r="AJF23" s="24">
        <v>60.57</v>
      </c>
      <c r="AJG23" s="24">
        <v>0</v>
      </c>
      <c r="AJH23" s="24">
        <v>0</v>
      </c>
      <c r="AJI23" s="24">
        <v>0</v>
      </c>
      <c r="AJJ23" s="24">
        <v>39.43</v>
      </c>
      <c r="AJK23" s="24">
        <v>0</v>
      </c>
      <c r="AJL23" s="24">
        <v>0</v>
      </c>
      <c r="AJM23" s="24">
        <v>0</v>
      </c>
      <c r="AJN23" s="24">
        <v>0</v>
      </c>
      <c r="AJO23" s="24">
        <v>0</v>
      </c>
      <c r="AJP23" s="24">
        <v>0</v>
      </c>
      <c r="AJQ23" s="24">
        <v>0</v>
      </c>
      <c r="AJR23" s="24">
        <v>30.64</v>
      </c>
      <c r="AJS23" s="24">
        <v>37.97</v>
      </c>
      <c r="AJT23" s="24">
        <v>4.59</v>
      </c>
      <c r="AJU23" s="24">
        <v>0</v>
      </c>
      <c r="AJV23" s="24">
        <v>0</v>
      </c>
      <c r="AJW23" s="24">
        <v>0</v>
      </c>
      <c r="AKJ23" s="24">
        <v>4.8</v>
      </c>
      <c r="AKK23" s="24">
        <v>0</v>
      </c>
      <c r="AKV23" s="28"/>
      <c r="ALN23" s="24">
        <v>1</v>
      </c>
      <c r="ALO23" s="24">
        <v>50</v>
      </c>
      <c r="ALP23" s="24">
        <v>3</v>
      </c>
      <c r="ALQ23" s="24">
        <f t="shared" ref="ALQ23:ALQ29" si="25">0.73*3</f>
        <v>2.19</v>
      </c>
      <c r="ALR23" s="24">
        <v>6</v>
      </c>
    </row>
    <row r="24" spans="1:1018" x14ac:dyDescent="0.2">
      <c r="A24" s="22" t="s">
        <v>334</v>
      </c>
      <c r="B24" s="23">
        <v>42899</v>
      </c>
      <c r="C24" s="24">
        <v>2</v>
      </c>
      <c r="D24" s="25">
        <v>42853</v>
      </c>
      <c r="E24" s="23">
        <v>30776</v>
      </c>
      <c r="F24" s="14">
        <f t="shared" si="0"/>
        <v>33.190965092402465</v>
      </c>
      <c r="G24" s="14">
        <f t="shared" si="1"/>
        <v>0.12594113620807665</v>
      </c>
      <c r="H24" s="21" t="s">
        <v>306</v>
      </c>
      <c r="I24" s="21" t="s">
        <v>307</v>
      </c>
      <c r="J24" s="21" t="s">
        <v>181</v>
      </c>
      <c r="K24" s="21">
        <v>4</v>
      </c>
      <c r="L24" s="26">
        <v>75</v>
      </c>
      <c r="M24" s="24">
        <v>1.75</v>
      </c>
      <c r="N24" s="27">
        <f t="shared" si="2"/>
        <v>24.489795918367346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6">
        <v>0</v>
      </c>
      <c r="V24" s="26">
        <v>0</v>
      </c>
      <c r="W24" s="26">
        <v>1</v>
      </c>
      <c r="X24" s="26">
        <v>0</v>
      </c>
      <c r="Y24" s="26">
        <v>1</v>
      </c>
      <c r="Z24" s="26">
        <v>1</v>
      </c>
      <c r="AA24" s="26">
        <v>60</v>
      </c>
      <c r="AB24" s="26" t="s">
        <v>335</v>
      </c>
      <c r="AC24" s="26">
        <v>0</v>
      </c>
      <c r="AD24" s="26">
        <v>0</v>
      </c>
      <c r="AE24" s="26">
        <v>0</v>
      </c>
      <c r="AF24" s="26">
        <v>0</v>
      </c>
      <c r="AG24" s="26">
        <v>0</v>
      </c>
      <c r="AH24" s="26">
        <v>0</v>
      </c>
      <c r="AI24" s="26">
        <v>0</v>
      </c>
      <c r="AJ24" s="26">
        <v>0</v>
      </c>
      <c r="AK24" s="26">
        <v>0</v>
      </c>
      <c r="AL24" s="26">
        <v>0</v>
      </c>
      <c r="AM24" s="26">
        <v>0</v>
      </c>
      <c r="AN24" s="26">
        <v>0</v>
      </c>
      <c r="AO24" s="26">
        <v>0</v>
      </c>
      <c r="AP24" s="26">
        <v>0</v>
      </c>
      <c r="AQ24" s="26">
        <v>0</v>
      </c>
      <c r="AR24" s="26">
        <v>0</v>
      </c>
      <c r="AS24" s="26">
        <v>1</v>
      </c>
      <c r="AT24" s="26">
        <v>0</v>
      </c>
      <c r="AU24" s="26">
        <v>0</v>
      </c>
      <c r="AV24" s="26">
        <v>0</v>
      </c>
      <c r="AW24" s="26">
        <v>0</v>
      </c>
      <c r="AX24" s="26">
        <v>0</v>
      </c>
      <c r="AY24" s="26">
        <v>0</v>
      </c>
      <c r="AZ24" s="26">
        <v>0</v>
      </c>
      <c r="BA24" s="26">
        <v>0</v>
      </c>
      <c r="BB24" s="26">
        <v>0</v>
      </c>
      <c r="BC24" s="26">
        <v>0</v>
      </c>
      <c r="BD24" s="26">
        <v>0</v>
      </c>
      <c r="BE24" s="26">
        <v>0</v>
      </c>
      <c r="BF24" s="26">
        <v>0</v>
      </c>
      <c r="BG24" s="26">
        <v>0</v>
      </c>
      <c r="BH24" s="26">
        <v>0</v>
      </c>
      <c r="BI24" s="26">
        <v>0</v>
      </c>
      <c r="BJ24" s="26">
        <v>0</v>
      </c>
      <c r="BK24" s="26">
        <v>0</v>
      </c>
      <c r="BL24" s="26">
        <v>0</v>
      </c>
      <c r="BM24" s="26">
        <v>0</v>
      </c>
      <c r="BN24" s="26">
        <v>0</v>
      </c>
      <c r="BO24" s="26">
        <v>0</v>
      </c>
      <c r="BP24" s="26">
        <v>0</v>
      </c>
      <c r="BQ24" s="26">
        <v>0</v>
      </c>
      <c r="BR24" s="26">
        <v>2</v>
      </c>
      <c r="BS24" s="26">
        <v>2</v>
      </c>
      <c r="BT24" s="26">
        <v>3</v>
      </c>
      <c r="BU24" s="26"/>
      <c r="BV24" s="26">
        <v>3</v>
      </c>
      <c r="BW24" s="26">
        <v>3</v>
      </c>
      <c r="BX24" s="26">
        <v>3</v>
      </c>
      <c r="BY24" s="26">
        <v>4</v>
      </c>
      <c r="BZ24" s="26">
        <v>4</v>
      </c>
      <c r="CA24" s="26">
        <v>5</v>
      </c>
      <c r="CB24" s="26">
        <v>5</v>
      </c>
      <c r="CC24" s="26">
        <v>5</v>
      </c>
      <c r="CD24" s="26">
        <v>4</v>
      </c>
      <c r="CE24" s="26">
        <v>5</v>
      </c>
      <c r="CF24" s="26">
        <v>5</v>
      </c>
      <c r="CG24" s="26">
        <v>5</v>
      </c>
      <c r="CH24" s="26">
        <v>4</v>
      </c>
      <c r="CI24" s="26">
        <v>5</v>
      </c>
      <c r="CJ24" s="26">
        <v>5</v>
      </c>
      <c r="CK24" s="26">
        <v>8</v>
      </c>
      <c r="CL24" s="24" t="s">
        <v>309</v>
      </c>
      <c r="CM24" s="24">
        <v>31</v>
      </c>
      <c r="CN24" s="27">
        <v>39.200000000000003</v>
      </c>
      <c r="CO24" s="27">
        <v>83.4</v>
      </c>
      <c r="CP24" s="27">
        <v>17.2</v>
      </c>
      <c r="CQ24" s="24">
        <v>85.69</v>
      </c>
      <c r="CR24" s="24">
        <v>0</v>
      </c>
      <c r="CS24" s="24">
        <v>0.39</v>
      </c>
      <c r="CT24" s="24">
        <v>0</v>
      </c>
      <c r="CU24" s="24">
        <v>13.37</v>
      </c>
      <c r="CV24" s="24">
        <v>0</v>
      </c>
      <c r="CW24" s="24">
        <v>0</v>
      </c>
      <c r="CX24" s="24">
        <v>0</v>
      </c>
      <c r="CY24" s="24">
        <v>0</v>
      </c>
      <c r="CZ24" s="24">
        <v>0</v>
      </c>
      <c r="DA24" s="24">
        <v>0</v>
      </c>
      <c r="DB24" s="24">
        <v>12.36</v>
      </c>
      <c r="DC24" s="24">
        <v>18.21</v>
      </c>
      <c r="DD24" s="24">
        <v>12.25</v>
      </c>
      <c r="DE24" s="24">
        <v>3.27</v>
      </c>
      <c r="DF24" s="24">
        <v>5.0199999999999996</v>
      </c>
      <c r="DG24" s="24">
        <v>4.8</v>
      </c>
      <c r="DH24" s="24">
        <v>1</v>
      </c>
      <c r="DI24" s="24">
        <v>5</v>
      </c>
      <c r="DK24" s="24">
        <v>2</v>
      </c>
      <c r="DL24" s="24">
        <v>3</v>
      </c>
      <c r="DN24" s="24">
        <v>1</v>
      </c>
      <c r="DU24" s="24">
        <v>2.4</v>
      </c>
      <c r="DV24" s="24">
        <v>1</v>
      </c>
      <c r="DW24" s="24">
        <v>35</v>
      </c>
      <c r="DX24" s="24">
        <v>8</v>
      </c>
      <c r="DY24" s="24">
        <f t="shared" si="3"/>
        <v>0.52</v>
      </c>
      <c r="DZ24" s="24">
        <v>3</v>
      </c>
      <c r="EA24" s="24">
        <v>23</v>
      </c>
      <c r="EB24" s="24">
        <v>2</v>
      </c>
      <c r="EC24" s="24">
        <v>0.12</v>
      </c>
      <c r="ED24" s="24">
        <v>3</v>
      </c>
      <c r="EG24" s="28"/>
      <c r="EY24" s="24">
        <v>1</v>
      </c>
      <c r="EZ24" s="24">
        <v>50</v>
      </c>
      <c r="FA24" s="24">
        <v>5</v>
      </c>
      <c r="FB24" s="24">
        <v>0.32</v>
      </c>
      <c r="FC24" s="24">
        <v>3</v>
      </c>
      <c r="GJ24" s="27">
        <v>0.43</v>
      </c>
      <c r="GK24" s="27">
        <v>1</v>
      </c>
      <c r="GL24" s="27">
        <v>1</v>
      </c>
      <c r="GM24" s="27"/>
      <c r="GN24" s="27">
        <f t="shared" si="4"/>
        <v>0.69</v>
      </c>
      <c r="GO24" s="27">
        <v>2</v>
      </c>
      <c r="GP24" s="27"/>
      <c r="GQ24" s="27">
        <f t="shared" si="5"/>
        <v>7.4</v>
      </c>
      <c r="GR24" s="27"/>
      <c r="GS24" s="27"/>
      <c r="GT24" s="27"/>
      <c r="GU24" s="27">
        <v>1.74</v>
      </c>
      <c r="GV24" s="27">
        <v>1.32</v>
      </c>
      <c r="GW24" s="27"/>
      <c r="GX24" s="27"/>
      <c r="GY24" s="27">
        <v>4.32</v>
      </c>
      <c r="GZ24" s="27">
        <v>1.2</v>
      </c>
      <c r="HA24" s="27">
        <v>0.11</v>
      </c>
      <c r="HB24" s="24">
        <v>2</v>
      </c>
      <c r="HC24" s="24" t="s">
        <v>310</v>
      </c>
      <c r="HD24" s="24">
        <v>22.5</v>
      </c>
      <c r="HE24" s="27">
        <v>20.9</v>
      </c>
      <c r="HF24" s="27">
        <v>83.4</v>
      </c>
      <c r="HG24" s="27">
        <v>11</v>
      </c>
      <c r="HH24" s="24">
        <v>91.28</v>
      </c>
      <c r="HI24" s="24">
        <v>0</v>
      </c>
      <c r="HJ24" s="24">
        <v>0</v>
      </c>
      <c r="HK24" s="24">
        <v>0</v>
      </c>
      <c r="HL24" s="24">
        <v>4.1500000000000004</v>
      </c>
      <c r="HM24" s="24">
        <v>0</v>
      </c>
      <c r="HN24" s="24">
        <v>0</v>
      </c>
      <c r="HO24" s="24">
        <v>0</v>
      </c>
      <c r="HP24" s="24">
        <v>0</v>
      </c>
      <c r="HQ24" s="24">
        <v>0</v>
      </c>
      <c r="HR24" s="24">
        <v>0</v>
      </c>
      <c r="HS24" s="24">
        <v>0.71</v>
      </c>
      <c r="HT24" s="24">
        <v>7.61</v>
      </c>
      <c r="HU24" s="24">
        <v>5.28</v>
      </c>
      <c r="HV24" s="24">
        <v>2.4700000000000002</v>
      </c>
      <c r="HW24" s="24">
        <v>4.05</v>
      </c>
      <c r="HX24" s="24">
        <v>6.1</v>
      </c>
      <c r="HY24" s="24">
        <v>1</v>
      </c>
      <c r="HZ24" s="24">
        <v>5</v>
      </c>
      <c r="IB24" s="24">
        <v>1</v>
      </c>
      <c r="IC24" s="24">
        <v>3</v>
      </c>
      <c r="IE24" s="24">
        <v>2</v>
      </c>
      <c r="IL24" s="24">
        <v>4.7</v>
      </c>
      <c r="IM24" s="24">
        <v>1</v>
      </c>
      <c r="IN24" s="24">
        <v>35</v>
      </c>
      <c r="IO24" s="24">
        <v>8</v>
      </c>
      <c r="IP24" s="24">
        <f t="shared" si="6"/>
        <v>0.51</v>
      </c>
      <c r="IQ24" s="24">
        <v>3</v>
      </c>
      <c r="IX24" s="28"/>
      <c r="JP24" s="24">
        <v>1</v>
      </c>
      <c r="JQ24" s="24">
        <v>80</v>
      </c>
      <c r="JR24" s="24">
        <v>4</v>
      </c>
      <c r="JS24" s="24">
        <v>1.28</v>
      </c>
      <c r="JT24" s="24">
        <v>3</v>
      </c>
      <c r="JU24" s="24">
        <v>60</v>
      </c>
      <c r="JV24" s="24">
        <v>3</v>
      </c>
      <c r="JW24" s="24">
        <v>0.28999999999999998</v>
      </c>
      <c r="JX24" s="24">
        <v>3</v>
      </c>
      <c r="JY24" s="24">
        <v>70</v>
      </c>
      <c r="JZ24" s="24">
        <v>4</v>
      </c>
      <c r="KA24" s="24">
        <v>0.57999999999999996</v>
      </c>
      <c r="KB24" s="24">
        <v>3</v>
      </c>
      <c r="LA24" s="27">
        <v>0.49</v>
      </c>
      <c r="LB24" s="27">
        <v>1</v>
      </c>
      <c r="LC24" s="27">
        <v>2</v>
      </c>
      <c r="LD24" s="27"/>
      <c r="LE24" s="27">
        <f t="shared" si="7"/>
        <v>0.81</v>
      </c>
      <c r="LF24" s="27"/>
      <c r="LG24" s="27"/>
      <c r="LH24" s="27"/>
      <c r="LI24" s="27"/>
      <c r="LJ24" s="27"/>
      <c r="LK24" s="27"/>
      <c r="LL24" s="27">
        <v>0</v>
      </c>
      <c r="LM24" s="27"/>
      <c r="LN24" s="27"/>
      <c r="LO24" s="27"/>
      <c r="LP24" s="27">
        <v>0</v>
      </c>
      <c r="LQ24" s="27">
        <v>0</v>
      </c>
      <c r="LR24" s="27">
        <v>0</v>
      </c>
      <c r="LS24" s="24">
        <v>0</v>
      </c>
      <c r="LT24" s="24" t="s">
        <v>311</v>
      </c>
      <c r="LU24" s="24">
        <v>52</v>
      </c>
      <c r="LV24" s="27">
        <v>87.1</v>
      </c>
      <c r="LW24" s="27">
        <v>83.4</v>
      </c>
      <c r="LX24" s="27">
        <v>31.9</v>
      </c>
      <c r="LY24" s="24">
        <v>55.25</v>
      </c>
      <c r="LZ24" s="24">
        <v>0</v>
      </c>
      <c r="MA24" s="24">
        <v>0</v>
      </c>
      <c r="MB24" s="24">
        <v>0</v>
      </c>
      <c r="MC24" s="24">
        <v>36.01</v>
      </c>
      <c r="MD24" s="24">
        <v>0</v>
      </c>
      <c r="ME24" s="24">
        <v>0</v>
      </c>
      <c r="MF24" s="24">
        <v>0</v>
      </c>
      <c r="MG24" s="24">
        <v>0</v>
      </c>
      <c r="MH24" s="24">
        <v>0</v>
      </c>
      <c r="MI24" s="24">
        <v>0</v>
      </c>
      <c r="MJ24" s="24">
        <v>1.03</v>
      </c>
      <c r="MK24" s="24">
        <v>22.5</v>
      </c>
      <c r="ML24" s="24">
        <v>29.21</v>
      </c>
      <c r="MM24" s="24">
        <v>12.38</v>
      </c>
      <c r="MN24" s="24">
        <v>8.73</v>
      </c>
      <c r="MO24" s="24">
        <v>5.3</v>
      </c>
      <c r="MP24" s="24">
        <v>1</v>
      </c>
      <c r="MQ24" s="24">
        <v>5</v>
      </c>
      <c r="MS24" s="24">
        <v>1</v>
      </c>
      <c r="NC24" s="24">
        <v>7.1</v>
      </c>
      <c r="ND24" s="24">
        <v>1</v>
      </c>
      <c r="NE24" s="24">
        <v>35</v>
      </c>
      <c r="NF24" s="24">
        <v>8</v>
      </c>
      <c r="NG24" s="24">
        <f t="shared" si="8"/>
        <v>0.51</v>
      </c>
      <c r="NH24" s="24">
        <v>3</v>
      </c>
      <c r="NO24" s="28"/>
      <c r="OG24" s="24">
        <v>1</v>
      </c>
      <c r="OH24" s="24">
        <v>50</v>
      </c>
      <c r="OI24" s="24">
        <v>7</v>
      </c>
      <c r="OJ24" s="24">
        <f t="shared" si="9"/>
        <v>1.97</v>
      </c>
      <c r="OK24" s="24">
        <v>3</v>
      </c>
      <c r="OL24" s="24">
        <v>70</v>
      </c>
      <c r="OM24" s="24">
        <v>11</v>
      </c>
      <c r="ON24" s="24">
        <f t="shared" si="10"/>
        <v>1.38</v>
      </c>
      <c r="OO24" s="24">
        <v>3</v>
      </c>
      <c r="OP24" s="24">
        <v>50</v>
      </c>
      <c r="OQ24" s="24">
        <v>1</v>
      </c>
      <c r="OR24" s="24">
        <v>0.37</v>
      </c>
      <c r="OS24" s="24">
        <v>4</v>
      </c>
      <c r="OT24" s="24">
        <v>50</v>
      </c>
      <c r="OU24" s="24">
        <v>1</v>
      </c>
      <c r="OV24" s="24">
        <v>0.37</v>
      </c>
      <c r="OW24" s="24">
        <v>6</v>
      </c>
      <c r="OX24" s="24">
        <v>60</v>
      </c>
      <c r="OY24" s="24">
        <v>12</v>
      </c>
      <c r="OZ24" s="24">
        <f t="shared" si="11"/>
        <v>0.78</v>
      </c>
      <c r="PA24" s="24">
        <v>3</v>
      </c>
      <c r="PB24" s="24">
        <v>60</v>
      </c>
      <c r="PC24" s="24">
        <v>4</v>
      </c>
      <c r="PD24" s="24">
        <v>0.26</v>
      </c>
      <c r="PE24" s="24">
        <v>1</v>
      </c>
      <c r="PF24" s="24">
        <v>70</v>
      </c>
      <c r="PG24" s="24">
        <v>4</v>
      </c>
      <c r="PH24" s="24">
        <v>0.39</v>
      </c>
      <c r="PI24" s="24">
        <v>1</v>
      </c>
      <c r="PJ24" s="24">
        <v>60</v>
      </c>
      <c r="PK24" s="24">
        <v>2</v>
      </c>
      <c r="PL24" s="24">
        <v>0.13</v>
      </c>
      <c r="PM24" s="24">
        <v>6</v>
      </c>
      <c r="PN24" s="24">
        <v>50</v>
      </c>
      <c r="PO24" s="24">
        <v>1</v>
      </c>
      <c r="PP24" s="24">
        <v>0.83</v>
      </c>
      <c r="PQ24" s="24">
        <v>6</v>
      </c>
      <c r="PR24" s="27">
        <v>5.1100000000000003</v>
      </c>
      <c r="PS24" s="27">
        <v>1</v>
      </c>
      <c r="PT24" s="27">
        <v>1</v>
      </c>
      <c r="PU24" s="27"/>
      <c r="PV24" s="27">
        <f t="shared" si="12"/>
        <v>0.36</v>
      </c>
      <c r="PW24" s="27">
        <v>2</v>
      </c>
      <c r="PX24" s="27"/>
      <c r="PY24" s="27">
        <f t="shared" si="13"/>
        <v>5.32</v>
      </c>
      <c r="PZ24" s="27"/>
      <c r="QA24" s="27"/>
      <c r="QB24" s="27"/>
      <c r="QC24" s="27">
        <v>2.17</v>
      </c>
      <c r="QD24" s="27">
        <v>2.1800000000000002</v>
      </c>
      <c r="QE24" s="27"/>
      <c r="QF24" s="27"/>
      <c r="QG24" s="27">
        <v>0</v>
      </c>
      <c r="QH24" s="27">
        <v>0</v>
      </c>
      <c r="QI24" s="27">
        <v>0</v>
      </c>
      <c r="QJ24" s="24">
        <v>0</v>
      </c>
      <c r="QK24" s="24" t="s">
        <v>312</v>
      </c>
      <c r="QL24" s="24">
        <v>40</v>
      </c>
      <c r="QM24" s="27">
        <v>90.5</v>
      </c>
      <c r="QN24" s="27">
        <v>83.4</v>
      </c>
      <c r="QO24" s="27">
        <v>24.1</v>
      </c>
      <c r="QP24" s="24">
        <v>65.22</v>
      </c>
      <c r="QQ24" s="24">
        <v>0</v>
      </c>
      <c r="QR24" s="24">
        <v>0</v>
      </c>
      <c r="QS24" s="24">
        <v>0</v>
      </c>
      <c r="QT24" s="24">
        <v>27.95</v>
      </c>
      <c r="QU24" s="24">
        <v>0</v>
      </c>
      <c r="QV24" s="24">
        <v>0</v>
      </c>
      <c r="QW24" s="24">
        <v>0</v>
      </c>
      <c r="QX24" s="24">
        <v>0</v>
      </c>
      <c r="QY24" s="24">
        <v>0</v>
      </c>
      <c r="QZ24" s="24">
        <v>0</v>
      </c>
      <c r="RA24" s="24">
        <v>0.5</v>
      </c>
      <c r="RB24" s="24">
        <v>25.43</v>
      </c>
      <c r="RC24" s="24">
        <v>28.69</v>
      </c>
      <c r="RD24" s="24">
        <v>8.32</v>
      </c>
      <c r="RE24" s="24">
        <v>6.81</v>
      </c>
      <c r="RF24" s="24">
        <v>5.3</v>
      </c>
      <c r="RG24" s="24">
        <v>1</v>
      </c>
      <c r="RH24" s="24">
        <v>5</v>
      </c>
      <c r="RJ24" s="24">
        <v>1</v>
      </c>
      <c r="RT24" s="24">
        <v>3.5</v>
      </c>
      <c r="RU24" s="24">
        <v>0</v>
      </c>
      <c r="SF24" s="28"/>
      <c r="SX24" s="24">
        <v>1</v>
      </c>
      <c r="SY24" s="24">
        <v>50</v>
      </c>
      <c r="SZ24" s="24">
        <v>9</v>
      </c>
      <c r="TA24" s="24">
        <f t="shared" si="14"/>
        <v>3.59</v>
      </c>
      <c r="TB24" s="24">
        <v>3</v>
      </c>
      <c r="TC24" s="24">
        <v>70</v>
      </c>
      <c r="TD24" s="24">
        <v>12</v>
      </c>
      <c r="TE24" s="24">
        <f t="shared" si="15"/>
        <v>2.1</v>
      </c>
      <c r="TF24" s="24">
        <v>3</v>
      </c>
      <c r="TG24" s="24">
        <v>60</v>
      </c>
      <c r="TH24" s="24">
        <v>2</v>
      </c>
      <c r="TI24" s="24">
        <v>0.13</v>
      </c>
      <c r="TJ24" s="24">
        <v>3</v>
      </c>
      <c r="TK24" s="24">
        <v>50</v>
      </c>
      <c r="TL24" s="24">
        <v>1</v>
      </c>
      <c r="TM24" s="24">
        <v>0.83</v>
      </c>
      <c r="TN24" s="24">
        <v>6</v>
      </c>
      <c r="TO24" s="24">
        <v>60</v>
      </c>
      <c r="TP24" s="24">
        <v>1</v>
      </c>
      <c r="TQ24" s="24">
        <v>0.13</v>
      </c>
      <c r="TR24" s="24">
        <v>6</v>
      </c>
      <c r="TS24" s="24">
        <v>70</v>
      </c>
      <c r="TT24" s="24">
        <v>1</v>
      </c>
      <c r="TU24" s="24">
        <v>0.39</v>
      </c>
      <c r="TV24" s="24">
        <v>1</v>
      </c>
      <c r="TW24" s="24">
        <v>50</v>
      </c>
      <c r="TX24" s="24">
        <v>2</v>
      </c>
      <c r="TY24" s="24">
        <f t="shared" si="16"/>
        <v>0.73</v>
      </c>
      <c r="TZ24" s="24">
        <v>4</v>
      </c>
      <c r="UI24" s="27">
        <v>3.9</v>
      </c>
      <c r="UJ24" s="27">
        <v>1</v>
      </c>
      <c r="UK24" s="27">
        <v>1</v>
      </c>
      <c r="UL24" s="27"/>
      <c r="UM24" s="27">
        <f t="shared" si="17"/>
        <v>2.64</v>
      </c>
      <c r="UN24" s="27">
        <v>2</v>
      </c>
      <c r="UO24" s="27"/>
      <c r="UP24" s="27">
        <f t="shared" si="18"/>
        <v>4.5600000000000005</v>
      </c>
      <c r="UQ24" s="27"/>
      <c r="UR24" s="27"/>
      <c r="US24" s="27"/>
      <c r="UT24" s="27">
        <v>3</v>
      </c>
      <c r="UU24" s="27">
        <v>2.19</v>
      </c>
      <c r="UV24" s="27"/>
      <c r="UW24" s="27"/>
      <c r="UX24" s="27">
        <v>0</v>
      </c>
      <c r="UY24" s="27">
        <v>0</v>
      </c>
      <c r="UZ24" s="27">
        <v>0</v>
      </c>
      <c r="VA24" s="24">
        <v>0</v>
      </c>
      <c r="VB24" s="24" t="s">
        <v>313</v>
      </c>
      <c r="VC24" s="24">
        <v>39</v>
      </c>
      <c r="VD24" s="27">
        <v>80.900000000000006</v>
      </c>
      <c r="VE24" s="27">
        <v>83.4</v>
      </c>
      <c r="VF24" s="27">
        <v>19.3</v>
      </c>
      <c r="VG24" s="24">
        <v>75.959999999999994</v>
      </c>
      <c r="VH24" s="24">
        <v>0</v>
      </c>
      <c r="VI24" s="24">
        <v>3.12</v>
      </c>
      <c r="VJ24" s="24">
        <v>0</v>
      </c>
      <c r="VK24" s="24">
        <v>20.93</v>
      </c>
      <c r="VL24" s="24">
        <v>0</v>
      </c>
      <c r="VM24" s="24">
        <v>0</v>
      </c>
      <c r="VN24" s="24">
        <v>0</v>
      </c>
      <c r="VO24" s="24">
        <v>0</v>
      </c>
      <c r="VP24" s="24">
        <v>0</v>
      </c>
      <c r="VQ24" s="24">
        <v>0</v>
      </c>
      <c r="VR24" s="24">
        <v>5.32</v>
      </c>
      <c r="VS24" s="24">
        <v>30.75</v>
      </c>
      <c r="VT24" s="24">
        <v>28.21</v>
      </c>
      <c r="VU24" s="24">
        <v>4.22</v>
      </c>
      <c r="VV24" s="24">
        <v>0</v>
      </c>
      <c r="VW24" s="24">
        <v>0</v>
      </c>
      <c r="VX24" s="24">
        <v>0</v>
      </c>
      <c r="WK24" s="24">
        <v>15.8</v>
      </c>
      <c r="WL24" s="24">
        <v>1</v>
      </c>
      <c r="WM24" s="24">
        <v>35</v>
      </c>
      <c r="WN24" s="24">
        <v>4</v>
      </c>
      <c r="WO24" s="24">
        <f t="shared" si="19"/>
        <v>2.92</v>
      </c>
      <c r="WP24" s="24">
        <v>3</v>
      </c>
      <c r="WQ24" s="24">
        <v>23</v>
      </c>
      <c r="WR24" s="24">
        <v>1</v>
      </c>
      <c r="WS24" s="24">
        <v>0.06</v>
      </c>
      <c r="WT24" s="24">
        <v>3</v>
      </c>
      <c r="WW24" s="28"/>
      <c r="XO24" s="24">
        <v>1</v>
      </c>
      <c r="XP24" s="24">
        <v>60</v>
      </c>
      <c r="XQ24" s="24">
        <v>1</v>
      </c>
      <c r="XR24" s="24">
        <v>0.73</v>
      </c>
      <c r="XS24" s="24">
        <v>3</v>
      </c>
      <c r="XT24" s="24">
        <v>50</v>
      </c>
      <c r="XU24" s="24">
        <v>1</v>
      </c>
      <c r="XV24" s="24">
        <v>0.73</v>
      </c>
      <c r="XW24" s="24">
        <v>1</v>
      </c>
      <c r="XX24" s="24">
        <v>40</v>
      </c>
      <c r="XY24" s="24">
        <v>1</v>
      </c>
      <c r="XZ24" s="24">
        <v>0.73</v>
      </c>
      <c r="YA24" s="24">
        <v>6</v>
      </c>
      <c r="YB24" s="24">
        <v>50</v>
      </c>
      <c r="YC24" s="24">
        <v>1</v>
      </c>
      <c r="YD24" s="24">
        <v>0.19</v>
      </c>
      <c r="YE24" s="24">
        <v>3</v>
      </c>
      <c r="YF24" s="24">
        <v>70</v>
      </c>
      <c r="YG24" s="24">
        <v>3</v>
      </c>
      <c r="YH24" s="24">
        <v>0.57999999999999996</v>
      </c>
      <c r="YI24" s="24">
        <v>3</v>
      </c>
      <c r="YJ24" s="24">
        <v>50</v>
      </c>
      <c r="YK24" s="24">
        <v>1</v>
      </c>
      <c r="YL24" s="24">
        <v>0.28999999999999998</v>
      </c>
      <c r="YM24" s="24">
        <v>6</v>
      </c>
      <c r="YZ24" s="27">
        <v>0</v>
      </c>
      <c r="ZA24" s="27">
        <v>0</v>
      </c>
      <c r="ZB24" s="27"/>
      <c r="ZC24" s="27"/>
      <c r="ZD24" s="27"/>
      <c r="ZE24" s="27"/>
      <c r="ZF24" s="27"/>
      <c r="ZG24" s="27"/>
      <c r="ZH24" s="27"/>
      <c r="ZI24" s="27"/>
      <c r="ZJ24" s="27"/>
      <c r="ZK24" s="27">
        <v>0.26</v>
      </c>
      <c r="ZL24" s="27">
        <v>0.26</v>
      </c>
      <c r="ZM24" s="27"/>
      <c r="ZN24" s="27"/>
      <c r="ZO24" s="27">
        <v>3.6</v>
      </c>
      <c r="ZP24" s="27">
        <v>0.88</v>
      </c>
      <c r="ZQ24" s="27">
        <v>0</v>
      </c>
      <c r="ZR24" s="24">
        <v>0</v>
      </c>
      <c r="ZS24" s="24" t="s">
        <v>314</v>
      </c>
      <c r="ZT24" s="24">
        <v>36</v>
      </c>
      <c r="ZU24" s="27">
        <v>71.400000000000006</v>
      </c>
      <c r="ZV24" s="27">
        <v>83.4</v>
      </c>
      <c r="ZW24" s="27">
        <v>17.2</v>
      </c>
      <c r="ZX24" s="24">
        <v>79.88</v>
      </c>
      <c r="ZY24" s="24">
        <v>0</v>
      </c>
      <c r="ZZ24" s="24">
        <v>3.12</v>
      </c>
      <c r="AAA24" s="24">
        <v>0</v>
      </c>
      <c r="AAB24" s="24">
        <v>17</v>
      </c>
      <c r="AAC24" s="24">
        <v>0</v>
      </c>
      <c r="AAD24" s="24">
        <v>0</v>
      </c>
      <c r="AAE24" s="24">
        <v>0</v>
      </c>
      <c r="AAF24" s="24">
        <v>0</v>
      </c>
      <c r="AAG24" s="24">
        <v>0</v>
      </c>
      <c r="AAH24" s="24">
        <v>0</v>
      </c>
      <c r="AAI24" s="24">
        <v>5.32</v>
      </c>
      <c r="AAJ24" s="24">
        <v>31.86</v>
      </c>
      <c r="AAK24" s="24">
        <v>24.1</v>
      </c>
      <c r="AAL24" s="24">
        <v>2.02</v>
      </c>
      <c r="AAM24" s="24">
        <v>0</v>
      </c>
      <c r="AAN24" s="24">
        <v>0</v>
      </c>
      <c r="AAO24" s="24">
        <v>0</v>
      </c>
      <c r="ABB24" s="24">
        <v>15.1</v>
      </c>
      <c r="ABC24" s="24">
        <v>1</v>
      </c>
      <c r="ABD24" s="24">
        <v>35</v>
      </c>
      <c r="ABE24" s="24">
        <v>4</v>
      </c>
      <c r="ABF24" s="24">
        <f t="shared" si="20"/>
        <v>2.92</v>
      </c>
      <c r="ABG24" s="24">
        <v>3</v>
      </c>
      <c r="ABN24" s="28"/>
      <c r="ACF24" s="24">
        <v>1</v>
      </c>
      <c r="ACG24" s="24">
        <v>50</v>
      </c>
      <c r="ACH24" s="24">
        <v>2</v>
      </c>
      <c r="ACI24" s="24">
        <f t="shared" si="21"/>
        <v>0.91999999999999993</v>
      </c>
      <c r="ACJ24" s="24">
        <v>3</v>
      </c>
      <c r="ACK24" s="24">
        <v>50</v>
      </c>
      <c r="ACL24" s="24">
        <v>1</v>
      </c>
      <c r="ACM24" s="24">
        <v>0.73</v>
      </c>
      <c r="ACN24" s="24">
        <v>1</v>
      </c>
      <c r="ACO24" s="24">
        <v>70</v>
      </c>
      <c r="ACP24" s="24">
        <v>3</v>
      </c>
      <c r="ACQ24" s="24">
        <v>0.57999999999999996</v>
      </c>
      <c r="ACR24" s="24">
        <v>3</v>
      </c>
      <c r="ACS24" s="24">
        <v>40</v>
      </c>
      <c r="ACT24" s="24">
        <v>1</v>
      </c>
      <c r="ACU24" s="24">
        <v>1.65</v>
      </c>
      <c r="ACV24" s="24">
        <v>6</v>
      </c>
      <c r="ADQ24" s="27">
        <v>0</v>
      </c>
      <c r="ADR24" s="27">
        <v>0</v>
      </c>
      <c r="ADS24" s="27"/>
      <c r="ADT24" s="27"/>
      <c r="ADU24" s="27"/>
      <c r="ADV24" s="27"/>
      <c r="ADW24" s="27"/>
      <c r="ADX24" s="27"/>
      <c r="ADY24" s="27"/>
      <c r="ADZ24" s="27"/>
      <c r="AEA24" s="27"/>
      <c r="AEB24" s="27">
        <v>0</v>
      </c>
      <c r="AEC24" s="27">
        <v>0</v>
      </c>
      <c r="AED24" s="27"/>
      <c r="AEE24" s="27"/>
      <c r="AEF24" s="27">
        <v>3.6</v>
      </c>
      <c r="AEG24" s="27">
        <v>0.88</v>
      </c>
      <c r="AEH24" s="27">
        <v>0</v>
      </c>
      <c r="AEI24" s="24">
        <v>0</v>
      </c>
      <c r="AEJ24" s="24" t="s">
        <v>315</v>
      </c>
      <c r="AEK24" s="24">
        <v>38.5</v>
      </c>
      <c r="AEL24" s="27">
        <v>90.6</v>
      </c>
      <c r="AEM24" s="27">
        <v>83.4</v>
      </c>
      <c r="AEN24" s="27">
        <v>29.4</v>
      </c>
      <c r="AEO24" s="24">
        <v>59.08</v>
      </c>
      <c r="AEP24" s="24">
        <v>0</v>
      </c>
      <c r="AEQ24" s="24">
        <v>0</v>
      </c>
      <c r="AER24" s="24">
        <v>0</v>
      </c>
      <c r="AES24" s="24">
        <v>40.92</v>
      </c>
      <c r="AET24" s="24">
        <v>0</v>
      </c>
      <c r="AEU24" s="24">
        <v>0</v>
      </c>
      <c r="AEV24" s="24">
        <v>0</v>
      </c>
      <c r="AEW24" s="24">
        <v>0</v>
      </c>
      <c r="AEX24" s="24">
        <v>0</v>
      </c>
      <c r="AEY24" s="24">
        <v>0</v>
      </c>
      <c r="AEZ24" s="24">
        <v>3.67</v>
      </c>
      <c r="AFA24" s="24">
        <v>24.93</v>
      </c>
      <c r="AFB24" s="24">
        <v>39.44</v>
      </c>
      <c r="AFC24" s="24">
        <v>8.51</v>
      </c>
      <c r="AFD24" s="24">
        <v>0</v>
      </c>
      <c r="AFE24" s="24">
        <v>0</v>
      </c>
      <c r="AFF24" s="24">
        <v>0</v>
      </c>
      <c r="AFS24" s="24">
        <v>3.7</v>
      </c>
      <c r="AFT24" s="24">
        <v>1</v>
      </c>
      <c r="AFU24" s="24">
        <v>34</v>
      </c>
      <c r="AFV24" s="24">
        <v>2</v>
      </c>
      <c r="AFW24" s="24">
        <f t="shared" si="22"/>
        <v>4.05</v>
      </c>
      <c r="AFX24" s="24">
        <v>1</v>
      </c>
      <c r="AGE24" s="28"/>
      <c r="AGW24" s="24">
        <v>1</v>
      </c>
      <c r="AGX24" s="24">
        <v>50</v>
      </c>
      <c r="AGY24" s="24">
        <v>2</v>
      </c>
      <c r="AGZ24" s="24">
        <f t="shared" si="23"/>
        <v>1.46</v>
      </c>
      <c r="AHA24" s="24">
        <v>6</v>
      </c>
      <c r="AIH24" s="27">
        <v>4.96</v>
      </c>
      <c r="AII24" s="27">
        <v>1</v>
      </c>
      <c r="AIJ24" s="27">
        <v>2</v>
      </c>
      <c r="AIK24" s="27"/>
      <c r="AIL24" s="27">
        <f t="shared" si="24"/>
        <v>17.28</v>
      </c>
      <c r="AIM24" s="27"/>
      <c r="AIN24" s="27"/>
      <c r="AIO24" s="27"/>
      <c r="AIP24" s="27"/>
      <c r="AIQ24" s="27"/>
      <c r="AIR24" s="27"/>
      <c r="AIS24" s="27">
        <v>0.19</v>
      </c>
      <c r="AIT24" s="27">
        <v>0.19</v>
      </c>
      <c r="AIU24" s="27"/>
      <c r="AIV24" s="27"/>
      <c r="AIW24" s="27">
        <v>0</v>
      </c>
      <c r="AIX24" s="27">
        <v>0</v>
      </c>
      <c r="AIY24" s="27">
        <v>0</v>
      </c>
      <c r="AIZ24" s="24">
        <v>0</v>
      </c>
      <c r="AJA24" s="24" t="s">
        <v>316</v>
      </c>
      <c r="AJB24" s="24">
        <v>36</v>
      </c>
      <c r="AJC24" s="27">
        <v>94.1</v>
      </c>
      <c r="AJD24" s="27">
        <v>83.4</v>
      </c>
      <c r="AJE24" s="27">
        <v>25.8</v>
      </c>
      <c r="AJF24" s="24">
        <v>60.57</v>
      </c>
      <c r="AJG24" s="24">
        <v>0</v>
      </c>
      <c r="AJH24" s="24">
        <v>0</v>
      </c>
      <c r="AJI24" s="24">
        <v>0</v>
      </c>
      <c r="AJJ24" s="24">
        <v>39.43</v>
      </c>
      <c r="AJK24" s="24">
        <v>0</v>
      </c>
      <c r="AJL24" s="24">
        <v>0</v>
      </c>
      <c r="AJM24" s="24">
        <v>0</v>
      </c>
      <c r="AJN24" s="24">
        <v>0</v>
      </c>
      <c r="AJO24" s="24">
        <v>0</v>
      </c>
      <c r="AJP24" s="24">
        <v>0</v>
      </c>
      <c r="AJQ24" s="24">
        <v>0</v>
      </c>
      <c r="AJR24" s="24">
        <v>30.64</v>
      </c>
      <c r="AJS24" s="24">
        <v>37.97</v>
      </c>
      <c r="AJT24" s="24">
        <v>4.59</v>
      </c>
      <c r="AJU24" s="24">
        <v>0</v>
      </c>
      <c r="AJV24" s="24">
        <v>0</v>
      </c>
      <c r="AJW24" s="24">
        <v>0</v>
      </c>
      <c r="AKJ24" s="24">
        <v>4.8</v>
      </c>
      <c r="AKK24" s="24">
        <v>0</v>
      </c>
      <c r="AKV24" s="28"/>
      <c r="ALN24" s="24">
        <v>1</v>
      </c>
      <c r="ALO24" s="24">
        <v>50</v>
      </c>
      <c r="ALP24" s="24">
        <v>3</v>
      </c>
      <c r="ALQ24" s="24">
        <f t="shared" si="25"/>
        <v>2.19</v>
      </c>
      <c r="ALR24" s="24">
        <v>6</v>
      </c>
    </row>
    <row r="25" spans="1:1018" x14ac:dyDescent="0.2">
      <c r="A25" s="22" t="s">
        <v>336</v>
      </c>
      <c r="B25" s="23">
        <v>42899</v>
      </c>
      <c r="C25" s="24">
        <v>2</v>
      </c>
      <c r="D25" s="13">
        <v>42814</v>
      </c>
      <c r="E25" s="12">
        <v>35072</v>
      </c>
      <c r="F25" s="14">
        <f t="shared" si="0"/>
        <v>21.429158110882955</v>
      </c>
      <c r="G25" s="14">
        <f t="shared" si="1"/>
        <v>0.2327173169062286</v>
      </c>
      <c r="H25" s="21" t="s">
        <v>306</v>
      </c>
      <c r="I25" s="21" t="s">
        <v>307</v>
      </c>
      <c r="J25" s="21" t="s">
        <v>181</v>
      </c>
      <c r="K25" s="21">
        <v>4</v>
      </c>
      <c r="L25" s="19">
        <v>72</v>
      </c>
      <c r="M25">
        <v>1.78</v>
      </c>
      <c r="N25" s="16">
        <f t="shared" si="2"/>
        <v>22.724403484408533</v>
      </c>
      <c r="O25" s="19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</v>
      </c>
      <c r="X25" s="19">
        <v>0</v>
      </c>
      <c r="Y25" s="19">
        <v>1</v>
      </c>
      <c r="Z25" s="19">
        <v>1</v>
      </c>
      <c r="AA25" s="19">
        <v>60</v>
      </c>
      <c r="AB25" s="19" t="s">
        <v>337</v>
      </c>
      <c r="AC25" s="19">
        <v>1</v>
      </c>
      <c r="AD25" s="19">
        <v>3</v>
      </c>
      <c r="AE25" s="19">
        <v>0</v>
      </c>
      <c r="AF25" s="19">
        <v>0</v>
      </c>
      <c r="AG25" s="19">
        <v>0</v>
      </c>
      <c r="AH25" s="19">
        <v>0</v>
      </c>
      <c r="AI25" s="19">
        <v>0</v>
      </c>
      <c r="AJ25" s="19">
        <v>0</v>
      </c>
      <c r="AK25" s="19">
        <v>0</v>
      </c>
      <c r="AL25" s="19">
        <v>0</v>
      </c>
      <c r="AM25" s="19">
        <v>0</v>
      </c>
      <c r="AN25" s="19">
        <v>0</v>
      </c>
      <c r="AO25" s="19">
        <v>0</v>
      </c>
      <c r="AP25" s="19">
        <v>0</v>
      </c>
      <c r="AQ25" s="19">
        <v>0</v>
      </c>
      <c r="AR25" s="19">
        <v>0</v>
      </c>
      <c r="AS25" s="19">
        <v>1</v>
      </c>
      <c r="AT25" s="19">
        <v>0</v>
      </c>
      <c r="AU25" s="19">
        <v>1</v>
      </c>
      <c r="AV25" s="19">
        <v>3</v>
      </c>
      <c r="AW25" s="19">
        <v>0</v>
      </c>
      <c r="AX25" s="19">
        <v>0</v>
      </c>
      <c r="AY25" s="19">
        <v>0</v>
      </c>
      <c r="AZ25" s="19">
        <v>0</v>
      </c>
      <c r="BA25" s="19">
        <v>0</v>
      </c>
      <c r="BB25" s="19">
        <v>0</v>
      </c>
      <c r="BC25" s="19">
        <v>0</v>
      </c>
      <c r="BD25" s="19">
        <v>0</v>
      </c>
      <c r="BE25" s="19">
        <v>0</v>
      </c>
      <c r="BF25" s="19">
        <v>0</v>
      </c>
      <c r="BG25" s="19">
        <v>0</v>
      </c>
      <c r="BH25" s="19">
        <v>0</v>
      </c>
      <c r="BI25" s="19">
        <v>0</v>
      </c>
      <c r="BJ25" s="19">
        <v>0</v>
      </c>
      <c r="BK25" s="19">
        <v>0</v>
      </c>
      <c r="BL25" s="19">
        <v>0</v>
      </c>
      <c r="BM25" s="19">
        <v>0</v>
      </c>
      <c r="BN25" s="19">
        <v>0</v>
      </c>
      <c r="BO25" s="19">
        <v>0</v>
      </c>
      <c r="BP25" s="19">
        <v>0</v>
      </c>
      <c r="BQ25" s="19">
        <v>0</v>
      </c>
      <c r="BR25" s="19">
        <v>1</v>
      </c>
      <c r="BS25" s="19">
        <v>2</v>
      </c>
      <c r="BT25" s="19">
        <v>3</v>
      </c>
      <c r="BU25" s="19">
        <v>5</v>
      </c>
      <c r="BV25" s="19">
        <v>3</v>
      </c>
      <c r="BW25" s="19">
        <v>3</v>
      </c>
      <c r="BX25" s="19">
        <v>3</v>
      </c>
      <c r="BY25" s="19">
        <v>4</v>
      </c>
      <c r="BZ25" s="19">
        <v>3</v>
      </c>
      <c r="CA25" s="19">
        <v>5</v>
      </c>
      <c r="CB25" s="19">
        <v>5</v>
      </c>
      <c r="CC25" s="19">
        <v>5</v>
      </c>
      <c r="CD25" s="19">
        <v>3</v>
      </c>
      <c r="CE25" s="19">
        <v>5</v>
      </c>
      <c r="CF25" s="19">
        <v>5</v>
      </c>
      <c r="CG25" s="19">
        <v>4</v>
      </c>
      <c r="CH25" s="19">
        <v>5</v>
      </c>
      <c r="CI25" s="19">
        <v>5</v>
      </c>
      <c r="CJ25" s="19">
        <v>4</v>
      </c>
      <c r="CK25" s="19">
        <v>9</v>
      </c>
      <c r="CL25" s="24" t="s">
        <v>309</v>
      </c>
      <c r="CM25" s="24">
        <v>31</v>
      </c>
      <c r="CN25" s="27">
        <v>39.200000000000003</v>
      </c>
      <c r="CO25" s="27">
        <v>83.4</v>
      </c>
      <c r="CP25" s="27">
        <v>17.2</v>
      </c>
      <c r="CQ25" s="24">
        <v>85.69</v>
      </c>
      <c r="CR25" s="24">
        <v>0</v>
      </c>
      <c r="CS25" s="24">
        <v>0.39</v>
      </c>
      <c r="CT25" s="24">
        <v>0</v>
      </c>
      <c r="CU25" s="24">
        <v>13.37</v>
      </c>
      <c r="CV25" s="24">
        <v>0</v>
      </c>
      <c r="CW25" s="24">
        <v>0</v>
      </c>
      <c r="CX25" s="24">
        <v>0</v>
      </c>
      <c r="CY25" s="24">
        <v>0</v>
      </c>
      <c r="CZ25" s="24">
        <v>0</v>
      </c>
      <c r="DA25" s="24">
        <v>0</v>
      </c>
      <c r="DB25" s="24">
        <v>12.36</v>
      </c>
      <c r="DC25" s="24">
        <v>18.21</v>
      </c>
      <c r="DD25" s="24">
        <v>12.25</v>
      </c>
      <c r="DE25" s="24">
        <v>3.27</v>
      </c>
      <c r="DF25" s="24">
        <v>5.0199999999999996</v>
      </c>
      <c r="DG25" s="24">
        <v>4.8</v>
      </c>
      <c r="DH25" s="24">
        <v>1</v>
      </c>
      <c r="DI25" s="24">
        <v>5</v>
      </c>
      <c r="DK25" s="24">
        <v>2</v>
      </c>
      <c r="DL25" s="24">
        <v>3</v>
      </c>
      <c r="DN25" s="24">
        <v>1</v>
      </c>
      <c r="DU25" s="24">
        <v>2.4</v>
      </c>
      <c r="DV25" s="24">
        <v>1</v>
      </c>
      <c r="DW25" s="24">
        <v>35</v>
      </c>
      <c r="DX25" s="24">
        <v>8</v>
      </c>
      <c r="DY25" s="24">
        <f t="shared" si="3"/>
        <v>0.52</v>
      </c>
      <c r="DZ25" s="24">
        <v>3</v>
      </c>
      <c r="EA25" s="24">
        <v>23</v>
      </c>
      <c r="EB25" s="24">
        <v>2</v>
      </c>
      <c r="EC25" s="24">
        <v>0.12</v>
      </c>
      <c r="ED25" s="24">
        <v>3</v>
      </c>
      <c r="EG25" s="28"/>
      <c r="EY25" s="24">
        <v>1</v>
      </c>
      <c r="EZ25" s="24">
        <v>50</v>
      </c>
      <c r="FA25" s="24">
        <v>5</v>
      </c>
      <c r="FB25" s="24">
        <v>0.32</v>
      </c>
      <c r="FC25" s="24">
        <v>3</v>
      </c>
      <c r="GJ25" s="27">
        <v>0.43</v>
      </c>
      <c r="GK25" s="27">
        <v>1</v>
      </c>
      <c r="GL25" s="27">
        <v>1</v>
      </c>
      <c r="GM25" s="27"/>
      <c r="GN25" s="27">
        <f t="shared" si="4"/>
        <v>0.69</v>
      </c>
      <c r="GO25" s="27">
        <v>2</v>
      </c>
      <c r="GP25" s="27"/>
      <c r="GQ25" s="27">
        <f t="shared" si="5"/>
        <v>7.4</v>
      </c>
      <c r="GR25" s="27"/>
      <c r="GS25" s="27"/>
      <c r="GT25" s="27"/>
      <c r="GU25" s="27">
        <v>1.74</v>
      </c>
      <c r="GV25" s="27">
        <v>1.32</v>
      </c>
      <c r="GW25" s="27"/>
      <c r="GX25" s="27"/>
      <c r="GY25" s="27">
        <v>4.32</v>
      </c>
      <c r="GZ25" s="27">
        <v>1.2</v>
      </c>
      <c r="HA25" s="27">
        <v>0.11</v>
      </c>
      <c r="HB25" s="24">
        <v>2</v>
      </c>
      <c r="HC25" s="24" t="s">
        <v>310</v>
      </c>
      <c r="HD25" s="24">
        <v>22.5</v>
      </c>
      <c r="HE25" s="27">
        <v>20.9</v>
      </c>
      <c r="HF25" s="27">
        <v>83.4</v>
      </c>
      <c r="HG25" s="27">
        <v>11</v>
      </c>
      <c r="HH25" s="24">
        <v>91.28</v>
      </c>
      <c r="HI25" s="24">
        <v>0</v>
      </c>
      <c r="HJ25" s="24">
        <v>0</v>
      </c>
      <c r="HK25" s="24">
        <v>0</v>
      </c>
      <c r="HL25" s="24">
        <v>4.1500000000000004</v>
      </c>
      <c r="HM25" s="24">
        <v>0</v>
      </c>
      <c r="HN25" s="24">
        <v>0</v>
      </c>
      <c r="HO25" s="24">
        <v>0</v>
      </c>
      <c r="HP25" s="24">
        <v>0</v>
      </c>
      <c r="HQ25" s="24">
        <v>0</v>
      </c>
      <c r="HR25" s="24">
        <v>0</v>
      </c>
      <c r="HS25" s="24">
        <v>0.71</v>
      </c>
      <c r="HT25" s="24">
        <v>7.61</v>
      </c>
      <c r="HU25" s="24">
        <v>5.28</v>
      </c>
      <c r="HV25" s="24">
        <v>2.4700000000000002</v>
      </c>
      <c r="HW25" s="24">
        <v>4.05</v>
      </c>
      <c r="HX25" s="24">
        <v>6.1</v>
      </c>
      <c r="HY25" s="24">
        <v>1</v>
      </c>
      <c r="HZ25" s="24">
        <v>5</v>
      </c>
      <c r="IB25" s="24">
        <v>1</v>
      </c>
      <c r="IC25" s="24">
        <v>3</v>
      </c>
      <c r="IE25" s="24">
        <v>2</v>
      </c>
      <c r="IL25" s="24">
        <v>4.7</v>
      </c>
      <c r="IM25" s="24">
        <v>1</v>
      </c>
      <c r="IN25" s="24">
        <v>35</v>
      </c>
      <c r="IO25" s="24">
        <v>8</v>
      </c>
      <c r="IP25" s="24">
        <f t="shared" si="6"/>
        <v>0.51</v>
      </c>
      <c r="IQ25" s="24">
        <v>3</v>
      </c>
      <c r="IX25" s="28"/>
      <c r="JP25" s="24">
        <v>1</v>
      </c>
      <c r="JQ25" s="24">
        <v>80</v>
      </c>
      <c r="JR25" s="24">
        <v>4</v>
      </c>
      <c r="JS25" s="24">
        <v>1.28</v>
      </c>
      <c r="JT25" s="24">
        <v>3</v>
      </c>
      <c r="JU25" s="24">
        <v>60</v>
      </c>
      <c r="JV25" s="24">
        <v>3</v>
      </c>
      <c r="JW25" s="24">
        <v>0.28999999999999998</v>
      </c>
      <c r="JX25" s="24">
        <v>3</v>
      </c>
      <c r="JY25" s="24">
        <v>70</v>
      </c>
      <c r="JZ25" s="24">
        <v>4</v>
      </c>
      <c r="KA25" s="24">
        <v>0.57999999999999996</v>
      </c>
      <c r="KB25" s="24">
        <v>3</v>
      </c>
      <c r="LA25" s="27">
        <v>0.49</v>
      </c>
      <c r="LB25" s="27">
        <v>1</v>
      </c>
      <c r="LC25" s="27">
        <v>2</v>
      </c>
      <c r="LD25" s="27"/>
      <c r="LE25" s="27">
        <f t="shared" si="7"/>
        <v>0.81</v>
      </c>
      <c r="LF25" s="27"/>
      <c r="LG25" s="27"/>
      <c r="LH25" s="27"/>
      <c r="LI25" s="27"/>
      <c r="LJ25" s="27"/>
      <c r="LK25" s="27"/>
      <c r="LL25" s="27">
        <v>0</v>
      </c>
      <c r="LM25" s="27"/>
      <c r="LN25" s="27"/>
      <c r="LO25" s="27"/>
      <c r="LP25" s="27">
        <v>0</v>
      </c>
      <c r="LQ25" s="27">
        <v>0</v>
      </c>
      <c r="LR25" s="27">
        <v>0</v>
      </c>
      <c r="LS25" s="24">
        <v>0</v>
      </c>
      <c r="LT25" s="24" t="s">
        <v>311</v>
      </c>
      <c r="LU25" s="24">
        <v>52</v>
      </c>
      <c r="LV25" s="27">
        <v>87.1</v>
      </c>
      <c r="LW25" s="27">
        <v>83.4</v>
      </c>
      <c r="LX25" s="27">
        <v>31.9</v>
      </c>
      <c r="LY25" s="24">
        <v>55.25</v>
      </c>
      <c r="LZ25" s="24">
        <v>0</v>
      </c>
      <c r="MA25" s="24">
        <v>0</v>
      </c>
      <c r="MB25" s="24">
        <v>0</v>
      </c>
      <c r="MC25" s="24">
        <v>36.01</v>
      </c>
      <c r="MD25" s="24">
        <v>0</v>
      </c>
      <c r="ME25" s="24">
        <v>0</v>
      </c>
      <c r="MF25" s="24">
        <v>0</v>
      </c>
      <c r="MG25" s="24">
        <v>0</v>
      </c>
      <c r="MH25" s="24">
        <v>0</v>
      </c>
      <c r="MI25" s="24">
        <v>0</v>
      </c>
      <c r="MJ25" s="24">
        <v>1.03</v>
      </c>
      <c r="MK25" s="24">
        <v>22.5</v>
      </c>
      <c r="ML25" s="24">
        <v>29.21</v>
      </c>
      <c r="MM25" s="24">
        <v>12.38</v>
      </c>
      <c r="MN25" s="24">
        <v>8.73</v>
      </c>
      <c r="MO25" s="24">
        <v>5.3</v>
      </c>
      <c r="MP25" s="24">
        <v>1</v>
      </c>
      <c r="MQ25" s="24">
        <v>5</v>
      </c>
      <c r="MS25" s="24">
        <v>1</v>
      </c>
      <c r="NC25" s="24">
        <v>7.1</v>
      </c>
      <c r="ND25" s="24">
        <v>1</v>
      </c>
      <c r="NE25" s="24">
        <v>35</v>
      </c>
      <c r="NF25" s="24">
        <v>8</v>
      </c>
      <c r="NG25" s="24">
        <f t="shared" si="8"/>
        <v>0.51</v>
      </c>
      <c r="NH25" s="24">
        <v>3</v>
      </c>
      <c r="NO25" s="28"/>
      <c r="OG25" s="24">
        <v>1</v>
      </c>
      <c r="OH25" s="24">
        <v>50</v>
      </c>
      <c r="OI25" s="24">
        <v>7</v>
      </c>
      <c r="OJ25" s="24">
        <f t="shared" si="9"/>
        <v>1.97</v>
      </c>
      <c r="OK25" s="24">
        <v>3</v>
      </c>
      <c r="OL25" s="24">
        <v>70</v>
      </c>
      <c r="OM25" s="24">
        <v>11</v>
      </c>
      <c r="ON25" s="24">
        <f t="shared" si="10"/>
        <v>1.38</v>
      </c>
      <c r="OO25" s="24">
        <v>3</v>
      </c>
      <c r="OP25" s="24">
        <v>50</v>
      </c>
      <c r="OQ25" s="24">
        <v>1</v>
      </c>
      <c r="OR25" s="24">
        <v>0.37</v>
      </c>
      <c r="OS25" s="24">
        <v>4</v>
      </c>
      <c r="OT25" s="24">
        <v>50</v>
      </c>
      <c r="OU25" s="24">
        <v>1</v>
      </c>
      <c r="OV25" s="24">
        <v>0.37</v>
      </c>
      <c r="OW25" s="24">
        <v>6</v>
      </c>
      <c r="OX25" s="24">
        <v>60</v>
      </c>
      <c r="OY25" s="24">
        <v>12</v>
      </c>
      <c r="OZ25" s="24">
        <f t="shared" si="11"/>
        <v>0.78</v>
      </c>
      <c r="PA25" s="24">
        <v>3</v>
      </c>
      <c r="PB25" s="24">
        <v>60</v>
      </c>
      <c r="PC25" s="24">
        <v>4</v>
      </c>
      <c r="PD25" s="24">
        <v>0.26</v>
      </c>
      <c r="PE25" s="24">
        <v>1</v>
      </c>
      <c r="PF25" s="24">
        <v>70</v>
      </c>
      <c r="PG25" s="24">
        <v>4</v>
      </c>
      <c r="PH25" s="24">
        <v>0.39</v>
      </c>
      <c r="PI25" s="24">
        <v>1</v>
      </c>
      <c r="PJ25" s="24">
        <v>60</v>
      </c>
      <c r="PK25" s="24">
        <v>2</v>
      </c>
      <c r="PL25" s="24">
        <v>0.13</v>
      </c>
      <c r="PM25" s="24">
        <v>6</v>
      </c>
      <c r="PN25" s="24">
        <v>50</v>
      </c>
      <c r="PO25" s="24">
        <v>1</v>
      </c>
      <c r="PP25" s="24">
        <v>0.83</v>
      </c>
      <c r="PQ25" s="24">
        <v>6</v>
      </c>
      <c r="PR25" s="27">
        <v>5.1100000000000003</v>
      </c>
      <c r="PS25" s="27">
        <v>1</v>
      </c>
      <c r="PT25" s="27">
        <v>1</v>
      </c>
      <c r="PU25" s="27"/>
      <c r="PV25" s="27">
        <f t="shared" si="12"/>
        <v>0.36</v>
      </c>
      <c r="PW25" s="27">
        <v>2</v>
      </c>
      <c r="PX25" s="27"/>
      <c r="PY25" s="27">
        <f t="shared" si="13"/>
        <v>5.32</v>
      </c>
      <c r="PZ25" s="27"/>
      <c r="QA25" s="27"/>
      <c r="QB25" s="27"/>
      <c r="QC25" s="27">
        <v>2.17</v>
      </c>
      <c r="QD25" s="27">
        <v>2.1800000000000002</v>
      </c>
      <c r="QE25" s="27"/>
      <c r="QF25" s="27"/>
      <c r="QG25" s="27">
        <v>0</v>
      </c>
      <c r="QH25" s="27">
        <v>0</v>
      </c>
      <c r="QI25" s="27">
        <v>0</v>
      </c>
      <c r="QJ25" s="24">
        <v>0</v>
      </c>
      <c r="QK25" s="24" t="s">
        <v>312</v>
      </c>
      <c r="QL25" s="24">
        <v>40</v>
      </c>
      <c r="QM25" s="27">
        <v>90.5</v>
      </c>
      <c r="QN25" s="27">
        <v>83.4</v>
      </c>
      <c r="QO25" s="27">
        <v>24.1</v>
      </c>
      <c r="QP25" s="24">
        <v>65.22</v>
      </c>
      <c r="QQ25" s="24">
        <v>0</v>
      </c>
      <c r="QR25" s="24">
        <v>0</v>
      </c>
      <c r="QS25" s="24">
        <v>0</v>
      </c>
      <c r="QT25" s="24">
        <v>27.95</v>
      </c>
      <c r="QU25" s="24">
        <v>0</v>
      </c>
      <c r="QV25" s="24">
        <v>0</v>
      </c>
      <c r="QW25" s="24">
        <v>0</v>
      </c>
      <c r="QX25" s="24">
        <v>0</v>
      </c>
      <c r="QY25" s="24">
        <v>0</v>
      </c>
      <c r="QZ25" s="24">
        <v>0</v>
      </c>
      <c r="RA25" s="24">
        <v>0.5</v>
      </c>
      <c r="RB25" s="24">
        <v>25.43</v>
      </c>
      <c r="RC25" s="24">
        <v>28.69</v>
      </c>
      <c r="RD25" s="24">
        <v>8.32</v>
      </c>
      <c r="RE25" s="24">
        <v>6.81</v>
      </c>
      <c r="RF25" s="24">
        <v>5.3</v>
      </c>
      <c r="RG25" s="24">
        <v>1</v>
      </c>
      <c r="RH25" s="24">
        <v>5</v>
      </c>
      <c r="RJ25" s="24">
        <v>1</v>
      </c>
      <c r="RT25" s="24">
        <v>3.5</v>
      </c>
      <c r="RU25" s="24">
        <v>0</v>
      </c>
      <c r="SF25" s="28"/>
      <c r="SX25" s="24">
        <v>1</v>
      </c>
      <c r="SY25" s="24">
        <v>50</v>
      </c>
      <c r="SZ25" s="24">
        <v>9</v>
      </c>
      <c r="TA25" s="24">
        <f t="shared" si="14"/>
        <v>3.59</v>
      </c>
      <c r="TB25" s="24">
        <v>3</v>
      </c>
      <c r="TC25" s="24">
        <v>70</v>
      </c>
      <c r="TD25" s="24">
        <v>12</v>
      </c>
      <c r="TE25" s="24">
        <f t="shared" si="15"/>
        <v>2.1</v>
      </c>
      <c r="TF25" s="24">
        <v>3</v>
      </c>
      <c r="TG25" s="24">
        <v>60</v>
      </c>
      <c r="TH25" s="24">
        <v>2</v>
      </c>
      <c r="TI25" s="24">
        <v>0.13</v>
      </c>
      <c r="TJ25" s="24">
        <v>3</v>
      </c>
      <c r="TK25" s="24">
        <v>50</v>
      </c>
      <c r="TL25" s="24">
        <v>1</v>
      </c>
      <c r="TM25" s="24">
        <v>0.83</v>
      </c>
      <c r="TN25" s="24">
        <v>6</v>
      </c>
      <c r="TO25" s="24">
        <v>60</v>
      </c>
      <c r="TP25" s="24">
        <v>1</v>
      </c>
      <c r="TQ25" s="24">
        <v>0.13</v>
      </c>
      <c r="TR25" s="24">
        <v>6</v>
      </c>
      <c r="TS25" s="24">
        <v>70</v>
      </c>
      <c r="TT25" s="24">
        <v>1</v>
      </c>
      <c r="TU25" s="24">
        <v>0.39</v>
      </c>
      <c r="TV25" s="24">
        <v>1</v>
      </c>
      <c r="TW25" s="24">
        <v>50</v>
      </c>
      <c r="TX25" s="24">
        <v>2</v>
      </c>
      <c r="TY25" s="24">
        <f t="shared" si="16"/>
        <v>0.73</v>
      </c>
      <c r="TZ25" s="24">
        <v>4</v>
      </c>
      <c r="UI25" s="27">
        <v>3.9</v>
      </c>
      <c r="UJ25" s="27">
        <v>1</v>
      </c>
      <c r="UK25" s="27">
        <v>1</v>
      </c>
      <c r="UL25" s="27"/>
      <c r="UM25" s="27">
        <f t="shared" si="17"/>
        <v>2.64</v>
      </c>
      <c r="UN25" s="27">
        <v>2</v>
      </c>
      <c r="UO25" s="27"/>
      <c r="UP25" s="27">
        <f t="shared" si="18"/>
        <v>4.5600000000000005</v>
      </c>
      <c r="UQ25" s="27"/>
      <c r="UR25" s="27"/>
      <c r="US25" s="27"/>
      <c r="UT25" s="27">
        <v>3</v>
      </c>
      <c r="UU25" s="27">
        <v>2.19</v>
      </c>
      <c r="UV25" s="27"/>
      <c r="UW25" s="27"/>
      <c r="UX25" s="27">
        <v>0</v>
      </c>
      <c r="UY25" s="27">
        <v>0</v>
      </c>
      <c r="UZ25" s="27">
        <v>0</v>
      </c>
      <c r="VA25" s="24">
        <v>0</v>
      </c>
      <c r="VB25" s="24" t="s">
        <v>313</v>
      </c>
      <c r="VC25" s="24">
        <v>39</v>
      </c>
      <c r="VD25" s="27">
        <v>80.900000000000006</v>
      </c>
      <c r="VE25" s="27">
        <v>83.4</v>
      </c>
      <c r="VF25" s="27">
        <v>19.3</v>
      </c>
      <c r="VG25" s="24">
        <v>75.959999999999994</v>
      </c>
      <c r="VH25" s="24">
        <v>0</v>
      </c>
      <c r="VI25" s="24">
        <v>3.12</v>
      </c>
      <c r="VJ25" s="24">
        <v>0</v>
      </c>
      <c r="VK25" s="24">
        <v>20.93</v>
      </c>
      <c r="VL25" s="24">
        <v>0</v>
      </c>
      <c r="VM25" s="24">
        <v>0</v>
      </c>
      <c r="VN25" s="24">
        <v>0</v>
      </c>
      <c r="VO25" s="24">
        <v>0</v>
      </c>
      <c r="VP25" s="24">
        <v>0</v>
      </c>
      <c r="VQ25" s="24">
        <v>0</v>
      </c>
      <c r="VR25" s="24">
        <v>5.32</v>
      </c>
      <c r="VS25" s="24">
        <v>30.75</v>
      </c>
      <c r="VT25" s="24">
        <v>28.21</v>
      </c>
      <c r="VU25" s="24">
        <v>4.22</v>
      </c>
      <c r="VV25" s="24">
        <v>0</v>
      </c>
      <c r="VW25" s="24">
        <v>0</v>
      </c>
      <c r="VX25" s="24">
        <v>0</v>
      </c>
      <c r="WK25" s="24">
        <v>15.8</v>
      </c>
      <c r="WL25" s="24">
        <v>1</v>
      </c>
      <c r="WM25" s="24">
        <v>35</v>
      </c>
      <c r="WN25" s="24">
        <v>4</v>
      </c>
      <c r="WO25" s="24">
        <f t="shared" si="19"/>
        <v>2.92</v>
      </c>
      <c r="WP25" s="24">
        <v>3</v>
      </c>
      <c r="WQ25" s="24">
        <v>23</v>
      </c>
      <c r="WR25" s="24">
        <v>1</v>
      </c>
      <c r="WS25" s="24">
        <v>0.06</v>
      </c>
      <c r="WT25" s="24">
        <v>3</v>
      </c>
      <c r="WW25" s="28"/>
      <c r="XO25" s="24">
        <v>1</v>
      </c>
      <c r="XP25" s="24">
        <v>60</v>
      </c>
      <c r="XQ25" s="24">
        <v>1</v>
      </c>
      <c r="XR25" s="24">
        <v>0.73</v>
      </c>
      <c r="XS25" s="24">
        <v>3</v>
      </c>
      <c r="XT25" s="24">
        <v>50</v>
      </c>
      <c r="XU25" s="24">
        <v>1</v>
      </c>
      <c r="XV25" s="24">
        <v>0.73</v>
      </c>
      <c r="XW25" s="24">
        <v>1</v>
      </c>
      <c r="XX25" s="24">
        <v>40</v>
      </c>
      <c r="XY25" s="24">
        <v>1</v>
      </c>
      <c r="XZ25" s="24">
        <v>0.73</v>
      </c>
      <c r="YA25" s="24">
        <v>6</v>
      </c>
      <c r="YB25" s="24">
        <v>50</v>
      </c>
      <c r="YC25" s="24">
        <v>1</v>
      </c>
      <c r="YD25" s="24">
        <v>0.19</v>
      </c>
      <c r="YE25" s="24">
        <v>3</v>
      </c>
      <c r="YF25" s="24">
        <v>70</v>
      </c>
      <c r="YG25" s="24">
        <v>3</v>
      </c>
      <c r="YH25" s="24">
        <v>0.57999999999999996</v>
      </c>
      <c r="YI25" s="24">
        <v>3</v>
      </c>
      <c r="YJ25" s="24">
        <v>50</v>
      </c>
      <c r="YK25" s="24">
        <v>1</v>
      </c>
      <c r="YL25" s="24">
        <v>0.28999999999999998</v>
      </c>
      <c r="YM25" s="24">
        <v>6</v>
      </c>
      <c r="YZ25" s="27">
        <v>0</v>
      </c>
      <c r="ZA25" s="27">
        <v>0</v>
      </c>
      <c r="ZB25" s="27"/>
      <c r="ZC25" s="27"/>
      <c r="ZD25" s="27"/>
      <c r="ZE25" s="27"/>
      <c r="ZF25" s="27"/>
      <c r="ZG25" s="27"/>
      <c r="ZH25" s="27"/>
      <c r="ZI25" s="27"/>
      <c r="ZJ25" s="27"/>
      <c r="ZK25" s="27">
        <v>0.26</v>
      </c>
      <c r="ZL25" s="27">
        <v>0.26</v>
      </c>
      <c r="ZM25" s="27"/>
      <c r="ZN25" s="27"/>
      <c r="ZO25" s="27">
        <v>3.6</v>
      </c>
      <c r="ZP25" s="27">
        <v>0.88</v>
      </c>
      <c r="ZQ25" s="27">
        <v>0</v>
      </c>
      <c r="ZR25" s="24">
        <v>0</v>
      </c>
      <c r="ZS25" s="24" t="s">
        <v>314</v>
      </c>
      <c r="ZT25" s="24">
        <v>36</v>
      </c>
      <c r="ZU25" s="27">
        <v>71.400000000000006</v>
      </c>
      <c r="ZV25" s="27">
        <v>83.4</v>
      </c>
      <c r="ZW25" s="27">
        <v>17.2</v>
      </c>
      <c r="ZX25" s="24">
        <v>79.88</v>
      </c>
      <c r="ZY25" s="24">
        <v>0</v>
      </c>
      <c r="ZZ25" s="24">
        <v>3.12</v>
      </c>
      <c r="AAA25" s="24">
        <v>0</v>
      </c>
      <c r="AAB25" s="24">
        <v>17</v>
      </c>
      <c r="AAC25" s="24">
        <v>0</v>
      </c>
      <c r="AAD25" s="24">
        <v>0</v>
      </c>
      <c r="AAE25" s="24">
        <v>0</v>
      </c>
      <c r="AAF25" s="24">
        <v>0</v>
      </c>
      <c r="AAG25" s="24">
        <v>0</v>
      </c>
      <c r="AAH25" s="24">
        <v>0</v>
      </c>
      <c r="AAI25" s="24">
        <v>5.32</v>
      </c>
      <c r="AAJ25" s="24">
        <v>31.86</v>
      </c>
      <c r="AAK25" s="24">
        <v>24.1</v>
      </c>
      <c r="AAL25" s="24">
        <v>2.02</v>
      </c>
      <c r="AAM25" s="24">
        <v>0</v>
      </c>
      <c r="AAN25" s="24">
        <v>0</v>
      </c>
      <c r="AAO25" s="24">
        <v>0</v>
      </c>
      <c r="ABB25" s="24">
        <v>15.1</v>
      </c>
      <c r="ABC25" s="24">
        <v>1</v>
      </c>
      <c r="ABD25" s="24">
        <v>35</v>
      </c>
      <c r="ABE25" s="24">
        <v>4</v>
      </c>
      <c r="ABF25" s="24">
        <f t="shared" si="20"/>
        <v>2.92</v>
      </c>
      <c r="ABG25" s="24">
        <v>3</v>
      </c>
      <c r="ABN25" s="28"/>
      <c r="ACF25" s="24">
        <v>1</v>
      </c>
      <c r="ACG25" s="24">
        <v>50</v>
      </c>
      <c r="ACH25" s="24">
        <v>2</v>
      </c>
      <c r="ACI25" s="24">
        <f t="shared" si="21"/>
        <v>0.91999999999999993</v>
      </c>
      <c r="ACJ25" s="24">
        <v>3</v>
      </c>
      <c r="ACK25" s="24">
        <v>50</v>
      </c>
      <c r="ACL25" s="24">
        <v>1</v>
      </c>
      <c r="ACM25" s="24">
        <v>0.73</v>
      </c>
      <c r="ACN25" s="24">
        <v>1</v>
      </c>
      <c r="ACO25" s="24">
        <v>70</v>
      </c>
      <c r="ACP25" s="24">
        <v>3</v>
      </c>
      <c r="ACQ25" s="24">
        <v>0.57999999999999996</v>
      </c>
      <c r="ACR25" s="24">
        <v>3</v>
      </c>
      <c r="ACS25" s="24">
        <v>40</v>
      </c>
      <c r="ACT25" s="24">
        <v>1</v>
      </c>
      <c r="ACU25" s="24">
        <v>1.65</v>
      </c>
      <c r="ACV25" s="24">
        <v>6</v>
      </c>
      <c r="ADQ25" s="27">
        <v>0</v>
      </c>
      <c r="ADR25" s="27">
        <v>0</v>
      </c>
      <c r="ADS25" s="27"/>
      <c r="ADT25" s="27"/>
      <c r="ADU25" s="27"/>
      <c r="ADV25" s="27"/>
      <c r="ADW25" s="27"/>
      <c r="ADX25" s="27"/>
      <c r="ADY25" s="27"/>
      <c r="ADZ25" s="27"/>
      <c r="AEA25" s="27"/>
      <c r="AEB25" s="27">
        <v>0</v>
      </c>
      <c r="AEC25" s="27">
        <v>0</v>
      </c>
      <c r="AED25" s="27"/>
      <c r="AEE25" s="27"/>
      <c r="AEF25" s="27">
        <v>3.6</v>
      </c>
      <c r="AEG25" s="27">
        <v>0.88</v>
      </c>
      <c r="AEH25" s="27">
        <v>0</v>
      </c>
      <c r="AEI25" s="24">
        <v>0</v>
      </c>
      <c r="AEJ25" s="24" t="s">
        <v>315</v>
      </c>
      <c r="AEK25" s="24">
        <v>38.5</v>
      </c>
      <c r="AEL25" s="27">
        <v>90.6</v>
      </c>
      <c r="AEM25" s="27">
        <v>83.4</v>
      </c>
      <c r="AEN25" s="27">
        <v>29.4</v>
      </c>
      <c r="AEO25" s="24">
        <v>59.08</v>
      </c>
      <c r="AEP25" s="24">
        <v>0</v>
      </c>
      <c r="AEQ25" s="24">
        <v>0</v>
      </c>
      <c r="AER25" s="24">
        <v>0</v>
      </c>
      <c r="AES25" s="24">
        <v>40.92</v>
      </c>
      <c r="AET25" s="24">
        <v>0</v>
      </c>
      <c r="AEU25" s="24">
        <v>0</v>
      </c>
      <c r="AEV25" s="24">
        <v>0</v>
      </c>
      <c r="AEW25" s="24">
        <v>0</v>
      </c>
      <c r="AEX25" s="24">
        <v>0</v>
      </c>
      <c r="AEY25" s="24">
        <v>0</v>
      </c>
      <c r="AEZ25" s="24">
        <v>3.67</v>
      </c>
      <c r="AFA25" s="24">
        <v>24.93</v>
      </c>
      <c r="AFB25" s="24">
        <v>39.44</v>
      </c>
      <c r="AFC25" s="24">
        <v>8.51</v>
      </c>
      <c r="AFD25" s="24">
        <v>0</v>
      </c>
      <c r="AFE25" s="24">
        <v>0</v>
      </c>
      <c r="AFF25" s="24">
        <v>0</v>
      </c>
      <c r="AFS25" s="24">
        <v>3.7</v>
      </c>
      <c r="AFT25" s="24">
        <v>1</v>
      </c>
      <c r="AFU25" s="24">
        <v>34</v>
      </c>
      <c r="AFV25" s="24">
        <v>2</v>
      </c>
      <c r="AFW25" s="24">
        <f t="shared" si="22"/>
        <v>4.05</v>
      </c>
      <c r="AFX25" s="24">
        <v>1</v>
      </c>
      <c r="AGE25" s="28"/>
      <c r="AGW25" s="24">
        <v>1</v>
      </c>
      <c r="AGX25" s="24">
        <v>50</v>
      </c>
      <c r="AGY25" s="24">
        <v>2</v>
      </c>
      <c r="AGZ25" s="24">
        <f t="shared" si="23"/>
        <v>1.46</v>
      </c>
      <c r="AHA25" s="24">
        <v>6</v>
      </c>
      <c r="AIH25" s="27">
        <v>4.96</v>
      </c>
      <c r="AII25" s="27">
        <v>1</v>
      </c>
      <c r="AIJ25" s="27">
        <v>2</v>
      </c>
      <c r="AIK25" s="27"/>
      <c r="AIL25" s="27">
        <f t="shared" si="24"/>
        <v>17.28</v>
      </c>
      <c r="AIM25" s="27"/>
      <c r="AIN25" s="27"/>
      <c r="AIO25" s="27"/>
      <c r="AIP25" s="27"/>
      <c r="AIQ25" s="27"/>
      <c r="AIR25" s="27"/>
      <c r="AIS25" s="27">
        <v>0.19</v>
      </c>
      <c r="AIT25" s="27">
        <v>0.19</v>
      </c>
      <c r="AIU25" s="27"/>
      <c r="AIV25" s="27"/>
      <c r="AIW25" s="27">
        <v>0</v>
      </c>
      <c r="AIX25" s="27">
        <v>0</v>
      </c>
      <c r="AIY25" s="27">
        <v>0</v>
      </c>
      <c r="AIZ25" s="24">
        <v>0</v>
      </c>
      <c r="AJA25" s="24" t="s">
        <v>316</v>
      </c>
      <c r="AJB25" s="24">
        <v>36</v>
      </c>
      <c r="AJC25" s="27">
        <v>94.1</v>
      </c>
      <c r="AJD25" s="27">
        <v>83.4</v>
      </c>
      <c r="AJE25" s="27">
        <v>25.8</v>
      </c>
      <c r="AJF25" s="24">
        <v>60.57</v>
      </c>
      <c r="AJG25" s="24">
        <v>0</v>
      </c>
      <c r="AJH25" s="24">
        <v>0</v>
      </c>
      <c r="AJI25" s="24">
        <v>0</v>
      </c>
      <c r="AJJ25" s="24">
        <v>39.43</v>
      </c>
      <c r="AJK25" s="24">
        <v>0</v>
      </c>
      <c r="AJL25" s="24">
        <v>0</v>
      </c>
      <c r="AJM25" s="24">
        <v>0</v>
      </c>
      <c r="AJN25" s="24">
        <v>0</v>
      </c>
      <c r="AJO25" s="24">
        <v>0</v>
      </c>
      <c r="AJP25" s="24">
        <v>0</v>
      </c>
      <c r="AJQ25" s="24">
        <v>0</v>
      </c>
      <c r="AJR25" s="24">
        <v>30.64</v>
      </c>
      <c r="AJS25" s="24">
        <v>37.97</v>
      </c>
      <c r="AJT25" s="24">
        <v>4.59</v>
      </c>
      <c r="AJU25" s="24">
        <v>0</v>
      </c>
      <c r="AJV25" s="24">
        <v>0</v>
      </c>
      <c r="AJW25" s="24">
        <v>0</v>
      </c>
      <c r="AKJ25" s="24">
        <v>4.8</v>
      </c>
      <c r="AKK25" s="24">
        <v>0</v>
      </c>
      <c r="AKV25" s="28"/>
      <c r="ALN25" s="24">
        <v>1</v>
      </c>
      <c r="ALO25" s="24">
        <v>50</v>
      </c>
      <c r="ALP25" s="24">
        <v>3</v>
      </c>
      <c r="ALQ25" s="24">
        <f t="shared" si="25"/>
        <v>2.19</v>
      </c>
      <c r="ALR25" s="24">
        <v>6</v>
      </c>
    </row>
    <row r="26" spans="1:1018" x14ac:dyDescent="0.2">
      <c r="A26" s="1" t="s">
        <v>338</v>
      </c>
      <c r="B26" s="12">
        <v>42899</v>
      </c>
      <c r="C26">
        <v>2</v>
      </c>
      <c r="D26" s="13">
        <v>42821</v>
      </c>
      <c r="E26" s="12">
        <v>32426</v>
      </c>
      <c r="F26" s="14">
        <f t="shared" si="0"/>
        <v>28.673511293634498</v>
      </c>
      <c r="G26" s="14">
        <f t="shared" si="1"/>
        <v>0.2135523613963039</v>
      </c>
      <c r="H26" s="15" t="s">
        <v>306</v>
      </c>
      <c r="I26" s="15" t="s">
        <v>307</v>
      </c>
      <c r="J26" s="21" t="s">
        <v>181</v>
      </c>
      <c r="K26" s="21">
        <v>4</v>
      </c>
      <c r="L26" s="19">
        <v>68</v>
      </c>
      <c r="M26">
        <v>1.71</v>
      </c>
      <c r="N26" s="16">
        <f t="shared" si="2"/>
        <v>23.255018638213471</v>
      </c>
      <c r="O26" s="19">
        <v>0</v>
      </c>
      <c r="P26" s="19">
        <v>0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0</v>
      </c>
      <c r="X26" s="19">
        <v>0</v>
      </c>
      <c r="Y26" s="19">
        <v>1</v>
      </c>
      <c r="Z26" s="19">
        <v>1</v>
      </c>
      <c r="AA26" s="19">
        <v>60</v>
      </c>
      <c r="AB26" s="19" t="s">
        <v>339</v>
      </c>
      <c r="AC26" s="19">
        <v>0</v>
      </c>
      <c r="AD26" s="19">
        <v>0</v>
      </c>
      <c r="AE26" s="19">
        <v>0</v>
      </c>
      <c r="AF26" s="19">
        <v>0</v>
      </c>
      <c r="AG26" s="19">
        <v>0</v>
      </c>
      <c r="AH26" s="19">
        <v>0</v>
      </c>
      <c r="AI26" s="19">
        <v>0</v>
      </c>
      <c r="AJ26" s="19">
        <v>0</v>
      </c>
      <c r="AK26" s="19">
        <v>0</v>
      </c>
      <c r="AL26" s="19">
        <v>0</v>
      </c>
      <c r="AM26" s="19">
        <v>0</v>
      </c>
      <c r="AN26" s="19">
        <v>0</v>
      </c>
      <c r="AO26" s="19">
        <v>0</v>
      </c>
      <c r="AP26" s="19">
        <v>0</v>
      </c>
      <c r="AQ26" s="19">
        <v>0</v>
      </c>
      <c r="AR26" s="19">
        <v>0</v>
      </c>
      <c r="AS26" s="19">
        <v>0</v>
      </c>
      <c r="AT26" s="19">
        <v>0</v>
      </c>
      <c r="AU26" s="19">
        <v>0</v>
      </c>
      <c r="AV26" s="19">
        <v>0</v>
      </c>
      <c r="AW26" s="19">
        <v>0</v>
      </c>
      <c r="AX26" s="19">
        <v>0</v>
      </c>
      <c r="AY26" s="19">
        <v>0</v>
      </c>
      <c r="AZ26" s="19">
        <v>0</v>
      </c>
      <c r="BA26" s="19">
        <v>0</v>
      </c>
      <c r="BB26" s="19">
        <v>0</v>
      </c>
      <c r="BC26" s="19">
        <v>0</v>
      </c>
      <c r="BD26" s="19">
        <v>0</v>
      </c>
      <c r="BE26" s="19">
        <v>0</v>
      </c>
      <c r="BF26" s="19">
        <v>0</v>
      </c>
      <c r="BG26" s="19">
        <v>0</v>
      </c>
      <c r="BH26" s="19">
        <v>0</v>
      </c>
      <c r="BI26" s="19">
        <v>0</v>
      </c>
      <c r="BJ26" s="19">
        <v>0</v>
      </c>
      <c r="BK26" s="19">
        <v>0</v>
      </c>
      <c r="BL26" s="19">
        <v>0</v>
      </c>
      <c r="BM26" s="19">
        <v>0</v>
      </c>
      <c r="BN26" s="19">
        <v>0</v>
      </c>
      <c r="BO26" s="19">
        <v>0</v>
      </c>
      <c r="BP26" s="19">
        <v>0</v>
      </c>
      <c r="BQ26" s="19">
        <v>0</v>
      </c>
      <c r="BR26" s="19">
        <v>1</v>
      </c>
      <c r="BS26" s="19">
        <v>2</v>
      </c>
      <c r="BT26" s="19">
        <v>2</v>
      </c>
      <c r="BU26" s="19">
        <v>5</v>
      </c>
      <c r="BV26" s="19">
        <v>3</v>
      </c>
      <c r="BW26" s="19">
        <v>1</v>
      </c>
      <c r="BX26" s="19"/>
      <c r="BY26" s="19">
        <v>4</v>
      </c>
      <c r="BZ26" s="19">
        <v>4</v>
      </c>
      <c r="CA26" s="19">
        <v>5</v>
      </c>
      <c r="CB26" s="19">
        <v>5</v>
      </c>
      <c r="CC26" s="19">
        <v>5</v>
      </c>
      <c r="CD26" s="19">
        <v>5</v>
      </c>
      <c r="CE26" s="19">
        <v>5</v>
      </c>
      <c r="CF26" s="19">
        <v>5</v>
      </c>
      <c r="CG26" s="19">
        <v>5</v>
      </c>
      <c r="CH26" s="19">
        <v>5</v>
      </c>
      <c r="CI26" s="19">
        <v>5</v>
      </c>
      <c r="CJ26" s="19">
        <v>5</v>
      </c>
      <c r="CK26" s="19">
        <v>10</v>
      </c>
      <c r="CL26" s="24" t="s">
        <v>309</v>
      </c>
      <c r="CM26" s="24">
        <v>31</v>
      </c>
      <c r="CN26" s="27">
        <v>39.200000000000003</v>
      </c>
      <c r="CO26" s="27">
        <v>83.4</v>
      </c>
      <c r="CP26" s="27">
        <v>17.2</v>
      </c>
      <c r="CQ26" s="24">
        <v>85.69</v>
      </c>
      <c r="CR26" s="24">
        <v>0</v>
      </c>
      <c r="CS26" s="24">
        <v>0.39</v>
      </c>
      <c r="CT26" s="24">
        <v>0</v>
      </c>
      <c r="CU26" s="24">
        <v>13.37</v>
      </c>
      <c r="CV26" s="24">
        <v>0</v>
      </c>
      <c r="CW26" s="24">
        <v>0</v>
      </c>
      <c r="CX26" s="24">
        <v>0</v>
      </c>
      <c r="CY26" s="24">
        <v>0</v>
      </c>
      <c r="CZ26" s="24">
        <v>0</v>
      </c>
      <c r="DA26" s="24">
        <v>0</v>
      </c>
      <c r="DB26" s="24">
        <v>12.36</v>
      </c>
      <c r="DC26" s="24">
        <v>18.21</v>
      </c>
      <c r="DD26" s="24">
        <v>12.25</v>
      </c>
      <c r="DE26" s="24">
        <v>3.27</v>
      </c>
      <c r="DF26" s="24">
        <v>5.0199999999999996</v>
      </c>
      <c r="DG26" s="24">
        <v>4.8</v>
      </c>
      <c r="DH26" s="24">
        <v>1</v>
      </c>
      <c r="DI26" s="24">
        <v>5</v>
      </c>
      <c r="DK26" s="24">
        <v>2</v>
      </c>
      <c r="DL26" s="24">
        <v>3</v>
      </c>
      <c r="DN26" s="24">
        <v>1</v>
      </c>
      <c r="DU26" s="24">
        <v>2.4</v>
      </c>
      <c r="DV26" s="24">
        <v>1</v>
      </c>
      <c r="DW26" s="24">
        <v>35</v>
      </c>
      <c r="DX26" s="24">
        <v>8</v>
      </c>
      <c r="DY26" s="24">
        <f t="shared" si="3"/>
        <v>0.52</v>
      </c>
      <c r="DZ26" s="24">
        <v>3</v>
      </c>
      <c r="EA26" s="24">
        <v>23</v>
      </c>
      <c r="EB26" s="24">
        <v>2</v>
      </c>
      <c r="EC26" s="24">
        <v>0.12</v>
      </c>
      <c r="ED26" s="24">
        <v>3</v>
      </c>
      <c r="EG26" s="28"/>
      <c r="EY26" s="24">
        <v>1</v>
      </c>
      <c r="EZ26" s="24">
        <v>50</v>
      </c>
      <c r="FA26" s="24">
        <v>5</v>
      </c>
      <c r="FB26" s="24">
        <v>0.32</v>
      </c>
      <c r="FC26" s="24">
        <v>3</v>
      </c>
      <c r="GJ26" s="27">
        <v>0.43</v>
      </c>
      <c r="GK26" s="27">
        <v>1</v>
      </c>
      <c r="GL26" s="27">
        <v>1</v>
      </c>
      <c r="GM26" s="27"/>
      <c r="GN26" s="27">
        <f t="shared" si="4"/>
        <v>0.69</v>
      </c>
      <c r="GO26" s="27">
        <v>2</v>
      </c>
      <c r="GP26" s="27"/>
      <c r="GQ26" s="27">
        <f t="shared" si="5"/>
        <v>7.4</v>
      </c>
      <c r="GR26" s="27"/>
      <c r="GS26" s="27"/>
      <c r="GT26" s="27"/>
      <c r="GU26" s="27">
        <v>1.74</v>
      </c>
      <c r="GV26" s="27">
        <v>1.32</v>
      </c>
      <c r="GW26" s="27"/>
      <c r="GX26" s="27"/>
      <c r="GY26" s="27">
        <v>4.32</v>
      </c>
      <c r="GZ26" s="27">
        <v>1.2</v>
      </c>
      <c r="HA26" s="27">
        <v>0.11</v>
      </c>
      <c r="HB26" s="24">
        <v>2</v>
      </c>
      <c r="HC26" s="24" t="s">
        <v>310</v>
      </c>
      <c r="HD26" s="24">
        <v>22.5</v>
      </c>
      <c r="HE26" s="27">
        <v>20.9</v>
      </c>
      <c r="HF26" s="27">
        <v>83.4</v>
      </c>
      <c r="HG26" s="27">
        <v>11</v>
      </c>
      <c r="HH26" s="24">
        <v>91.28</v>
      </c>
      <c r="HI26" s="24">
        <v>0</v>
      </c>
      <c r="HJ26" s="24">
        <v>0</v>
      </c>
      <c r="HK26" s="24">
        <v>0</v>
      </c>
      <c r="HL26" s="24">
        <v>4.1500000000000004</v>
      </c>
      <c r="HM26" s="24">
        <v>0</v>
      </c>
      <c r="HN26" s="24">
        <v>0</v>
      </c>
      <c r="HO26" s="24">
        <v>0</v>
      </c>
      <c r="HP26" s="24">
        <v>0</v>
      </c>
      <c r="HQ26" s="24">
        <v>0</v>
      </c>
      <c r="HR26" s="24">
        <v>0</v>
      </c>
      <c r="HS26" s="24">
        <v>0.71</v>
      </c>
      <c r="HT26" s="24">
        <v>7.61</v>
      </c>
      <c r="HU26" s="24">
        <v>5.28</v>
      </c>
      <c r="HV26" s="24">
        <v>2.4700000000000002</v>
      </c>
      <c r="HW26" s="24">
        <v>4.05</v>
      </c>
      <c r="HX26" s="24">
        <v>6.1</v>
      </c>
      <c r="HY26" s="24">
        <v>1</v>
      </c>
      <c r="HZ26" s="24">
        <v>5</v>
      </c>
      <c r="IB26" s="24">
        <v>1</v>
      </c>
      <c r="IC26" s="24">
        <v>3</v>
      </c>
      <c r="IE26" s="24">
        <v>2</v>
      </c>
      <c r="IL26" s="24">
        <v>4.7</v>
      </c>
      <c r="IM26" s="24">
        <v>1</v>
      </c>
      <c r="IN26" s="24">
        <v>35</v>
      </c>
      <c r="IO26" s="24">
        <v>8</v>
      </c>
      <c r="IP26" s="24">
        <f t="shared" si="6"/>
        <v>0.51</v>
      </c>
      <c r="IQ26" s="24">
        <v>3</v>
      </c>
      <c r="IX26" s="28"/>
      <c r="JP26" s="24">
        <v>1</v>
      </c>
      <c r="JQ26" s="24">
        <v>80</v>
      </c>
      <c r="JR26" s="24">
        <v>4</v>
      </c>
      <c r="JS26" s="24">
        <v>1.28</v>
      </c>
      <c r="JT26" s="24">
        <v>3</v>
      </c>
      <c r="JU26" s="24">
        <v>60</v>
      </c>
      <c r="JV26" s="24">
        <v>3</v>
      </c>
      <c r="JW26" s="24">
        <v>0.28999999999999998</v>
      </c>
      <c r="JX26" s="24">
        <v>3</v>
      </c>
      <c r="JY26" s="24">
        <v>70</v>
      </c>
      <c r="JZ26" s="24">
        <v>4</v>
      </c>
      <c r="KA26" s="24">
        <v>0.57999999999999996</v>
      </c>
      <c r="KB26" s="24">
        <v>3</v>
      </c>
      <c r="LA26" s="27">
        <v>0.49</v>
      </c>
      <c r="LB26" s="27">
        <v>1</v>
      </c>
      <c r="LC26" s="27">
        <v>2</v>
      </c>
      <c r="LD26" s="27"/>
      <c r="LE26" s="27">
        <f t="shared" si="7"/>
        <v>0.81</v>
      </c>
      <c r="LF26" s="27"/>
      <c r="LG26" s="27"/>
      <c r="LH26" s="27"/>
      <c r="LI26" s="27"/>
      <c r="LJ26" s="27"/>
      <c r="LK26" s="27"/>
      <c r="LL26" s="27">
        <v>0</v>
      </c>
      <c r="LM26" s="27"/>
      <c r="LN26" s="27"/>
      <c r="LO26" s="27"/>
      <c r="LP26" s="27">
        <v>0</v>
      </c>
      <c r="LQ26" s="27">
        <v>0</v>
      </c>
      <c r="LR26" s="27">
        <v>0</v>
      </c>
      <c r="LS26" s="24">
        <v>0</v>
      </c>
      <c r="LT26" s="24" t="s">
        <v>311</v>
      </c>
      <c r="LU26" s="24">
        <v>52</v>
      </c>
      <c r="LV26" s="27">
        <v>87.1</v>
      </c>
      <c r="LW26" s="27">
        <v>83.4</v>
      </c>
      <c r="LX26" s="27">
        <v>31.9</v>
      </c>
      <c r="LY26" s="24">
        <v>55.25</v>
      </c>
      <c r="LZ26" s="24">
        <v>0</v>
      </c>
      <c r="MA26" s="24">
        <v>0</v>
      </c>
      <c r="MB26" s="24">
        <v>0</v>
      </c>
      <c r="MC26" s="24">
        <v>36.01</v>
      </c>
      <c r="MD26" s="24">
        <v>0</v>
      </c>
      <c r="ME26" s="24">
        <v>0</v>
      </c>
      <c r="MF26" s="24">
        <v>0</v>
      </c>
      <c r="MG26" s="24">
        <v>0</v>
      </c>
      <c r="MH26" s="24">
        <v>0</v>
      </c>
      <c r="MI26" s="24">
        <v>0</v>
      </c>
      <c r="MJ26" s="24">
        <v>1.03</v>
      </c>
      <c r="MK26" s="24">
        <v>22.5</v>
      </c>
      <c r="ML26" s="24">
        <v>29.21</v>
      </c>
      <c r="MM26" s="24">
        <v>12.38</v>
      </c>
      <c r="MN26" s="24">
        <v>8.73</v>
      </c>
      <c r="MO26" s="24">
        <v>5.3</v>
      </c>
      <c r="MP26" s="24">
        <v>1</v>
      </c>
      <c r="MQ26" s="24">
        <v>5</v>
      </c>
      <c r="MS26" s="24">
        <v>1</v>
      </c>
      <c r="NC26" s="24">
        <v>7.1</v>
      </c>
      <c r="ND26" s="24">
        <v>1</v>
      </c>
      <c r="NE26" s="24">
        <v>35</v>
      </c>
      <c r="NF26" s="24">
        <v>8</v>
      </c>
      <c r="NG26" s="24">
        <f t="shared" si="8"/>
        <v>0.51</v>
      </c>
      <c r="NH26" s="24">
        <v>3</v>
      </c>
      <c r="NO26" s="28"/>
      <c r="OG26" s="24">
        <v>1</v>
      </c>
      <c r="OH26" s="24">
        <v>50</v>
      </c>
      <c r="OI26" s="24">
        <v>7</v>
      </c>
      <c r="OJ26" s="24">
        <f t="shared" si="9"/>
        <v>1.97</v>
      </c>
      <c r="OK26" s="24">
        <v>3</v>
      </c>
      <c r="OL26" s="24">
        <v>70</v>
      </c>
      <c r="OM26" s="24">
        <v>11</v>
      </c>
      <c r="ON26" s="24">
        <f t="shared" si="10"/>
        <v>1.38</v>
      </c>
      <c r="OO26" s="24">
        <v>3</v>
      </c>
      <c r="OP26" s="24">
        <v>50</v>
      </c>
      <c r="OQ26" s="24">
        <v>1</v>
      </c>
      <c r="OR26" s="24">
        <v>0.37</v>
      </c>
      <c r="OS26" s="24">
        <v>4</v>
      </c>
      <c r="OT26" s="24">
        <v>50</v>
      </c>
      <c r="OU26" s="24">
        <v>1</v>
      </c>
      <c r="OV26" s="24">
        <v>0.37</v>
      </c>
      <c r="OW26" s="24">
        <v>6</v>
      </c>
      <c r="OX26" s="24">
        <v>60</v>
      </c>
      <c r="OY26" s="24">
        <v>12</v>
      </c>
      <c r="OZ26" s="24">
        <f t="shared" si="11"/>
        <v>0.78</v>
      </c>
      <c r="PA26" s="24">
        <v>3</v>
      </c>
      <c r="PB26" s="24">
        <v>60</v>
      </c>
      <c r="PC26" s="24">
        <v>4</v>
      </c>
      <c r="PD26" s="24">
        <v>0.26</v>
      </c>
      <c r="PE26" s="24">
        <v>1</v>
      </c>
      <c r="PF26" s="24">
        <v>70</v>
      </c>
      <c r="PG26" s="24">
        <v>4</v>
      </c>
      <c r="PH26" s="24">
        <v>0.39</v>
      </c>
      <c r="PI26" s="24">
        <v>1</v>
      </c>
      <c r="PJ26" s="24">
        <v>60</v>
      </c>
      <c r="PK26" s="24">
        <v>2</v>
      </c>
      <c r="PL26" s="24">
        <v>0.13</v>
      </c>
      <c r="PM26" s="24">
        <v>6</v>
      </c>
      <c r="PN26" s="24">
        <v>50</v>
      </c>
      <c r="PO26" s="24">
        <v>1</v>
      </c>
      <c r="PP26" s="24">
        <v>0.83</v>
      </c>
      <c r="PQ26" s="24">
        <v>6</v>
      </c>
      <c r="PR26" s="27">
        <v>5.1100000000000003</v>
      </c>
      <c r="PS26" s="27">
        <v>1</v>
      </c>
      <c r="PT26" s="27">
        <v>1</v>
      </c>
      <c r="PU26" s="27"/>
      <c r="PV26" s="27">
        <f t="shared" si="12"/>
        <v>0.36</v>
      </c>
      <c r="PW26" s="27">
        <v>2</v>
      </c>
      <c r="PX26" s="27"/>
      <c r="PY26" s="27">
        <f t="shared" si="13"/>
        <v>5.32</v>
      </c>
      <c r="PZ26" s="27"/>
      <c r="QA26" s="27"/>
      <c r="QB26" s="27"/>
      <c r="QC26" s="27">
        <v>2.17</v>
      </c>
      <c r="QD26" s="27">
        <v>2.1800000000000002</v>
      </c>
      <c r="QE26" s="27"/>
      <c r="QF26" s="27"/>
      <c r="QG26" s="27">
        <v>0</v>
      </c>
      <c r="QH26" s="27">
        <v>0</v>
      </c>
      <c r="QI26" s="27">
        <v>0</v>
      </c>
      <c r="QJ26" s="24">
        <v>0</v>
      </c>
      <c r="QK26" s="24" t="s">
        <v>312</v>
      </c>
      <c r="QL26" s="24">
        <v>40</v>
      </c>
      <c r="QM26" s="27">
        <v>90.5</v>
      </c>
      <c r="QN26" s="27">
        <v>83.4</v>
      </c>
      <c r="QO26" s="27">
        <v>24.1</v>
      </c>
      <c r="QP26" s="24">
        <v>65.22</v>
      </c>
      <c r="QQ26" s="24">
        <v>0</v>
      </c>
      <c r="QR26" s="24">
        <v>0</v>
      </c>
      <c r="QS26" s="24">
        <v>0</v>
      </c>
      <c r="QT26" s="24">
        <v>27.95</v>
      </c>
      <c r="QU26" s="24">
        <v>0</v>
      </c>
      <c r="QV26" s="24">
        <v>0</v>
      </c>
      <c r="QW26" s="24">
        <v>0</v>
      </c>
      <c r="QX26" s="24">
        <v>0</v>
      </c>
      <c r="QY26" s="24">
        <v>0</v>
      </c>
      <c r="QZ26" s="24">
        <v>0</v>
      </c>
      <c r="RA26" s="24">
        <v>0.5</v>
      </c>
      <c r="RB26" s="24">
        <v>25.43</v>
      </c>
      <c r="RC26" s="24">
        <v>28.69</v>
      </c>
      <c r="RD26" s="24">
        <v>8.32</v>
      </c>
      <c r="RE26" s="24">
        <v>6.81</v>
      </c>
      <c r="RF26" s="24">
        <v>5.3</v>
      </c>
      <c r="RG26" s="24">
        <v>1</v>
      </c>
      <c r="RH26" s="24">
        <v>5</v>
      </c>
      <c r="RJ26" s="24">
        <v>1</v>
      </c>
      <c r="RT26" s="24">
        <v>3.5</v>
      </c>
      <c r="RU26" s="24">
        <v>0</v>
      </c>
      <c r="SF26" s="28"/>
      <c r="SX26" s="24">
        <v>1</v>
      </c>
      <c r="SY26" s="24">
        <v>50</v>
      </c>
      <c r="SZ26" s="24">
        <v>9</v>
      </c>
      <c r="TA26" s="24">
        <f t="shared" si="14"/>
        <v>3.59</v>
      </c>
      <c r="TB26" s="24">
        <v>3</v>
      </c>
      <c r="TC26" s="24">
        <v>70</v>
      </c>
      <c r="TD26" s="24">
        <v>12</v>
      </c>
      <c r="TE26" s="24">
        <f t="shared" si="15"/>
        <v>2.1</v>
      </c>
      <c r="TF26" s="24">
        <v>3</v>
      </c>
      <c r="TG26" s="24">
        <v>60</v>
      </c>
      <c r="TH26" s="24">
        <v>2</v>
      </c>
      <c r="TI26" s="24">
        <v>0.13</v>
      </c>
      <c r="TJ26" s="24">
        <v>3</v>
      </c>
      <c r="TK26" s="24">
        <v>50</v>
      </c>
      <c r="TL26" s="24">
        <v>1</v>
      </c>
      <c r="TM26" s="24">
        <v>0.83</v>
      </c>
      <c r="TN26" s="24">
        <v>6</v>
      </c>
      <c r="TO26" s="24">
        <v>60</v>
      </c>
      <c r="TP26" s="24">
        <v>1</v>
      </c>
      <c r="TQ26" s="24">
        <v>0.13</v>
      </c>
      <c r="TR26" s="24">
        <v>6</v>
      </c>
      <c r="TS26" s="24">
        <v>70</v>
      </c>
      <c r="TT26" s="24">
        <v>1</v>
      </c>
      <c r="TU26" s="24">
        <v>0.39</v>
      </c>
      <c r="TV26" s="24">
        <v>1</v>
      </c>
      <c r="TW26" s="24">
        <v>50</v>
      </c>
      <c r="TX26" s="24">
        <v>2</v>
      </c>
      <c r="TY26" s="24">
        <f t="shared" si="16"/>
        <v>0.73</v>
      </c>
      <c r="TZ26" s="24">
        <v>4</v>
      </c>
      <c r="UI26" s="27">
        <v>3.9</v>
      </c>
      <c r="UJ26" s="27">
        <v>1</v>
      </c>
      <c r="UK26" s="27">
        <v>1</v>
      </c>
      <c r="UL26" s="27"/>
      <c r="UM26" s="27">
        <f t="shared" si="17"/>
        <v>2.64</v>
      </c>
      <c r="UN26" s="27">
        <v>2</v>
      </c>
      <c r="UO26" s="27"/>
      <c r="UP26" s="27">
        <f t="shared" si="18"/>
        <v>4.5600000000000005</v>
      </c>
      <c r="UQ26" s="27"/>
      <c r="UR26" s="27"/>
      <c r="US26" s="27"/>
      <c r="UT26" s="27">
        <v>3</v>
      </c>
      <c r="UU26" s="27">
        <v>2.19</v>
      </c>
      <c r="UV26" s="27"/>
      <c r="UW26" s="27"/>
      <c r="UX26" s="27">
        <v>0</v>
      </c>
      <c r="UY26" s="27">
        <v>0</v>
      </c>
      <c r="UZ26" s="27">
        <v>0</v>
      </c>
      <c r="VA26" s="24">
        <v>0</v>
      </c>
      <c r="VB26" s="24" t="s">
        <v>313</v>
      </c>
      <c r="VC26" s="24">
        <v>39</v>
      </c>
      <c r="VD26" s="27">
        <v>80.900000000000006</v>
      </c>
      <c r="VE26" s="27">
        <v>83.4</v>
      </c>
      <c r="VF26" s="27">
        <v>19.3</v>
      </c>
      <c r="VG26" s="24">
        <v>75.959999999999994</v>
      </c>
      <c r="VH26" s="24">
        <v>0</v>
      </c>
      <c r="VI26" s="24">
        <v>3.12</v>
      </c>
      <c r="VJ26" s="24">
        <v>0</v>
      </c>
      <c r="VK26" s="24">
        <v>20.93</v>
      </c>
      <c r="VL26" s="24">
        <v>0</v>
      </c>
      <c r="VM26" s="24">
        <v>0</v>
      </c>
      <c r="VN26" s="24">
        <v>0</v>
      </c>
      <c r="VO26" s="24">
        <v>0</v>
      </c>
      <c r="VP26" s="24">
        <v>0</v>
      </c>
      <c r="VQ26" s="24">
        <v>0</v>
      </c>
      <c r="VR26" s="24">
        <v>5.32</v>
      </c>
      <c r="VS26" s="24">
        <v>30.75</v>
      </c>
      <c r="VT26" s="24">
        <v>28.21</v>
      </c>
      <c r="VU26" s="24">
        <v>4.22</v>
      </c>
      <c r="VV26" s="24">
        <v>0</v>
      </c>
      <c r="VW26" s="24">
        <v>0</v>
      </c>
      <c r="VX26" s="24">
        <v>0</v>
      </c>
      <c r="WK26" s="24">
        <v>15.8</v>
      </c>
      <c r="WL26" s="24">
        <v>1</v>
      </c>
      <c r="WM26" s="24">
        <v>35</v>
      </c>
      <c r="WN26" s="24">
        <v>4</v>
      </c>
      <c r="WO26" s="24">
        <f t="shared" si="19"/>
        <v>2.92</v>
      </c>
      <c r="WP26" s="24">
        <v>3</v>
      </c>
      <c r="WQ26" s="24">
        <v>23</v>
      </c>
      <c r="WR26" s="24">
        <v>1</v>
      </c>
      <c r="WS26" s="24">
        <v>0.06</v>
      </c>
      <c r="WT26" s="24">
        <v>3</v>
      </c>
      <c r="WW26" s="28"/>
      <c r="XO26" s="24">
        <v>1</v>
      </c>
      <c r="XP26" s="24">
        <v>60</v>
      </c>
      <c r="XQ26" s="24">
        <v>1</v>
      </c>
      <c r="XR26" s="24">
        <v>0.73</v>
      </c>
      <c r="XS26" s="24">
        <v>3</v>
      </c>
      <c r="XT26" s="24">
        <v>50</v>
      </c>
      <c r="XU26" s="24">
        <v>1</v>
      </c>
      <c r="XV26" s="24">
        <v>0.73</v>
      </c>
      <c r="XW26" s="24">
        <v>1</v>
      </c>
      <c r="XX26" s="24">
        <v>40</v>
      </c>
      <c r="XY26" s="24">
        <v>1</v>
      </c>
      <c r="XZ26" s="24">
        <v>0.73</v>
      </c>
      <c r="YA26" s="24">
        <v>6</v>
      </c>
      <c r="YB26" s="24">
        <v>50</v>
      </c>
      <c r="YC26" s="24">
        <v>1</v>
      </c>
      <c r="YD26" s="24">
        <v>0.19</v>
      </c>
      <c r="YE26" s="24">
        <v>3</v>
      </c>
      <c r="YF26" s="24">
        <v>70</v>
      </c>
      <c r="YG26" s="24">
        <v>3</v>
      </c>
      <c r="YH26" s="24">
        <v>0.57999999999999996</v>
      </c>
      <c r="YI26" s="24">
        <v>3</v>
      </c>
      <c r="YJ26" s="24">
        <v>50</v>
      </c>
      <c r="YK26" s="24">
        <v>1</v>
      </c>
      <c r="YL26" s="24">
        <v>0.28999999999999998</v>
      </c>
      <c r="YM26" s="24">
        <v>6</v>
      </c>
      <c r="YZ26" s="27">
        <v>0</v>
      </c>
      <c r="ZA26" s="27">
        <v>0</v>
      </c>
      <c r="ZB26" s="27"/>
      <c r="ZC26" s="27"/>
      <c r="ZD26" s="27"/>
      <c r="ZE26" s="27"/>
      <c r="ZF26" s="27"/>
      <c r="ZG26" s="27"/>
      <c r="ZH26" s="27"/>
      <c r="ZI26" s="27"/>
      <c r="ZJ26" s="27"/>
      <c r="ZK26" s="27">
        <v>0.26</v>
      </c>
      <c r="ZL26" s="27">
        <v>0.26</v>
      </c>
      <c r="ZM26" s="27"/>
      <c r="ZN26" s="27"/>
      <c r="ZO26" s="27">
        <v>3.6</v>
      </c>
      <c r="ZP26" s="27">
        <v>0.88</v>
      </c>
      <c r="ZQ26" s="27">
        <v>0</v>
      </c>
      <c r="ZR26" s="24">
        <v>0</v>
      </c>
      <c r="ZS26" s="24" t="s">
        <v>314</v>
      </c>
      <c r="ZT26" s="24">
        <v>36</v>
      </c>
      <c r="ZU26" s="27">
        <v>71.400000000000006</v>
      </c>
      <c r="ZV26" s="27">
        <v>83.4</v>
      </c>
      <c r="ZW26" s="27">
        <v>17.2</v>
      </c>
      <c r="ZX26" s="24">
        <v>79.88</v>
      </c>
      <c r="ZY26" s="24">
        <v>0</v>
      </c>
      <c r="ZZ26" s="24">
        <v>3.12</v>
      </c>
      <c r="AAA26" s="24">
        <v>0</v>
      </c>
      <c r="AAB26" s="24">
        <v>17</v>
      </c>
      <c r="AAC26" s="24">
        <v>0</v>
      </c>
      <c r="AAD26" s="24">
        <v>0</v>
      </c>
      <c r="AAE26" s="24">
        <v>0</v>
      </c>
      <c r="AAF26" s="24">
        <v>0</v>
      </c>
      <c r="AAG26" s="24">
        <v>0</v>
      </c>
      <c r="AAH26" s="24">
        <v>0</v>
      </c>
      <c r="AAI26" s="24">
        <v>5.32</v>
      </c>
      <c r="AAJ26" s="24">
        <v>31.86</v>
      </c>
      <c r="AAK26" s="24">
        <v>24.1</v>
      </c>
      <c r="AAL26" s="24">
        <v>2.02</v>
      </c>
      <c r="AAM26" s="24">
        <v>0</v>
      </c>
      <c r="AAN26" s="24">
        <v>0</v>
      </c>
      <c r="AAO26" s="24">
        <v>0</v>
      </c>
      <c r="ABB26" s="24">
        <v>15.1</v>
      </c>
      <c r="ABC26" s="24">
        <v>1</v>
      </c>
      <c r="ABD26" s="24">
        <v>35</v>
      </c>
      <c r="ABE26" s="24">
        <v>4</v>
      </c>
      <c r="ABF26" s="24">
        <f t="shared" si="20"/>
        <v>2.92</v>
      </c>
      <c r="ABG26" s="24">
        <v>3</v>
      </c>
      <c r="ABN26" s="28"/>
      <c r="ACF26" s="24">
        <v>1</v>
      </c>
      <c r="ACG26" s="24">
        <v>50</v>
      </c>
      <c r="ACH26" s="24">
        <v>2</v>
      </c>
      <c r="ACI26" s="24">
        <f t="shared" si="21"/>
        <v>0.91999999999999993</v>
      </c>
      <c r="ACJ26" s="24">
        <v>3</v>
      </c>
      <c r="ACK26" s="24">
        <v>50</v>
      </c>
      <c r="ACL26" s="24">
        <v>1</v>
      </c>
      <c r="ACM26" s="24">
        <v>0.73</v>
      </c>
      <c r="ACN26" s="24">
        <v>1</v>
      </c>
      <c r="ACO26" s="24">
        <v>70</v>
      </c>
      <c r="ACP26" s="24">
        <v>3</v>
      </c>
      <c r="ACQ26" s="24">
        <v>0.57999999999999996</v>
      </c>
      <c r="ACR26" s="24">
        <v>3</v>
      </c>
      <c r="ACS26" s="24">
        <v>40</v>
      </c>
      <c r="ACT26" s="24">
        <v>1</v>
      </c>
      <c r="ACU26" s="24">
        <v>1.65</v>
      </c>
      <c r="ACV26" s="24">
        <v>6</v>
      </c>
      <c r="ADQ26" s="27">
        <v>0</v>
      </c>
      <c r="ADR26" s="27">
        <v>0</v>
      </c>
      <c r="ADS26" s="27"/>
      <c r="ADT26" s="27"/>
      <c r="ADU26" s="27"/>
      <c r="ADV26" s="27"/>
      <c r="ADW26" s="27"/>
      <c r="ADX26" s="27"/>
      <c r="ADY26" s="27"/>
      <c r="ADZ26" s="27"/>
      <c r="AEA26" s="27"/>
      <c r="AEB26" s="27">
        <v>0</v>
      </c>
      <c r="AEC26" s="27">
        <v>0</v>
      </c>
      <c r="AED26" s="27"/>
      <c r="AEE26" s="27"/>
      <c r="AEF26" s="27">
        <v>3.6</v>
      </c>
      <c r="AEG26" s="27">
        <v>0.88</v>
      </c>
      <c r="AEH26" s="27">
        <v>0</v>
      </c>
      <c r="AEI26" s="24">
        <v>0</v>
      </c>
      <c r="AEJ26" s="24" t="s">
        <v>315</v>
      </c>
      <c r="AEK26" s="24">
        <v>38.5</v>
      </c>
      <c r="AEL26" s="27">
        <v>90.6</v>
      </c>
      <c r="AEM26" s="27">
        <v>83.4</v>
      </c>
      <c r="AEN26" s="27">
        <v>29.4</v>
      </c>
      <c r="AEO26" s="24">
        <v>59.08</v>
      </c>
      <c r="AEP26" s="24">
        <v>0</v>
      </c>
      <c r="AEQ26" s="24">
        <v>0</v>
      </c>
      <c r="AER26" s="24">
        <v>0</v>
      </c>
      <c r="AES26" s="24">
        <v>40.92</v>
      </c>
      <c r="AET26" s="24">
        <v>0</v>
      </c>
      <c r="AEU26" s="24">
        <v>0</v>
      </c>
      <c r="AEV26" s="24">
        <v>0</v>
      </c>
      <c r="AEW26" s="24">
        <v>0</v>
      </c>
      <c r="AEX26" s="24">
        <v>0</v>
      </c>
      <c r="AEY26" s="24">
        <v>0</v>
      </c>
      <c r="AEZ26" s="24">
        <v>3.67</v>
      </c>
      <c r="AFA26" s="24">
        <v>24.93</v>
      </c>
      <c r="AFB26" s="24">
        <v>39.44</v>
      </c>
      <c r="AFC26" s="24">
        <v>8.51</v>
      </c>
      <c r="AFD26" s="24">
        <v>0</v>
      </c>
      <c r="AFE26" s="24">
        <v>0</v>
      </c>
      <c r="AFF26" s="24">
        <v>0</v>
      </c>
      <c r="AFS26" s="24">
        <v>3.7</v>
      </c>
      <c r="AFT26" s="24">
        <v>1</v>
      </c>
      <c r="AFU26" s="24">
        <v>34</v>
      </c>
      <c r="AFV26" s="24">
        <v>2</v>
      </c>
      <c r="AFW26" s="24">
        <f t="shared" si="22"/>
        <v>4.05</v>
      </c>
      <c r="AFX26" s="24">
        <v>1</v>
      </c>
      <c r="AGE26" s="28"/>
      <c r="AGW26" s="24">
        <v>1</v>
      </c>
      <c r="AGX26" s="24">
        <v>50</v>
      </c>
      <c r="AGY26" s="24">
        <v>2</v>
      </c>
      <c r="AGZ26" s="24">
        <f t="shared" si="23"/>
        <v>1.46</v>
      </c>
      <c r="AHA26" s="24">
        <v>6</v>
      </c>
      <c r="AIH26" s="27">
        <v>4.96</v>
      </c>
      <c r="AII26" s="27">
        <v>1</v>
      </c>
      <c r="AIJ26" s="27">
        <v>2</v>
      </c>
      <c r="AIK26" s="27"/>
      <c r="AIL26" s="27">
        <f t="shared" si="24"/>
        <v>17.28</v>
      </c>
      <c r="AIM26" s="27"/>
      <c r="AIN26" s="27"/>
      <c r="AIO26" s="27"/>
      <c r="AIP26" s="27"/>
      <c r="AIQ26" s="27"/>
      <c r="AIR26" s="27"/>
      <c r="AIS26" s="27">
        <v>0.19</v>
      </c>
      <c r="AIT26" s="27">
        <v>0.19</v>
      </c>
      <c r="AIU26" s="27"/>
      <c r="AIV26" s="27"/>
      <c r="AIW26" s="27">
        <v>0</v>
      </c>
      <c r="AIX26" s="27">
        <v>0</v>
      </c>
      <c r="AIY26" s="27">
        <v>0</v>
      </c>
      <c r="AIZ26" s="24">
        <v>0</v>
      </c>
      <c r="AJA26" s="24" t="s">
        <v>316</v>
      </c>
      <c r="AJB26" s="24">
        <v>36</v>
      </c>
      <c r="AJC26" s="27">
        <v>94.1</v>
      </c>
      <c r="AJD26" s="27">
        <v>83.4</v>
      </c>
      <c r="AJE26" s="27">
        <v>25.8</v>
      </c>
      <c r="AJF26" s="24">
        <v>60.57</v>
      </c>
      <c r="AJG26" s="24">
        <v>0</v>
      </c>
      <c r="AJH26" s="24">
        <v>0</v>
      </c>
      <c r="AJI26" s="24">
        <v>0</v>
      </c>
      <c r="AJJ26" s="24">
        <v>39.43</v>
      </c>
      <c r="AJK26" s="24">
        <v>0</v>
      </c>
      <c r="AJL26" s="24">
        <v>0</v>
      </c>
      <c r="AJM26" s="24">
        <v>0</v>
      </c>
      <c r="AJN26" s="24">
        <v>0</v>
      </c>
      <c r="AJO26" s="24">
        <v>0</v>
      </c>
      <c r="AJP26" s="24">
        <v>0</v>
      </c>
      <c r="AJQ26" s="24">
        <v>0</v>
      </c>
      <c r="AJR26" s="24">
        <v>30.64</v>
      </c>
      <c r="AJS26" s="24">
        <v>37.97</v>
      </c>
      <c r="AJT26" s="24">
        <v>4.59</v>
      </c>
      <c r="AJU26" s="24">
        <v>0</v>
      </c>
      <c r="AJV26" s="24">
        <v>0</v>
      </c>
      <c r="AJW26" s="24">
        <v>0</v>
      </c>
      <c r="AKJ26" s="24">
        <v>4.8</v>
      </c>
      <c r="AKK26" s="24">
        <v>0</v>
      </c>
      <c r="AKV26" s="28"/>
      <c r="ALN26" s="24">
        <v>1</v>
      </c>
      <c r="ALO26" s="24">
        <v>50</v>
      </c>
      <c r="ALP26" s="24">
        <v>3</v>
      </c>
      <c r="ALQ26" s="24">
        <f t="shared" si="25"/>
        <v>2.19</v>
      </c>
      <c r="ALR26" s="24">
        <v>6</v>
      </c>
    </row>
    <row r="27" spans="1:1018" x14ac:dyDescent="0.2">
      <c r="A27" s="1" t="s">
        <v>340</v>
      </c>
      <c r="B27" s="12">
        <v>42900</v>
      </c>
      <c r="C27">
        <v>2</v>
      </c>
      <c r="D27" s="13">
        <v>42797</v>
      </c>
      <c r="E27" s="12">
        <v>33302</v>
      </c>
      <c r="F27" s="14">
        <f t="shared" si="0"/>
        <v>26.277891854893909</v>
      </c>
      <c r="G27" s="14">
        <f t="shared" si="1"/>
        <v>0.28199863107460643</v>
      </c>
      <c r="H27" s="15" t="s">
        <v>306</v>
      </c>
      <c r="I27" s="15" t="s">
        <v>307</v>
      </c>
      <c r="J27" s="21" t="s">
        <v>181</v>
      </c>
      <c r="K27" s="21">
        <v>4</v>
      </c>
      <c r="L27" s="19">
        <v>73</v>
      </c>
      <c r="M27">
        <v>1.76</v>
      </c>
      <c r="N27" s="16">
        <f t="shared" si="2"/>
        <v>23.566632231404959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1</v>
      </c>
      <c r="Z27" s="19">
        <v>3</v>
      </c>
      <c r="AA27" s="19">
        <v>60</v>
      </c>
      <c r="AB27" s="19"/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</v>
      </c>
      <c r="AI27" s="19">
        <v>0</v>
      </c>
      <c r="AJ27" s="19">
        <v>0</v>
      </c>
      <c r="AK27" s="19">
        <v>0</v>
      </c>
      <c r="AL27" s="19">
        <v>0</v>
      </c>
      <c r="AM27" s="19">
        <v>0</v>
      </c>
      <c r="AN27" s="19">
        <v>0</v>
      </c>
      <c r="AO27" s="19">
        <v>0</v>
      </c>
      <c r="AP27" s="19">
        <v>0</v>
      </c>
      <c r="AQ27" s="19">
        <v>0</v>
      </c>
      <c r="AR27" s="19">
        <v>0</v>
      </c>
      <c r="AS27" s="19">
        <v>0</v>
      </c>
      <c r="AT27" s="19">
        <v>0</v>
      </c>
      <c r="AU27" s="19">
        <v>0</v>
      </c>
      <c r="AV27" s="19">
        <v>0</v>
      </c>
      <c r="AW27" s="19">
        <v>0</v>
      </c>
      <c r="AX27" s="19">
        <v>0</v>
      </c>
      <c r="AY27" s="19">
        <v>0</v>
      </c>
      <c r="AZ27" s="19">
        <v>0</v>
      </c>
      <c r="BA27" s="19">
        <v>0</v>
      </c>
      <c r="BB27" s="19"/>
      <c r="BC27" s="19"/>
      <c r="BD27" s="19"/>
      <c r="BE27" s="19"/>
      <c r="BF27" s="19">
        <v>0</v>
      </c>
      <c r="BG27" s="19">
        <v>0</v>
      </c>
      <c r="BH27" s="19">
        <v>0</v>
      </c>
      <c r="BI27" s="19">
        <v>0</v>
      </c>
      <c r="BJ27" s="19">
        <v>0</v>
      </c>
      <c r="BK27" s="19">
        <v>0</v>
      </c>
      <c r="BL27" s="19">
        <v>0</v>
      </c>
      <c r="BM27" s="19">
        <v>0</v>
      </c>
      <c r="BN27" s="19">
        <v>0</v>
      </c>
      <c r="BO27" s="19">
        <v>0</v>
      </c>
      <c r="BP27" s="19">
        <v>0</v>
      </c>
      <c r="BQ27" s="19">
        <v>0</v>
      </c>
      <c r="BR27" s="19">
        <v>2</v>
      </c>
      <c r="BS27" s="19">
        <v>3</v>
      </c>
      <c r="BT27" s="19">
        <v>5</v>
      </c>
      <c r="BU27" s="19">
        <v>5</v>
      </c>
      <c r="BV27" s="19">
        <v>2</v>
      </c>
      <c r="BW27" s="19">
        <v>3</v>
      </c>
      <c r="BX27" s="19">
        <v>2</v>
      </c>
      <c r="BY27" s="19">
        <v>3</v>
      </c>
      <c r="BZ27" s="19">
        <v>3</v>
      </c>
      <c r="CA27" s="19">
        <v>5</v>
      </c>
      <c r="CB27" s="19">
        <v>5</v>
      </c>
      <c r="CC27" s="19">
        <v>5</v>
      </c>
      <c r="CD27" s="19">
        <v>4</v>
      </c>
      <c r="CE27" s="19">
        <v>5</v>
      </c>
      <c r="CF27" s="19">
        <v>5</v>
      </c>
      <c r="CG27" s="19">
        <v>5</v>
      </c>
      <c r="CH27" s="19">
        <v>5</v>
      </c>
      <c r="CI27" s="19">
        <v>5</v>
      </c>
      <c r="CJ27" s="19">
        <v>5</v>
      </c>
      <c r="CK27" s="19">
        <v>10</v>
      </c>
      <c r="CL27" s="24" t="s">
        <v>309</v>
      </c>
      <c r="CM27" s="24">
        <v>31</v>
      </c>
      <c r="CN27" s="27">
        <v>39.200000000000003</v>
      </c>
      <c r="CO27" s="27">
        <v>83.4</v>
      </c>
      <c r="CP27" s="27">
        <v>17.2</v>
      </c>
      <c r="CQ27" s="24">
        <v>85.69</v>
      </c>
      <c r="CR27" s="24">
        <v>0</v>
      </c>
      <c r="CS27" s="24">
        <v>0.39</v>
      </c>
      <c r="CT27" s="24">
        <v>0</v>
      </c>
      <c r="CU27" s="24">
        <v>13.37</v>
      </c>
      <c r="CV27" s="24">
        <v>0</v>
      </c>
      <c r="CW27" s="24">
        <v>0</v>
      </c>
      <c r="CX27" s="24">
        <v>0</v>
      </c>
      <c r="CY27" s="24">
        <v>0</v>
      </c>
      <c r="CZ27" s="24">
        <v>0</v>
      </c>
      <c r="DA27" s="24">
        <v>0</v>
      </c>
      <c r="DB27" s="24">
        <v>12.36</v>
      </c>
      <c r="DC27" s="24">
        <v>18.21</v>
      </c>
      <c r="DD27" s="24">
        <v>12.25</v>
      </c>
      <c r="DE27" s="24">
        <v>3.27</v>
      </c>
      <c r="DF27" s="24">
        <v>5.0199999999999996</v>
      </c>
      <c r="DG27" s="24">
        <v>4.8</v>
      </c>
      <c r="DH27" s="24">
        <v>1</v>
      </c>
      <c r="DI27" s="24">
        <v>5</v>
      </c>
      <c r="DK27" s="24">
        <v>2</v>
      </c>
      <c r="DL27" s="24">
        <v>3</v>
      </c>
      <c r="DN27" s="24">
        <v>1</v>
      </c>
      <c r="DU27" s="24">
        <v>2.4</v>
      </c>
      <c r="DV27" s="24">
        <v>1</v>
      </c>
      <c r="DW27" s="24">
        <v>35</v>
      </c>
      <c r="DX27" s="24">
        <v>8</v>
      </c>
      <c r="DY27" s="24">
        <f t="shared" si="3"/>
        <v>0.52</v>
      </c>
      <c r="DZ27" s="24">
        <v>3</v>
      </c>
      <c r="EA27" s="24">
        <v>23</v>
      </c>
      <c r="EB27" s="24">
        <v>2</v>
      </c>
      <c r="EC27" s="24">
        <v>0.12</v>
      </c>
      <c r="ED27" s="24">
        <v>3</v>
      </c>
      <c r="EG27" s="28"/>
      <c r="EY27" s="24">
        <v>1</v>
      </c>
      <c r="EZ27" s="24">
        <v>50</v>
      </c>
      <c r="FA27" s="24">
        <v>5</v>
      </c>
      <c r="FB27" s="24">
        <v>0.32</v>
      </c>
      <c r="FC27" s="24">
        <v>3</v>
      </c>
      <c r="GJ27" s="27">
        <v>0.43</v>
      </c>
      <c r="GK27" s="27">
        <v>1</v>
      </c>
      <c r="GL27" s="27">
        <v>1</v>
      </c>
      <c r="GM27" s="27"/>
      <c r="GN27" s="27">
        <f t="shared" si="4"/>
        <v>0.69</v>
      </c>
      <c r="GO27" s="27">
        <v>2</v>
      </c>
      <c r="GP27" s="27"/>
      <c r="GQ27" s="27">
        <f t="shared" si="5"/>
        <v>7.4</v>
      </c>
      <c r="GR27" s="27"/>
      <c r="GS27" s="27"/>
      <c r="GT27" s="27"/>
      <c r="GU27" s="27">
        <v>1.74</v>
      </c>
      <c r="GV27" s="27">
        <v>1.32</v>
      </c>
      <c r="GW27" s="27"/>
      <c r="GX27" s="27"/>
      <c r="GY27" s="27">
        <v>4.32</v>
      </c>
      <c r="GZ27" s="27">
        <v>1.2</v>
      </c>
      <c r="HA27" s="27">
        <v>0.11</v>
      </c>
      <c r="HB27" s="24">
        <v>2</v>
      </c>
      <c r="HC27" s="24" t="s">
        <v>310</v>
      </c>
      <c r="HD27" s="24">
        <v>22.5</v>
      </c>
      <c r="HE27" s="27">
        <v>20.9</v>
      </c>
      <c r="HF27" s="27">
        <v>83.4</v>
      </c>
      <c r="HG27" s="27">
        <v>11</v>
      </c>
      <c r="HH27" s="24">
        <v>91.28</v>
      </c>
      <c r="HI27" s="24">
        <v>0</v>
      </c>
      <c r="HJ27" s="24">
        <v>0</v>
      </c>
      <c r="HK27" s="24">
        <v>0</v>
      </c>
      <c r="HL27" s="24">
        <v>4.1500000000000004</v>
      </c>
      <c r="HM27" s="24">
        <v>0</v>
      </c>
      <c r="HN27" s="24">
        <v>0</v>
      </c>
      <c r="HO27" s="24">
        <v>0</v>
      </c>
      <c r="HP27" s="24">
        <v>0</v>
      </c>
      <c r="HQ27" s="24">
        <v>0</v>
      </c>
      <c r="HR27" s="24">
        <v>0</v>
      </c>
      <c r="HS27" s="24">
        <v>0.71</v>
      </c>
      <c r="HT27" s="24">
        <v>7.61</v>
      </c>
      <c r="HU27" s="24">
        <v>5.28</v>
      </c>
      <c r="HV27" s="24">
        <v>2.4700000000000002</v>
      </c>
      <c r="HW27" s="24">
        <v>4.05</v>
      </c>
      <c r="HX27" s="24">
        <v>6.1</v>
      </c>
      <c r="HY27" s="24">
        <v>1</v>
      </c>
      <c r="HZ27" s="24">
        <v>5</v>
      </c>
      <c r="IB27" s="24">
        <v>1</v>
      </c>
      <c r="IC27" s="24">
        <v>3</v>
      </c>
      <c r="IE27" s="24">
        <v>2</v>
      </c>
      <c r="IL27" s="24">
        <v>4.7</v>
      </c>
      <c r="IM27" s="24">
        <v>1</v>
      </c>
      <c r="IN27" s="24">
        <v>35</v>
      </c>
      <c r="IO27" s="24">
        <v>8</v>
      </c>
      <c r="IP27" s="24">
        <f t="shared" si="6"/>
        <v>0.51</v>
      </c>
      <c r="IQ27" s="24">
        <v>3</v>
      </c>
      <c r="IX27" s="28"/>
      <c r="JP27" s="24">
        <v>1</v>
      </c>
      <c r="JQ27" s="24">
        <v>80</v>
      </c>
      <c r="JR27" s="24">
        <v>4</v>
      </c>
      <c r="JS27" s="24">
        <v>1.28</v>
      </c>
      <c r="JT27" s="24">
        <v>3</v>
      </c>
      <c r="JU27" s="24">
        <v>60</v>
      </c>
      <c r="JV27" s="24">
        <v>3</v>
      </c>
      <c r="JW27" s="24">
        <v>0.28999999999999998</v>
      </c>
      <c r="JX27" s="24">
        <v>3</v>
      </c>
      <c r="JY27" s="24">
        <v>70</v>
      </c>
      <c r="JZ27" s="24">
        <v>4</v>
      </c>
      <c r="KA27" s="24">
        <v>0.57999999999999996</v>
      </c>
      <c r="KB27" s="24">
        <v>3</v>
      </c>
      <c r="LA27" s="27">
        <v>0.49</v>
      </c>
      <c r="LB27" s="27">
        <v>1</v>
      </c>
      <c r="LC27" s="27">
        <v>2</v>
      </c>
      <c r="LD27" s="27"/>
      <c r="LE27" s="27">
        <f t="shared" si="7"/>
        <v>0.81</v>
      </c>
      <c r="LF27" s="27"/>
      <c r="LG27" s="27"/>
      <c r="LH27" s="27"/>
      <c r="LI27" s="27"/>
      <c r="LJ27" s="27"/>
      <c r="LK27" s="27"/>
      <c r="LL27" s="27">
        <v>0</v>
      </c>
      <c r="LM27" s="27"/>
      <c r="LN27" s="27"/>
      <c r="LO27" s="27"/>
      <c r="LP27" s="27">
        <v>0</v>
      </c>
      <c r="LQ27" s="27">
        <v>0</v>
      </c>
      <c r="LR27" s="27">
        <v>0</v>
      </c>
      <c r="LS27" s="24">
        <v>0</v>
      </c>
      <c r="LT27" s="24" t="s">
        <v>311</v>
      </c>
      <c r="LU27" s="24">
        <v>52</v>
      </c>
      <c r="LV27" s="27">
        <v>87.1</v>
      </c>
      <c r="LW27" s="27">
        <v>83.4</v>
      </c>
      <c r="LX27" s="27">
        <v>31.9</v>
      </c>
      <c r="LY27" s="24">
        <v>55.25</v>
      </c>
      <c r="LZ27" s="24">
        <v>0</v>
      </c>
      <c r="MA27" s="24">
        <v>0</v>
      </c>
      <c r="MB27" s="24">
        <v>0</v>
      </c>
      <c r="MC27" s="24">
        <v>36.01</v>
      </c>
      <c r="MD27" s="24">
        <v>0</v>
      </c>
      <c r="ME27" s="24">
        <v>0</v>
      </c>
      <c r="MF27" s="24">
        <v>0</v>
      </c>
      <c r="MG27" s="24">
        <v>0</v>
      </c>
      <c r="MH27" s="24">
        <v>0</v>
      </c>
      <c r="MI27" s="24">
        <v>0</v>
      </c>
      <c r="MJ27" s="24">
        <v>1.03</v>
      </c>
      <c r="MK27" s="24">
        <v>22.5</v>
      </c>
      <c r="ML27" s="24">
        <v>29.21</v>
      </c>
      <c r="MM27" s="24">
        <v>12.38</v>
      </c>
      <c r="MN27" s="24">
        <v>8.73</v>
      </c>
      <c r="MO27" s="24">
        <v>5.3</v>
      </c>
      <c r="MP27" s="24">
        <v>1</v>
      </c>
      <c r="MQ27" s="24">
        <v>5</v>
      </c>
      <c r="MS27" s="24">
        <v>1</v>
      </c>
      <c r="NC27" s="24">
        <v>7.1</v>
      </c>
      <c r="ND27" s="24">
        <v>1</v>
      </c>
      <c r="NE27" s="24">
        <v>35</v>
      </c>
      <c r="NF27" s="24">
        <v>8</v>
      </c>
      <c r="NG27" s="24">
        <f t="shared" si="8"/>
        <v>0.51</v>
      </c>
      <c r="NH27" s="24">
        <v>3</v>
      </c>
      <c r="NO27" s="28"/>
      <c r="OG27" s="24">
        <v>1</v>
      </c>
      <c r="OH27" s="24">
        <v>50</v>
      </c>
      <c r="OI27" s="24">
        <v>7</v>
      </c>
      <c r="OJ27" s="24">
        <f t="shared" si="9"/>
        <v>1.97</v>
      </c>
      <c r="OK27" s="24">
        <v>3</v>
      </c>
      <c r="OL27" s="24">
        <v>70</v>
      </c>
      <c r="OM27" s="24">
        <v>11</v>
      </c>
      <c r="ON27" s="24">
        <f t="shared" si="10"/>
        <v>1.38</v>
      </c>
      <c r="OO27" s="24">
        <v>3</v>
      </c>
      <c r="OP27" s="24">
        <v>50</v>
      </c>
      <c r="OQ27" s="24">
        <v>1</v>
      </c>
      <c r="OR27" s="24">
        <v>0.37</v>
      </c>
      <c r="OS27" s="24">
        <v>4</v>
      </c>
      <c r="OT27" s="24">
        <v>50</v>
      </c>
      <c r="OU27" s="24">
        <v>1</v>
      </c>
      <c r="OV27" s="24">
        <v>0.37</v>
      </c>
      <c r="OW27" s="24">
        <v>6</v>
      </c>
      <c r="OX27" s="24">
        <v>60</v>
      </c>
      <c r="OY27" s="24">
        <v>12</v>
      </c>
      <c r="OZ27" s="24">
        <f t="shared" si="11"/>
        <v>0.78</v>
      </c>
      <c r="PA27" s="24">
        <v>3</v>
      </c>
      <c r="PB27" s="24">
        <v>60</v>
      </c>
      <c r="PC27" s="24">
        <v>4</v>
      </c>
      <c r="PD27" s="24">
        <v>0.26</v>
      </c>
      <c r="PE27" s="24">
        <v>1</v>
      </c>
      <c r="PF27" s="24">
        <v>70</v>
      </c>
      <c r="PG27" s="24">
        <v>4</v>
      </c>
      <c r="PH27" s="24">
        <v>0.39</v>
      </c>
      <c r="PI27" s="24">
        <v>1</v>
      </c>
      <c r="PJ27" s="24">
        <v>60</v>
      </c>
      <c r="PK27" s="24">
        <v>2</v>
      </c>
      <c r="PL27" s="24">
        <v>0.13</v>
      </c>
      <c r="PM27" s="24">
        <v>6</v>
      </c>
      <c r="PN27" s="24">
        <v>50</v>
      </c>
      <c r="PO27" s="24">
        <v>1</v>
      </c>
      <c r="PP27" s="24">
        <v>0.83</v>
      </c>
      <c r="PQ27" s="24">
        <v>6</v>
      </c>
      <c r="PR27" s="27">
        <v>5.1100000000000003</v>
      </c>
      <c r="PS27" s="27">
        <v>1</v>
      </c>
      <c r="PT27" s="27">
        <v>1</v>
      </c>
      <c r="PU27" s="27"/>
      <c r="PV27" s="27">
        <f t="shared" si="12"/>
        <v>0.36</v>
      </c>
      <c r="PW27" s="27">
        <v>2</v>
      </c>
      <c r="PX27" s="27"/>
      <c r="PY27" s="27">
        <f t="shared" si="13"/>
        <v>5.32</v>
      </c>
      <c r="PZ27" s="27"/>
      <c r="QA27" s="27"/>
      <c r="QB27" s="27"/>
      <c r="QC27" s="27">
        <v>2.17</v>
      </c>
      <c r="QD27" s="27">
        <v>2.1800000000000002</v>
      </c>
      <c r="QE27" s="27"/>
      <c r="QF27" s="27"/>
      <c r="QG27" s="27">
        <v>0</v>
      </c>
      <c r="QH27" s="27">
        <v>0</v>
      </c>
      <c r="QI27" s="27">
        <v>0</v>
      </c>
      <c r="QJ27" s="24">
        <v>0</v>
      </c>
      <c r="QK27" s="24" t="s">
        <v>312</v>
      </c>
      <c r="QL27" s="24">
        <v>40</v>
      </c>
      <c r="QM27" s="27">
        <v>90.5</v>
      </c>
      <c r="QN27" s="27">
        <v>83.4</v>
      </c>
      <c r="QO27" s="27">
        <v>24.1</v>
      </c>
      <c r="QP27" s="24">
        <v>65.22</v>
      </c>
      <c r="QQ27" s="24">
        <v>0</v>
      </c>
      <c r="QR27" s="24">
        <v>0</v>
      </c>
      <c r="QS27" s="24">
        <v>0</v>
      </c>
      <c r="QT27" s="24">
        <v>27.95</v>
      </c>
      <c r="QU27" s="24">
        <v>0</v>
      </c>
      <c r="QV27" s="24">
        <v>0</v>
      </c>
      <c r="QW27" s="24">
        <v>0</v>
      </c>
      <c r="QX27" s="24">
        <v>0</v>
      </c>
      <c r="QY27" s="24">
        <v>0</v>
      </c>
      <c r="QZ27" s="24">
        <v>0</v>
      </c>
      <c r="RA27" s="24">
        <v>0.5</v>
      </c>
      <c r="RB27" s="24">
        <v>25.43</v>
      </c>
      <c r="RC27" s="24">
        <v>28.69</v>
      </c>
      <c r="RD27" s="24">
        <v>8.32</v>
      </c>
      <c r="RE27" s="24">
        <v>6.81</v>
      </c>
      <c r="RF27" s="24">
        <v>5.3</v>
      </c>
      <c r="RG27" s="24">
        <v>1</v>
      </c>
      <c r="RH27" s="24">
        <v>5</v>
      </c>
      <c r="RJ27" s="24">
        <v>1</v>
      </c>
      <c r="RT27" s="24">
        <v>3.5</v>
      </c>
      <c r="RU27" s="24">
        <v>0</v>
      </c>
      <c r="SF27" s="28"/>
      <c r="SX27" s="24">
        <v>1</v>
      </c>
      <c r="SY27" s="24">
        <v>50</v>
      </c>
      <c r="SZ27" s="24">
        <v>9</v>
      </c>
      <c r="TA27" s="24">
        <f t="shared" si="14"/>
        <v>3.59</v>
      </c>
      <c r="TB27" s="24">
        <v>3</v>
      </c>
      <c r="TC27" s="24">
        <v>70</v>
      </c>
      <c r="TD27" s="24">
        <v>12</v>
      </c>
      <c r="TE27" s="24">
        <f t="shared" si="15"/>
        <v>2.1</v>
      </c>
      <c r="TF27" s="24">
        <v>3</v>
      </c>
      <c r="TG27" s="24">
        <v>60</v>
      </c>
      <c r="TH27" s="24">
        <v>2</v>
      </c>
      <c r="TI27" s="24">
        <v>0.13</v>
      </c>
      <c r="TJ27" s="24">
        <v>3</v>
      </c>
      <c r="TK27" s="24">
        <v>50</v>
      </c>
      <c r="TL27" s="24">
        <v>1</v>
      </c>
      <c r="TM27" s="24">
        <v>0.83</v>
      </c>
      <c r="TN27" s="24">
        <v>6</v>
      </c>
      <c r="TO27" s="24">
        <v>60</v>
      </c>
      <c r="TP27" s="24">
        <v>1</v>
      </c>
      <c r="TQ27" s="24">
        <v>0.13</v>
      </c>
      <c r="TR27" s="24">
        <v>6</v>
      </c>
      <c r="TS27" s="24">
        <v>70</v>
      </c>
      <c r="TT27" s="24">
        <v>1</v>
      </c>
      <c r="TU27" s="24">
        <v>0.39</v>
      </c>
      <c r="TV27" s="24">
        <v>1</v>
      </c>
      <c r="TW27" s="24">
        <v>50</v>
      </c>
      <c r="TX27" s="24">
        <v>2</v>
      </c>
      <c r="TY27" s="24">
        <f t="shared" si="16"/>
        <v>0.73</v>
      </c>
      <c r="TZ27" s="24">
        <v>4</v>
      </c>
      <c r="UI27" s="27">
        <v>3.9</v>
      </c>
      <c r="UJ27" s="27">
        <v>1</v>
      </c>
      <c r="UK27" s="27">
        <v>1</v>
      </c>
      <c r="UL27" s="27"/>
      <c r="UM27" s="27">
        <f t="shared" si="17"/>
        <v>2.64</v>
      </c>
      <c r="UN27" s="27">
        <v>2</v>
      </c>
      <c r="UO27" s="27"/>
      <c r="UP27" s="27">
        <f t="shared" si="18"/>
        <v>4.5600000000000005</v>
      </c>
      <c r="UQ27" s="27"/>
      <c r="UR27" s="27"/>
      <c r="US27" s="27"/>
      <c r="UT27" s="27">
        <v>3</v>
      </c>
      <c r="UU27" s="27">
        <v>2.19</v>
      </c>
      <c r="UV27" s="27"/>
      <c r="UW27" s="27"/>
      <c r="UX27" s="27">
        <v>0</v>
      </c>
      <c r="UY27" s="27">
        <v>0</v>
      </c>
      <c r="UZ27" s="27">
        <v>0</v>
      </c>
      <c r="VA27" s="24">
        <v>0</v>
      </c>
      <c r="VB27" s="24" t="s">
        <v>313</v>
      </c>
      <c r="VC27" s="24">
        <v>39</v>
      </c>
      <c r="VD27" s="27">
        <v>80.900000000000006</v>
      </c>
      <c r="VE27" s="27">
        <v>83.4</v>
      </c>
      <c r="VF27" s="27">
        <v>19.3</v>
      </c>
      <c r="VG27" s="24">
        <v>75.959999999999994</v>
      </c>
      <c r="VH27" s="24">
        <v>0</v>
      </c>
      <c r="VI27" s="24">
        <v>3.12</v>
      </c>
      <c r="VJ27" s="24">
        <v>0</v>
      </c>
      <c r="VK27" s="24">
        <v>20.93</v>
      </c>
      <c r="VL27" s="24">
        <v>0</v>
      </c>
      <c r="VM27" s="24">
        <v>0</v>
      </c>
      <c r="VN27" s="24">
        <v>0</v>
      </c>
      <c r="VO27" s="24">
        <v>0</v>
      </c>
      <c r="VP27" s="24">
        <v>0</v>
      </c>
      <c r="VQ27" s="24">
        <v>0</v>
      </c>
      <c r="VR27" s="24">
        <v>5.32</v>
      </c>
      <c r="VS27" s="24">
        <v>30.75</v>
      </c>
      <c r="VT27" s="24">
        <v>28.21</v>
      </c>
      <c r="VU27" s="24">
        <v>4.22</v>
      </c>
      <c r="VV27" s="24">
        <v>0</v>
      </c>
      <c r="VW27" s="24">
        <v>0</v>
      </c>
      <c r="VX27" s="24">
        <v>0</v>
      </c>
      <c r="WK27" s="24">
        <v>15.8</v>
      </c>
      <c r="WL27" s="24">
        <v>1</v>
      </c>
      <c r="WM27" s="24">
        <v>35</v>
      </c>
      <c r="WN27" s="24">
        <v>4</v>
      </c>
      <c r="WO27" s="24">
        <f t="shared" si="19"/>
        <v>2.92</v>
      </c>
      <c r="WP27" s="24">
        <v>3</v>
      </c>
      <c r="WQ27" s="24">
        <v>23</v>
      </c>
      <c r="WR27" s="24">
        <v>1</v>
      </c>
      <c r="WS27" s="24">
        <v>0.06</v>
      </c>
      <c r="WT27" s="24">
        <v>3</v>
      </c>
      <c r="WW27" s="28"/>
      <c r="XO27" s="24">
        <v>1</v>
      </c>
      <c r="XP27" s="24">
        <v>60</v>
      </c>
      <c r="XQ27" s="24">
        <v>1</v>
      </c>
      <c r="XR27" s="24">
        <v>0.73</v>
      </c>
      <c r="XS27" s="24">
        <v>3</v>
      </c>
      <c r="XT27" s="24">
        <v>50</v>
      </c>
      <c r="XU27" s="24">
        <v>1</v>
      </c>
      <c r="XV27" s="24">
        <v>0.73</v>
      </c>
      <c r="XW27" s="24">
        <v>1</v>
      </c>
      <c r="XX27" s="24">
        <v>40</v>
      </c>
      <c r="XY27" s="24">
        <v>1</v>
      </c>
      <c r="XZ27" s="24">
        <v>0.73</v>
      </c>
      <c r="YA27" s="24">
        <v>6</v>
      </c>
      <c r="YB27" s="24">
        <v>50</v>
      </c>
      <c r="YC27" s="24">
        <v>1</v>
      </c>
      <c r="YD27" s="24">
        <v>0.19</v>
      </c>
      <c r="YE27" s="24">
        <v>3</v>
      </c>
      <c r="YF27" s="24">
        <v>70</v>
      </c>
      <c r="YG27" s="24">
        <v>3</v>
      </c>
      <c r="YH27" s="24">
        <v>0.57999999999999996</v>
      </c>
      <c r="YI27" s="24">
        <v>3</v>
      </c>
      <c r="YJ27" s="24">
        <v>50</v>
      </c>
      <c r="YK27" s="24">
        <v>1</v>
      </c>
      <c r="YL27" s="24">
        <v>0.28999999999999998</v>
      </c>
      <c r="YM27" s="24">
        <v>6</v>
      </c>
      <c r="YZ27" s="27">
        <v>0</v>
      </c>
      <c r="ZA27" s="27">
        <v>0</v>
      </c>
      <c r="ZB27" s="27"/>
      <c r="ZC27" s="27"/>
      <c r="ZD27" s="27"/>
      <c r="ZE27" s="27"/>
      <c r="ZF27" s="27"/>
      <c r="ZG27" s="27"/>
      <c r="ZH27" s="27"/>
      <c r="ZI27" s="27"/>
      <c r="ZJ27" s="27"/>
      <c r="ZK27" s="27">
        <v>0.26</v>
      </c>
      <c r="ZL27" s="27">
        <v>0.26</v>
      </c>
      <c r="ZM27" s="27"/>
      <c r="ZN27" s="27"/>
      <c r="ZO27" s="27">
        <v>3.6</v>
      </c>
      <c r="ZP27" s="27">
        <v>0.88</v>
      </c>
      <c r="ZQ27" s="27">
        <v>0</v>
      </c>
      <c r="ZR27" s="24">
        <v>0</v>
      </c>
      <c r="ZS27" s="24" t="s">
        <v>314</v>
      </c>
      <c r="ZT27" s="24">
        <v>36</v>
      </c>
      <c r="ZU27" s="27">
        <v>71.400000000000006</v>
      </c>
      <c r="ZV27" s="27">
        <v>83.4</v>
      </c>
      <c r="ZW27" s="27">
        <v>17.2</v>
      </c>
      <c r="ZX27" s="24">
        <v>79.88</v>
      </c>
      <c r="ZY27" s="24">
        <v>0</v>
      </c>
      <c r="ZZ27" s="24">
        <v>3.12</v>
      </c>
      <c r="AAA27" s="24">
        <v>0</v>
      </c>
      <c r="AAB27" s="24">
        <v>17</v>
      </c>
      <c r="AAC27" s="24">
        <v>0</v>
      </c>
      <c r="AAD27" s="24">
        <v>0</v>
      </c>
      <c r="AAE27" s="24">
        <v>0</v>
      </c>
      <c r="AAF27" s="24">
        <v>0</v>
      </c>
      <c r="AAG27" s="24">
        <v>0</v>
      </c>
      <c r="AAH27" s="24">
        <v>0</v>
      </c>
      <c r="AAI27" s="24">
        <v>5.32</v>
      </c>
      <c r="AAJ27" s="24">
        <v>31.86</v>
      </c>
      <c r="AAK27" s="24">
        <v>24.1</v>
      </c>
      <c r="AAL27" s="24">
        <v>2.02</v>
      </c>
      <c r="AAM27" s="24">
        <v>0</v>
      </c>
      <c r="AAN27" s="24">
        <v>0</v>
      </c>
      <c r="AAO27" s="24">
        <v>0</v>
      </c>
      <c r="ABB27" s="24">
        <v>15.1</v>
      </c>
      <c r="ABC27" s="24">
        <v>1</v>
      </c>
      <c r="ABD27" s="24">
        <v>35</v>
      </c>
      <c r="ABE27" s="24">
        <v>4</v>
      </c>
      <c r="ABF27" s="24">
        <f t="shared" si="20"/>
        <v>2.92</v>
      </c>
      <c r="ABG27" s="24">
        <v>3</v>
      </c>
      <c r="ABN27" s="28"/>
      <c r="ACF27" s="24">
        <v>1</v>
      </c>
      <c r="ACG27" s="24">
        <v>50</v>
      </c>
      <c r="ACH27" s="24">
        <v>2</v>
      </c>
      <c r="ACI27" s="24">
        <f t="shared" si="21"/>
        <v>0.91999999999999993</v>
      </c>
      <c r="ACJ27" s="24">
        <v>3</v>
      </c>
      <c r="ACK27" s="24">
        <v>50</v>
      </c>
      <c r="ACL27" s="24">
        <v>1</v>
      </c>
      <c r="ACM27" s="24">
        <v>0.73</v>
      </c>
      <c r="ACN27" s="24">
        <v>1</v>
      </c>
      <c r="ACO27" s="24">
        <v>70</v>
      </c>
      <c r="ACP27" s="24">
        <v>3</v>
      </c>
      <c r="ACQ27" s="24">
        <v>0.57999999999999996</v>
      </c>
      <c r="ACR27" s="24">
        <v>3</v>
      </c>
      <c r="ACS27" s="24">
        <v>40</v>
      </c>
      <c r="ACT27" s="24">
        <v>1</v>
      </c>
      <c r="ACU27" s="24">
        <v>1.65</v>
      </c>
      <c r="ACV27" s="24">
        <v>6</v>
      </c>
      <c r="ADQ27" s="27">
        <v>0</v>
      </c>
      <c r="ADR27" s="27">
        <v>0</v>
      </c>
      <c r="ADS27" s="27"/>
      <c r="ADT27" s="27"/>
      <c r="ADU27" s="27"/>
      <c r="ADV27" s="27"/>
      <c r="ADW27" s="27"/>
      <c r="ADX27" s="27"/>
      <c r="ADY27" s="27"/>
      <c r="ADZ27" s="27"/>
      <c r="AEA27" s="27"/>
      <c r="AEB27" s="27">
        <v>0</v>
      </c>
      <c r="AEC27" s="27">
        <v>0</v>
      </c>
      <c r="AED27" s="27"/>
      <c r="AEE27" s="27"/>
      <c r="AEF27" s="27">
        <v>3.6</v>
      </c>
      <c r="AEG27" s="27">
        <v>0.88</v>
      </c>
      <c r="AEH27" s="27">
        <v>0</v>
      </c>
      <c r="AEI27" s="24">
        <v>0</v>
      </c>
      <c r="AEJ27" s="24" t="s">
        <v>315</v>
      </c>
      <c r="AEK27" s="24">
        <v>38.5</v>
      </c>
      <c r="AEL27" s="27">
        <v>90.6</v>
      </c>
      <c r="AEM27" s="27">
        <v>83.4</v>
      </c>
      <c r="AEN27" s="27">
        <v>29.4</v>
      </c>
      <c r="AEO27" s="24">
        <v>59.08</v>
      </c>
      <c r="AEP27" s="24">
        <v>0</v>
      </c>
      <c r="AEQ27" s="24">
        <v>0</v>
      </c>
      <c r="AER27" s="24">
        <v>0</v>
      </c>
      <c r="AES27" s="24">
        <v>40.92</v>
      </c>
      <c r="AET27" s="24">
        <v>0</v>
      </c>
      <c r="AEU27" s="24">
        <v>0</v>
      </c>
      <c r="AEV27" s="24">
        <v>0</v>
      </c>
      <c r="AEW27" s="24">
        <v>0</v>
      </c>
      <c r="AEX27" s="24">
        <v>0</v>
      </c>
      <c r="AEY27" s="24">
        <v>0</v>
      </c>
      <c r="AEZ27" s="24">
        <v>3.67</v>
      </c>
      <c r="AFA27" s="24">
        <v>24.93</v>
      </c>
      <c r="AFB27" s="24">
        <v>39.44</v>
      </c>
      <c r="AFC27" s="24">
        <v>8.51</v>
      </c>
      <c r="AFD27" s="24">
        <v>0</v>
      </c>
      <c r="AFE27" s="24">
        <v>0</v>
      </c>
      <c r="AFF27" s="24">
        <v>0</v>
      </c>
      <c r="AFS27" s="24">
        <v>3.7</v>
      </c>
      <c r="AFT27" s="24">
        <v>1</v>
      </c>
      <c r="AFU27" s="24">
        <v>34</v>
      </c>
      <c r="AFV27" s="24">
        <v>2</v>
      </c>
      <c r="AFW27" s="24">
        <f t="shared" si="22"/>
        <v>4.05</v>
      </c>
      <c r="AFX27" s="24">
        <v>1</v>
      </c>
      <c r="AGE27" s="28"/>
      <c r="AGW27" s="24">
        <v>1</v>
      </c>
      <c r="AGX27" s="24">
        <v>50</v>
      </c>
      <c r="AGY27" s="24">
        <v>2</v>
      </c>
      <c r="AGZ27" s="24">
        <f t="shared" si="23"/>
        <v>1.46</v>
      </c>
      <c r="AHA27" s="24">
        <v>6</v>
      </c>
      <c r="AIH27" s="27">
        <v>4.96</v>
      </c>
      <c r="AII27" s="27">
        <v>1</v>
      </c>
      <c r="AIJ27" s="27">
        <v>2</v>
      </c>
      <c r="AIK27" s="27"/>
      <c r="AIL27" s="27">
        <f t="shared" si="24"/>
        <v>17.28</v>
      </c>
      <c r="AIM27" s="27"/>
      <c r="AIN27" s="27"/>
      <c r="AIO27" s="27"/>
      <c r="AIP27" s="27"/>
      <c r="AIQ27" s="27"/>
      <c r="AIR27" s="27"/>
      <c r="AIS27" s="27">
        <v>0.19</v>
      </c>
      <c r="AIT27" s="27">
        <v>0.19</v>
      </c>
      <c r="AIU27" s="27"/>
      <c r="AIV27" s="27"/>
      <c r="AIW27" s="27">
        <v>0</v>
      </c>
      <c r="AIX27" s="27">
        <v>0</v>
      </c>
      <c r="AIY27" s="27">
        <v>0</v>
      </c>
      <c r="AIZ27" s="24">
        <v>0</v>
      </c>
      <c r="AJA27" s="24" t="s">
        <v>316</v>
      </c>
      <c r="AJB27" s="24">
        <v>36</v>
      </c>
      <c r="AJC27" s="27">
        <v>94.1</v>
      </c>
      <c r="AJD27" s="27">
        <v>83.4</v>
      </c>
      <c r="AJE27" s="27">
        <v>25.8</v>
      </c>
      <c r="AJF27" s="24">
        <v>60.57</v>
      </c>
      <c r="AJG27" s="24">
        <v>0</v>
      </c>
      <c r="AJH27" s="24">
        <v>0</v>
      </c>
      <c r="AJI27" s="24">
        <v>0</v>
      </c>
      <c r="AJJ27" s="24">
        <v>39.43</v>
      </c>
      <c r="AJK27" s="24">
        <v>0</v>
      </c>
      <c r="AJL27" s="24">
        <v>0</v>
      </c>
      <c r="AJM27" s="24">
        <v>0</v>
      </c>
      <c r="AJN27" s="24">
        <v>0</v>
      </c>
      <c r="AJO27" s="24">
        <v>0</v>
      </c>
      <c r="AJP27" s="24">
        <v>0</v>
      </c>
      <c r="AJQ27" s="24">
        <v>0</v>
      </c>
      <c r="AJR27" s="24">
        <v>30.64</v>
      </c>
      <c r="AJS27" s="24">
        <v>37.97</v>
      </c>
      <c r="AJT27" s="24">
        <v>4.59</v>
      </c>
      <c r="AJU27" s="24">
        <v>0</v>
      </c>
      <c r="AJV27" s="24">
        <v>0</v>
      </c>
      <c r="AJW27" s="24">
        <v>0</v>
      </c>
      <c r="AKJ27" s="24">
        <v>4.8</v>
      </c>
      <c r="AKK27" s="24">
        <v>0</v>
      </c>
      <c r="AKV27" s="28"/>
      <c r="ALN27" s="24">
        <v>1</v>
      </c>
      <c r="ALO27" s="24">
        <v>50</v>
      </c>
      <c r="ALP27" s="24">
        <v>3</v>
      </c>
      <c r="ALQ27" s="24">
        <f t="shared" si="25"/>
        <v>2.19</v>
      </c>
      <c r="ALR27" s="24">
        <v>6</v>
      </c>
    </row>
    <row r="28" spans="1:1018" x14ac:dyDescent="0.2">
      <c r="A28" s="1" t="s">
        <v>341</v>
      </c>
      <c r="B28" s="12">
        <v>42900</v>
      </c>
      <c r="C28">
        <v>2</v>
      </c>
      <c r="D28" s="13">
        <v>40513</v>
      </c>
      <c r="E28" s="12">
        <v>29267</v>
      </c>
      <c r="F28" s="14">
        <f t="shared" si="0"/>
        <v>37.325119780971939</v>
      </c>
      <c r="G28" s="14">
        <f t="shared" si="1"/>
        <v>6.5352498288843259</v>
      </c>
      <c r="H28" s="15" t="s">
        <v>306</v>
      </c>
      <c r="I28" s="15" t="s">
        <v>307</v>
      </c>
      <c r="J28" s="21" t="s">
        <v>181</v>
      </c>
      <c r="K28" s="21">
        <v>4</v>
      </c>
      <c r="L28" s="19">
        <v>76</v>
      </c>
      <c r="M28">
        <v>1.82</v>
      </c>
      <c r="N28" s="16">
        <f t="shared" si="2"/>
        <v>22.944088878154812</v>
      </c>
      <c r="O28" s="19">
        <v>0</v>
      </c>
      <c r="P28" s="19">
        <v>1</v>
      </c>
      <c r="Q28" s="19" t="s">
        <v>342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1</v>
      </c>
      <c r="X28" s="19">
        <v>0</v>
      </c>
      <c r="Y28" s="19">
        <v>1</v>
      </c>
      <c r="Z28" s="19">
        <v>2</v>
      </c>
      <c r="AA28" s="19">
        <v>90</v>
      </c>
      <c r="AB28" s="19" t="s">
        <v>343</v>
      </c>
      <c r="AC28" s="19">
        <v>0</v>
      </c>
      <c r="AD28" s="19">
        <v>0</v>
      </c>
      <c r="AE28" s="19">
        <v>1</v>
      </c>
      <c r="AF28" s="19">
        <v>0</v>
      </c>
      <c r="AG28" s="19">
        <v>1</v>
      </c>
      <c r="AH28" s="19">
        <v>6</v>
      </c>
      <c r="AI28" s="19">
        <v>2</v>
      </c>
      <c r="AJ28" s="19">
        <v>0</v>
      </c>
      <c r="AK28" s="19">
        <v>2</v>
      </c>
      <c r="AL28" s="19">
        <v>0</v>
      </c>
      <c r="AM28" s="19">
        <v>2</v>
      </c>
      <c r="AN28" s="19">
        <v>2</v>
      </c>
      <c r="AO28" s="19">
        <v>2</v>
      </c>
      <c r="AP28" s="19">
        <v>2</v>
      </c>
      <c r="AQ28" s="19">
        <v>0</v>
      </c>
      <c r="AR28" s="19">
        <v>3</v>
      </c>
      <c r="AS28" s="19">
        <v>1</v>
      </c>
      <c r="AT28" s="19">
        <v>1</v>
      </c>
      <c r="AU28" s="19">
        <v>1</v>
      </c>
      <c r="AV28" s="19">
        <v>4</v>
      </c>
      <c r="AW28" s="19">
        <v>0</v>
      </c>
      <c r="AX28" s="19">
        <v>0</v>
      </c>
      <c r="AY28" s="19">
        <v>0</v>
      </c>
      <c r="AZ28" s="19">
        <v>0</v>
      </c>
      <c r="BA28" s="19">
        <v>0</v>
      </c>
      <c r="BB28" s="19">
        <v>1</v>
      </c>
      <c r="BC28" s="19">
        <v>1</v>
      </c>
      <c r="BD28" s="19">
        <v>1</v>
      </c>
      <c r="BE28" s="19">
        <v>6</v>
      </c>
      <c r="BF28" s="19">
        <v>1</v>
      </c>
      <c r="BG28" s="19">
        <v>1</v>
      </c>
      <c r="BH28" s="19">
        <v>1</v>
      </c>
      <c r="BI28" s="19">
        <v>5</v>
      </c>
      <c r="BJ28" s="19">
        <v>0</v>
      </c>
      <c r="BK28" s="19">
        <v>0</v>
      </c>
      <c r="BL28" s="19">
        <v>0</v>
      </c>
      <c r="BM28" s="19">
        <v>0</v>
      </c>
      <c r="BN28" s="19">
        <v>0</v>
      </c>
      <c r="BO28" s="19">
        <v>0</v>
      </c>
      <c r="BP28" s="19">
        <v>0</v>
      </c>
      <c r="BQ28" s="19">
        <v>0</v>
      </c>
      <c r="BR28" s="19">
        <v>5</v>
      </c>
      <c r="BS28" s="19">
        <v>3</v>
      </c>
      <c r="BT28" s="19">
        <v>5</v>
      </c>
      <c r="BU28" s="19">
        <v>5</v>
      </c>
      <c r="BV28" s="19">
        <v>4</v>
      </c>
      <c r="BW28" s="19">
        <v>3</v>
      </c>
      <c r="BX28" s="19">
        <v>5</v>
      </c>
      <c r="BY28" s="19">
        <v>5</v>
      </c>
      <c r="BZ28" s="19">
        <v>4</v>
      </c>
      <c r="CA28" s="19">
        <v>5</v>
      </c>
      <c r="CB28" s="19">
        <v>5</v>
      </c>
      <c r="CC28" s="19">
        <v>5</v>
      </c>
      <c r="CD28" s="19">
        <v>2</v>
      </c>
      <c r="CE28" s="19">
        <v>4</v>
      </c>
      <c r="CF28" s="19">
        <v>3</v>
      </c>
      <c r="CG28" s="19">
        <v>5</v>
      </c>
      <c r="CH28" s="19">
        <v>3</v>
      </c>
      <c r="CI28" s="19">
        <v>4</v>
      </c>
      <c r="CJ28" s="19">
        <v>5</v>
      </c>
      <c r="CK28" s="19">
        <v>10</v>
      </c>
      <c r="CL28" s="24" t="s">
        <v>309</v>
      </c>
      <c r="CM28" s="24">
        <v>31</v>
      </c>
      <c r="CN28" s="27">
        <v>39.200000000000003</v>
      </c>
      <c r="CO28" s="27">
        <v>83.4</v>
      </c>
      <c r="CP28" s="27">
        <v>17.2</v>
      </c>
      <c r="CQ28" s="24">
        <v>85.69</v>
      </c>
      <c r="CR28" s="24">
        <v>0</v>
      </c>
      <c r="CS28" s="24">
        <v>0.39</v>
      </c>
      <c r="CT28" s="24">
        <v>0</v>
      </c>
      <c r="CU28" s="24">
        <v>13.37</v>
      </c>
      <c r="CV28" s="24">
        <v>0</v>
      </c>
      <c r="CW28" s="24">
        <v>0</v>
      </c>
      <c r="CX28" s="24">
        <v>0</v>
      </c>
      <c r="CY28" s="24">
        <v>0</v>
      </c>
      <c r="CZ28" s="24">
        <v>0</v>
      </c>
      <c r="DA28" s="24">
        <v>0</v>
      </c>
      <c r="DB28" s="24">
        <v>12.36</v>
      </c>
      <c r="DC28" s="24">
        <v>18.21</v>
      </c>
      <c r="DD28" s="24">
        <v>12.25</v>
      </c>
      <c r="DE28" s="24">
        <v>3.27</v>
      </c>
      <c r="DF28" s="24">
        <v>5.0199999999999996</v>
      </c>
      <c r="DG28" s="24">
        <v>4.8</v>
      </c>
      <c r="DH28" s="24">
        <v>1</v>
      </c>
      <c r="DI28" s="24">
        <v>5</v>
      </c>
      <c r="DK28" s="24">
        <v>2</v>
      </c>
      <c r="DL28" s="24">
        <v>3</v>
      </c>
      <c r="DN28" s="24">
        <v>1</v>
      </c>
      <c r="DU28" s="24">
        <v>2.4</v>
      </c>
      <c r="DV28" s="24">
        <v>1</v>
      </c>
      <c r="DW28" s="24">
        <v>35</v>
      </c>
      <c r="DX28" s="24">
        <v>8</v>
      </c>
      <c r="DY28" s="24">
        <f t="shared" si="3"/>
        <v>0.52</v>
      </c>
      <c r="DZ28" s="24">
        <v>3</v>
      </c>
      <c r="EA28" s="24">
        <v>23</v>
      </c>
      <c r="EB28" s="24">
        <v>2</v>
      </c>
      <c r="EC28" s="24">
        <v>0.12</v>
      </c>
      <c r="ED28" s="24">
        <v>3</v>
      </c>
      <c r="EG28" s="28"/>
      <c r="EY28" s="24">
        <v>1</v>
      </c>
      <c r="EZ28" s="24">
        <v>50</v>
      </c>
      <c r="FA28" s="24">
        <v>5</v>
      </c>
      <c r="FB28" s="24">
        <v>0.32</v>
      </c>
      <c r="FC28" s="24">
        <v>3</v>
      </c>
      <c r="GJ28" s="27">
        <v>0.43</v>
      </c>
      <c r="GK28" s="27">
        <v>1</v>
      </c>
      <c r="GL28" s="27">
        <v>1</v>
      </c>
      <c r="GM28" s="27"/>
      <c r="GN28" s="27">
        <f t="shared" si="4"/>
        <v>0.69</v>
      </c>
      <c r="GO28" s="27">
        <v>2</v>
      </c>
      <c r="GP28" s="27"/>
      <c r="GQ28" s="27">
        <f t="shared" si="5"/>
        <v>7.4</v>
      </c>
      <c r="GR28" s="27"/>
      <c r="GS28" s="27"/>
      <c r="GT28" s="27"/>
      <c r="GU28" s="27">
        <v>1.74</v>
      </c>
      <c r="GV28" s="27">
        <v>1.32</v>
      </c>
      <c r="GW28" s="27"/>
      <c r="GX28" s="27"/>
      <c r="GY28" s="27">
        <v>4.32</v>
      </c>
      <c r="GZ28" s="27">
        <v>1.2</v>
      </c>
      <c r="HA28" s="27">
        <v>0.11</v>
      </c>
      <c r="HB28" s="24">
        <v>2</v>
      </c>
      <c r="HC28" s="24" t="s">
        <v>310</v>
      </c>
      <c r="HD28" s="24">
        <v>22.5</v>
      </c>
      <c r="HE28" s="27">
        <v>20.9</v>
      </c>
      <c r="HF28" s="27">
        <v>83.4</v>
      </c>
      <c r="HG28" s="27">
        <v>11</v>
      </c>
      <c r="HH28" s="24">
        <v>91.28</v>
      </c>
      <c r="HI28" s="24">
        <v>0</v>
      </c>
      <c r="HJ28" s="24">
        <v>0</v>
      </c>
      <c r="HK28" s="24">
        <v>0</v>
      </c>
      <c r="HL28" s="24">
        <v>4.1500000000000004</v>
      </c>
      <c r="HM28" s="24">
        <v>0</v>
      </c>
      <c r="HN28" s="24">
        <v>0</v>
      </c>
      <c r="HO28" s="24">
        <v>0</v>
      </c>
      <c r="HP28" s="24">
        <v>0</v>
      </c>
      <c r="HQ28" s="24">
        <v>0</v>
      </c>
      <c r="HR28" s="24">
        <v>0</v>
      </c>
      <c r="HS28" s="24">
        <v>0.71</v>
      </c>
      <c r="HT28" s="24">
        <v>7.61</v>
      </c>
      <c r="HU28" s="24">
        <v>5.28</v>
      </c>
      <c r="HV28" s="24">
        <v>2.4700000000000002</v>
      </c>
      <c r="HW28" s="24">
        <v>4.05</v>
      </c>
      <c r="HX28" s="24">
        <v>6.1</v>
      </c>
      <c r="HY28" s="24">
        <v>1</v>
      </c>
      <c r="HZ28" s="24">
        <v>5</v>
      </c>
      <c r="IB28" s="24">
        <v>1</v>
      </c>
      <c r="IC28" s="24">
        <v>3</v>
      </c>
      <c r="IE28" s="24">
        <v>2</v>
      </c>
      <c r="IL28" s="24">
        <v>4.7</v>
      </c>
      <c r="IM28" s="24">
        <v>1</v>
      </c>
      <c r="IN28" s="24">
        <v>35</v>
      </c>
      <c r="IO28" s="24">
        <v>8</v>
      </c>
      <c r="IP28" s="24">
        <f t="shared" si="6"/>
        <v>0.51</v>
      </c>
      <c r="IQ28" s="24">
        <v>3</v>
      </c>
      <c r="IX28" s="28"/>
      <c r="JP28" s="24">
        <v>1</v>
      </c>
      <c r="JQ28" s="24">
        <v>80</v>
      </c>
      <c r="JR28" s="24">
        <v>4</v>
      </c>
      <c r="JS28" s="24">
        <v>1.28</v>
      </c>
      <c r="JT28" s="24">
        <v>3</v>
      </c>
      <c r="JU28" s="24">
        <v>60</v>
      </c>
      <c r="JV28" s="24">
        <v>3</v>
      </c>
      <c r="JW28" s="24">
        <v>0.28999999999999998</v>
      </c>
      <c r="JX28" s="24">
        <v>3</v>
      </c>
      <c r="JY28" s="24">
        <v>70</v>
      </c>
      <c r="JZ28" s="24">
        <v>4</v>
      </c>
      <c r="KA28" s="24">
        <v>0.57999999999999996</v>
      </c>
      <c r="KB28" s="24">
        <v>3</v>
      </c>
      <c r="LA28" s="27">
        <v>0.49</v>
      </c>
      <c r="LB28" s="27">
        <v>1</v>
      </c>
      <c r="LC28" s="27">
        <v>2</v>
      </c>
      <c r="LD28" s="27"/>
      <c r="LE28" s="27">
        <f t="shared" si="7"/>
        <v>0.81</v>
      </c>
      <c r="LF28" s="27"/>
      <c r="LG28" s="27"/>
      <c r="LH28" s="27"/>
      <c r="LI28" s="27"/>
      <c r="LJ28" s="27"/>
      <c r="LK28" s="27"/>
      <c r="LL28" s="27">
        <v>0</v>
      </c>
      <c r="LM28" s="27"/>
      <c r="LN28" s="27"/>
      <c r="LO28" s="27"/>
      <c r="LP28" s="27">
        <v>0</v>
      </c>
      <c r="LQ28" s="27">
        <v>0</v>
      </c>
      <c r="LR28" s="27">
        <v>0</v>
      </c>
      <c r="LS28" s="24">
        <v>0</v>
      </c>
      <c r="LT28" s="24" t="s">
        <v>311</v>
      </c>
      <c r="LU28" s="24">
        <v>52</v>
      </c>
      <c r="LV28" s="27">
        <v>87.1</v>
      </c>
      <c r="LW28" s="27">
        <v>83.4</v>
      </c>
      <c r="LX28" s="27">
        <v>31.9</v>
      </c>
      <c r="LY28" s="24">
        <v>55.25</v>
      </c>
      <c r="LZ28" s="24">
        <v>0</v>
      </c>
      <c r="MA28" s="24">
        <v>0</v>
      </c>
      <c r="MB28" s="24">
        <v>0</v>
      </c>
      <c r="MC28" s="24">
        <v>36.01</v>
      </c>
      <c r="MD28" s="24">
        <v>0</v>
      </c>
      <c r="ME28" s="24">
        <v>0</v>
      </c>
      <c r="MF28" s="24">
        <v>0</v>
      </c>
      <c r="MG28" s="24">
        <v>0</v>
      </c>
      <c r="MH28" s="24">
        <v>0</v>
      </c>
      <c r="MI28" s="24">
        <v>0</v>
      </c>
      <c r="MJ28" s="24">
        <v>1.03</v>
      </c>
      <c r="MK28" s="24">
        <v>22.5</v>
      </c>
      <c r="ML28" s="24">
        <v>29.21</v>
      </c>
      <c r="MM28" s="24">
        <v>12.38</v>
      </c>
      <c r="MN28" s="24">
        <v>8.73</v>
      </c>
      <c r="MO28" s="24">
        <v>5.3</v>
      </c>
      <c r="MP28" s="24">
        <v>1</v>
      </c>
      <c r="MQ28" s="24">
        <v>5</v>
      </c>
      <c r="MS28" s="24">
        <v>1</v>
      </c>
      <c r="NC28" s="24">
        <v>7.1</v>
      </c>
      <c r="ND28" s="24">
        <v>1</v>
      </c>
      <c r="NE28" s="24">
        <v>35</v>
      </c>
      <c r="NF28" s="24">
        <v>8</v>
      </c>
      <c r="NG28" s="24">
        <f t="shared" si="8"/>
        <v>0.51</v>
      </c>
      <c r="NH28" s="24">
        <v>3</v>
      </c>
      <c r="NO28" s="28"/>
      <c r="OG28" s="24">
        <v>1</v>
      </c>
      <c r="OH28" s="24">
        <v>50</v>
      </c>
      <c r="OI28" s="24">
        <v>7</v>
      </c>
      <c r="OJ28" s="24">
        <f t="shared" si="9"/>
        <v>1.97</v>
      </c>
      <c r="OK28" s="24">
        <v>3</v>
      </c>
      <c r="OL28" s="24">
        <v>70</v>
      </c>
      <c r="OM28" s="24">
        <v>11</v>
      </c>
      <c r="ON28" s="24">
        <f t="shared" si="10"/>
        <v>1.38</v>
      </c>
      <c r="OO28" s="24">
        <v>3</v>
      </c>
      <c r="OP28" s="24">
        <v>50</v>
      </c>
      <c r="OQ28" s="24">
        <v>1</v>
      </c>
      <c r="OR28" s="24">
        <v>0.37</v>
      </c>
      <c r="OS28" s="24">
        <v>4</v>
      </c>
      <c r="OT28" s="24">
        <v>50</v>
      </c>
      <c r="OU28" s="24">
        <v>1</v>
      </c>
      <c r="OV28" s="24">
        <v>0.37</v>
      </c>
      <c r="OW28" s="24">
        <v>6</v>
      </c>
      <c r="OX28" s="24">
        <v>60</v>
      </c>
      <c r="OY28" s="24">
        <v>12</v>
      </c>
      <c r="OZ28" s="24">
        <f t="shared" si="11"/>
        <v>0.78</v>
      </c>
      <c r="PA28" s="24">
        <v>3</v>
      </c>
      <c r="PB28" s="24">
        <v>60</v>
      </c>
      <c r="PC28" s="24">
        <v>4</v>
      </c>
      <c r="PD28" s="24">
        <v>0.26</v>
      </c>
      <c r="PE28" s="24">
        <v>1</v>
      </c>
      <c r="PF28" s="24">
        <v>70</v>
      </c>
      <c r="PG28" s="24">
        <v>4</v>
      </c>
      <c r="PH28" s="24">
        <v>0.39</v>
      </c>
      <c r="PI28" s="24">
        <v>1</v>
      </c>
      <c r="PJ28" s="24">
        <v>60</v>
      </c>
      <c r="PK28" s="24">
        <v>2</v>
      </c>
      <c r="PL28" s="24">
        <v>0.13</v>
      </c>
      <c r="PM28" s="24">
        <v>6</v>
      </c>
      <c r="PN28" s="24">
        <v>50</v>
      </c>
      <c r="PO28" s="24">
        <v>1</v>
      </c>
      <c r="PP28" s="24">
        <v>0.83</v>
      </c>
      <c r="PQ28" s="24">
        <v>6</v>
      </c>
      <c r="PR28" s="27">
        <v>5.1100000000000003</v>
      </c>
      <c r="PS28" s="27">
        <v>1</v>
      </c>
      <c r="PT28" s="27">
        <v>1</v>
      </c>
      <c r="PU28" s="27"/>
      <c r="PV28" s="27">
        <f t="shared" si="12"/>
        <v>0.36</v>
      </c>
      <c r="PW28" s="27">
        <v>2</v>
      </c>
      <c r="PX28" s="27"/>
      <c r="PY28" s="27">
        <f t="shared" si="13"/>
        <v>5.32</v>
      </c>
      <c r="PZ28" s="27"/>
      <c r="QA28" s="27"/>
      <c r="QB28" s="27"/>
      <c r="QC28" s="27">
        <v>2.17</v>
      </c>
      <c r="QD28" s="27">
        <v>2.1800000000000002</v>
      </c>
      <c r="QE28" s="27"/>
      <c r="QF28" s="27"/>
      <c r="QG28" s="27">
        <v>0</v>
      </c>
      <c r="QH28" s="27">
        <v>0</v>
      </c>
      <c r="QI28" s="27">
        <v>0</v>
      </c>
      <c r="QJ28" s="24">
        <v>0</v>
      </c>
      <c r="QK28" s="24" t="s">
        <v>312</v>
      </c>
      <c r="QL28" s="24">
        <v>40</v>
      </c>
      <c r="QM28" s="27">
        <v>90.5</v>
      </c>
      <c r="QN28" s="27">
        <v>83.4</v>
      </c>
      <c r="QO28" s="27">
        <v>24.1</v>
      </c>
      <c r="QP28" s="24">
        <v>65.22</v>
      </c>
      <c r="QQ28" s="24">
        <v>0</v>
      </c>
      <c r="QR28" s="24">
        <v>0</v>
      </c>
      <c r="QS28" s="24">
        <v>0</v>
      </c>
      <c r="QT28" s="24">
        <v>27.95</v>
      </c>
      <c r="QU28" s="24">
        <v>0</v>
      </c>
      <c r="QV28" s="24">
        <v>0</v>
      </c>
      <c r="QW28" s="24">
        <v>0</v>
      </c>
      <c r="QX28" s="24">
        <v>0</v>
      </c>
      <c r="QY28" s="24">
        <v>0</v>
      </c>
      <c r="QZ28" s="24">
        <v>0</v>
      </c>
      <c r="RA28" s="24">
        <v>0.5</v>
      </c>
      <c r="RB28" s="24">
        <v>25.43</v>
      </c>
      <c r="RC28" s="24">
        <v>28.69</v>
      </c>
      <c r="RD28" s="24">
        <v>8.32</v>
      </c>
      <c r="RE28" s="24">
        <v>6.81</v>
      </c>
      <c r="RF28" s="24">
        <v>5.3</v>
      </c>
      <c r="RG28" s="24">
        <v>1</v>
      </c>
      <c r="RH28" s="24">
        <v>5</v>
      </c>
      <c r="RJ28" s="24">
        <v>1</v>
      </c>
      <c r="RT28" s="24">
        <v>3.5</v>
      </c>
      <c r="RU28" s="24">
        <v>0</v>
      </c>
      <c r="SF28" s="28"/>
      <c r="SX28" s="24">
        <v>1</v>
      </c>
      <c r="SY28" s="24">
        <v>50</v>
      </c>
      <c r="SZ28" s="24">
        <v>9</v>
      </c>
      <c r="TA28" s="24">
        <f t="shared" si="14"/>
        <v>3.59</v>
      </c>
      <c r="TB28" s="24">
        <v>3</v>
      </c>
      <c r="TC28" s="24">
        <v>70</v>
      </c>
      <c r="TD28" s="24">
        <v>12</v>
      </c>
      <c r="TE28" s="24">
        <f t="shared" si="15"/>
        <v>2.1</v>
      </c>
      <c r="TF28" s="24">
        <v>3</v>
      </c>
      <c r="TG28" s="24">
        <v>60</v>
      </c>
      <c r="TH28" s="24">
        <v>2</v>
      </c>
      <c r="TI28" s="24">
        <v>0.13</v>
      </c>
      <c r="TJ28" s="24">
        <v>3</v>
      </c>
      <c r="TK28" s="24">
        <v>50</v>
      </c>
      <c r="TL28" s="24">
        <v>1</v>
      </c>
      <c r="TM28" s="24">
        <v>0.83</v>
      </c>
      <c r="TN28" s="24">
        <v>6</v>
      </c>
      <c r="TO28" s="24">
        <v>60</v>
      </c>
      <c r="TP28" s="24">
        <v>1</v>
      </c>
      <c r="TQ28" s="24">
        <v>0.13</v>
      </c>
      <c r="TR28" s="24">
        <v>6</v>
      </c>
      <c r="TS28" s="24">
        <v>70</v>
      </c>
      <c r="TT28" s="24">
        <v>1</v>
      </c>
      <c r="TU28" s="24">
        <v>0.39</v>
      </c>
      <c r="TV28" s="24">
        <v>1</v>
      </c>
      <c r="TW28" s="24">
        <v>50</v>
      </c>
      <c r="TX28" s="24">
        <v>2</v>
      </c>
      <c r="TY28" s="24">
        <f t="shared" si="16"/>
        <v>0.73</v>
      </c>
      <c r="TZ28" s="24">
        <v>4</v>
      </c>
      <c r="UI28" s="27">
        <v>3.9</v>
      </c>
      <c r="UJ28" s="27">
        <v>1</v>
      </c>
      <c r="UK28" s="27">
        <v>1</v>
      </c>
      <c r="UL28" s="27"/>
      <c r="UM28" s="27">
        <f t="shared" si="17"/>
        <v>2.64</v>
      </c>
      <c r="UN28" s="27">
        <v>2</v>
      </c>
      <c r="UO28" s="27"/>
      <c r="UP28" s="27">
        <f t="shared" si="18"/>
        <v>4.5600000000000005</v>
      </c>
      <c r="UQ28" s="27"/>
      <c r="UR28" s="27"/>
      <c r="US28" s="27"/>
      <c r="UT28" s="27">
        <v>3</v>
      </c>
      <c r="UU28" s="27">
        <v>2.19</v>
      </c>
      <c r="UV28" s="27"/>
      <c r="UW28" s="27"/>
      <c r="UX28" s="27">
        <v>0</v>
      </c>
      <c r="UY28" s="27">
        <v>0</v>
      </c>
      <c r="UZ28" s="27">
        <v>0</v>
      </c>
      <c r="VA28" s="24">
        <v>0</v>
      </c>
      <c r="VB28" s="24" t="s">
        <v>313</v>
      </c>
      <c r="VC28" s="24">
        <v>39</v>
      </c>
      <c r="VD28" s="27">
        <v>80.900000000000006</v>
      </c>
      <c r="VE28" s="27">
        <v>83.4</v>
      </c>
      <c r="VF28" s="27">
        <v>19.3</v>
      </c>
      <c r="VG28" s="24">
        <v>75.959999999999994</v>
      </c>
      <c r="VH28" s="24">
        <v>0</v>
      </c>
      <c r="VI28" s="24">
        <v>3.12</v>
      </c>
      <c r="VJ28" s="24">
        <v>0</v>
      </c>
      <c r="VK28" s="24">
        <v>20.93</v>
      </c>
      <c r="VL28" s="24">
        <v>0</v>
      </c>
      <c r="VM28" s="24">
        <v>0</v>
      </c>
      <c r="VN28" s="24">
        <v>0</v>
      </c>
      <c r="VO28" s="24">
        <v>0</v>
      </c>
      <c r="VP28" s="24">
        <v>0</v>
      </c>
      <c r="VQ28" s="24">
        <v>0</v>
      </c>
      <c r="VR28" s="24">
        <v>5.32</v>
      </c>
      <c r="VS28" s="24">
        <v>30.75</v>
      </c>
      <c r="VT28" s="24">
        <v>28.21</v>
      </c>
      <c r="VU28" s="24">
        <v>4.22</v>
      </c>
      <c r="VV28" s="24">
        <v>0</v>
      </c>
      <c r="VW28" s="24">
        <v>0</v>
      </c>
      <c r="VX28" s="24">
        <v>0</v>
      </c>
      <c r="WK28" s="24">
        <v>15.8</v>
      </c>
      <c r="WL28" s="24">
        <v>1</v>
      </c>
      <c r="WM28" s="24">
        <v>35</v>
      </c>
      <c r="WN28" s="24">
        <v>4</v>
      </c>
      <c r="WO28" s="24">
        <f t="shared" si="19"/>
        <v>2.92</v>
      </c>
      <c r="WP28" s="24">
        <v>3</v>
      </c>
      <c r="WQ28" s="24">
        <v>23</v>
      </c>
      <c r="WR28" s="24">
        <v>1</v>
      </c>
      <c r="WS28" s="24">
        <v>0.06</v>
      </c>
      <c r="WT28" s="24">
        <v>3</v>
      </c>
      <c r="WW28" s="28"/>
      <c r="XO28" s="24">
        <v>1</v>
      </c>
      <c r="XP28" s="24">
        <v>60</v>
      </c>
      <c r="XQ28" s="24">
        <v>1</v>
      </c>
      <c r="XR28" s="24">
        <v>0.73</v>
      </c>
      <c r="XS28" s="24">
        <v>3</v>
      </c>
      <c r="XT28" s="24">
        <v>50</v>
      </c>
      <c r="XU28" s="24">
        <v>1</v>
      </c>
      <c r="XV28" s="24">
        <v>0.73</v>
      </c>
      <c r="XW28" s="24">
        <v>1</v>
      </c>
      <c r="XX28" s="24">
        <v>40</v>
      </c>
      <c r="XY28" s="24">
        <v>1</v>
      </c>
      <c r="XZ28" s="24">
        <v>0.73</v>
      </c>
      <c r="YA28" s="24">
        <v>6</v>
      </c>
      <c r="YB28" s="24">
        <v>50</v>
      </c>
      <c r="YC28" s="24">
        <v>1</v>
      </c>
      <c r="YD28" s="24">
        <v>0.19</v>
      </c>
      <c r="YE28" s="24">
        <v>3</v>
      </c>
      <c r="YF28" s="24">
        <v>70</v>
      </c>
      <c r="YG28" s="24">
        <v>3</v>
      </c>
      <c r="YH28" s="24">
        <v>0.57999999999999996</v>
      </c>
      <c r="YI28" s="24">
        <v>3</v>
      </c>
      <c r="YJ28" s="24">
        <v>50</v>
      </c>
      <c r="YK28" s="24">
        <v>1</v>
      </c>
      <c r="YL28" s="24">
        <v>0.28999999999999998</v>
      </c>
      <c r="YM28" s="24">
        <v>6</v>
      </c>
      <c r="YZ28" s="27">
        <v>0</v>
      </c>
      <c r="ZA28" s="27">
        <v>0</v>
      </c>
      <c r="ZB28" s="27"/>
      <c r="ZC28" s="27"/>
      <c r="ZD28" s="27"/>
      <c r="ZE28" s="27"/>
      <c r="ZF28" s="27"/>
      <c r="ZG28" s="27"/>
      <c r="ZH28" s="27"/>
      <c r="ZI28" s="27"/>
      <c r="ZJ28" s="27"/>
      <c r="ZK28" s="27">
        <v>0.26</v>
      </c>
      <c r="ZL28" s="27">
        <v>0.26</v>
      </c>
      <c r="ZM28" s="27"/>
      <c r="ZN28" s="27"/>
      <c r="ZO28" s="27">
        <v>3.6</v>
      </c>
      <c r="ZP28" s="27">
        <v>0.88</v>
      </c>
      <c r="ZQ28" s="27">
        <v>0</v>
      </c>
      <c r="ZR28" s="24">
        <v>0</v>
      </c>
      <c r="ZS28" s="24" t="s">
        <v>314</v>
      </c>
      <c r="ZT28" s="24">
        <v>36</v>
      </c>
      <c r="ZU28" s="27">
        <v>71.400000000000006</v>
      </c>
      <c r="ZV28" s="27">
        <v>83.4</v>
      </c>
      <c r="ZW28" s="27">
        <v>17.2</v>
      </c>
      <c r="ZX28" s="24">
        <v>79.88</v>
      </c>
      <c r="ZY28" s="24">
        <v>0</v>
      </c>
      <c r="ZZ28" s="24">
        <v>3.12</v>
      </c>
      <c r="AAA28" s="24">
        <v>0</v>
      </c>
      <c r="AAB28" s="24">
        <v>17</v>
      </c>
      <c r="AAC28" s="24">
        <v>0</v>
      </c>
      <c r="AAD28" s="24">
        <v>0</v>
      </c>
      <c r="AAE28" s="24">
        <v>0</v>
      </c>
      <c r="AAF28" s="24">
        <v>0</v>
      </c>
      <c r="AAG28" s="24">
        <v>0</v>
      </c>
      <c r="AAH28" s="24">
        <v>0</v>
      </c>
      <c r="AAI28" s="24">
        <v>5.32</v>
      </c>
      <c r="AAJ28" s="24">
        <v>31.86</v>
      </c>
      <c r="AAK28" s="24">
        <v>24.1</v>
      </c>
      <c r="AAL28" s="24">
        <v>2.02</v>
      </c>
      <c r="AAM28" s="24">
        <v>0</v>
      </c>
      <c r="AAN28" s="24">
        <v>0</v>
      </c>
      <c r="AAO28" s="24">
        <v>0</v>
      </c>
      <c r="ABB28" s="24">
        <v>15.1</v>
      </c>
      <c r="ABC28" s="24">
        <v>1</v>
      </c>
      <c r="ABD28" s="24">
        <v>35</v>
      </c>
      <c r="ABE28" s="24">
        <v>4</v>
      </c>
      <c r="ABF28" s="24">
        <f t="shared" si="20"/>
        <v>2.92</v>
      </c>
      <c r="ABG28" s="24">
        <v>3</v>
      </c>
      <c r="ABN28" s="28"/>
      <c r="ACF28" s="24">
        <v>1</v>
      </c>
      <c r="ACG28" s="24">
        <v>50</v>
      </c>
      <c r="ACH28" s="24">
        <v>2</v>
      </c>
      <c r="ACI28" s="24">
        <f t="shared" si="21"/>
        <v>0.91999999999999993</v>
      </c>
      <c r="ACJ28" s="24">
        <v>3</v>
      </c>
      <c r="ACK28" s="24">
        <v>50</v>
      </c>
      <c r="ACL28" s="24">
        <v>1</v>
      </c>
      <c r="ACM28" s="24">
        <v>0.73</v>
      </c>
      <c r="ACN28" s="24">
        <v>1</v>
      </c>
      <c r="ACO28" s="24">
        <v>70</v>
      </c>
      <c r="ACP28" s="24">
        <v>3</v>
      </c>
      <c r="ACQ28" s="24">
        <v>0.57999999999999996</v>
      </c>
      <c r="ACR28" s="24">
        <v>3</v>
      </c>
      <c r="ACS28" s="24">
        <v>40</v>
      </c>
      <c r="ACT28" s="24">
        <v>1</v>
      </c>
      <c r="ACU28" s="24">
        <v>1.65</v>
      </c>
      <c r="ACV28" s="24">
        <v>6</v>
      </c>
      <c r="ADQ28" s="27">
        <v>0</v>
      </c>
      <c r="ADR28" s="27">
        <v>0</v>
      </c>
      <c r="ADS28" s="27"/>
      <c r="ADT28" s="27"/>
      <c r="ADU28" s="27"/>
      <c r="ADV28" s="27"/>
      <c r="ADW28" s="27"/>
      <c r="ADX28" s="27"/>
      <c r="ADY28" s="27"/>
      <c r="ADZ28" s="27"/>
      <c r="AEA28" s="27"/>
      <c r="AEB28" s="27">
        <v>0</v>
      </c>
      <c r="AEC28" s="27">
        <v>0</v>
      </c>
      <c r="AED28" s="27"/>
      <c r="AEE28" s="27"/>
      <c r="AEF28" s="27">
        <v>3.6</v>
      </c>
      <c r="AEG28" s="27">
        <v>0.88</v>
      </c>
      <c r="AEH28" s="27">
        <v>0</v>
      </c>
      <c r="AEI28" s="24">
        <v>0</v>
      </c>
      <c r="AEJ28" s="24" t="s">
        <v>315</v>
      </c>
      <c r="AEK28" s="24">
        <v>38.5</v>
      </c>
      <c r="AEL28" s="27">
        <v>90.6</v>
      </c>
      <c r="AEM28" s="27">
        <v>83.4</v>
      </c>
      <c r="AEN28" s="27">
        <v>29.4</v>
      </c>
      <c r="AEO28" s="24">
        <v>59.08</v>
      </c>
      <c r="AEP28" s="24">
        <v>0</v>
      </c>
      <c r="AEQ28" s="24">
        <v>0</v>
      </c>
      <c r="AER28" s="24">
        <v>0</v>
      </c>
      <c r="AES28" s="24">
        <v>40.92</v>
      </c>
      <c r="AET28" s="24">
        <v>0</v>
      </c>
      <c r="AEU28" s="24">
        <v>0</v>
      </c>
      <c r="AEV28" s="24">
        <v>0</v>
      </c>
      <c r="AEW28" s="24">
        <v>0</v>
      </c>
      <c r="AEX28" s="24">
        <v>0</v>
      </c>
      <c r="AEY28" s="24">
        <v>0</v>
      </c>
      <c r="AEZ28" s="24">
        <v>3.67</v>
      </c>
      <c r="AFA28" s="24">
        <v>24.93</v>
      </c>
      <c r="AFB28" s="24">
        <v>39.44</v>
      </c>
      <c r="AFC28" s="24">
        <v>8.51</v>
      </c>
      <c r="AFD28" s="24">
        <v>0</v>
      </c>
      <c r="AFE28" s="24">
        <v>0</v>
      </c>
      <c r="AFF28" s="24">
        <v>0</v>
      </c>
      <c r="AFS28" s="24">
        <v>3.7</v>
      </c>
      <c r="AFT28" s="24">
        <v>1</v>
      </c>
      <c r="AFU28" s="24">
        <v>34</v>
      </c>
      <c r="AFV28" s="24">
        <v>2</v>
      </c>
      <c r="AFW28" s="24">
        <f t="shared" si="22"/>
        <v>4.05</v>
      </c>
      <c r="AFX28" s="24">
        <v>1</v>
      </c>
      <c r="AGE28" s="28"/>
      <c r="AGW28" s="24">
        <v>1</v>
      </c>
      <c r="AGX28" s="24">
        <v>50</v>
      </c>
      <c r="AGY28" s="24">
        <v>2</v>
      </c>
      <c r="AGZ28" s="24">
        <f t="shared" si="23"/>
        <v>1.46</v>
      </c>
      <c r="AHA28" s="24">
        <v>6</v>
      </c>
      <c r="AIH28" s="27">
        <v>4.96</v>
      </c>
      <c r="AII28" s="27">
        <v>1</v>
      </c>
      <c r="AIJ28" s="27">
        <v>2</v>
      </c>
      <c r="AIK28" s="27"/>
      <c r="AIL28" s="27">
        <f t="shared" si="24"/>
        <v>17.28</v>
      </c>
      <c r="AIM28" s="27"/>
      <c r="AIN28" s="27"/>
      <c r="AIO28" s="27"/>
      <c r="AIP28" s="27"/>
      <c r="AIQ28" s="27"/>
      <c r="AIR28" s="27"/>
      <c r="AIS28" s="27">
        <v>0.19</v>
      </c>
      <c r="AIT28" s="27">
        <v>0.19</v>
      </c>
      <c r="AIU28" s="27"/>
      <c r="AIV28" s="27"/>
      <c r="AIW28" s="27">
        <v>0</v>
      </c>
      <c r="AIX28" s="27">
        <v>0</v>
      </c>
      <c r="AIY28" s="27">
        <v>0</v>
      </c>
      <c r="AIZ28" s="24">
        <v>0</v>
      </c>
      <c r="AJA28" s="24" t="s">
        <v>316</v>
      </c>
      <c r="AJB28" s="24">
        <v>36</v>
      </c>
      <c r="AJC28" s="27">
        <v>94.1</v>
      </c>
      <c r="AJD28" s="27">
        <v>83.4</v>
      </c>
      <c r="AJE28" s="27">
        <v>25.8</v>
      </c>
      <c r="AJF28" s="24">
        <v>60.57</v>
      </c>
      <c r="AJG28" s="24">
        <v>0</v>
      </c>
      <c r="AJH28" s="24">
        <v>0</v>
      </c>
      <c r="AJI28" s="24">
        <v>0</v>
      </c>
      <c r="AJJ28" s="24">
        <v>39.43</v>
      </c>
      <c r="AJK28" s="24">
        <v>0</v>
      </c>
      <c r="AJL28" s="24">
        <v>0</v>
      </c>
      <c r="AJM28" s="24">
        <v>0</v>
      </c>
      <c r="AJN28" s="24">
        <v>0</v>
      </c>
      <c r="AJO28" s="24">
        <v>0</v>
      </c>
      <c r="AJP28" s="24">
        <v>0</v>
      </c>
      <c r="AJQ28" s="24">
        <v>0</v>
      </c>
      <c r="AJR28" s="24">
        <v>30.64</v>
      </c>
      <c r="AJS28" s="24">
        <v>37.97</v>
      </c>
      <c r="AJT28" s="24">
        <v>4.59</v>
      </c>
      <c r="AJU28" s="24">
        <v>0</v>
      </c>
      <c r="AJV28" s="24">
        <v>0</v>
      </c>
      <c r="AJW28" s="24">
        <v>0</v>
      </c>
      <c r="AKJ28" s="24">
        <v>4.8</v>
      </c>
      <c r="AKK28" s="24">
        <v>0</v>
      </c>
      <c r="AKV28" s="28"/>
      <c r="ALN28" s="24">
        <v>1</v>
      </c>
      <c r="ALO28" s="24">
        <v>50</v>
      </c>
      <c r="ALP28" s="24">
        <v>3</v>
      </c>
      <c r="ALQ28" s="24">
        <f t="shared" si="25"/>
        <v>2.19</v>
      </c>
      <c r="ALR28" s="24">
        <v>6</v>
      </c>
    </row>
    <row r="29" spans="1:1018" x14ac:dyDescent="0.2">
      <c r="A29" s="1" t="s">
        <v>344</v>
      </c>
      <c r="B29" s="12">
        <v>42899</v>
      </c>
      <c r="C29">
        <v>2</v>
      </c>
      <c r="D29" s="13">
        <v>42797</v>
      </c>
      <c r="E29" s="12">
        <v>32296</v>
      </c>
      <c r="F29" s="14">
        <f t="shared" si="0"/>
        <v>29.029431895961672</v>
      </c>
      <c r="G29" s="14">
        <f t="shared" si="1"/>
        <v>0.27926078028747431</v>
      </c>
      <c r="H29" s="15" t="s">
        <v>306</v>
      </c>
      <c r="I29" s="15" t="s">
        <v>307</v>
      </c>
      <c r="J29" s="21" t="s">
        <v>181</v>
      </c>
      <c r="K29" s="21">
        <v>4</v>
      </c>
      <c r="L29" s="19">
        <v>103</v>
      </c>
      <c r="M29">
        <v>1.88</v>
      </c>
      <c r="N29" s="16">
        <f t="shared" si="2"/>
        <v>29.14214576731553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1</v>
      </c>
      <c r="X29" s="19">
        <v>0</v>
      </c>
      <c r="Y29" s="19">
        <v>1</v>
      </c>
      <c r="Z29" s="19">
        <v>1</v>
      </c>
      <c r="AA29" s="19">
        <v>120</v>
      </c>
      <c r="AB29" s="19" t="s">
        <v>345</v>
      </c>
      <c r="AC29" s="19">
        <v>1</v>
      </c>
      <c r="AD29" s="19">
        <v>10</v>
      </c>
      <c r="AE29" s="19">
        <v>0</v>
      </c>
      <c r="AF29" s="19">
        <v>0</v>
      </c>
      <c r="AG29" s="19">
        <v>0</v>
      </c>
      <c r="AH29" s="19">
        <v>0</v>
      </c>
      <c r="AI29" s="19">
        <v>0</v>
      </c>
      <c r="AJ29" s="19">
        <v>0</v>
      </c>
      <c r="AK29" s="19">
        <v>0</v>
      </c>
      <c r="AL29" s="19">
        <v>0</v>
      </c>
      <c r="AM29" s="19">
        <v>0</v>
      </c>
      <c r="AN29" s="19">
        <v>0</v>
      </c>
      <c r="AO29" s="19">
        <v>0</v>
      </c>
      <c r="AP29" s="19">
        <v>0</v>
      </c>
      <c r="AQ29" s="19">
        <v>0</v>
      </c>
      <c r="AR29" s="19">
        <v>0</v>
      </c>
      <c r="AS29" s="19">
        <v>0</v>
      </c>
      <c r="AT29" s="19">
        <v>0</v>
      </c>
      <c r="AU29" s="19">
        <v>0</v>
      </c>
      <c r="AV29" s="19">
        <v>0</v>
      </c>
      <c r="AW29" s="19">
        <v>0</v>
      </c>
      <c r="AX29" s="19">
        <v>0</v>
      </c>
      <c r="AY29" s="19">
        <v>0</v>
      </c>
      <c r="AZ29" s="19">
        <v>0</v>
      </c>
      <c r="BA29" s="19">
        <v>0</v>
      </c>
      <c r="BB29" s="19">
        <v>1</v>
      </c>
      <c r="BC29" s="19"/>
      <c r="BD29" s="19"/>
      <c r="BE29" s="19"/>
      <c r="BF29" s="19">
        <v>0</v>
      </c>
      <c r="BG29" s="19">
        <v>0</v>
      </c>
      <c r="BH29" s="19">
        <v>0</v>
      </c>
      <c r="BI29" s="19">
        <v>0</v>
      </c>
      <c r="BJ29" s="19">
        <v>0</v>
      </c>
      <c r="BK29" s="19">
        <v>0</v>
      </c>
      <c r="BL29" s="19">
        <v>0</v>
      </c>
      <c r="BM29" s="19">
        <v>0</v>
      </c>
      <c r="BN29" s="19">
        <v>1</v>
      </c>
      <c r="BO29" s="19"/>
      <c r="BP29" s="19"/>
      <c r="BQ29" s="19"/>
      <c r="BR29" s="19">
        <v>2</v>
      </c>
      <c r="BS29" s="19">
        <v>3</v>
      </c>
      <c r="BT29" s="19">
        <v>5</v>
      </c>
      <c r="BU29" s="19">
        <v>4</v>
      </c>
      <c r="BV29" s="19">
        <v>2</v>
      </c>
      <c r="BW29" s="19">
        <v>1</v>
      </c>
      <c r="BX29" s="19">
        <v>1</v>
      </c>
      <c r="BY29" s="19">
        <v>3</v>
      </c>
      <c r="BZ29" s="19">
        <v>3</v>
      </c>
      <c r="CA29" s="19">
        <v>4</v>
      </c>
      <c r="CB29" s="19">
        <v>5</v>
      </c>
      <c r="CC29" s="19">
        <v>5</v>
      </c>
      <c r="CD29" s="19">
        <v>4</v>
      </c>
      <c r="CE29" s="19">
        <v>5</v>
      </c>
      <c r="CF29" s="19">
        <v>2</v>
      </c>
      <c r="CG29" s="19">
        <v>5</v>
      </c>
      <c r="CH29" s="19">
        <v>4</v>
      </c>
      <c r="CI29" s="19">
        <v>4</v>
      </c>
      <c r="CJ29" s="19">
        <v>5</v>
      </c>
      <c r="CK29" s="19">
        <v>8</v>
      </c>
      <c r="CL29" s="24" t="s">
        <v>309</v>
      </c>
      <c r="CM29" s="24">
        <v>31</v>
      </c>
      <c r="CN29" s="27">
        <v>39.200000000000003</v>
      </c>
      <c r="CO29" s="27">
        <v>83.4</v>
      </c>
      <c r="CP29" s="27">
        <v>17.2</v>
      </c>
      <c r="CQ29" s="24">
        <v>85.69</v>
      </c>
      <c r="CR29" s="24">
        <v>0</v>
      </c>
      <c r="CS29" s="24">
        <v>0.39</v>
      </c>
      <c r="CT29" s="24">
        <v>0</v>
      </c>
      <c r="CU29" s="24">
        <v>13.37</v>
      </c>
      <c r="CV29" s="24">
        <v>0</v>
      </c>
      <c r="CW29" s="24">
        <v>0</v>
      </c>
      <c r="CX29" s="24">
        <v>0</v>
      </c>
      <c r="CY29" s="24">
        <v>0</v>
      </c>
      <c r="CZ29" s="24">
        <v>0</v>
      </c>
      <c r="DA29" s="24">
        <v>0</v>
      </c>
      <c r="DB29" s="24">
        <v>12.36</v>
      </c>
      <c r="DC29" s="24">
        <v>18.21</v>
      </c>
      <c r="DD29" s="24">
        <v>12.25</v>
      </c>
      <c r="DE29" s="24">
        <v>3.27</v>
      </c>
      <c r="DF29" s="24">
        <v>5.0199999999999996</v>
      </c>
      <c r="DG29" s="24">
        <v>4.8</v>
      </c>
      <c r="DH29" s="24">
        <v>1</v>
      </c>
      <c r="DI29" s="24">
        <v>5</v>
      </c>
      <c r="DK29" s="24">
        <v>2</v>
      </c>
      <c r="DL29" s="24">
        <v>3</v>
      </c>
      <c r="DN29" s="24">
        <v>1</v>
      </c>
      <c r="DU29" s="24">
        <v>2.4</v>
      </c>
      <c r="DV29" s="24">
        <v>1</v>
      </c>
      <c r="DW29" s="24">
        <v>35</v>
      </c>
      <c r="DX29" s="24">
        <v>8</v>
      </c>
      <c r="DY29" s="24">
        <f t="shared" si="3"/>
        <v>0.52</v>
      </c>
      <c r="DZ29" s="24">
        <v>3</v>
      </c>
      <c r="EA29" s="24">
        <v>23</v>
      </c>
      <c r="EB29" s="24">
        <v>2</v>
      </c>
      <c r="EC29" s="24">
        <v>0.12</v>
      </c>
      <c r="ED29" s="24">
        <v>3</v>
      </c>
      <c r="EG29" s="28"/>
      <c r="EY29" s="24">
        <v>1</v>
      </c>
      <c r="EZ29" s="24">
        <v>50</v>
      </c>
      <c r="FA29" s="24">
        <v>5</v>
      </c>
      <c r="FB29" s="24">
        <v>0.32</v>
      </c>
      <c r="FC29" s="24">
        <v>3</v>
      </c>
      <c r="GJ29" s="27">
        <v>0.43</v>
      </c>
      <c r="GK29" s="27">
        <v>1</v>
      </c>
      <c r="GL29" s="27">
        <v>1</v>
      </c>
      <c r="GM29" s="27"/>
      <c r="GN29" s="27">
        <f t="shared" si="4"/>
        <v>0.69</v>
      </c>
      <c r="GO29" s="27">
        <v>2</v>
      </c>
      <c r="GP29" s="27"/>
      <c r="GQ29" s="27">
        <f t="shared" si="5"/>
        <v>7.4</v>
      </c>
      <c r="GR29" s="27"/>
      <c r="GS29" s="27"/>
      <c r="GT29" s="27"/>
      <c r="GU29" s="27">
        <v>1.74</v>
      </c>
      <c r="GV29" s="27">
        <v>1.32</v>
      </c>
      <c r="GW29" s="27"/>
      <c r="GX29" s="27"/>
      <c r="GY29" s="27">
        <v>4.32</v>
      </c>
      <c r="GZ29" s="27">
        <v>1.2</v>
      </c>
      <c r="HA29" s="27">
        <v>0.11</v>
      </c>
      <c r="HB29" s="24">
        <v>2</v>
      </c>
      <c r="HC29" s="24" t="s">
        <v>310</v>
      </c>
      <c r="HD29" s="24">
        <v>22.5</v>
      </c>
      <c r="HE29" s="27">
        <v>20.9</v>
      </c>
      <c r="HF29" s="27">
        <v>83.4</v>
      </c>
      <c r="HG29" s="27">
        <v>11</v>
      </c>
      <c r="HH29" s="24">
        <v>91.28</v>
      </c>
      <c r="HI29" s="24">
        <v>0</v>
      </c>
      <c r="HJ29" s="24">
        <v>0</v>
      </c>
      <c r="HK29" s="24">
        <v>0</v>
      </c>
      <c r="HL29" s="24">
        <v>4.1500000000000004</v>
      </c>
      <c r="HM29" s="24">
        <v>0</v>
      </c>
      <c r="HN29" s="24">
        <v>0</v>
      </c>
      <c r="HO29" s="24">
        <v>0</v>
      </c>
      <c r="HP29" s="24">
        <v>0</v>
      </c>
      <c r="HQ29" s="24">
        <v>0</v>
      </c>
      <c r="HR29" s="24">
        <v>0</v>
      </c>
      <c r="HS29" s="24">
        <v>0.71</v>
      </c>
      <c r="HT29" s="24">
        <v>7.61</v>
      </c>
      <c r="HU29" s="24">
        <v>5.28</v>
      </c>
      <c r="HV29" s="24">
        <v>2.4700000000000002</v>
      </c>
      <c r="HW29" s="24">
        <v>4.05</v>
      </c>
      <c r="HX29" s="24">
        <v>6.1</v>
      </c>
      <c r="HY29" s="24">
        <v>1</v>
      </c>
      <c r="HZ29" s="24">
        <v>5</v>
      </c>
      <c r="IB29" s="24">
        <v>1</v>
      </c>
      <c r="IC29" s="24">
        <v>3</v>
      </c>
      <c r="IE29" s="24">
        <v>2</v>
      </c>
      <c r="IL29" s="24">
        <v>4.7</v>
      </c>
      <c r="IM29" s="24">
        <v>1</v>
      </c>
      <c r="IN29" s="24">
        <v>35</v>
      </c>
      <c r="IO29" s="24">
        <v>8</v>
      </c>
      <c r="IP29" s="24">
        <f t="shared" si="6"/>
        <v>0.51</v>
      </c>
      <c r="IQ29" s="24">
        <v>3</v>
      </c>
      <c r="IX29" s="28"/>
      <c r="JP29" s="24">
        <v>1</v>
      </c>
      <c r="JQ29" s="24">
        <v>80</v>
      </c>
      <c r="JR29" s="24">
        <v>4</v>
      </c>
      <c r="JS29" s="24">
        <v>1.28</v>
      </c>
      <c r="JT29" s="24">
        <v>3</v>
      </c>
      <c r="JU29" s="24">
        <v>60</v>
      </c>
      <c r="JV29" s="24">
        <v>3</v>
      </c>
      <c r="JW29" s="24">
        <v>0.28999999999999998</v>
      </c>
      <c r="JX29" s="24">
        <v>3</v>
      </c>
      <c r="JY29" s="24">
        <v>70</v>
      </c>
      <c r="JZ29" s="24">
        <v>4</v>
      </c>
      <c r="KA29" s="24">
        <v>0.57999999999999996</v>
      </c>
      <c r="KB29" s="24">
        <v>3</v>
      </c>
      <c r="LA29" s="27">
        <v>0.49</v>
      </c>
      <c r="LB29" s="27">
        <v>1</v>
      </c>
      <c r="LC29" s="27">
        <v>2</v>
      </c>
      <c r="LD29" s="27"/>
      <c r="LE29" s="27">
        <f t="shared" si="7"/>
        <v>0.81</v>
      </c>
      <c r="LF29" s="27"/>
      <c r="LG29" s="27"/>
      <c r="LH29" s="27"/>
      <c r="LI29" s="27"/>
      <c r="LJ29" s="27"/>
      <c r="LK29" s="27"/>
      <c r="LL29" s="27">
        <v>0</v>
      </c>
      <c r="LM29" s="27"/>
      <c r="LN29" s="27"/>
      <c r="LO29" s="27"/>
      <c r="LP29" s="27">
        <v>0</v>
      </c>
      <c r="LQ29" s="27">
        <v>0</v>
      </c>
      <c r="LR29" s="27">
        <v>0</v>
      </c>
      <c r="LS29" s="24">
        <v>0</v>
      </c>
      <c r="LT29" s="24" t="s">
        <v>311</v>
      </c>
      <c r="LU29" s="24">
        <v>52</v>
      </c>
      <c r="LV29" s="27">
        <v>87.1</v>
      </c>
      <c r="LW29" s="27">
        <v>83.4</v>
      </c>
      <c r="LX29" s="27">
        <v>31.9</v>
      </c>
      <c r="LY29" s="24">
        <v>55.25</v>
      </c>
      <c r="LZ29" s="24">
        <v>0</v>
      </c>
      <c r="MA29" s="24">
        <v>0</v>
      </c>
      <c r="MB29" s="24">
        <v>0</v>
      </c>
      <c r="MC29" s="24">
        <v>36.01</v>
      </c>
      <c r="MD29" s="24">
        <v>0</v>
      </c>
      <c r="ME29" s="24">
        <v>0</v>
      </c>
      <c r="MF29" s="24">
        <v>0</v>
      </c>
      <c r="MG29" s="24">
        <v>0</v>
      </c>
      <c r="MH29" s="24">
        <v>0</v>
      </c>
      <c r="MI29" s="24">
        <v>0</v>
      </c>
      <c r="MJ29" s="24">
        <v>1.03</v>
      </c>
      <c r="MK29" s="24">
        <v>22.5</v>
      </c>
      <c r="ML29" s="24">
        <v>29.21</v>
      </c>
      <c r="MM29" s="24">
        <v>12.38</v>
      </c>
      <c r="MN29" s="24">
        <v>8.73</v>
      </c>
      <c r="MO29" s="24">
        <v>5.3</v>
      </c>
      <c r="MP29" s="24">
        <v>1</v>
      </c>
      <c r="MQ29" s="24">
        <v>5</v>
      </c>
      <c r="MS29" s="24">
        <v>1</v>
      </c>
      <c r="NC29" s="24">
        <v>7.1</v>
      </c>
      <c r="ND29" s="24">
        <v>1</v>
      </c>
      <c r="NE29" s="24">
        <v>35</v>
      </c>
      <c r="NF29" s="24">
        <v>8</v>
      </c>
      <c r="NG29" s="24">
        <f t="shared" si="8"/>
        <v>0.51</v>
      </c>
      <c r="NH29" s="24">
        <v>3</v>
      </c>
      <c r="NO29" s="28"/>
      <c r="OG29" s="24">
        <v>1</v>
      </c>
      <c r="OH29" s="24">
        <v>50</v>
      </c>
      <c r="OI29" s="24">
        <v>7</v>
      </c>
      <c r="OJ29" s="24">
        <f t="shared" si="9"/>
        <v>1.97</v>
      </c>
      <c r="OK29" s="24">
        <v>3</v>
      </c>
      <c r="OL29" s="24">
        <v>70</v>
      </c>
      <c r="OM29" s="24">
        <v>11</v>
      </c>
      <c r="ON29" s="24">
        <f t="shared" si="10"/>
        <v>1.38</v>
      </c>
      <c r="OO29" s="24">
        <v>3</v>
      </c>
      <c r="OP29" s="24">
        <v>50</v>
      </c>
      <c r="OQ29" s="24">
        <v>1</v>
      </c>
      <c r="OR29" s="24">
        <v>0.37</v>
      </c>
      <c r="OS29" s="24">
        <v>4</v>
      </c>
      <c r="OT29" s="24">
        <v>50</v>
      </c>
      <c r="OU29" s="24">
        <v>1</v>
      </c>
      <c r="OV29" s="24">
        <v>0.37</v>
      </c>
      <c r="OW29" s="24">
        <v>6</v>
      </c>
      <c r="OX29" s="24">
        <v>60</v>
      </c>
      <c r="OY29" s="24">
        <v>12</v>
      </c>
      <c r="OZ29" s="24">
        <f t="shared" si="11"/>
        <v>0.78</v>
      </c>
      <c r="PA29" s="24">
        <v>3</v>
      </c>
      <c r="PB29" s="24">
        <v>60</v>
      </c>
      <c r="PC29" s="24">
        <v>4</v>
      </c>
      <c r="PD29" s="24">
        <v>0.26</v>
      </c>
      <c r="PE29" s="24">
        <v>1</v>
      </c>
      <c r="PF29" s="24">
        <v>70</v>
      </c>
      <c r="PG29" s="24">
        <v>4</v>
      </c>
      <c r="PH29" s="24">
        <v>0.39</v>
      </c>
      <c r="PI29" s="24">
        <v>1</v>
      </c>
      <c r="PJ29" s="24">
        <v>60</v>
      </c>
      <c r="PK29" s="24">
        <v>2</v>
      </c>
      <c r="PL29" s="24">
        <v>0.13</v>
      </c>
      <c r="PM29" s="24">
        <v>6</v>
      </c>
      <c r="PN29" s="24">
        <v>50</v>
      </c>
      <c r="PO29" s="24">
        <v>1</v>
      </c>
      <c r="PP29" s="24">
        <v>0.83</v>
      </c>
      <c r="PQ29" s="24">
        <v>6</v>
      </c>
      <c r="PR29" s="27">
        <v>5.1100000000000003</v>
      </c>
      <c r="PS29" s="27">
        <v>1</v>
      </c>
      <c r="PT29" s="27">
        <v>1</v>
      </c>
      <c r="PU29" s="27"/>
      <c r="PV29" s="27">
        <f t="shared" si="12"/>
        <v>0.36</v>
      </c>
      <c r="PW29" s="27">
        <v>2</v>
      </c>
      <c r="PX29" s="27"/>
      <c r="PY29" s="27">
        <f t="shared" si="13"/>
        <v>5.32</v>
      </c>
      <c r="PZ29" s="27"/>
      <c r="QA29" s="27"/>
      <c r="QB29" s="27"/>
      <c r="QC29" s="27">
        <v>2.17</v>
      </c>
      <c r="QD29" s="27">
        <v>2.1800000000000002</v>
      </c>
      <c r="QE29" s="27"/>
      <c r="QF29" s="27"/>
      <c r="QG29" s="27">
        <v>0</v>
      </c>
      <c r="QH29" s="27">
        <v>0</v>
      </c>
      <c r="QI29" s="27">
        <v>0</v>
      </c>
      <c r="QJ29" s="24">
        <v>0</v>
      </c>
      <c r="QK29" s="24" t="s">
        <v>312</v>
      </c>
      <c r="QL29" s="24">
        <v>40</v>
      </c>
      <c r="QM29" s="27">
        <v>90.5</v>
      </c>
      <c r="QN29" s="27">
        <v>83.4</v>
      </c>
      <c r="QO29" s="27">
        <v>24.1</v>
      </c>
      <c r="QP29" s="24">
        <v>65.22</v>
      </c>
      <c r="QQ29" s="24">
        <v>0</v>
      </c>
      <c r="QR29" s="24">
        <v>0</v>
      </c>
      <c r="QS29" s="24">
        <v>0</v>
      </c>
      <c r="QT29" s="24">
        <v>27.95</v>
      </c>
      <c r="QU29" s="24">
        <v>0</v>
      </c>
      <c r="QV29" s="24">
        <v>0</v>
      </c>
      <c r="QW29" s="24">
        <v>0</v>
      </c>
      <c r="QX29" s="24">
        <v>0</v>
      </c>
      <c r="QY29" s="24">
        <v>0</v>
      </c>
      <c r="QZ29" s="24">
        <v>0</v>
      </c>
      <c r="RA29" s="24">
        <v>0.5</v>
      </c>
      <c r="RB29" s="24">
        <v>25.43</v>
      </c>
      <c r="RC29" s="24">
        <v>28.69</v>
      </c>
      <c r="RD29" s="24">
        <v>8.32</v>
      </c>
      <c r="RE29" s="24">
        <v>6.81</v>
      </c>
      <c r="RF29" s="24">
        <v>5.3</v>
      </c>
      <c r="RG29" s="24">
        <v>1</v>
      </c>
      <c r="RH29" s="24">
        <v>5</v>
      </c>
      <c r="RJ29" s="24">
        <v>1</v>
      </c>
      <c r="RT29" s="24">
        <v>3.5</v>
      </c>
      <c r="RU29" s="24">
        <v>0</v>
      </c>
      <c r="SF29" s="28"/>
      <c r="SX29" s="24">
        <v>1</v>
      </c>
      <c r="SY29" s="24">
        <v>50</v>
      </c>
      <c r="SZ29" s="24">
        <v>9</v>
      </c>
      <c r="TA29" s="24">
        <f t="shared" si="14"/>
        <v>3.59</v>
      </c>
      <c r="TB29" s="24">
        <v>3</v>
      </c>
      <c r="TC29" s="24">
        <v>70</v>
      </c>
      <c r="TD29" s="24">
        <v>12</v>
      </c>
      <c r="TE29" s="24">
        <f t="shared" si="15"/>
        <v>2.1</v>
      </c>
      <c r="TF29" s="24">
        <v>3</v>
      </c>
      <c r="TG29" s="24">
        <v>60</v>
      </c>
      <c r="TH29" s="24">
        <v>2</v>
      </c>
      <c r="TI29" s="24">
        <v>0.13</v>
      </c>
      <c r="TJ29" s="24">
        <v>3</v>
      </c>
      <c r="TK29" s="24">
        <v>50</v>
      </c>
      <c r="TL29" s="24">
        <v>1</v>
      </c>
      <c r="TM29" s="24">
        <v>0.83</v>
      </c>
      <c r="TN29" s="24">
        <v>6</v>
      </c>
      <c r="TO29" s="24">
        <v>60</v>
      </c>
      <c r="TP29" s="24">
        <v>1</v>
      </c>
      <c r="TQ29" s="24">
        <v>0.13</v>
      </c>
      <c r="TR29" s="24">
        <v>6</v>
      </c>
      <c r="TS29" s="24">
        <v>70</v>
      </c>
      <c r="TT29" s="24">
        <v>1</v>
      </c>
      <c r="TU29" s="24">
        <v>0.39</v>
      </c>
      <c r="TV29" s="24">
        <v>1</v>
      </c>
      <c r="TW29" s="24">
        <v>50</v>
      </c>
      <c r="TX29" s="24">
        <v>2</v>
      </c>
      <c r="TY29" s="24">
        <f t="shared" si="16"/>
        <v>0.73</v>
      </c>
      <c r="TZ29" s="24">
        <v>4</v>
      </c>
      <c r="UI29" s="27">
        <v>3.9</v>
      </c>
      <c r="UJ29" s="27">
        <v>1</v>
      </c>
      <c r="UK29" s="27">
        <v>1</v>
      </c>
      <c r="UL29" s="27"/>
      <c r="UM29" s="27">
        <f t="shared" si="17"/>
        <v>2.64</v>
      </c>
      <c r="UN29" s="27">
        <v>2</v>
      </c>
      <c r="UO29" s="27"/>
      <c r="UP29" s="27">
        <f t="shared" si="18"/>
        <v>4.5600000000000005</v>
      </c>
      <c r="UQ29" s="27"/>
      <c r="UR29" s="27"/>
      <c r="US29" s="27"/>
      <c r="UT29" s="27">
        <v>3</v>
      </c>
      <c r="UU29" s="27">
        <v>2.19</v>
      </c>
      <c r="UV29" s="27"/>
      <c r="UW29" s="27"/>
      <c r="UX29" s="27">
        <v>0</v>
      </c>
      <c r="UY29" s="27">
        <v>0</v>
      </c>
      <c r="UZ29" s="27">
        <v>0</v>
      </c>
      <c r="VA29" s="24">
        <v>0</v>
      </c>
      <c r="VB29" s="24" t="s">
        <v>313</v>
      </c>
      <c r="VC29" s="24">
        <v>39</v>
      </c>
      <c r="VD29" s="27">
        <v>80.900000000000006</v>
      </c>
      <c r="VE29" s="27">
        <v>83.4</v>
      </c>
      <c r="VF29" s="27">
        <v>19.3</v>
      </c>
      <c r="VG29" s="24">
        <v>75.959999999999994</v>
      </c>
      <c r="VH29" s="24">
        <v>0</v>
      </c>
      <c r="VI29" s="24">
        <v>3.12</v>
      </c>
      <c r="VJ29" s="24">
        <v>0</v>
      </c>
      <c r="VK29" s="24">
        <v>20.93</v>
      </c>
      <c r="VL29" s="24">
        <v>0</v>
      </c>
      <c r="VM29" s="24">
        <v>0</v>
      </c>
      <c r="VN29" s="24">
        <v>0</v>
      </c>
      <c r="VO29" s="24">
        <v>0</v>
      </c>
      <c r="VP29" s="24">
        <v>0</v>
      </c>
      <c r="VQ29" s="24">
        <v>0</v>
      </c>
      <c r="VR29" s="24">
        <v>5.32</v>
      </c>
      <c r="VS29" s="24">
        <v>30.75</v>
      </c>
      <c r="VT29" s="24">
        <v>28.21</v>
      </c>
      <c r="VU29" s="24">
        <v>4.22</v>
      </c>
      <c r="VV29" s="24">
        <v>0</v>
      </c>
      <c r="VW29" s="24">
        <v>0</v>
      </c>
      <c r="VX29" s="24">
        <v>0</v>
      </c>
      <c r="WK29" s="24">
        <v>15.8</v>
      </c>
      <c r="WL29" s="24">
        <v>1</v>
      </c>
      <c r="WM29" s="24">
        <v>35</v>
      </c>
      <c r="WN29" s="24">
        <v>4</v>
      </c>
      <c r="WO29" s="24">
        <f t="shared" si="19"/>
        <v>2.92</v>
      </c>
      <c r="WP29" s="24">
        <v>3</v>
      </c>
      <c r="WQ29" s="24">
        <v>23</v>
      </c>
      <c r="WR29" s="24">
        <v>1</v>
      </c>
      <c r="WS29" s="24">
        <v>0.06</v>
      </c>
      <c r="WT29" s="24">
        <v>3</v>
      </c>
      <c r="WW29" s="28"/>
      <c r="XO29" s="24">
        <v>1</v>
      </c>
      <c r="XP29" s="24">
        <v>60</v>
      </c>
      <c r="XQ29" s="24">
        <v>1</v>
      </c>
      <c r="XR29" s="24">
        <v>0.73</v>
      </c>
      <c r="XS29" s="24">
        <v>3</v>
      </c>
      <c r="XT29" s="24">
        <v>50</v>
      </c>
      <c r="XU29" s="24">
        <v>1</v>
      </c>
      <c r="XV29" s="24">
        <v>0.73</v>
      </c>
      <c r="XW29" s="24">
        <v>1</v>
      </c>
      <c r="XX29" s="24">
        <v>40</v>
      </c>
      <c r="XY29" s="24">
        <v>1</v>
      </c>
      <c r="XZ29" s="24">
        <v>0.73</v>
      </c>
      <c r="YA29" s="24">
        <v>6</v>
      </c>
      <c r="YB29" s="24">
        <v>50</v>
      </c>
      <c r="YC29" s="24">
        <v>1</v>
      </c>
      <c r="YD29" s="24">
        <v>0.19</v>
      </c>
      <c r="YE29" s="24">
        <v>3</v>
      </c>
      <c r="YF29" s="24">
        <v>70</v>
      </c>
      <c r="YG29" s="24">
        <v>3</v>
      </c>
      <c r="YH29" s="24">
        <v>0.57999999999999996</v>
      </c>
      <c r="YI29" s="24">
        <v>3</v>
      </c>
      <c r="YJ29" s="24">
        <v>50</v>
      </c>
      <c r="YK29" s="24">
        <v>1</v>
      </c>
      <c r="YL29" s="24">
        <v>0.28999999999999998</v>
      </c>
      <c r="YM29" s="24">
        <v>6</v>
      </c>
      <c r="YZ29" s="27">
        <v>0</v>
      </c>
      <c r="ZA29" s="27">
        <v>0</v>
      </c>
      <c r="ZB29" s="27"/>
      <c r="ZC29" s="27"/>
      <c r="ZD29" s="27"/>
      <c r="ZE29" s="27"/>
      <c r="ZF29" s="27"/>
      <c r="ZG29" s="27"/>
      <c r="ZH29" s="27"/>
      <c r="ZI29" s="27"/>
      <c r="ZJ29" s="27"/>
      <c r="ZK29" s="27">
        <v>0.26</v>
      </c>
      <c r="ZL29" s="27">
        <v>0.26</v>
      </c>
      <c r="ZM29" s="27"/>
      <c r="ZN29" s="27"/>
      <c r="ZO29" s="27">
        <v>3.6</v>
      </c>
      <c r="ZP29" s="27">
        <v>0.88</v>
      </c>
      <c r="ZQ29" s="27">
        <v>0</v>
      </c>
      <c r="ZR29" s="24">
        <v>0</v>
      </c>
      <c r="ZS29" s="24" t="s">
        <v>314</v>
      </c>
      <c r="ZT29" s="24">
        <v>36</v>
      </c>
      <c r="ZU29" s="27">
        <v>71.400000000000006</v>
      </c>
      <c r="ZV29" s="27">
        <v>83.4</v>
      </c>
      <c r="ZW29" s="27">
        <v>17.2</v>
      </c>
      <c r="ZX29" s="24">
        <v>79.88</v>
      </c>
      <c r="ZY29" s="24">
        <v>0</v>
      </c>
      <c r="ZZ29" s="24">
        <v>3.12</v>
      </c>
      <c r="AAA29" s="24">
        <v>0</v>
      </c>
      <c r="AAB29" s="24">
        <v>17</v>
      </c>
      <c r="AAC29" s="24">
        <v>0</v>
      </c>
      <c r="AAD29" s="24">
        <v>0</v>
      </c>
      <c r="AAE29" s="24">
        <v>0</v>
      </c>
      <c r="AAF29" s="24">
        <v>0</v>
      </c>
      <c r="AAG29" s="24">
        <v>0</v>
      </c>
      <c r="AAH29" s="24">
        <v>0</v>
      </c>
      <c r="AAI29" s="24">
        <v>5.32</v>
      </c>
      <c r="AAJ29" s="24">
        <v>31.86</v>
      </c>
      <c r="AAK29" s="24">
        <v>24.1</v>
      </c>
      <c r="AAL29" s="24">
        <v>2.02</v>
      </c>
      <c r="AAM29" s="24">
        <v>0</v>
      </c>
      <c r="AAN29" s="24">
        <v>0</v>
      </c>
      <c r="AAO29" s="24">
        <v>0</v>
      </c>
      <c r="ABB29" s="24">
        <v>15.1</v>
      </c>
      <c r="ABC29" s="24">
        <v>1</v>
      </c>
      <c r="ABD29" s="24">
        <v>35</v>
      </c>
      <c r="ABE29" s="24">
        <v>4</v>
      </c>
      <c r="ABF29" s="24">
        <f t="shared" si="20"/>
        <v>2.92</v>
      </c>
      <c r="ABG29" s="24">
        <v>3</v>
      </c>
      <c r="ABN29" s="28"/>
      <c r="ACF29" s="24">
        <v>1</v>
      </c>
      <c r="ACG29" s="24">
        <v>50</v>
      </c>
      <c r="ACH29" s="24">
        <v>2</v>
      </c>
      <c r="ACI29" s="24">
        <f t="shared" si="21"/>
        <v>0.91999999999999993</v>
      </c>
      <c r="ACJ29" s="24">
        <v>3</v>
      </c>
      <c r="ACK29" s="24">
        <v>50</v>
      </c>
      <c r="ACL29" s="24">
        <v>1</v>
      </c>
      <c r="ACM29" s="24">
        <v>0.73</v>
      </c>
      <c r="ACN29" s="24">
        <v>1</v>
      </c>
      <c r="ACO29" s="24">
        <v>70</v>
      </c>
      <c r="ACP29" s="24">
        <v>3</v>
      </c>
      <c r="ACQ29" s="24">
        <v>0.57999999999999996</v>
      </c>
      <c r="ACR29" s="24">
        <v>3</v>
      </c>
      <c r="ACS29" s="24">
        <v>40</v>
      </c>
      <c r="ACT29" s="24">
        <v>1</v>
      </c>
      <c r="ACU29" s="24">
        <v>1.65</v>
      </c>
      <c r="ACV29" s="24">
        <v>6</v>
      </c>
      <c r="ADQ29" s="27">
        <v>0</v>
      </c>
      <c r="ADR29" s="27">
        <v>0</v>
      </c>
      <c r="ADS29" s="27"/>
      <c r="ADT29" s="27"/>
      <c r="ADU29" s="27"/>
      <c r="ADV29" s="27"/>
      <c r="ADW29" s="27"/>
      <c r="ADX29" s="27"/>
      <c r="ADY29" s="27"/>
      <c r="ADZ29" s="27"/>
      <c r="AEA29" s="27"/>
      <c r="AEB29" s="27">
        <v>0</v>
      </c>
      <c r="AEC29" s="27">
        <v>0</v>
      </c>
      <c r="AED29" s="27"/>
      <c r="AEE29" s="27"/>
      <c r="AEF29" s="27">
        <v>3.6</v>
      </c>
      <c r="AEG29" s="27">
        <v>0.88</v>
      </c>
      <c r="AEH29" s="27">
        <v>0</v>
      </c>
      <c r="AEI29" s="24">
        <v>0</v>
      </c>
      <c r="AEJ29" s="24" t="s">
        <v>315</v>
      </c>
      <c r="AEK29" s="24">
        <v>38.5</v>
      </c>
      <c r="AEL29" s="27">
        <v>90.6</v>
      </c>
      <c r="AEM29" s="27">
        <v>83.4</v>
      </c>
      <c r="AEN29" s="27">
        <v>29.4</v>
      </c>
      <c r="AEO29" s="24">
        <v>59.08</v>
      </c>
      <c r="AEP29" s="24">
        <v>0</v>
      </c>
      <c r="AEQ29" s="24">
        <v>0</v>
      </c>
      <c r="AER29" s="24">
        <v>0</v>
      </c>
      <c r="AES29" s="24">
        <v>40.92</v>
      </c>
      <c r="AET29" s="24">
        <v>0</v>
      </c>
      <c r="AEU29" s="24">
        <v>0</v>
      </c>
      <c r="AEV29" s="24">
        <v>0</v>
      </c>
      <c r="AEW29" s="24">
        <v>0</v>
      </c>
      <c r="AEX29" s="24">
        <v>0</v>
      </c>
      <c r="AEY29" s="24">
        <v>0</v>
      </c>
      <c r="AEZ29" s="24">
        <v>3.67</v>
      </c>
      <c r="AFA29" s="24">
        <v>24.93</v>
      </c>
      <c r="AFB29" s="24">
        <v>39.44</v>
      </c>
      <c r="AFC29" s="24">
        <v>8.51</v>
      </c>
      <c r="AFD29" s="24">
        <v>0</v>
      </c>
      <c r="AFE29" s="24">
        <v>0</v>
      </c>
      <c r="AFF29" s="24">
        <v>0</v>
      </c>
      <c r="AFS29" s="24">
        <v>3.7</v>
      </c>
      <c r="AFT29" s="24">
        <v>1</v>
      </c>
      <c r="AFU29" s="24">
        <v>34</v>
      </c>
      <c r="AFV29" s="24">
        <v>2</v>
      </c>
      <c r="AFW29" s="24">
        <f t="shared" si="22"/>
        <v>4.05</v>
      </c>
      <c r="AFX29" s="24">
        <v>1</v>
      </c>
      <c r="AGE29" s="28"/>
      <c r="AGW29" s="24">
        <v>1</v>
      </c>
      <c r="AGX29" s="24">
        <v>50</v>
      </c>
      <c r="AGY29" s="24">
        <v>2</v>
      </c>
      <c r="AGZ29" s="24">
        <f t="shared" si="23"/>
        <v>1.46</v>
      </c>
      <c r="AHA29" s="24">
        <v>6</v>
      </c>
      <c r="AIH29" s="27">
        <v>4.96</v>
      </c>
      <c r="AII29" s="27">
        <v>1</v>
      </c>
      <c r="AIJ29" s="27">
        <v>2</v>
      </c>
      <c r="AIK29" s="27"/>
      <c r="AIL29" s="27">
        <f t="shared" si="24"/>
        <v>17.28</v>
      </c>
      <c r="AIM29" s="27"/>
      <c r="AIN29" s="27"/>
      <c r="AIO29" s="27"/>
      <c r="AIP29" s="27"/>
      <c r="AIQ29" s="27"/>
      <c r="AIR29" s="27"/>
      <c r="AIS29" s="27">
        <v>0.19</v>
      </c>
      <c r="AIT29" s="27">
        <v>0.19</v>
      </c>
      <c r="AIU29" s="27"/>
      <c r="AIV29" s="27"/>
      <c r="AIW29" s="27">
        <v>0</v>
      </c>
      <c r="AIX29" s="27">
        <v>0</v>
      </c>
      <c r="AIY29" s="27">
        <v>0</v>
      </c>
      <c r="AIZ29" s="24">
        <v>0</v>
      </c>
      <c r="AJA29" s="24" t="s">
        <v>316</v>
      </c>
      <c r="AJB29" s="24">
        <v>36</v>
      </c>
      <c r="AJC29" s="27">
        <v>94.1</v>
      </c>
      <c r="AJD29" s="27">
        <v>83.4</v>
      </c>
      <c r="AJE29" s="27">
        <v>25.8</v>
      </c>
      <c r="AJF29" s="24">
        <v>60.57</v>
      </c>
      <c r="AJG29" s="24">
        <v>0</v>
      </c>
      <c r="AJH29" s="24">
        <v>0</v>
      </c>
      <c r="AJI29" s="24">
        <v>0</v>
      </c>
      <c r="AJJ29" s="24">
        <v>39.43</v>
      </c>
      <c r="AJK29" s="24">
        <v>0</v>
      </c>
      <c r="AJL29" s="24">
        <v>0</v>
      </c>
      <c r="AJM29" s="24">
        <v>0</v>
      </c>
      <c r="AJN29" s="24">
        <v>0</v>
      </c>
      <c r="AJO29" s="24">
        <v>0</v>
      </c>
      <c r="AJP29" s="24">
        <v>0</v>
      </c>
      <c r="AJQ29" s="24">
        <v>0</v>
      </c>
      <c r="AJR29" s="24">
        <v>30.64</v>
      </c>
      <c r="AJS29" s="24">
        <v>37.97</v>
      </c>
      <c r="AJT29" s="24">
        <v>4.59</v>
      </c>
      <c r="AJU29" s="24">
        <v>0</v>
      </c>
      <c r="AJV29" s="24">
        <v>0</v>
      </c>
      <c r="AJW29" s="24">
        <v>0</v>
      </c>
      <c r="AKJ29" s="24">
        <v>4.8</v>
      </c>
      <c r="AKK29" s="24">
        <v>0</v>
      </c>
      <c r="AKV29" s="28"/>
      <c r="ALN29" s="24">
        <v>1</v>
      </c>
      <c r="ALO29" s="24">
        <v>50</v>
      </c>
      <c r="ALP29" s="24">
        <v>3</v>
      </c>
      <c r="ALQ29" s="24">
        <f t="shared" si="25"/>
        <v>2.19</v>
      </c>
      <c r="ALR29" s="24">
        <v>6</v>
      </c>
    </row>
    <row r="30" spans="1:1018" x14ac:dyDescent="0.2">
      <c r="A30" s="1" t="s">
        <v>346</v>
      </c>
      <c r="B30" s="12">
        <v>42900</v>
      </c>
      <c r="C30">
        <v>2</v>
      </c>
      <c r="D30" s="13">
        <v>42853</v>
      </c>
      <c r="E30" s="12">
        <v>33719</v>
      </c>
      <c r="F30" s="14">
        <f t="shared" si="0"/>
        <v>25.136208076659823</v>
      </c>
      <c r="G30" s="14">
        <f t="shared" si="1"/>
        <v>0.12867898699520877</v>
      </c>
      <c r="H30" s="15" t="s">
        <v>347</v>
      </c>
      <c r="I30" s="15" t="s">
        <v>348</v>
      </c>
      <c r="J30" s="15" t="s">
        <v>181</v>
      </c>
      <c r="K30" s="15">
        <v>4</v>
      </c>
      <c r="L30" s="19">
        <v>62</v>
      </c>
      <c r="M30">
        <v>1.62</v>
      </c>
      <c r="N30" s="16">
        <f t="shared" si="2"/>
        <v>23.624447492760247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0</v>
      </c>
      <c r="X30" s="19">
        <v>0</v>
      </c>
      <c r="Y30" s="19">
        <v>1</v>
      </c>
      <c r="Z30" s="19">
        <v>2</v>
      </c>
      <c r="AA30" s="19">
        <v>60</v>
      </c>
      <c r="AB30" s="19" t="s">
        <v>349</v>
      </c>
      <c r="AC30" s="19">
        <v>1</v>
      </c>
      <c r="AD30" s="19">
        <v>12</v>
      </c>
      <c r="AE30" s="19">
        <v>0</v>
      </c>
      <c r="AF30" s="19">
        <v>0</v>
      </c>
      <c r="AG30" s="19">
        <v>0</v>
      </c>
      <c r="AH30" s="19">
        <v>0</v>
      </c>
      <c r="AI30" s="19">
        <v>0</v>
      </c>
      <c r="AJ30" s="19">
        <v>0</v>
      </c>
      <c r="AK30" s="19">
        <v>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  <c r="AQ30" s="19">
        <v>0</v>
      </c>
      <c r="AR30" s="19">
        <v>0</v>
      </c>
      <c r="AS30" s="19">
        <v>0</v>
      </c>
      <c r="AT30" s="19">
        <v>0</v>
      </c>
      <c r="AU30" s="19">
        <v>0</v>
      </c>
      <c r="AV30" s="19">
        <v>0</v>
      </c>
      <c r="AW30" s="19">
        <v>0</v>
      </c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>
        <v>1</v>
      </c>
      <c r="BS30" s="19">
        <v>2</v>
      </c>
      <c r="BT30" s="19">
        <v>5</v>
      </c>
      <c r="BU30" s="19">
        <v>5</v>
      </c>
      <c r="BV30" s="19">
        <v>4</v>
      </c>
      <c r="BW30" s="19">
        <v>4</v>
      </c>
      <c r="BX30" s="19">
        <v>4</v>
      </c>
      <c r="BY30" s="19">
        <v>5</v>
      </c>
      <c r="BZ30" s="19">
        <v>5</v>
      </c>
      <c r="CA30" s="19">
        <v>4</v>
      </c>
      <c r="CB30" s="19">
        <v>5</v>
      </c>
      <c r="CC30" s="19">
        <v>5</v>
      </c>
      <c r="CD30" s="19">
        <v>5</v>
      </c>
      <c r="CE30" s="19">
        <v>5</v>
      </c>
      <c r="CF30" s="19">
        <v>5</v>
      </c>
      <c r="CG30" s="19">
        <v>5</v>
      </c>
      <c r="CH30" s="19"/>
      <c r="CI30" s="19"/>
      <c r="CJ30" s="19"/>
      <c r="CK30" s="19"/>
      <c r="CL30" t="s">
        <v>350</v>
      </c>
      <c r="CM30">
        <v>75</v>
      </c>
      <c r="CN30" s="16">
        <v>87.9</v>
      </c>
      <c r="CO30" s="16">
        <v>80.400000000000006</v>
      </c>
      <c r="CP30" s="16">
        <v>45.2</v>
      </c>
      <c r="CQ30">
        <v>50.83</v>
      </c>
      <c r="CR30">
        <v>0.05</v>
      </c>
      <c r="CS30">
        <v>46.44</v>
      </c>
      <c r="CT30">
        <v>2.67</v>
      </c>
      <c r="CU30">
        <v>0</v>
      </c>
      <c r="CV30">
        <v>0</v>
      </c>
      <c r="CW30">
        <v>0</v>
      </c>
      <c r="CY30">
        <v>0</v>
      </c>
      <c r="CZ30">
        <v>0</v>
      </c>
      <c r="DA30">
        <v>0</v>
      </c>
      <c r="DB30">
        <v>0</v>
      </c>
      <c r="DC30">
        <v>25.21</v>
      </c>
      <c r="DD30">
        <v>43.57</v>
      </c>
      <c r="DE30">
        <v>6.27</v>
      </c>
      <c r="DF30">
        <v>0</v>
      </c>
      <c r="DG30">
        <v>0</v>
      </c>
      <c r="DH30">
        <v>0</v>
      </c>
      <c r="DU30">
        <v>17.8</v>
      </c>
      <c r="DV30">
        <v>1</v>
      </c>
      <c r="DW30">
        <v>35</v>
      </c>
      <c r="DX30">
        <v>9</v>
      </c>
      <c r="DY30">
        <v>2.5499999999999998</v>
      </c>
      <c r="DZ30">
        <v>3</v>
      </c>
      <c r="EG30" s="20"/>
      <c r="EY30">
        <v>1</v>
      </c>
      <c r="EZ30">
        <v>50</v>
      </c>
      <c r="FA30">
        <v>8</v>
      </c>
      <c r="FB30">
        <v>2.12</v>
      </c>
      <c r="FC30">
        <v>3</v>
      </c>
      <c r="GJ30" s="16">
        <v>3.43</v>
      </c>
      <c r="GK30" s="16">
        <v>1</v>
      </c>
      <c r="GL30" s="16">
        <v>1</v>
      </c>
      <c r="GM30" s="16"/>
      <c r="GN30" s="16">
        <v>26.11</v>
      </c>
      <c r="GO30" s="16">
        <v>2</v>
      </c>
      <c r="GP30" s="16"/>
      <c r="GQ30" s="16">
        <v>11.19</v>
      </c>
      <c r="GR30" s="16"/>
      <c r="GS30" s="16"/>
      <c r="GT30" s="16"/>
      <c r="GU30" s="16">
        <v>6.39</v>
      </c>
      <c r="GV30" s="16">
        <v>3.31</v>
      </c>
      <c r="GW30" s="16">
        <v>0</v>
      </c>
      <c r="GX30" s="16">
        <v>0</v>
      </c>
      <c r="GY30" s="16">
        <v>0</v>
      </c>
      <c r="GZ30" s="16">
        <v>0</v>
      </c>
      <c r="HA30" s="16">
        <v>0</v>
      </c>
      <c r="HB30">
        <v>0</v>
      </c>
      <c r="HC30" t="s">
        <v>351</v>
      </c>
      <c r="HD30">
        <v>30.5</v>
      </c>
      <c r="HE30" s="16">
        <v>68.400000000000006</v>
      </c>
      <c r="HF30" s="16">
        <v>80.400000000000006</v>
      </c>
      <c r="HG30" s="16">
        <v>19.8</v>
      </c>
      <c r="HH30">
        <v>72.42</v>
      </c>
      <c r="HJ30">
        <v>0.94</v>
      </c>
      <c r="HK30">
        <v>0.94</v>
      </c>
      <c r="HL30">
        <v>25.7</v>
      </c>
      <c r="HM30">
        <v>0</v>
      </c>
      <c r="HN30">
        <v>0</v>
      </c>
      <c r="HP30">
        <v>0</v>
      </c>
      <c r="HQ30">
        <v>0</v>
      </c>
      <c r="HR30">
        <v>0</v>
      </c>
      <c r="HS30">
        <v>0</v>
      </c>
      <c r="HT30">
        <v>28.26</v>
      </c>
      <c r="HU30">
        <v>10.55</v>
      </c>
      <c r="HV30">
        <v>14.21</v>
      </c>
      <c r="HW30">
        <v>0</v>
      </c>
      <c r="HX30">
        <v>0</v>
      </c>
      <c r="HY30">
        <v>0</v>
      </c>
      <c r="IL30">
        <v>3.3</v>
      </c>
      <c r="IM30">
        <v>1</v>
      </c>
      <c r="IN30">
        <v>68</v>
      </c>
      <c r="IO30">
        <v>2</v>
      </c>
      <c r="IP30">
        <v>1.52</v>
      </c>
      <c r="IQ30">
        <v>1</v>
      </c>
      <c r="IX30" s="20"/>
      <c r="JP30">
        <v>0</v>
      </c>
      <c r="LA30" s="16">
        <v>0</v>
      </c>
      <c r="LB30" s="16">
        <v>0</v>
      </c>
      <c r="LC30" s="16"/>
      <c r="LD30" s="16"/>
      <c r="LE30" s="16"/>
      <c r="LF30" s="16"/>
      <c r="LG30" s="16"/>
      <c r="LH30" s="16"/>
      <c r="LI30" s="16"/>
      <c r="LJ30" s="16"/>
      <c r="LK30" s="16"/>
      <c r="LL30" s="16">
        <v>0.81</v>
      </c>
      <c r="LM30" s="16">
        <v>0.8</v>
      </c>
      <c r="LN30" s="16">
        <v>0</v>
      </c>
      <c r="LO30" s="16">
        <v>0</v>
      </c>
      <c r="LP30" s="16">
        <v>2.99</v>
      </c>
      <c r="LQ30" s="16">
        <v>5.71</v>
      </c>
      <c r="LR30" s="16">
        <v>0</v>
      </c>
      <c r="LS30">
        <v>0</v>
      </c>
      <c r="LT30" t="s">
        <v>352</v>
      </c>
      <c r="LU30">
        <v>49</v>
      </c>
      <c r="LV30" s="16">
        <v>65.5</v>
      </c>
      <c r="LW30" s="16">
        <v>80.400000000000006</v>
      </c>
      <c r="LX30" s="16">
        <v>8.1999999999999993</v>
      </c>
      <c r="LY30">
        <v>84.28</v>
      </c>
      <c r="MA30">
        <v>0</v>
      </c>
      <c r="MB30">
        <v>0</v>
      </c>
      <c r="MC30">
        <v>15.72</v>
      </c>
      <c r="MD30">
        <v>0</v>
      </c>
      <c r="ME30">
        <v>0</v>
      </c>
      <c r="MG30">
        <v>0</v>
      </c>
      <c r="MH30">
        <v>0</v>
      </c>
      <c r="MI30">
        <v>0</v>
      </c>
      <c r="MJ30">
        <v>0</v>
      </c>
      <c r="MK30">
        <v>21.31</v>
      </c>
      <c r="ML30">
        <v>26.03</v>
      </c>
      <c r="MM30">
        <v>0</v>
      </c>
      <c r="MN30">
        <v>0</v>
      </c>
      <c r="MO30">
        <v>8.1999999999999993</v>
      </c>
      <c r="MP30">
        <v>5</v>
      </c>
      <c r="MQ30">
        <v>50</v>
      </c>
      <c r="MR30">
        <v>2</v>
      </c>
      <c r="MW30">
        <v>50</v>
      </c>
      <c r="MX30">
        <v>2</v>
      </c>
      <c r="NC30">
        <v>25.5</v>
      </c>
      <c r="ND30">
        <v>1</v>
      </c>
      <c r="NE30">
        <v>35</v>
      </c>
      <c r="NF30">
        <v>21</v>
      </c>
      <c r="NG30">
        <v>7.69</v>
      </c>
      <c r="NH30">
        <v>3</v>
      </c>
      <c r="NO30" s="20"/>
      <c r="OG30">
        <v>0</v>
      </c>
      <c r="PR30" s="16">
        <v>0</v>
      </c>
      <c r="PS30" s="16">
        <v>0</v>
      </c>
      <c r="PT30" s="16"/>
      <c r="PU30" s="16"/>
      <c r="PV30" s="16"/>
      <c r="PW30" s="16"/>
      <c r="PX30" s="16"/>
      <c r="PY30" s="16"/>
      <c r="PZ30" s="16"/>
      <c r="QA30" s="16"/>
      <c r="QB30" s="16"/>
      <c r="QC30" s="16">
        <v>0</v>
      </c>
      <c r="QD30" s="16">
        <v>0</v>
      </c>
      <c r="QE30" s="16">
        <v>0</v>
      </c>
      <c r="QF30" s="16">
        <v>0</v>
      </c>
      <c r="QG30" s="16">
        <v>0</v>
      </c>
      <c r="QH30" s="16">
        <v>0</v>
      </c>
      <c r="QI30" s="16">
        <v>0</v>
      </c>
      <c r="QJ30">
        <v>0</v>
      </c>
      <c r="QO30" s="15"/>
      <c r="QP30" s="15"/>
      <c r="QW30" s="15"/>
      <c r="QX30" s="15"/>
      <c r="RE30" s="15"/>
      <c r="RF30" s="15"/>
      <c r="RM30" s="15"/>
      <c r="RN30" s="15"/>
      <c r="RU30" s="15"/>
      <c r="RV30" s="15"/>
      <c r="SC30" s="15"/>
      <c r="SD30" s="15"/>
      <c r="SK30" s="15"/>
      <c r="SL30" s="15"/>
      <c r="SS30" s="15"/>
      <c r="ST30" s="15"/>
      <c r="TA30" s="15"/>
      <c r="TB30" s="15"/>
      <c r="TI30" s="15"/>
      <c r="TJ30" s="15"/>
      <c r="TQ30" s="15"/>
      <c r="TR30" s="15"/>
      <c r="TY30" s="15"/>
      <c r="TZ30" s="15"/>
      <c r="UG30" s="15"/>
      <c r="UH30" s="15"/>
      <c r="UO30" s="15"/>
      <c r="UP30" s="15"/>
      <c r="UW30" s="15"/>
      <c r="UX30" s="15"/>
      <c r="VE30" s="15"/>
      <c r="VF30" s="15"/>
      <c r="VM30" s="15"/>
      <c r="VN30" s="15"/>
      <c r="VU30" s="15"/>
      <c r="VV30" s="15"/>
      <c r="WC30" s="15"/>
      <c r="WD30" s="15"/>
      <c r="WK30" s="15"/>
      <c r="WL30" s="15"/>
      <c r="WS30" s="15"/>
      <c r="WT30" s="15"/>
      <c r="XA30" s="15"/>
      <c r="XB30" s="15"/>
      <c r="XI30" s="15"/>
      <c r="XJ30" s="15"/>
      <c r="XQ30" s="15"/>
      <c r="XR30" s="15"/>
      <c r="XY30" s="15"/>
      <c r="XZ30" s="15"/>
      <c r="YG30" s="15"/>
      <c r="YH30" s="15"/>
      <c r="YO30" s="15"/>
      <c r="YP30" s="15"/>
      <c r="YW30" s="15"/>
      <c r="YX30" s="15"/>
      <c r="ZE30" s="15"/>
      <c r="ZF30" s="15"/>
      <c r="ZM30" s="15"/>
      <c r="ZN30" s="15"/>
      <c r="ZU30" s="15"/>
      <c r="ZV30" s="15"/>
      <c r="AAC30" s="15"/>
      <c r="AAD30" s="15"/>
      <c r="AAK30" s="15"/>
      <c r="AAL30" s="15"/>
      <c r="AAS30" s="15"/>
      <c r="AAT30" s="15"/>
      <c r="ABA30" s="15"/>
      <c r="ABB30" s="15"/>
      <c r="ABI30" s="15"/>
      <c r="ABJ30" s="15"/>
      <c r="ABQ30" s="15"/>
      <c r="ABR30" s="15"/>
      <c r="ABY30" s="15"/>
      <c r="ABZ30" s="15"/>
      <c r="ACG30" s="15"/>
      <c r="ACH30" s="15"/>
      <c r="ACO30" s="15"/>
      <c r="ACP30" s="15"/>
      <c r="ACW30" s="15"/>
      <c r="ACX30" s="15"/>
      <c r="ADE30" s="15"/>
      <c r="ADF30" s="15"/>
      <c r="ADM30" s="15"/>
      <c r="ADN30" s="15"/>
      <c r="ADU30" s="15"/>
      <c r="ADV30" s="15"/>
      <c r="AEC30" s="15"/>
      <c r="AED30" s="15"/>
      <c r="AEK30" s="15"/>
      <c r="AEL30" s="15"/>
      <c r="AES30" s="15"/>
      <c r="AET30" s="15"/>
      <c r="AFA30" s="15"/>
      <c r="AFB30" s="15"/>
      <c r="AFI30" s="15"/>
      <c r="AFJ30" s="15"/>
      <c r="AFQ30" s="15"/>
      <c r="AFR30" s="15"/>
      <c r="AFY30" s="15"/>
      <c r="AFZ30" s="15"/>
      <c r="AGG30" s="15"/>
      <c r="AGH30" s="15"/>
      <c r="AGO30" s="15"/>
      <c r="AGP30" s="15"/>
      <c r="AGW30" s="15"/>
      <c r="AGX30" s="15"/>
      <c r="AHE30" s="15"/>
      <c r="AHF30" s="15"/>
      <c r="AHM30" s="15"/>
      <c r="AHN30" s="15"/>
      <c r="AHU30" s="15"/>
      <c r="AHV30" s="15"/>
      <c r="AIC30" s="15"/>
      <c r="AID30" s="15"/>
      <c r="AIK30" s="15"/>
      <c r="AIL30" s="15"/>
      <c r="AIS30" s="15"/>
      <c r="AIT30" s="15"/>
      <c r="AJA30" s="15"/>
      <c r="AJB30" s="15"/>
      <c r="AJI30" s="15"/>
      <c r="AJJ30" s="15"/>
      <c r="AJQ30" s="15"/>
      <c r="AJR30" s="15"/>
      <c r="AJY30" s="15"/>
      <c r="AJZ30" s="15"/>
      <c r="AKG30" s="15"/>
      <c r="AKH30" s="15"/>
      <c r="AKO30" s="15"/>
      <c r="AKP30" s="15"/>
      <c r="AKW30" s="15"/>
      <c r="AKX30" s="15"/>
      <c r="ALE30" s="15"/>
      <c r="ALF30" s="15"/>
      <c r="ALM30" s="15"/>
      <c r="ALN30" s="15"/>
      <c r="ALU30" s="15"/>
      <c r="ALV30" s="15"/>
      <c r="AMC30" s="15"/>
      <c r="AMD30" s="15"/>
    </row>
    <row r="31" spans="1:1018" x14ac:dyDescent="0.2">
      <c r="A31" s="1" t="s">
        <v>353</v>
      </c>
      <c r="B31" s="12">
        <v>42900</v>
      </c>
      <c r="C31">
        <v>1</v>
      </c>
      <c r="D31" s="13">
        <v>42793</v>
      </c>
      <c r="E31" s="12">
        <v>34997</v>
      </c>
      <c r="F31" s="14">
        <f t="shared" si="0"/>
        <v>21.637234770704996</v>
      </c>
      <c r="G31" s="14">
        <f t="shared" si="1"/>
        <v>0.29295003422313481</v>
      </c>
      <c r="H31" s="15" t="s">
        <v>183</v>
      </c>
      <c r="I31" s="15" t="s">
        <v>347</v>
      </c>
      <c r="J31" s="21" t="s">
        <v>181</v>
      </c>
      <c r="K31" s="21">
        <v>4</v>
      </c>
      <c r="L31" s="19">
        <v>58</v>
      </c>
      <c r="M31">
        <v>1.58</v>
      </c>
      <c r="N31" s="16">
        <f t="shared" si="2"/>
        <v>23.233456176894723</v>
      </c>
      <c r="O31" s="19">
        <v>0</v>
      </c>
      <c r="P31" s="19">
        <v>0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0</v>
      </c>
      <c r="X31" s="19">
        <v>0</v>
      </c>
      <c r="Y31" s="19">
        <v>1</v>
      </c>
      <c r="Z31" s="19">
        <v>2</v>
      </c>
      <c r="AA31" s="19">
        <v>90</v>
      </c>
      <c r="AB31" s="19" t="s">
        <v>354</v>
      </c>
      <c r="AC31" s="19">
        <v>0</v>
      </c>
      <c r="AD31" s="19">
        <v>0</v>
      </c>
      <c r="AE31" s="19">
        <v>0</v>
      </c>
      <c r="AF31" s="19">
        <v>0</v>
      </c>
      <c r="AG31" s="19">
        <v>0</v>
      </c>
      <c r="AH31" s="19">
        <v>0</v>
      </c>
      <c r="AI31" s="19">
        <v>0</v>
      </c>
      <c r="AJ31" s="19">
        <v>0</v>
      </c>
      <c r="AK31" s="19">
        <v>0</v>
      </c>
      <c r="AL31" s="19">
        <v>0</v>
      </c>
      <c r="AM31" s="19">
        <v>0</v>
      </c>
      <c r="AN31" s="19">
        <v>0</v>
      </c>
      <c r="AO31" s="19">
        <v>0</v>
      </c>
      <c r="AP31" s="19">
        <v>0</v>
      </c>
      <c r="AQ31" s="19">
        <v>0</v>
      </c>
      <c r="AR31" s="19">
        <v>0</v>
      </c>
      <c r="AS31" s="19">
        <v>0</v>
      </c>
      <c r="AT31" s="19">
        <v>0</v>
      </c>
      <c r="AU31" s="19">
        <v>0</v>
      </c>
      <c r="AV31" s="19">
        <v>0</v>
      </c>
      <c r="AW31" s="19">
        <v>0</v>
      </c>
      <c r="AX31" s="19">
        <v>0</v>
      </c>
      <c r="AY31" s="19">
        <v>0</v>
      </c>
      <c r="AZ31" s="19">
        <v>0</v>
      </c>
      <c r="BA31" s="19">
        <v>0</v>
      </c>
      <c r="BB31" s="19">
        <v>0</v>
      </c>
      <c r="BC31" s="19">
        <v>0</v>
      </c>
      <c r="BD31" s="19">
        <v>0</v>
      </c>
      <c r="BE31" s="19">
        <v>0</v>
      </c>
      <c r="BF31" s="19">
        <v>0</v>
      </c>
      <c r="BG31" s="19">
        <v>0</v>
      </c>
      <c r="BH31" s="19">
        <v>0</v>
      </c>
      <c r="BI31" s="19">
        <v>0</v>
      </c>
      <c r="BJ31" s="19">
        <v>0</v>
      </c>
      <c r="BK31" s="19">
        <v>0</v>
      </c>
      <c r="BL31" s="19">
        <v>0</v>
      </c>
      <c r="BM31" s="19">
        <v>0</v>
      </c>
      <c r="BN31" s="19">
        <v>0</v>
      </c>
      <c r="BO31" s="19">
        <v>0</v>
      </c>
      <c r="BP31" s="19">
        <v>0</v>
      </c>
      <c r="BQ31" s="19">
        <v>0</v>
      </c>
      <c r="BR31" s="19">
        <v>2</v>
      </c>
      <c r="BS31" s="19">
        <v>1</v>
      </c>
      <c r="BT31" s="19">
        <v>1</v>
      </c>
      <c r="BU31" s="19">
        <v>5</v>
      </c>
      <c r="BV31" s="19">
        <v>1</v>
      </c>
      <c r="BW31" s="19">
        <v>1</v>
      </c>
      <c r="BX31" s="19">
        <v>3</v>
      </c>
      <c r="BY31" s="19">
        <v>4</v>
      </c>
      <c r="BZ31" s="19">
        <v>5</v>
      </c>
      <c r="CA31" s="19">
        <v>5</v>
      </c>
      <c r="CB31" s="19">
        <v>5</v>
      </c>
      <c r="CC31" s="19">
        <v>5</v>
      </c>
      <c r="CD31" s="19">
        <v>4</v>
      </c>
      <c r="CE31" s="19">
        <v>5</v>
      </c>
      <c r="CF31" s="19">
        <v>5</v>
      </c>
      <c r="CG31" s="19">
        <v>5</v>
      </c>
      <c r="CH31" s="19">
        <v>5</v>
      </c>
      <c r="CI31" s="19">
        <v>5</v>
      </c>
      <c r="CJ31" s="19">
        <v>5</v>
      </c>
      <c r="CK31" s="19">
        <v>10</v>
      </c>
      <c r="CL31" t="s">
        <v>355</v>
      </c>
      <c r="CM31">
        <v>37</v>
      </c>
      <c r="CN31" s="16">
        <v>95.1</v>
      </c>
      <c r="CO31" s="16">
        <v>80.400000000000006</v>
      </c>
      <c r="CP31" s="16">
        <v>15.9</v>
      </c>
      <c r="CQ31">
        <v>82.71</v>
      </c>
      <c r="CS31">
        <v>10.32</v>
      </c>
      <c r="CT31">
        <v>0.39</v>
      </c>
      <c r="CU31">
        <v>10.32</v>
      </c>
      <c r="CV31">
        <v>0</v>
      </c>
      <c r="CW31">
        <v>0</v>
      </c>
      <c r="CY31">
        <v>0</v>
      </c>
      <c r="CZ31">
        <v>0</v>
      </c>
      <c r="DA31">
        <v>0</v>
      </c>
      <c r="DB31">
        <v>1.9</v>
      </c>
      <c r="DC31">
        <v>26.26</v>
      </c>
      <c r="DD31">
        <v>6.04</v>
      </c>
      <c r="DE31">
        <v>2.19</v>
      </c>
      <c r="DF31">
        <v>0</v>
      </c>
      <c r="DG31">
        <v>0</v>
      </c>
      <c r="DH31">
        <v>0</v>
      </c>
      <c r="DU31">
        <v>14.7</v>
      </c>
      <c r="DV31">
        <v>1</v>
      </c>
      <c r="DW31">
        <v>35</v>
      </c>
      <c r="DX31">
        <v>2</v>
      </c>
      <c r="DY31">
        <v>1.8</v>
      </c>
      <c r="DZ31">
        <v>3</v>
      </c>
      <c r="EG31" s="20"/>
      <c r="EY31">
        <v>1</v>
      </c>
      <c r="EZ31">
        <v>50</v>
      </c>
      <c r="FA31">
        <v>1</v>
      </c>
      <c r="FB31">
        <v>1.34</v>
      </c>
      <c r="FC31">
        <v>2</v>
      </c>
      <c r="FD31">
        <v>40</v>
      </c>
      <c r="FE31">
        <v>1</v>
      </c>
      <c r="FF31">
        <v>0.9</v>
      </c>
      <c r="FG31">
        <v>3</v>
      </c>
      <c r="FH31">
        <v>50</v>
      </c>
      <c r="FI31">
        <v>1</v>
      </c>
      <c r="FJ31">
        <v>0.9</v>
      </c>
      <c r="FK31">
        <v>3</v>
      </c>
      <c r="FL31">
        <v>80</v>
      </c>
      <c r="FM31">
        <v>2</v>
      </c>
      <c r="FN31">
        <v>2.68</v>
      </c>
      <c r="FO31">
        <v>2</v>
      </c>
      <c r="FP31">
        <v>100</v>
      </c>
      <c r="FQ31">
        <v>1</v>
      </c>
      <c r="FR31">
        <v>2.57</v>
      </c>
      <c r="FS31">
        <v>2</v>
      </c>
      <c r="GJ31">
        <v>0</v>
      </c>
      <c r="GK31" s="19">
        <v>0</v>
      </c>
      <c r="GL31" s="19"/>
      <c r="GM31" s="13"/>
      <c r="GN31" s="13"/>
      <c r="GO31" s="19"/>
      <c r="GP31" s="13"/>
      <c r="GQ31" s="13"/>
      <c r="GR31" s="13"/>
      <c r="GS31" s="13"/>
      <c r="GT31" s="13"/>
      <c r="GU31" s="16">
        <v>5.1100000000000003</v>
      </c>
      <c r="GV31">
        <v>4.8099999999999996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 t="s">
        <v>350</v>
      </c>
      <c r="HD31">
        <v>75</v>
      </c>
      <c r="HE31" s="16">
        <v>87.9</v>
      </c>
      <c r="HF31" s="16">
        <v>80.400000000000006</v>
      </c>
      <c r="HG31" s="16">
        <v>45.2</v>
      </c>
      <c r="HH31">
        <v>50.83</v>
      </c>
      <c r="HI31">
        <v>0.05</v>
      </c>
      <c r="HJ31">
        <v>46.44</v>
      </c>
      <c r="HK31">
        <v>2.67</v>
      </c>
      <c r="HL31">
        <v>0</v>
      </c>
      <c r="HM31">
        <v>0</v>
      </c>
      <c r="HN31">
        <v>0</v>
      </c>
      <c r="HP31">
        <v>0</v>
      </c>
      <c r="HQ31">
        <v>0</v>
      </c>
      <c r="HR31">
        <v>0</v>
      </c>
      <c r="HS31">
        <v>0</v>
      </c>
      <c r="HT31">
        <v>25.21</v>
      </c>
      <c r="HU31">
        <v>43.57</v>
      </c>
      <c r="HV31">
        <v>6.27</v>
      </c>
      <c r="HW31">
        <v>0</v>
      </c>
      <c r="HX31">
        <v>0</v>
      </c>
      <c r="HY31">
        <v>0</v>
      </c>
      <c r="IL31">
        <v>17.8</v>
      </c>
      <c r="IM31">
        <v>1</v>
      </c>
      <c r="IN31">
        <v>35</v>
      </c>
      <c r="IO31">
        <v>9</v>
      </c>
      <c r="IP31">
        <v>2.5499999999999998</v>
      </c>
      <c r="IQ31">
        <v>3</v>
      </c>
      <c r="IX31" s="20"/>
      <c r="JP31">
        <v>1</v>
      </c>
      <c r="JQ31">
        <v>50</v>
      </c>
      <c r="JR31">
        <v>8</v>
      </c>
      <c r="JS31">
        <v>2.12</v>
      </c>
      <c r="JT31">
        <v>3</v>
      </c>
      <c r="LA31" s="16">
        <v>3.43</v>
      </c>
      <c r="LB31" s="16">
        <v>1</v>
      </c>
      <c r="LC31" s="16">
        <v>1</v>
      </c>
      <c r="LD31" s="16"/>
      <c r="LE31" s="16">
        <v>26.11</v>
      </c>
      <c r="LF31" s="16">
        <v>2</v>
      </c>
      <c r="LG31" s="16"/>
      <c r="LH31" s="16">
        <v>11.19</v>
      </c>
      <c r="LI31" s="16"/>
      <c r="LJ31" s="16"/>
      <c r="LK31" s="16"/>
      <c r="LL31" s="16">
        <v>6.39</v>
      </c>
      <c r="LM31" s="16">
        <v>3.31</v>
      </c>
      <c r="LN31" s="16">
        <v>0</v>
      </c>
      <c r="LO31" s="16">
        <v>0</v>
      </c>
      <c r="LP31" s="16">
        <v>0</v>
      </c>
      <c r="LQ31" s="16">
        <v>0</v>
      </c>
      <c r="LR31" s="16">
        <v>0</v>
      </c>
      <c r="LS31">
        <v>0</v>
      </c>
      <c r="LT31" t="s">
        <v>351</v>
      </c>
      <c r="LU31">
        <v>30.5</v>
      </c>
      <c r="LV31" s="16">
        <v>68.400000000000006</v>
      </c>
      <c r="LW31" s="16">
        <v>80.400000000000006</v>
      </c>
      <c r="LX31" s="16">
        <v>19.8</v>
      </c>
      <c r="LY31">
        <v>72.42</v>
      </c>
      <c r="MA31">
        <v>0.94</v>
      </c>
      <c r="MB31">
        <v>0.94</v>
      </c>
      <c r="MC31">
        <v>25.7</v>
      </c>
      <c r="MD31">
        <v>0</v>
      </c>
      <c r="ME31">
        <v>0</v>
      </c>
      <c r="MG31">
        <v>0</v>
      </c>
      <c r="MH31">
        <v>0</v>
      </c>
      <c r="MI31">
        <v>0</v>
      </c>
      <c r="MJ31">
        <v>0</v>
      </c>
      <c r="MK31">
        <v>28.26</v>
      </c>
      <c r="ML31">
        <v>10.55</v>
      </c>
      <c r="MM31">
        <v>14.21</v>
      </c>
      <c r="MN31">
        <v>0</v>
      </c>
      <c r="MO31">
        <v>0</v>
      </c>
      <c r="MP31">
        <v>0</v>
      </c>
      <c r="NC31">
        <v>3.3</v>
      </c>
      <c r="ND31">
        <v>1</v>
      </c>
      <c r="NE31">
        <v>68</v>
      </c>
      <c r="NF31">
        <v>2</v>
      </c>
      <c r="NG31">
        <v>1.52</v>
      </c>
      <c r="NH31">
        <v>1</v>
      </c>
      <c r="NO31" s="20"/>
      <c r="OG31">
        <v>0</v>
      </c>
      <c r="PR31" s="16">
        <v>0</v>
      </c>
      <c r="PS31" s="16">
        <v>0</v>
      </c>
      <c r="PT31" s="16"/>
      <c r="PU31" s="16"/>
      <c r="PV31" s="16"/>
      <c r="PW31" s="16"/>
      <c r="PX31" s="16"/>
      <c r="PY31" s="16"/>
      <c r="PZ31" s="16"/>
      <c r="QA31" s="16"/>
      <c r="QB31" s="16"/>
      <c r="QC31" s="16">
        <v>0.81</v>
      </c>
      <c r="QD31" s="16">
        <v>0.8</v>
      </c>
      <c r="QE31" s="16">
        <v>0</v>
      </c>
      <c r="QF31" s="16">
        <v>0</v>
      </c>
      <c r="QG31" s="16">
        <v>2.99</v>
      </c>
      <c r="QH31" s="16">
        <v>5.71</v>
      </c>
      <c r="QI31" s="16">
        <v>0</v>
      </c>
      <c r="QJ31">
        <v>0</v>
      </c>
      <c r="QK31" t="s">
        <v>356</v>
      </c>
      <c r="QL31">
        <v>39.5</v>
      </c>
      <c r="QM31" s="16">
        <v>85.1</v>
      </c>
      <c r="QN31" s="16">
        <v>80.400000000000006</v>
      </c>
      <c r="QO31" s="16">
        <v>13.6</v>
      </c>
      <c r="QP31">
        <v>87.38</v>
      </c>
      <c r="QR31">
        <v>8.0500000000000007</v>
      </c>
      <c r="QS31">
        <v>0</v>
      </c>
      <c r="QT31">
        <v>4.57</v>
      </c>
      <c r="QU31">
        <v>0</v>
      </c>
      <c r="QV31">
        <v>0</v>
      </c>
      <c r="QX31">
        <v>0</v>
      </c>
      <c r="QY31">
        <v>0</v>
      </c>
      <c r="QZ31">
        <v>0</v>
      </c>
      <c r="RA31">
        <v>0</v>
      </c>
      <c r="RB31">
        <v>45</v>
      </c>
      <c r="RC31">
        <v>10.1</v>
      </c>
      <c r="RD31">
        <v>11.8</v>
      </c>
      <c r="RE31">
        <v>0</v>
      </c>
      <c r="RF31">
        <v>0</v>
      </c>
      <c r="RG31">
        <v>0</v>
      </c>
      <c r="RT31">
        <v>17.8</v>
      </c>
      <c r="RU31">
        <v>1</v>
      </c>
      <c r="RV31">
        <v>30</v>
      </c>
      <c r="RW31">
        <v>7</v>
      </c>
      <c r="RX31">
        <v>5.33</v>
      </c>
      <c r="RY31">
        <v>3</v>
      </c>
      <c r="SF31" s="20"/>
      <c r="SX31">
        <v>1</v>
      </c>
      <c r="SY31">
        <v>50</v>
      </c>
      <c r="SZ31">
        <v>1</v>
      </c>
      <c r="TA31">
        <v>0.03</v>
      </c>
      <c r="TB31">
        <v>1</v>
      </c>
      <c r="UI31" s="16">
        <v>3.96</v>
      </c>
      <c r="UJ31" s="16">
        <v>1</v>
      </c>
      <c r="UK31" s="16">
        <v>1</v>
      </c>
      <c r="UL31" s="16"/>
      <c r="UM31" s="16">
        <v>41.03</v>
      </c>
      <c r="UN31" s="16">
        <v>2</v>
      </c>
      <c r="UO31" s="16">
        <v>3.73</v>
      </c>
      <c r="UP31" s="16"/>
      <c r="UQ31" s="16"/>
      <c r="UR31" s="16"/>
      <c r="US31" s="16"/>
      <c r="UT31" s="16">
        <v>0</v>
      </c>
      <c r="UU31" s="16">
        <v>0</v>
      </c>
      <c r="UV31" s="16">
        <v>0</v>
      </c>
      <c r="UW31" s="16">
        <v>0</v>
      </c>
      <c r="UX31" s="16">
        <v>0</v>
      </c>
      <c r="UY31" s="16">
        <v>0</v>
      </c>
      <c r="UZ31" s="16">
        <v>0</v>
      </c>
      <c r="VA31">
        <v>0</v>
      </c>
      <c r="VB31" t="s">
        <v>357</v>
      </c>
      <c r="VC31">
        <v>27.5</v>
      </c>
      <c r="VD31" s="16">
        <v>76.2</v>
      </c>
      <c r="VE31" s="16">
        <v>80.400000000000006</v>
      </c>
      <c r="VF31" s="16">
        <v>15.3</v>
      </c>
      <c r="VG31">
        <v>87.64</v>
      </c>
      <c r="VI31">
        <v>0</v>
      </c>
      <c r="VJ31">
        <v>0</v>
      </c>
      <c r="VK31">
        <v>12.36</v>
      </c>
      <c r="VL31">
        <v>0</v>
      </c>
      <c r="VM31">
        <v>0</v>
      </c>
      <c r="VO31">
        <v>0</v>
      </c>
      <c r="VP31">
        <v>0</v>
      </c>
      <c r="VQ31">
        <v>0</v>
      </c>
      <c r="VR31">
        <v>24.9</v>
      </c>
      <c r="VS31">
        <v>31.99</v>
      </c>
      <c r="VT31">
        <v>18.66</v>
      </c>
      <c r="VU31">
        <v>0</v>
      </c>
      <c r="VV31">
        <v>0</v>
      </c>
      <c r="VW31">
        <v>4.8</v>
      </c>
      <c r="VX31">
        <v>5</v>
      </c>
      <c r="VY31">
        <v>50</v>
      </c>
      <c r="VZ31">
        <v>4</v>
      </c>
      <c r="WE31">
        <v>50</v>
      </c>
      <c r="WF31">
        <v>4</v>
      </c>
      <c r="WK31">
        <v>5.5</v>
      </c>
      <c r="WL31">
        <v>0</v>
      </c>
      <c r="WW31" s="20"/>
      <c r="XO31">
        <v>1</v>
      </c>
      <c r="XP31">
        <v>50</v>
      </c>
      <c r="XQ31">
        <v>4</v>
      </c>
      <c r="XR31">
        <v>3.59</v>
      </c>
      <c r="XS31">
        <v>3</v>
      </c>
      <c r="XT31">
        <v>70</v>
      </c>
      <c r="XU31">
        <v>14</v>
      </c>
      <c r="XV31">
        <v>4.93</v>
      </c>
      <c r="XW31">
        <v>2</v>
      </c>
      <c r="YZ31" s="16">
        <v>0.75</v>
      </c>
      <c r="ZA31" s="16">
        <v>1</v>
      </c>
      <c r="ZB31" s="16">
        <v>1</v>
      </c>
      <c r="ZC31" s="16"/>
      <c r="ZD31" s="16">
        <v>9.9600000000000009</v>
      </c>
      <c r="ZE31" s="16"/>
      <c r="ZF31" s="16"/>
      <c r="ZG31" s="16"/>
      <c r="ZH31" s="16"/>
      <c r="ZI31" s="16"/>
      <c r="ZJ31" s="16"/>
      <c r="ZK31" s="16">
        <v>0</v>
      </c>
      <c r="ZL31" s="16">
        <v>0</v>
      </c>
      <c r="ZM31" s="16">
        <v>0</v>
      </c>
      <c r="ZN31" s="16">
        <v>0</v>
      </c>
      <c r="ZO31" s="16">
        <v>0</v>
      </c>
      <c r="ZP31" s="16">
        <v>0</v>
      </c>
      <c r="ZQ31" s="16">
        <v>0</v>
      </c>
      <c r="ZR31">
        <v>0</v>
      </c>
      <c r="ZS31" t="s">
        <v>358</v>
      </c>
      <c r="ZT31">
        <v>41</v>
      </c>
      <c r="ZU31" s="16">
        <v>91.1</v>
      </c>
      <c r="ZV31" s="16">
        <v>80.400000000000006</v>
      </c>
      <c r="ZW31" s="16">
        <v>6.5</v>
      </c>
      <c r="ZX31">
        <v>94.94</v>
      </c>
      <c r="ZZ31">
        <v>0</v>
      </c>
      <c r="AAA31">
        <v>0</v>
      </c>
      <c r="AAB31">
        <v>5.0599999999999996</v>
      </c>
      <c r="AAC31">
        <v>0</v>
      </c>
      <c r="AAD31">
        <v>0</v>
      </c>
      <c r="AAF31">
        <v>0</v>
      </c>
      <c r="AAG31">
        <v>0</v>
      </c>
      <c r="AAH31">
        <v>0</v>
      </c>
      <c r="AAI31">
        <v>0</v>
      </c>
      <c r="AAJ31">
        <v>64.349999999999994</v>
      </c>
      <c r="AAK31">
        <v>9.2899999999999991</v>
      </c>
      <c r="AAL31">
        <v>0</v>
      </c>
      <c r="AAM31">
        <v>0</v>
      </c>
      <c r="AAN31">
        <v>15.7</v>
      </c>
      <c r="AAO31">
        <v>1</v>
      </c>
      <c r="AAP31">
        <v>3</v>
      </c>
      <c r="AAR31">
        <v>1</v>
      </c>
      <c r="AAV31">
        <v>3</v>
      </c>
      <c r="AAX31">
        <v>1</v>
      </c>
      <c r="ABB31">
        <v>10.8</v>
      </c>
      <c r="ABC31">
        <v>1</v>
      </c>
      <c r="ABD31">
        <v>34</v>
      </c>
      <c r="ABE31">
        <v>4</v>
      </c>
      <c r="ABF31">
        <v>1.68</v>
      </c>
      <c r="ABG31">
        <v>1</v>
      </c>
      <c r="ABN31" s="20"/>
      <c r="ACF31">
        <v>1</v>
      </c>
      <c r="ACG31">
        <v>50</v>
      </c>
      <c r="ACH31">
        <v>2</v>
      </c>
      <c r="ACI31">
        <v>2.2400000000000002</v>
      </c>
      <c r="ACJ31">
        <v>3</v>
      </c>
      <c r="ACK31">
        <v>50</v>
      </c>
      <c r="ACL31">
        <v>12</v>
      </c>
      <c r="ACM31">
        <v>8.51</v>
      </c>
      <c r="ACN31">
        <v>4</v>
      </c>
      <c r="ADQ31" s="16">
        <v>0.86</v>
      </c>
      <c r="ADR31" s="16">
        <v>1</v>
      </c>
      <c r="ADS31" s="16">
        <v>1</v>
      </c>
      <c r="ADT31" s="16"/>
      <c r="ADU31" s="16">
        <v>12.44</v>
      </c>
      <c r="ADV31" s="16"/>
      <c r="ADW31" s="16"/>
      <c r="ADX31" s="16"/>
      <c r="ADY31" s="16"/>
      <c r="ADZ31" s="16"/>
      <c r="AEA31" s="16"/>
      <c r="AEB31" s="16">
        <v>5.31</v>
      </c>
      <c r="AEC31" s="16">
        <v>7.99</v>
      </c>
      <c r="AED31" s="16">
        <v>0</v>
      </c>
      <c r="AEE31" s="16">
        <v>0</v>
      </c>
      <c r="AEF31" s="16">
        <v>0</v>
      </c>
      <c r="AEG31" s="16">
        <v>0</v>
      </c>
      <c r="AEH31" s="16">
        <v>0</v>
      </c>
      <c r="AEI31">
        <v>0</v>
      </c>
      <c r="AEK31" s="15"/>
      <c r="AEL31" s="15"/>
      <c r="AES31" s="15"/>
      <c r="AET31" s="15"/>
      <c r="AFA31" s="15"/>
      <c r="AFB31" s="15"/>
      <c r="AFI31" s="15"/>
      <c r="AFJ31" s="15"/>
      <c r="AFQ31" s="15"/>
      <c r="AFR31" s="15"/>
      <c r="AFY31" s="15"/>
      <c r="AFZ31" s="15"/>
      <c r="AGG31" s="15"/>
      <c r="AGH31" s="15"/>
      <c r="AGO31" s="15"/>
      <c r="AGP31" s="15"/>
      <c r="AGW31" s="15"/>
      <c r="AGX31" s="15"/>
      <c r="AHE31" s="15"/>
      <c r="AHF31" s="15"/>
      <c r="AHM31" s="15"/>
      <c r="AHN31" s="15"/>
      <c r="AHU31" s="15"/>
      <c r="AHV31" s="15"/>
      <c r="AIC31" s="15"/>
      <c r="AID31" s="15"/>
      <c r="AIK31" s="15"/>
      <c r="AIL31" s="15"/>
      <c r="AIS31" s="15"/>
      <c r="AIT31" s="15"/>
      <c r="AJA31" s="15"/>
      <c r="AJB31" s="15"/>
      <c r="AJI31" s="15"/>
      <c r="AJJ31" s="15"/>
      <c r="AJQ31" s="15"/>
      <c r="AJR31" s="15"/>
      <c r="AJY31" s="15"/>
      <c r="AJZ31" s="15"/>
      <c r="AKG31" s="15"/>
      <c r="AKH31" s="15"/>
      <c r="AKO31" s="15"/>
      <c r="AKP31" s="15"/>
      <c r="AKW31" s="15"/>
      <c r="AKX31" s="15"/>
      <c r="ALE31" s="15"/>
      <c r="ALF31" s="15"/>
      <c r="ALM31" s="15"/>
      <c r="ALN31" s="15"/>
      <c r="ALU31" s="15"/>
      <c r="ALV31" s="15"/>
      <c r="AMC31" s="15"/>
      <c r="AMD31" s="15"/>
    </row>
    <row r="32" spans="1:1018" x14ac:dyDescent="0.2">
      <c r="A32" s="1" t="s">
        <v>359</v>
      </c>
      <c r="B32" s="12">
        <v>42900</v>
      </c>
      <c r="C32">
        <v>2</v>
      </c>
      <c r="D32" s="13">
        <v>42828</v>
      </c>
      <c r="E32" s="12">
        <v>28993</v>
      </c>
      <c r="F32" s="14">
        <f t="shared" si="0"/>
        <v>38.075290896646131</v>
      </c>
      <c r="G32" s="14">
        <f t="shared" si="1"/>
        <v>0.1971252566735113</v>
      </c>
      <c r="H32" s="15" t="s">
        <v>183</v>
      </c>
      <c r="I32" s="15" t="s">
        <v>347</v>
      </c>
      <c r="J32" s="21" t="s">
        <v>181</v>
      </c>
      <c r="K32" s="21">
        <v>4</v>
      </c>
      <c r="L32" s="19">
        <v>66</v>
      </c>
      <c r="M32">
        <v>1.77</v>
      </c>
      <c r="N32" s="16">
        <f t="shared" si="2"/>
        <v>21.066743273005841</v>
      </c>
      <c r="O32" s="19">
        <v>0</v>
      </c>
      <c r="P32" s="19">
        <v>0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0</v>
      </c>
      <c r="X32" s="19">
        <v>0</v>
      </c>
      <c r="Y32" s="19">
        <v>1</v>
      </c>
      <c r="Z32" s="19">
        <v>3</v>
      </c>
      <c r="AA32" s="19">
        <v>90</v>
      </c>
      <c r="AB32" s="19" t="s">
        <v>360</v>
      </c>
      <c r="AC32" s="19">
        <v>0</v>
      </c>
      <c r="AD32" s="19">
        <v>0</v>
      </c>
      <c r="AE32" s="19">
        <v>0</v>
      </c>
      <c r="AF32" s="19">
        <v>0</v>
      </c>
      <c r="AG32" s="19">
        <v>0</v>
      </c>
      <c r="AH32" s="19">
        <v>0</v>
      </c>
      <c r="AI32" s="19">
        <v>0</v>
      </c>
      <c r="AJ32" s="19">
        <v>0</v>
      </c>
      <c r="AK32" s="19">
        <v>0</v>
      </c>
      <c r="AL32" s="19">
        <v>0</v>
      </c>
      <c r="AM32" s="19">
        <v>0</v>
      </c>
      <c r="AN32" s="19">
        <v>0</v>
      </c>
      <c r="AO32" s="19">
        <v>0</v>
      </c>
      <c r="AP32" s="19">
        <v>0</v>
      </c>
      <c r="AQ32" s="19">
        <v>0</v>
      </c>
      <c r="AR32" s="19">
        <v>0</v>
      </c>
      <c r="AS32" s="19">
        <v>1</v>
      </c>
      <c r="AT32" s="19"/>
      <c r="AU32" s="19">
        <v>1</v>
      </c>
      <c r="AV32" s="19">
        <v>6</v>
      </c>
      <c r="AW32" s="19">
        <v>0</v>
      </c>
      <c r="AX32" s="19">
        <v>0</v>
      </c>
      <c r="AY32" s="19">
        <v>0</v>
      </c>
      <c r="AZ32" s="19">
        <v>0</v>
      </c>
      <c r="BA32" s="19">
        <v>0</v>
      </c>
      <c r="BB32" s="19">
        <v>0</v>
      </c>
      <c r="BC32" s="19">
        <v>0</v>
      </c>
      <c r="BD32" s="19">
        <v>0</v>
      </c>
      <c r="BE32" s="19">
        <v>0</v>
      </c>
      <c r="BF32" s="19">
        <v>0</v>
      </c>
      <c r="BG32" s="19">
        <v>0</v>
      </c>
      <c r="BH32" s="19">
        <v>0</v>
      </c>
      <c r="BI32" s="19">
        <v>0</v>
      </c>
      <c r="BJ32" s="19">
        <v>0</v>
      </c>
      <c r="BK32" s="19">
        <v>0</v>
      </c>
      <c r="BL32" s="19">
        <v>0</v>
      </c>
      <c r="BM32" s="19">
        <v>0</v>
      </c>
      <c r="BN32" s="19">
        <v>0</v>
      </c>
      <c r="BO32" s="19">
        <v>0</v>
      </c>
      <c r="BP32" s="19">
        <v>0</v>
      </c>
      <c r="BQ32" s="19">
        <v>0</v>
      </c>
      <c r="BR32" s="19">
        <v>2</v>
      </c>
      <c r="BS32" s="19">
        <v>3</v>
      </c>
      <c r="BT32" s="19">
        <v>3</v>
      </c>
      <c r="BU32" s="19">
        <v>4</v>
      </c>
      <c r="BV32" s="19">
        <v>2</v>
      </c>
      <c r="BW32" s="19">
        <v>3</v>
      </c>
      <c r="BX32" s="19">
        <v>1</v>
      </c>
      <c r="BY32" s="19">
        <v>2</v>
      </c>
      <c r="BZ32" s="19">
        <v>3</v>
      </c>
      <c r="CA32" s="19">
        <v>4</v>
      </c>
      <c r="CB32" s="19">
        <v>4</v>
      </c>
      <c r="CC32" s="19">
        <v>4</v>
      </c>
      <c r="CD32" s="19">
        <v>2</v>
      </c>
      <c r="CE32" s="19">
        <v>4</v>
      </c>
      <c r="CF32" s="19">
        <v>5</v>
      </c>
      <c r="CG32" s="19">
        <v>4</v>
      </c>
      <c r="CH32" s="19">
        <v>4</v>
      </c>
      <c r="CI32" s="19">
        <v>4</v>
      </c>
      <c r="CJ32" s="19">
        <v>2</v>
      </c>
      <c r="CK32" s="19">
        <v>7</v>
      </c>
      <c r="CL32" t="s">
        <v>361</v>
      </c>
      <c r="CM32">
        <v>74.5</v>
      </c>
      <c r="CN32" s="16">
        <v>76.2</v>
      </c>
      <c r="CO32" s="16">
        <v>80.400000000000006</v>
      </c>
      <c r="CP32" s="16">
        <v>42.8</v>
      </c>
      <c r="CQ32">
        <v>57.15</v>
      </c>
      <c r="CR32">
        <v>0.45</v>
      </c>
      <c r="CS32">
        <v>39.090000000000003</v>
      </c>
      <c r="CT32">
        <v>3.3</v>
      </c>
      <c r="CU32">
        <v>0</v>
      </c>
      <c r="CV32">
        <v>0</v>
      </c>
      <c r="CW32">
        <v>0</v>
      </c>
      <c r="CY32">
        <v>0</v>
      </c>
      <c r="CZ32">
        <v>0</v>
      </c>
      <c r="DA32">
        <v>0</v>
      </c>
      <c r="DB32">
        <v>0</v>
      </c>
      <c r="DC32">
        <v>18.260000000000002</v>
      </c>
      <c r="DD32">
        <v>34.4</v>
      </c>
      <c r="DE32">
        <v>6.27</v>
      </c>
      <c r="DF32">
        <v>0</v>
      </c>
      <c r="DG32">
        <v>0</v>
      </c>
      <c r="DH32">
        <v>0</v>
      </c>
      <c r="DU32">
        <v>18.2</v>
      </c>
      <c r="DV32">
        <v>1</v>
      </c>
      <c r="DW32">
        <v>35</v>
      </c>
      <c r="DX32">
        <v>9</v>
      </c>
      <c r="DY32">
        <v>2.5499999999999998</v>
      </c>
      <c r="DZ32">
        <v>3</v>
      </c>
      <c r="EG32" s="20"/>
      <c r="EY32">
        <v>1</v>
      </c>
      <c r="EZ32">
        <v>50</v>
      </c>
      <c r="FA32">
        <v>8</v>
      </c>
      <c r="FB32">
        <v>2.54</v>
      </c>
      <c r="FC32">
        <v>3</v>
      </c>
      <c r="GJ32" s="16">
        <v>7.59</v>
      </c>
      <c r="GK32" s="16">
        <v>1</v>
      </c>
      <c r="GL32" s="16">
        <v>1</v>
      </c>
      <c r="GM32" s="16"/>
      <c r="GN32" s="16">
        <v>22.38</v>
      </c>
      <c r="GO32" s="16">
        <v>2</v>
      </c>
      <c r="GP32" s="16"/>
      <c r="GQ32" s="16">
        <v>14.92</v>
      </c>
      <c r="GR32" s="16"/>
      <c r="GS32" s="16"/>
      <c r="GT32" s="16"/>
      <c r="GU32" s="16">
        <v>5.05</v>
      </c>
      <c r="GV32" s="16">
        <v>1.54</v>
      </c>
      <c r="GW32" s="16">
        <v>0</v>
      </c>
      <c r="GX32" s="16">
        <v>0</v>
      </c>
      <c r="GY32" s="16">
        <v>0</v>
      </c>
      <c r="GZ32" s="16">
        <v>0</v>
      </c>
      <c r="HA32" s="16">
        <v>0</v>
      </c>
      <c r="HB32">
        <v>0</v>
      </c>
      <c r="HC32" t="s">
        <v>351</v>
      </c>
      <c r="HD32">
        <v>30.5</v>
      </c>
      <c r="HE32" s="16">
        <v>68.400000000000006</v>
      </c>
      <c r="HF32" s="16">
        <v>80.400000000000006</v>
      </c>
      <c r="HG32" s="16">
        <v>19.8</v>
      </c>
      <c r="HH32">
        <v>72.42</v>
      </c>
      <c r="HJ32">
        <v>0.94</v>
      </c>
      <c r="HK32">
        <v>0.94</v>
      </c>
      <c r="HL32">
        <v>25.7</v>
      </c>
      <c r="HM32">
        <v>0</v>
      </c>
      <c r="HN32">
        <v>0</v>
      </c>
      <c r="HP32">
        <v>0</v>
      </c>
      <c r="HQ32">
        <v>0</v>
      </c>
      <c r="HR32">
        <v>0</v>
      </c>
      <c r="HS32">
        <v>0</v>
      </c>
      <c r="HT32">
        <v>28.26</v>
      </c>
      <c r="HU32">
        <v>10.55</v>
      </c>
      <c r="HV32">
        <v>14.21</v>
      </c>
      <c r="HW32">
        <v>0</v>
      </c>
      <c r="HX32">
        <v>0</v>
      </c>
      <c r="HY32">
        <v>0</v>
      </c>
      <c r="IL32">
        <v>3.3</v>
      </c>
      <c r="IM32">
        <v>1</v>
      </c>
      <c r="IN32">
        <v>68</v>
      </c>
      <c r="IO32">
        <v>2</v>
      </c>
      <c r="IP32">
        <v>1.52</v>
      </c>
      <c r="IQ32">
        <v>1</v>
      </c>
      <c r="IX32" s="20"/>
      <c r="JP32">
        <v>0</v>
      </c>
      <c r="LA32" s="16">
        <v>0</v>
      </c>
      <c r="LB32" s="16">
        <v>0</v>
      </c>
      <c r="LC32" s="16"/>
      <c r="LD32" s="16"/>
      <c r="LE32" s="16"/>
      <c r="LF32" s="16"/>
      <c r="LG32" s="16"/>
      <c r="LH32" s="16"/>
      <c r="LI32" s="16"/>
      <c r="LJ32" s="16"/>
      <c r="LK32" s="16"/>
      <c r="LL32" s="16">
        <v>0.81</v>
      </c>
      <c r="LM32" s="16">
        <v>0.8</v>
      </c>
      <c r="LN32" s="16">
        <v>0</v>
      </c>
      <c r="LO32" s="16">
        <v>0</v>
      </c>
      <c r="LP32" s="16">
        <v>2.99</v>
      </c>
      <c r="LQ32" s="16">
        <v>5.71</v>
      </c>
      <c r="LR32" s="16">
        <v>0</v>
      </c>
      <c r="LS32">
        <v>0</v>
      </c>
      <c r="LT32" t="s">
        <v>356</v>
      </c>
      <c r="LU32">
        <v>39.5</v>
      </c>
      <c r="LV32" s="16">
        <v>85.1</v>
      </c>
      <c r="LW32" s="16">
        <v>80.400000000000006</v>
      </c>
      <c r="LX32" s="16">
        <v>13.6</v>
      </c>
      <c r="LY32">
        <v>87.38</v>
      </c>
      <c r="MA32">
        <v>8.0500000000000007</v>
      </c>
      <c r="MB32">
        <v>0</v>
      </c>
      <c r="MC32">
        <v>4.57</v>
      </c>
      <c r="MD32">
        <v>0</v>
      </c>
      <c r="ME32">
        <v>0</v>
      </c>
      <c r="MG32">
        <v>0</v>
      </c>
      <c r="MH32">
        <v>0</v>
      </c>
      <c r="MI32">
        <v>0</v>
      </c>
      <c r="MJ32">
        <v>0</v>
      </c>
      <c r="MK32">
        <v>45</v>
      </c>
      <c r="ML32">
        <v>10.1</v>
      </c>
      <c r="MM32">
        <v>11.8</v>
      </c>
      <c r="MN32">
        <v>0</v>
      </c>
      <c r="MO32">
        <v>0</v>
      </c>
      <c r="MP32">
        <v>0</v>
      </c>
      <c r="NC32">
        <v>17.8</v>
      </c>
      <c r="ND32">
        <v>1</v>
      </c>
      <c r="NE32">
        <v>30</v>
      </c>
      <c r="NF32">
        <v>7</v>
      </c>
      <c r="NG32">
        <v>5.33</v>
      </c>
      <c r="NH32">
        <v>3</v>
      </c>
      <c r="NO32" s="20"/>
      <c r="OG32">
        <v>1</v>
      </c>
      <c r="OH32">
        <v>50</v>
      </c>
      <c r="OI32">
        <v>1</v>
      </c>
      <c r="OJ32">
        <v>0.03</v>
      </c>
      <c r="OK32">
        <v>1</v>
      </c>
      <c r="PR32" s="16">
        <v>3.96</v>
      </c>
      <c r="PS32" s="16">
        <v>1</v>
      </c>
      <c r="PT32" s="16">
        <v>1</v>
      </c>
      <c r="PU32" s="16"/>
      <c r="PV32" s="16">
        <v>41.03</v>
      </c>
      <c r="PW32" s="16">
        <v>2</v>
      </c>
      <c r="PX32" s="16">
        <v>3.73</v>
      </c>
      <c r="PY32" s="16"/>
      <c r="PZ32" s="16"/>
      <c r="QA32" s="16"/>
      <c r="QB32" s="16"/>
      <c r="QC32" s="16">
        <v>0</v>
      </c>
      <c r="QD32" s="16">
        <v>0</v>
      </c>
      <c r="QE32" s="16">
        <v>0</v>
      </c>
      <c r="QF32" s="16">
        <v>0</v>
      </c>
      <c r="QG32" s="16">
        <v>0</v>
      </c>
      <c r="QH32" s="16">
        <v>0</v>
      </c>
      <c r="QI32" s="16">
        <v>0</v>
      </c>
      <c r="QJ32">
        <v>0</v>
      </c>
      <c r="QK32" t="s">
        <v>357</v>
      </c>
      <c r="QL32">
        <v>27.5</v>
      </c>
      <c r="QM32" s="16">
        <v>76.2</v>
      </c>
      <c r="QN32" s="16">
        <v>80.400000000000006</v>
      </c>
      <c r="QO32" s="16">
        <v>15.3</v>
      </c>
      <c r="QP32">
        <v>87.64</v>
      </c>
      <c r="QR32">
        <v>0</v>
      </c>
      <c r="QS32">
        <v>0</v>
      </c>
      <c r="QT32">
        <v>12.36</v>
      </c>
      <c r="QU32">
        <v>0</v>
      </c>
      <c r="QV32">
        <v>0</v>
      </c>
      <c r="QX32">
        <v>0</v>
      </c>
      <c r="QY32">
        <v>0</v>
      </c>
      <c r="QZ32">
        <v>0</v>
      </c>
      <c r="RA32">
        <v>24.9</v>
      </c>
      <c r="RB32">
        <v>31.99</v>
      </c>
      <c r="RC32">
        <v>18.66</v>
      </c>
      <c r="RD32">
        <v>0</v>
      </c>
      <c r="RE32">
        <v>0</v>
      </c>
      <c r="RF32">
        <v>4.8</v>
      </c>
      <c r="RG32">
        <v>5</v>
      </c>
      <c r="RH32">
        <v>50</v>
      </c>
      <c r="RI32">
        <v>4</v>
      </c>
      <c r="RN32">
        <v>50</v>
      </c>
      <c r="RO32">
        <v>4</v>
      </c>
      <c r="RT32">
        <v>5.5</v>
      </c>
      <c r="RU32">
        <v>0</v>
      </c>
      <c r="SF32" s="20"/>
      <c r="SX32">
        <v>1</v>
      </c>
      <c r="SY32">
        <v>50</v>
      </c>
      <c r="SZ32">
        <v>4</v>
      </c>
      <c r="TA32">
        <v>3.59</v>
      </c>
      <c r="TB32">
        <v>3</v>
      </c>
      <c r="TC32">
        <v>70</v>
      </c>
      <c r="TD32">
        <v>14</v>
      </c>
      <c r="TE32">
        <v>4.93</v>
      </c>
      <c r="TF32">
        <v>2</v>
      </c>
      <c r="UI32" s="16">
        <v>0.75</v>
      </c>
      <c r="UJ32" s="16">
        <v>1</v>
      </c>
      <c r="UK32" s="16">
        <v>1</v>
      </c>
      <c r="UL32" s="16"/>
      <c r="UM32" s="16">
        <v>9.9600000000000009</v>
      </c>
      <c r="UN32" s="16"/>
      <c r="UO32" s="16"/>
      <c r="UP32" s="16"/>
      <c r="UQ32" s="16"/>
      <c r="UR32" s="16"/>
      <c r="US32" s="16"/>
      <c r="UT32" s="16">
        <v>0</v>
      </c>
      <c r="UU32" s="16">
        <v>0</v>
      </c>
      <c r="UV32" s="16">
        <v>0</v>
      </c>
      <c r="UW32" s="16">
        <v>0</v>
      </c>
      <c r="UX32" s="16">
        <v>0</v>
      </c>
      <c r="UY32" s="16">
        <v>0</v>
      </c>
      <c r="UZ32" s="16">
        <v>0</v>
      </c>
      <c r="VA32">
        <v>0</v>
      </c>
      <c r="VE32" s="15"/>
      <c r="VF32" s="15"/>
      <c r="VM32" s="15"/>
      <c r="VN32" s="15"/>
      <c r="VU32" s="15"/>
      <c r="VV32" s="15"/>
      <c r="WC32" s="15"/>
      <c r="WD32" s="15"/>
      <c r="WK32" s="15"/>
      <c r="WL32" s="15"/>
      <c r="WS32" s="15"/>
      <c r="WT32" s="15"/>
      <c r="XA32" s="15"/>
      <c r="XB32" s="15"/>
      <c r="XI32" s="15"/>
      <c r="XJ32" s="15"/>
      <c r="XQ32" s="15"/>
      <c r="XR32" s="15"/>
      <c r="XY32" s="15"/>
      <c r="XZ32" s="15"/>
      <c r="YG32" s="15"/>
      <c r="YH32" s="15"/>
      <c r="YO32" s="15"/>
      <c r="YP32" s="15"/>
      <c r="YW32" s="15"/>
      <c r="YX32" s="15"/>
      <c r="ZE32" s="15"/>
      <c r="ZF32" s="15"/>
      <c r="ZM32" s="15"/>
      <c r="ZN32" s="15"/>
      <c r="ZU32" s="15"/>
      <c r="ZV32" s="15"/>
      <c r="AAC32" s="15"/>
      <c r="AAD32" s="15"/>
      <c r="AAK32" s="15"/>
      <c r="AAL32" s="15"/>
      <c r="AAS32" s="15"/>
      <c r="AAT32" s="15"/>
      <c r="ABA32" s="15"/>
      <c r="ABB32" s="15"/>
      <c r="ABI32" s="15"/>
      <c r="ABJ32" s="15"/>
      <c r="ABQ32" s="15"/>
      <c r="ABR32" s="15"/>
      <c r="ABY32" s="15"/>
      <c r="ABZ32" s="15"/>
      <c r="ACG32" s="15"/>
      <c r="ACH32" s="15"/>
      <c r="ACO32" s="15"/>
      <c r="ACP32" s="15"/>
      <c r="ACW32" s="15"/>
      <c r="ACX32" s="15"/>
      <c r="ADE32" s="15"/>
      <c r="ADF32" s="15"/>
      <c r="ADM32" s="15"/>
      <c r="ADN32" s="15"/>
      <c r="ADU32" s="15"/>
      <c r="ADV32" s="15"/>
      <c r="AEC32" s="15"/>
      <c r="AED32" s="15"/>
      <c r="AEK32" s="15"/>
      <c r="AEL32" s="15"/>
      <c r="AES32" s="15"/>
      <c r="AET32" s="15"/>
      <c r="AFA32" s="15"/>
      <c r="AFB32" s="15"/>
      <c r="AFI32" s="15"/>
      <c r="AFJ32" s="15"/>
      <c r="AFQ32" s="15"/>
      <c r="AFR32" s="15"/>
      <c r="AFY32" s="15"/>
      <c r="AFZ32" s="15"/>
      <c r="AGG32" s="15"/>
      <c r="AGH32" s="15"/>
      <c r="AGO32" s="15"/>
      <c r="AGP32" s="15"/>
      <c r="AGW32" s="15"/>
      <c r="AGX32" s="15"/>
      <c r="AHE32" s="15"/>
      <c r="AHF32" s="15"/>
      <c r="AHM32" s="15"/>
      <c r="AHN32" s="15"/>
      <c r="AHU32" s="15"/>
      <c r="AHV32" s="15"/>
      <c r="AIC32" s="15"/>
      <c r="AID32" s="15"/>
      <c r="AIK32" s="15"/>
      <c r="AIL32" s="15"/>
      <c r="AIS32" s="15"/>
      <c r="AIT32" s="15"/>
      <c r="AJA32" s="15"/>
      <c r="AJB32" s="15"/>
      <c r="AJI32" s="15"/>
      <c r="AJJ32" s="15"/>
      <c r="AJQ32" s="15"/>
      <c r="AJR32" s="15"/>
      <c r="AJY32" s="15"/>
      <c r="AJZ32" s="15"/>
      <c r="AKG32" s="15"/>
      <c r="AKH32" s="15"/>
      <c r="AKO32" s="15"/>
      <c r="AKP32" s="15"/>
      <c r="AKW32" s="15"/>
      <c r="AKX32" s="15"/>
      <c r="ALE32" s="15"/>
      <c r="ALF32" s="15"/>
      <c r="ALM32" s="15"/>
      <c r="ALN32" s="15"/>
      <c r="ALU32" s="15"/>
      <c r="ALV32" s="15"/>
      <c r="AMC32" s="15"/>
      <c r="AMD32" s="15"/>
    </row>
    <row r="33" spans="1:1018" x14ac:dyDescent="0.2">
      <c r="A33" s="1" t="s">
        <v>362</v>
      </c>
      <c r="B33" s="12">
        <v>42899</v>
      </c>
      <c r="C33">
        <v>2</v>
      </c>
      <c r="D33" s="13">
        <v>42807</v>
      </c>
      <c r="E33" s="12">
        <v>33682</v>
      </c>
      <c r="F33" s="14">
        <f t="shared" si="0"/>
        <v>25.234770704996578</v>
      </c>
      <c r="G33" s="14">
        <f t="shared" si="1"/>
        <v>0.2518822724161533</v>
      </c>
      <c r="H33" s="15" t="s">
        <v>183</v>
      </c>
      <c r="I33" s="15" t="s">
        <v>347</v>
      </c>
      <c r="J33" s="21" t="s">
        <v>181</v>
      </c>
      <c r="K33" s="21">
        <v>4</v>
      </c>
      <c r="L33" s="19">
        <v>77</v>
      </c>
      <c r="M33">
        <v>1.78</v>
      </c>
      <c r="N33" s="16">
        <f t="shared" si="2"/>
        <v>24.302487059714682</v>
      </c>
      <c r="O33" s="19">
        <v>0</v>
      </c>
      <c r="P33" s="19">
        <v>0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0</v>
      </c>
      <c r="X33" s="19">
        <v>0</v>
      </c>
      <c r="Y33" s="19">
        <v>1</v>
      </c>
      <c r="Z33" s="19">
        <v>3</v>
      </c>
      <c r="AA33" s="19">
        <v>90</v>
      </c>
      <c r="AB33" s="19" t="s">
        <v>184</v>
      </c>
      <c r="AC33" s="19">
        <v>1</v>
      </c>
      <c r="AD33" s="19">
        <v>5</v>
      </c>
      <c r="AE33" s="19">
        <v>0</v>
      </c>
      <c r="AF33" s="19">
        <v>0</v>
      </c>
      <c r="AG33" s="19">
        <v>0</v>
      </c>
      <c r="AH33" s="19">
        <v>0</v>
      </c>
      <c r="AI33" s="19">
        <v>0</v>
      </c>
      <c r="AJ33" s="19">
        <v>0</v>
      </c>
      <c r="AK33" s="19">
        <v>0</v>
      </c>
      <c r="AL33" s="19">
        <v>0</v>
      </c>
      <c r="AM33" s="19">
        <v>0</v>
      </c>
      <c r="AN33" s="19">
        <v>1</v>
      </c>
      <c r="AO33" s="19">
        <v>0</v>
      </c>
      <c r="AP33" s="19">
        <v>1</v>
      </c>
      <c r="AQ33" s="19">
        <v>4</v>
      </c>
      <c r="AR33" s="19">
        <v>0</v>
      </c>
      <c r="AS33" s="19">
        <v>1</v>
      </c>
      <c r="AT33" s="19">
        <v>0</v>
      </c>
      <c r="AU33" s="19">
        <v>1</v>
      </c>
      <c r="AV33" s="19">
        <v>4</v>
      </c>
      <c r="AW33" s="19">
        <v>0</v>
      </c>
      <c r="AX33" s="19">
        <v>0</v>
      </c>
      <c r="AY33" s="19">
        <v>0</v>
      </c>
      <c r="AZ33" s="19">
        <v>0</v>
      </c>
      <c r="BA33" s="19">
        <v>0</v>
      </c>
      <c r="BB33" s="19">
        <v>0</v>
      </c>
      <c r="BC33" s="19">
        <v>0</v>
      </c>
      <c r="BD33" s="19">
        <v>0</v>
      </c>
      <c r="BE33" s="19">
        <v>0</v>
      </c>
      <c r="BF33" s="19">
        <v>0</v>
      </c>
      <c r="BG33" s="19">
        <v>0</v>
      </c>
      <c r="BH33" s="19">
        <v>0</v>
      </c>
      <c r="BI33" s="19">
        <v>0</v>
      </c>
      <c r="BJ33" s="19">
        <v>0</v>
      </c>
      <c r="BK33" s="19">
        <v>0</v>
      </c>
      <c r="BL33" s="19">
        <v>0</v>
      </c>
      <c r="BM33" s="19">
        <v>0</v>
      </c>
      <c r="BN33" s="19">
        <v>0</v>
      </c>
      <c r="BO33" s="19">
        <v>0</v>
      </c>
      <c r="BP33" s="19">
        <v>0</v>
      </c>
      <c r="BQ33" s="19">
        <v>0</v>
      </c>
      <c r="BR33" s="19">
        <v>2</v>
      </c>
      <c r="BS33" s="19">
        <v>1</v>
      </c>
      <c r="BT33" s="19">
        <v>3</v>
      </c>
      <c r="BU33" s="19">
        <v>5</v>
      </c>
      <c r="BV33" s="19">
        <v>2</v>
      </c>
      <c r="BW33" s="19">
        <v>1</v>
      </c>
      <c r="BX33" s="19">
        <v>2</v>
      </c>
      <c r="BY33" s="19">
        <v>3</v>
      </c>
      <c r="BZ33" s="19">
        <v>3</v>
      </c>
      <c r="CA33" s="19">
        <v>5</v>
      </c>
      <c r="CB33" s="19">
        <v>4</v>
      </c>
      <c r="CC33" s="19">
        <v>4</v>
      </c>
      <c r="CD33" s="19">
        <v>4</v>
      </c>
      <c r="CE33" s="19">
        <v>3</v>
      </c>
      <c r="CF33" s="19">
        <v>4</v>
      </c>
      <c r="CG33" s="19">
        <v>4</v>
      </c>
      <c r="CH33" s="19">
        <v>4</v>
      </c>
      <c r="CI33" s="19">
        <v>4</v>
      </c>
      <c r="CJ33" s="19">
        <v>4</v>
      </c>
      <c r="CK33" s="19">
        <v>9</v>
      </c>
      <c r="CL33" t="s">
        <v>355</v>
      </c>
      <c r="CM33">
        <v>37</v>
      </c>
      <c r="CN33" s="16">
        <v>95.1</v>
      </c>
      <c r="CO33" s="16">
        <v>80.400000000000006</v>
      </c>
      <c r="CP33" s="16">
        <v>15.9</v>
      </c>
      <c r="CQ33">
        <v>82.71</v>
      </c>
      <c r="CR33" s="17">
        <v>0</v>
      </c>
      <c r="CS33">
        <v>10.32</v>
      </c>
      <c r="CT33">
        <v>0.39</v>
      </c>
      <c r="CU33">
        <v>10.32</v>
      </c>
      <c r="CV33">
        <v>0</v>
      </c>
      <c r="CW33">
        <v>0</v>
      </c>
      <c r="CY33">
        <v>0</v>
      </c>
      <c r="CZ33">
        <v>0</v>
      </c>
      <c r="DA33">
        <v>0</v>
      </c>
      <c r="DB33">
        <v>1.9</v>
      </c>
      <c r="DC33">
        <v>26.26</v>
      </c>
      <c r="DD33">
        <v>6.04</v>
      </c>
      <c r="DE33">
        <v>2.19</v>
      </c>
      <c r="DF33">
        <v>0</v>
      </c>
      <c r="DG33">
        <v>0</v>
      </c>
      <c r="DH33">
        <v>0</v>
      </c>
      <c r="DU33">
        <v>14.7</v>
      </c>
      <c r="DV33">
        <v>1</v>
      </c>
      <c r="DW33">
        <v>35</v>
      </c>
      <c r="DX33">
        <v>2</v>
      </c>
      <c r="DY33">
        <v>1.8</v>
      </c>
      <c r="DZ33">
        <v>3</v>
      </c>
      <c r="EG33" s="20"/>
      <c r="EY33">
        <v>1</v>
      </c>
      <c r="EZ33">
        <v>50</v>
      </c>
      <c r="FA33">
        <v>1</v>
      </c>
      <c r="FB33">
        <v>1.34</v>
      </c>
      <c r="FC33">
        <v>2</v>
      </c>
      <c r="FD33">
        <v>40</v>
      </c>
      <c r="FE33">
        <v>1</v>
      </c>
      <c r="FF33">
        <v>0.9</v>
      </c>
      <c r="FG33">
        <v>3</v>
      </c>
      <c r="FH33">
        <v>50</v>
      </c>
      <c r="FI33">
        <v>1</v>
      </c>
      <c r="FJ33">
        <v>0.9</v>
      </c>
      <c r="FK33">
        <v>3</v>
      </c>
      <c r="FL33">
        <v>80</v>
      </c>
      <c r="FM33">
        <v>2</v>
      </c>
      <c r="FN33">
        <v>2.68</v>
      </c>
      <c r="FO33">
        <v>2</v>
      </c>
      <c r="FP33">
        <v>100</v>
      </c>
      <c r="FQ33">
        <v>1</v>
      </c>
      <c r="FR33">
        <v>2.57</v>
      </c>
      <c r="FS33">
        <v>2</v>
      </c>
      <c r="GJ33">
        <v>0</v>
      </c>
      <c r="GK33" s="19">
        <v>0</v>
      </c>
      <c r="GL33" s="19"/>
      <c r="GM33" s="13"/>
      <c r="GN33" s="13"/>
      <c r="GO33" s="19"/>
      <c r="GP33" s="13"/>
      <c r="GQ33" s="13"/>
      <c r="GR33" s="13"/>
      <c r="GS33" s="13"/>
      <c r="GT33" s="13"/>
      <c r="GU33" s="16">
        <v>5.1100000000000003</v>
      </c>
      <c r="GV33">
        <v>4.8099999999999996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 t="s">
        <v>363</v>
      </c>
      <c r="HD33">
        <v>34.5</v>
      </c>
      <c r="HE33" s="16">
        <v>88.3</v>
      </c>
      <c r="HF33" s="16">
        <v>80.400000000000006</v>
      </c>
      <c r="HG33" s="16">
        <v>22.8</v>
      </c>
      <c r="HH33">
        <v>73.89</v>
      </c>
      <c r="HI33" s="17">
        <v>0</v>
      </c>
      <c r="HJ33">
        <v>14.94</v>
      </c>
      <c r="HK33">
        <v>0.5</v>
      </c>
      <c r="HL33">
        <v>10.66</v>
      </c>
      <c r="HM33">
        <v>0</v>
      </c>
      <c r="HN33">
        <v>0</v>
      </c>
      <c r="HP33">
        <v>0</v>
      </c>
      <c r="HQ33">
        <v>0</v>
      </c>
      <c r="HR33">
        <v>0</v>
      </c>
      <c r="HS33">
        <v>0</v>
      </c>
      <c r="HT33">
        <v>46.29</v>
      </c>
      <c r="HU33">
        <v>23.15</v>
      </c>
      <c r="HV33">
        <v>0</v>
      </c>
      <c r="HW33">
        <v>0</v>
      </c>
      <c r="HX33">
        <v>0</v>
      </c>
      <c r="HY33">
        <v>0</v>
      </c>
      <c r="IL33">
        <v>2.8</v>
      </c>
      <c r="IM33">
        <v>1</v>
      </c>
      <c r="IN33">
        <v>35</v>
      </c>
      <c r="IO33">
        <v>1</v>
      </c>
      <c r="IP33">
        <v>0.5</v>
      </c>
      <c r="IQ33">
        <v>3</v>
      </c>
      <c r="IX33" s="20"/>
      <c r="JP33">
        <v>1</v>
      </c>
      <c r="JQ33">
        <v>60</v>
      </c>
      <c r="JR33">
        <v>4</v>
      </c>
      <c r="JS33">
        <v>0.54</v>
      </c>
      <c r="JT33">
        <v>3</v>
      </c>
      <c r="LA33" s="16">
        <v>3.05</v>
      </c>
      <c r="LB33" s="16">
        <v>1</v>
      </c>
      <c r="LC33" s="16">
        <v>1</v>
      </c>
      <c r="LD33" s="16">
        <v>5</v>
      </c>
      <c r="LE33" s="16">
        <v>8.7100000000000009</v>
      </c>
      <c r="LF33" s="16">
        <v>2</v>
      </c>
      <c r="LG33" s="16">
        <v>25</v>
      </c>
      <c r="LH33" s="16">
        <v>12.44</v>
      </c>
      <c r="LI33" s="16"/>
      <c r="LJ33" s="16"/>
      <c r="LK33" s="16"/>
      <c r="LL33" s="16">
        <v>4.5</v>
      </c>
      <c r="LM33" s="16">
        <v>1.2</v>
      </c>
      <c r="LN33" s="16">
        <v>0</v>
      </c>
      <c r="LO33" s="16">
        <v>0</v>
      </c>
      <c r="LP33" s="16">
        <v>0</v>
      </c>
      <c r="LQ33" s="16">
        <v>0</v>
      </c>
      <c r="LR33" s="16">
        <v>0</v>
      </c>
      <c r="LS33">
        <v>0</v>
      </c>
      <c r="LT33" t="s">
        <v>364</v>
      </c>
      <c r="LU33">
        <v>32</v>
      </c>
      <c r="LV33" s="16">
        <v>75</v>
      </c>
      <c r="LW33" s="16">
        <v>80.400000000000006</v>
      </c>
      <c r="LX33" s="16">
        <v>22.6</v>
      </c>
      <c r="LY33">
        <v>76.239999999999995</v>
      </c>
      <c r="LZ33" s="17">
        <v>0</v>
      </c>
      <c r="MA33">
        <v>15.36</v>
      </c>
      <c r="MB33">
        <v>1.93</v>
      </c>
      <c r="MC33">
        <v>6.47</v>
      </c>
      <c r="MD33">
        <v>0</v>
      </c>
      <c r="ME33">
        <v>0</v>
      </c>
      <c r="MG33">
        <v>0</v>
      </c>
      <c r="MH33">
        <v>0</v>
      </c>
      <c r="MI33">
        <v>0</v>
      </c>
      <c r="MJ33">
        <v>0</v>
      </c>
      <c r="MK33">
        <v>32.86</v>
      </c>
      <c r="ML33">
        <v>26.39</v>
      </c>
      <c r="MM33">
        <v>0</v>
      </c>
      <c r="MN33">
        <v>0</v>
      </c>
      <c r="MO33">
        <v>0</v>
      </c>
      <c r="MP33">
        <v>0</v>
      </c>
      <c r="NC33">
        <v>5.6</v>
      </c>
      <c r="ND33">
        <v>1</v>
      </c>
      <c r="NE33">
        <v>35</v>
      </c>
      <c r="NF33">
        <v>1</v>
      </c>
      <c r="NG33">
        <v>0.5</v>
      </c>
      <c r="NH33">
        <v>3</v>
      </c>
      <c r="NO33" s="20"/>
      <c r="OG33">
        <v>1</v>
      </c>
      <c r="OH33">
        <v>60</v>
      </c>
      <c r="OI33">
        <v>5</v>
      </c>
      <c r="OJ33">
        <v>3.13</v>
      </c>
      <c r="OK33">
        <v>2</v>
      </c>
      <c r="OL33">
        <v>50</v>
      </c>
      <c r="OM33">
        <v>2</v>
      </c>
      <c r="ON33">
        <v>0.67</v>
      </c>
      <c r="OO33">
        <v>2</v>
      </c>
      <c r="PR33" s="16">
        <v>1.43</v>
      </c>
      <c r="PS33" s="16">
        <v>1</v>
      </c>
      <c r="PT33" s="16">
        <v>1</v>
      </c>
      <c r="PU33" s="16">
        <v>4</v>
      </c>
      <c r="PV33" s="16">
        <v>17.43</v>
      </c>
      <c r="PW33" s="16"/>
      <c r="PX33" s="16"/>
      <c r="PY33" s="16"/>
      <c r="PZ33" s="16"/>
      <c r="QA33" s="16"/>
      <c r="QB33" s="16"/>
      <c r="QC33" s="16">
        <v>1.7</v>
      </c>
      <c r="QD33" s="16">
        <v>1.7</v>
      </c>
      <c r="QE33" s="16">
        <v>0</v>
      </c>
      <c r="QF33" s="16">
        <v>0</v>
      </c>
      <c r="QG33" s="16">
        <v>0</v>
      </c>
      <c r="QH33" s="16">
        <v>0</v>
      </c>
      <c r="QI33" s="16">
        <v>0</v>
      </c>
      <c r="QJ33">
        <v>0</v>
      </c>
      <c r="QK33" t="s">
        <v>350</v>
      </c>
      <c r="QL33">
        <v>75</v>
      </c>
      <c r="QM33" s="16">
        <v>87.9</v>
      </c>
      <c r="QN33" s="16">
        <v>80.400000000000006</v>
      </c>
      <c r="QO33" s="16">
        <v>45.2</v>
      </c>
      <c r="QP33">
        <v>50.83</v>
      </c>
      <c r="QQ33">
        <v>0.05</v>
      </c>
      <c r="QR33">
        <v>46.44</v>
      </c>
      <c r="QS33">
        <v>2.67</v>
      </c>
      <c r="QT33">
        <v>0</v>
      </c>
      <c r="QU33">
        <v>0</v>
      </c>
      <c r="QV33">
        <v>0</v>
      </c>
      <c r="QX33">
        <v>0</v>
      </c>
      <c r="QY33">
        <v>0</v>
      </c>
      <c r="QZ33">
        <v>0</v>
      </c>
      <c r="RA33">
        <v>0</v>
      </c>
      <c r="RB33">
        <v>25.21</v>
      </c>
      <c r="RC33">
        <v>43.57</v>
      </c>
      <c r="RD33">
        <v>6.27</v>
      </c>
      <c r="RE33">
        <v>0</v>
      </c>
      <c r="RF33">
        <v>0</v>
      </c>
      <c r="RG33">
        <v>0</v>
      </c>
      <c r="RT33">
        <v>17.8</v>
      </c>
      <c r="RU33">
        <v>1</v>
      </c>
      <c r="RV33">
        <v>35</v>
      </c>
      <c r="RW33">
        <v>9</v>
      </c>
      <c r="RX33">
        <v>2.5499999999999998</v>
      </c>
      <c r="RY33">
        <v>3</v>
      </c>
      <c r="SF33" s="20"/>
      <c r="SX33">
        <v>1</v>
      </c>
      <c r="SY33">
        <v>50</v>
      </c>
      <c r="SZ33">
        <v>8</v>
      </c>
      <c r="TA33">
        <v>2.12</v>
      </c>
      <c r="TB33">
        <v>3</v>
      </c>
      <c r="UI33" s="16">
        <v>3.43</v>
      </c>
      <c r="UJ33" s="16">
        <v>1</v>
      </c>
      <c r="UK33" s="16">
        <v>1</v>
      </c>
      <c r="UL33" s="16"/>
      <c r="UM33" s="16">
        <v>26.11</v>
      </c>
      <c r="UN33" s="16">
        <v>2</v>
      </c>
      <c r="UO33" s="16"/>
      <c r="UP33" s="16">
        <v>11.19</v>
      </c>
      <c r="UQ33" s="16"/>
      <c r="UR33" s="16"/>
      <c r="US33" s="16"/>
      <c r="UT33" s="16">
        <v>6.39</v>
      </c>
      <c r="UU33" s="16">
        <v>3.31</v>
      </c>
      <c r="UV33" s="16">
        <v>0</v>
      </c>
      <c r="UW33" s="16">
        <v>0</v>
      </c>
      <c r="UX33" s="16">
        <v>0</v>
      </c>
      <c r="UY33" s="16">
        <v>0</v>
      </c>
      <c r="UZ33" s="16">
        <v>0</v>
      </c>
      <c r="VA33">
        <v>0</v>
      </c>
      <c r="VB33" t="s">
        <v>361</v>
      </c>
      <c r="VC33">
        <v>74.5</v>
      </c>
      <c r="VD33" s="16">
        <v>76.2</v>
      </c>
      <c r="VE33" s="16">
        <v>80.400000000000006</v>
      </c>
      <c r="VF33" s="16">
        <v>42.8</v>
      </c>
      <c r="VG33">
        <v>57.15</v>
      </c>
      <c r="VH33">
        <v>0.45</v>
      </c>
      <c r="VI33">
        <v>39.090000000000003</v>
      </c>
      <c r="VJ33">
        <v>3.3</v>
      </c>
      <c r="VK33">
        <v>0</v>
      </c>
      <c r="VL33">
        <v>0</v>
      </c>
      <c r="VM33">
        <v>0</v>
      </c>
      <c r="VO33">
        <v>0</v>
      </c>
      <c r="VP33">
        <v>0</v>
      </c>
      <c r="VQ33">
        <v>0</v>
      </c>
      <c r="VR33">
        <v>0</v>
      </c>
      <c r="VS33">
        <v>18.260000000000002</v>
      </c>
      <c r="VT33">
        <v>34.4</v>
      </c>
      <c r="VU33">
        <v>6.27</v>
      </c>
      <c r="VV33">
        <v>0</v>
      </c>
      <c r="VW33">
        <v>0</v>
      </c>
      <c r="VX33">
        <v>0</v>
      </c>
      <c r="WK33">
        <v>18.2</v>
      </c>
      <c r="WL33">
        <v>1</v>
      </c>
      <c r="WM33">
        <v>35</v>
      </c>
      <c r="WN33">
        <v>9</v>
      </c>
      <c r="WO33">
        <v>2.5499999999999998</v>
      </c>
      <c r="WP33">
        <v>3</v>
      </c>
      <c r="WW33" s="20"/>
      <c r="XO33">
        <v>1</v>
      </c>
      <c r="XP33">
        <v>50</v>
      </c>
      <c r="XQ33">
        <v>8</v>
      </c>
      <c r="XR33">
        <v>2.54</v>
      </c>
      <c r="XS33">
        <v>3</v>
      </c>
      <c r="YZ33" s="16">
        <v>7.59</v>
      </c>
      <c r="ZA33" s="16">
        <v>1</v>
      </c>
      <c r="ZB33" s="16">
        <v>1</v>
      </c>
      <c r="ZC33" s="16"/>
      <c r="ZD33" s="16">
        <v>22.38</v>
      </c>
      <c r="ZE33" s="16">
        <v>2</v>
      </c>
      <c r="ZF33" s="16"/>
      <c r="ZG33" s="16">
        <v>14.92</v>
      </c>
      <c r="ZH33" s="16"/>
      <c r="ZI33" s="16"/>
      <c r="ZJ33" s="16"/>
      <c r="ZK33" s="16">
        <v>5.05</v>
      </c>
      <c r="ZL33" s="16">
        <v>1.54</v>
      </c>
      <c r="ZM33" s="16">
        <v>0</v>
      </c>
      <c r="ZN33" s="16">
        <v>0</v>
      </c>
      <c r="ZO33" s="16">
        <v>0</v>
      </c>
      <c r="ZP33" s="16">
        <v>0</v>
      </c>
      <c r="ZQ33" s="16">
        <v>0</v>
      </c>
      <c r="ZR33">
        <v>0</v>
      </c>
      <c r="ZS33" t="s">
        <v>365</v>
      </c>
      <c r="ZT33">
        <v>75</v>
      </c>
      <c r="ZU33" s="16">
        <v>76.8</v>
      </c>
      <c r="ZV33" s="16">
        <v>80.400000000000006</v>
      </c>
      <c r="ZW33" s="16">
        <v>30.8</v>
      </c>
      <c r="ZX33">
        <v>74.739999999999995</v>
      </c>
      <c r="ZY33" s="17">
        <v>0</v>
      </c>
      <c r="ZZ33">
        <v>4.24</v>
      </c>
      <c r="AAA33">
        <v>16.45</v>
      </c>
      <c r="AAB33">
        <v>4.57</v>
      </c>
      <c r="AAC33">
        <v>0</v>
      </c>
      <c r="AAD33">
        <v>0</v>
      </c>
      <c r="AAF33">
        <v>0</v>
      </c>
      <c r="AAG33">
        <v>0</v>
      </c>
      <c r="AAH33">
        <v>0</v>
      </c>
      <c r="AAI33">
        <v>0</v>
      </c>
      <c r="AAJ33">
        <v>35.229999999999997</v>
      </c>
      <c r="AAK33">
        <v>6.53</v>
      </c>
      <c r="AAL33">
        <v>4.97</v>
      </c>
      <c r="AAM33">
        <v>0</v>
      </c>
      <c r="AAN33">
        <v>0</v>
      </c>
      <c r="AAO33">
        <v>0</v>
      </c>
      <c r="ABB33">
        <v>38.4</v>
      </c>
      <c r="ABC33">
        <v>1</v>
      </c>
      <c r="ABD33">
        <v>47</v>
      </c>
      <c r="ABE33">
        <v>7</v>
      </c>
      <c r="ABF33">
        <v>5.33</v>
      </c>
      <c r="ABG33">
        <v>3</v>
      </c>
      <c r="ABN33" s="20"/>
      <c r="ACF33">
        <v>0</v>
      </c>
      <c r="ADQ33" s="16">
        <v>2.02</v>
      </c>
      <c r="ADR33" s="16">
        <v>1</v>
      </c>
      <c r="ADS33" s="16">
        <v>1</v>
      </c>
      <c r="ADT33" s="16"/>
      <c r="ADU33" s="16">
        <v>9.9499999999999993</v>
      </c>
      <c r="ADV33" s="16">
        <v>2</v>
      </c>
      <c r="ADW33" s="16"/>
      <c r="ADX33" s="16">
        <v>9.9499999999999993</v>
      </c>
      <c r="ADY33" s="16"/>
      <c r="ADZ33" s="16"/>
      <c r="AEA33" s="16"/>
      <c r="AEB33" s="16">
        <v>0</v>
      </c>
      <c r="AEC33" s="16">
        <v>0</v>
      </c>
      <c r="AED33" s="16">
        <v>0</v>
      </c>
      <c r="AEE33" s="16">
        <v>0</v>
      </c>
      <c r="AEF33" s="16">
        <v>0</v>
      </c>
      <c r="AEG33" s="16">
        <v>0</v>
      </c>
      <c r="AEH33" s="16">
        <v>0</v>
      </c>
      <c r="AEI33">
        <v>0</v>
      </c>
      <c r="AEJ33" t="s">
        <v>351</v>
      </c>
      <c r="AEK33">
        <v>30.5</v>
      </c>
      <c r="AEL33" s="16">
        <v>68.400000000000006</v>
      </c>
      <c r="AEM33" s="16">
        <v>80.400000000000006</v>
      </c>
      <c r="AEN33" s="16">
        <v>19.8</v>
      </c>
      <c r="AEO33">
        <v>72.42</v>
      </c>
      <c r="AEP33" s="17">
        <v>0</v>
      </c>
      <c r="AEQ33">
        <v>0.94</v>
      </c>
      <c r="AER33">
        <v>0.94</v>
      </c>
      <c r="AES33">
        <v>25.7</v>
      </c>
      <c r="AET33">
        <v>0</v>
      </c>
      <c r="AEU33">
        <v>0</v>
      </c>
      <c r="AEW33">
        <v>0</v>
      </c>
      <c r="AEX33">
        <v>0</v>
      </c>
      <c r="AEY33">
        <v>0</v>
      </c>
      <c r="AEZ33">
        <v>0</v>
      </c>
      <c r="AFA33">
        <v>28.26</v>
      </c>
      <c r="AFB33">
        <v>10.55</v>
      </c>
      <c r="AFC33">
        <v>14.21</v>
      </c>
      <c r="AFD33">
        <v>0</v>
      </c>
      <c r="AFE33">
        <v>0</v>
      </c>
      <c r="AFF33">
        <v>0</v>
      </c>
      <c r="AFS33">
        <v>3.3</v>
      </c>
      <c r="AFT33">
        <v>1</v>
      </c>
      <c r="AFU33">
        <v>68</v>
      </c>
      <c r="AFV33">
        <v>2</v>
      </c>
      <c r="AFW33">
        <v>1.52</v>
      </c>
      <c r="AFX33">
        <v>1</v>
      </c>
      <c r="AGE33" s="20"/>
      <c r="AGW33">
        <v>0</v>
      </c>
      <c r="AIH33" s="16">
        <v>0</v>
      </c>
      <c r="AII33" s="16">
        <v>0</v>
      </c>
      <c r="AIJ33" s="16"/>
      <c r="AIK33" s="16"/>
      <c r="AIL33" s="16"/>
      <c r="AIM33" s="16"/>
      <c r="AIN33" s="16"/>
      <c r="AIO33" s="16"/>
      <c r="AIP33" s="16"/>
      <c r="AIQ33" s="16"/>
      <c r="AIR33" s="16"/>
      <c r="AIS33" s="16">
        <v>0.81</v>
      </c>
      <c r="AIT33" s="16">
        <v>0.8</v>
      </c>
      <c r="AIU33" s="16">
        <v>0</v>
      </c>
      <c r="AIV33" s="16">
        <v>0</v>
      </c>
      <c r="AIW33" s="16">
        <v>2.99</v>
      </c>
      <c r="AIX33" s="16">
        <v>5.71</v>
      </c>
      <c r="AIY33" s="16">
        <v>0</v>
      </c>
      <c r="AIZ33">
        <v>0</v>
      </c>
      <c r="AJA33" t="s">
        <v>356</v>
      </c>
      <c r="AJB33">
        <v>39.5</v>
      </c>
      <c r="AJC33" s="16">
        <v>85.1</v>
      </c>
      <c r="AJD33" s="16">
        <v>80.400000000000006</v>
      </c>
      <c r="AJE33" s="16">
        <v>13.6</v>
      </c>
      <c r="AJF33">
        <v>87.38</v>
      </c>
      <c r="AJG33" s="17">
        <v>0</v>
      </c>
      <c r="AJH33">
        <v>8.0500000000000007</v>
      </c>
      <c r="AJI33">
        <v>0</v>
      </c>
      <c r="AJJ33">
        <v>4.57</v>
      </c>
      <c r="AJK33">
        <v>0</v>
      </c>
      <c r="AJL33">
        <v>0</v>
      </c>
      <c r="AJN33">
        <v>0</v>
      </c>
      <c r="AJO33">
        <v>0</v>
      </c>
      <c r="AJP33">
        <v>0</v>
      </c>
      <c r="AJQ33">
        <v>0</v>
      </c>
      <c r="AJR33">
        <v>45</v>
      </c>
      <c r="AJS33">
        <v>10.1</v>
      </c>
      <c r="AJT33">
        <v>11.8</v>
      </c>
      <c r="AJU33">
        <v>0</v>
      </c>
      <c r="AJV33">
        <v>0</v>
      </c>
      <c r="AJW33">
        <v>0</v>
      </c>
      <c r="AKJ33">
        <v>17.8</v>
      </c>
      <c r="AKK33">
        <v>1</v>
      </c>
      <c r="AKL33">
        <v>30</v>
      </c>
      <c r="AKM33">
        <v>7</v>
      </c>
      <c r="AKN33">
        <v>5.33</v>
      </c>
      <c r="AKO33">
        <v>3</v>
      </c>
      <c r="AKV33" s="20"/>
      <c r="ALN33">
        <v>1</v>
      </c>
      <c r="ALO33">
        <v>50</v>
      </c>
      <c r="ALP33">
        <v>1</v>
      </c>
      <c r="ALQ33">
        <v>0.03</v>
      </c>
      <c r="ALR33">
        <v>1</v>
      </c>
    </row>
    <row r="34" spans="1:1018" x14ac:dyDescent="0.2">
      <c r="A34" s="1" t="s">
        <v>366</v>
      </c>
      <c r="B34" s="12">
        <v>42900</v>
      </c>
      <c r="C34">
        <v>2</v>
      </c>
      <c r="D34" s="13">
        <v>42804</v>
      </c>
      <c r="E34" s="12">
        <v>29685</v>
      </c>
      <c r="F34" s="14">
        <f t="shared" si="0"/>
        <v>36.180698151950722</v>
      </c>
      <c r="G34" s="14">
        <f t="shared" si="1"/>
        <v>0.26283367556468173</v>
      </c>
      <c r="H34" s="15" t="s">
        <v>183</v>
      </c>
      <c r="I34" s="15" t="s">
        <v>347</v>
      </c>
      <c r="J34" s="21" t="s">
        <v>181</v>
      </c>
      <c r="K34" s="21">
        <v>4</v>
      </c>
      <c r="L34" s="19">
        <v>62</v>
      </c>
      <c r="M34">
        <v>1.7</v>
      </c>
      <c r="N34" s="16">
        <f t="shared" si="2"/>
        <v>21.453287197231838</v>
      </c>
      <c r="O34" s="19">
        <v>0</v>
      </c>
      <c r="P34" s="19">
        <v>0</v>
      </c>
      <c r="Q34" s="19">
        <v>0</v>
      </c>
      <c r="R34" s="19">
        <v>0</v>
      </c>
      <c r="S34" s="19">
        <v>0</v>
      </c>
      <c r="T34" s="19">
        <v>0</v>
      </c>
      <c r="U34" s="19">
        <v>0</v>
      </c>
      <c r="V34" s="19">
        <v>0</v>
      </c>
      <c r="W34" s="19">
        <v>0</v>
      </c>
      <c r="X34" s="19">
        <v>0</v>
      </c>
      <c r="Y34" s="19">
        <v>1</v>
      </c>
      <c r="Z34" s="19">
        <v>1</v>
      </c>
      <c r="AA34" s="19">
        <v>90</v>
      </c>
      <c r="AB34" s="19" t="s">
        <v>349</v>
      </c>
      <c r="AC34" s="19">
        <v>1</v>
      </c>
      <c r="AD34" s="19">
        <v>3</v>
      </c>
      <c r="AE34" s="19">
        <v>0</v>
      </c>
      <c r="AF34" s="19">
        <v>0</v>
      </c>
      <c r="AG34" s="19">
        <v>0</v>
      </c>
      <c r="AH34" s="19">
        <v>0</v>
      </c>
      <c r="AI34" s="19">
        <v>0</v>
      </c>
      <c r="AJ34" s="19">
        <v>0</v>
      </c>
      <c r="AK34" s="19">
        <v>0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  <c r="AQ34" s="19">
        <v>0</v>
      </c>
      <c r="AR34" s="19">
        <v>0</v>
      </c>
      <c r="AS34" s="19">
        <v>0</v>
      </c>
      <c r="AT34" s="19">
        <v>0</v>
      </c>
      <c r="AU34" s="19">
        <v>0</v>
      </c>
      <c r="AV34" s="19">
        <v>0</v>
      </c>
      <c r="AW34" s="19">
        <v>0</v>
      </c>
      <c r="AX34" s="19">
        <v>0</v>
      </c>
      <c r="AY34" s="19">
        <v>0</v>
      </c>
      <c r="AZ34" s="19">
        <v>0</v>
      </c>
      <c r="BA34" s="19">
        <v>0</v>
      </c>
      <c r="BB34" s="19">
        <v>0</v>
      </c>
      <c r="BC34" s="19">
        <v>0</v>
      </c>
      <c r="BD34" s="19">
        <v>0</v>
      </c>
      <c r="BE34" s="19">
        <v>0</v>
      </c>
      <c r="BF34" s="19">
        <v>0</v>
      </c>
      <c r="BG34" s="19">
        <v>0</v>
      </c>
      <c r="BH34" s="19">
        <v>0</v>
      </c>
      <c r="BI34" s="19">
        <v>0</v>
      </c>
      <c r="BJ34" s="19">
        <v>0</v>
      </c>
      <c r="BK34" s="19">
        <v>0</v>
      </c>
      <c r="BL34" s="19">
        <v>0</v>
      </c>
      <c r="BM34" s="19">
        <v>0</v>
      </c>
      <c r="BN34" s="19">
        <v>0</v>
      </c>
      <c r="BO34" s="19">
        <v>0</v>
      </c>
      <c r="BP34" s="19">
        <v>0</v>
      </c>
      <c r="BQ34" s="19">
        <v>0</v>
      </c>
      <c r="BR34" s="19">
        <v>1</v>
      </c>
      <c r="BS34" s="19">
        <v>2</v>
      </c>
      <c r="BT34" s="19">
        <v>3</v>
      </c>
      <c r="BU34" s="19">
        <v>4</v>
      </c>
      <c r="BV34" s="19">
        <v>3</v>
      </c>
      <c r="BW34" s="19">
        <v>1</v>
      </c>
      <c r="BX34" s="19">
        <v>3</v>
      </c>
      <c r="BY34" s="19">
        <v>3</v>
      </c>
      <c r="BZ34" s="19">
        <v>3</v>
      </c>
      <c r="CA34" s="19">
        <v>5</v>
      </c>
      <c r="CB34" s="19">
        <v>5</v>
      </c>
      <c r="CC34" s="19">
        <v>5</v>
      </c>
      <c r="CD34" s="19">
        <v>5</v>
      </c>
      <c r="CE34" s="19">
        <v>4</v>
      </c>
      <c r="CF34" s="19">
        <v>5</v>
      </c>
      <c r="CG34" s="19">
        <v>4</v>
      </c>
      <c r="CH34" s="19">
        <v>5</v>
      </c>
      <c r="CI34" s="19">
        <v>5</v>
      </c>
      <c r="CJ34" s="19">
        <v>5</v>
      </c>
      <c r="CK34" s="19">
        <v>8</v>
      </c>
      <c r="CL34" t="s">
        <v>350</v>
      </c>
      <c r="CM34">
        <v>75</v>
      </c>
      <c r="CN34" s="16">
        <v>87.9</v>
      </c>
      <c r="CO34" s="16">
        <v>80.400000000000006</v>
      </c>
      <c r="CP34" s="16">
        <v>45.2</v>
      </c>
      <c r="CQ34">
        <v>50.83</v>
      </c>
      <c r="CR34">
        <v>0.05</v>
      </c>
      <c r="CS34">
        <v>46.44</v>
      </c>
      <c r="CT34">
        <v>2.67</v>
      </c>
      <c r="CU34">
        <v>0</v>
      </c>
      <c r="CV34">
        <v>0</v>
      </c>
      <c r="CW34">
        <v>0</v>
      </c>
      <c r="CY34">
        <v>0</v>
      </c>
      <c r="CZ34">
        <v>0</v>
      </c>
      <c r="DA34">
        <v>0</v>
      </c>
      <c r="DB34">
        <v>0</v>
      </c>
      <c r="DC34">
        <v>25.21</v>
      </c>
      <c r="DD34">
        <v>43.57</v>
      </c>
      <c r="DE34">
        <v>6.27</v>
      </c>
      <c r="DF34">
        <v>0</v>
      </c>
      <c r="DG34">
        <v>0</v>
      </c>
      <c r="DH34">
        <v>0</v>
      </c>
      <c r="DU34">
        <v>17.8</v>
      </c>
      <c r="DV34">
        <v>1</v>
      </c>
      <c r="DW34">
        <v>35</v>
      </c>
      <c r="DX34">
        <v>9</v>
      </c>
      <c r="DY34">
        <v>2.5499999999999998</v>
      </c>
      <c r="DZ34">
        <v>3</v>
      </c>
      <c r="EG34" s="20"/>
      <c r="EY34">
        <v>1</v>
      </c>
      <c r="EZ34">
        <v>50</v>
      </c>
      <c r="FA34">
        <v>8</v>
      </c>
      <c r="FB34">
        <v>2.12</v>
      </c>
      <c r="FC34">
        <v>3</v>
      </c>
      <c r="GJ34" s="16">
        <v>3.43</v>
      </c>
      <c r="GK34" s="16">
        <v>1</v>
      </c>
      <c r="GL34" s="16">
        <v>1</v>
      </c>
      <c r="GM34" s="16"/>
      <c r="GN34" s="16">
        <v>26.11</v>
      </c>
      <c r="GO34" s="16">
        <v>2</v>
      </c>
      <c r="GP34" s="16"/>
      <c r="GQ34" s="16">
        <v>11.19</v>
      </c>
      <c r="GR34" s="16"/>
      <c r="GS34" s="16"/>
      <c r="GT34" s="16"/>
      <c r="GU34" s="16">
        <v>6.39</v>
      </c>
      <c r="GV34" s="16">
        <v>3.31</v>
      </c>
      <c r="GW34" s="16">
        <v>0</v>
      </c>
      <c r="GX34" s="16">
        <v>0</v>
      </c>
      <c r="GY34" s="16">
        <v>0</v>
      </c>
      <c r="GZ34" s="16">
        <v>0</v>
      </c>
      <c r="HA34" s="16">
        <v>0</v>
      </c>
      <c r="HB34">
        <v>0</v>
      </c>
      <c r="HC34" t="s">
        <v>352</v>
      </c>
      <c r="HD34">
        <v>49</v>
      </c>
      <c r="HE34" s="16">
        <v>65.5</v>
      </c>
      <c r="HF34" s="16">
        <v>80.400000000000006</v>
      </c>
      <c r="HG34" s="16">
        <v>8.1999999999999993</v>
      </c>
      <c r="HH34">
        <v>84.28</v>
      </c>
      <c r="HJ34">
        <v>0</v>
      </c>
      <c r="HK34">
        <v>0</v>
      </c>
      <c r="HL34">
        <v>15.72</v>
      </c>
      <c r="HM34">
        <v>0</v>
      </c>
      <c r="HN34">
        <v>0</v>
      </c>
      <c r="HP34">
        <v>0</v>
      </c>
      <c r="HQ34">
        <v>0</v>
      </c>
      <c r="HR34">
        <v>0</v>
      </c>
      <c r="HS34">
        <v>0</v>
      </c>
      <c r="HT34">
        <v>21.31</v>
      </c>
      <c r="HU34">
        <v>26.03</v>
      </c>
      <c r="HV34">
        <v>0</v>
      </c>
      <c r="HW34">
        <v>0</v>
      </c>
      <c r="HX34">
        <v>8.1999999999999993</v>
      </c>
      <c r="HY34">
        <v>5</v>
      </c>
      <c r="HZ34">
        <v>50</v>
      </c>
      <c r="IA34">
        <v>2</v>
      </c>
      <c r="IF34">
        <v>50</v>
      </c>
      <c r="IG34">
        <v>2</v>
      </c>
      <c r="IL34">
        <v>25.5</v>
      </c>
      <c r="IM34">
        <v>1</v>
      </c>
      <c r="IN34">
        <v>35</v>
      </c>
      <c r="IO34">
        <v>21</v>
      </c>
      <c r="IP34">
        <v>7.69</v>
      </c>
      <c r="IQ34">
        <v>3</v>
      </c>
      <c r="IX34" s="20"/>
      <c r="JP34">
        <v>0</v>
      </c>
      <c r="LA34" s="16">
        <v>0</v>
      </c>
      <c r="LB34" s="16">
        <v>0</v>
      </c>
      <c r="LC34" s="16"/>
      <c r="LD34" s="16"/>
      <c r="LE34" s="16"/>
      <c r="LF34" s="16"/>
      <c r="LG34" s="16"/>
      <c r="LH34" s="16"/>
      <c r="LI34" s="16"/>
      <c r="LJ34" s="16"/>
      <c r="LK34" s="16"/>
      <c r="LL34" s="16">
        <v>0</v>
      </c>
      <c r="LM34" s="16">
        <v>0</v>
      </c>
      <c r="LN34" s="16">
        <v>0</v>
      </c>
      <c r="LO34" s="16">
        <v>0</v>
      </c>
      <c r="LP34" s="16">
        <v>0</v>
      </c>
      <c r="LQ34" s="16">
        <v>0</v>
      </c>
      <c r="LR34" s="16">
        <v>0</v>
      </c>
      <c r="LS34">
        <v>0</v>
      </c>
      <c r="LT34" t="s">
        <v>358</v>
      </c>
      <c r="LU34">
        <v>41</v>
      </c>
      <c r="LV34" s="16">
        <v>91.1</v>
      </c>
      <c r="LW34" s="16">
        <v>80.400000000000006</v>
      </c>
      <c r="LX34" s="16">
        <v>6.5</v>
      </c>
      <c r="LY34">
        <v>94.94</v>
      </c>
      <c r="MA34">
        <v>0</v>
      </c>
      <c r="MB34">
        <v>0</v>
      </c>
      <c r="MC34">
        <v>5.0599999999999996</v>
      </c>
      <c r="MD34">
        <v>0</v>
      </c>
      <c r="ME34">
        <v>0</v>
      </c>
      <c r="MG34">
        <v>0</v>
      </c>
      <c r="MH34">
        <v>0</v>
      </c>
      <c r="MI34">
        <v>0</v>
      </c>
      <c r="MJ34">
        <v>0</v>
      </c>
      <c r="MK34">
        <v>64.349999999999994</v>
      </c>
      <c r="ML34">
        <v>9.2899999999999991</v>
      </c>
      <c r="MM34">
        <v>0</v>
      </c>
      <c r="MN34">
        <v>0</v>
      </c>
      <c r="MO34">
        <v>15.7</v>
      </c>
      <c r="MP34">
        <v>1</v>
      </c>
      <c r="MQ34">
        <v>3</v>
      </c>
      <c r="MS34">
        <v>1</v>
      </c>
      <c r="MW34">
        <v>3</v>
      </c>
      <c r="MY34">
        <v>1</v>
      </c>
      <c r="NC34">
        <v>10.8</v>
      </c>
      <c r="ND34">
        <v>1</v>
      </c>
      <c r="NE34">
        <v>34</v>
      </c>
      <c r="NF34">
        <v>4</v>
      </c>
      <c r="NG34">
        <v>1.68</v>
      </c>
      <c r="NH34">
        <v>1</v>
      </c>
      <c r="NO34" s="20"/>
      <c r="OG34">
        <v>1</v>
      </c>
      <c r="OH34">
        <v>50</v>
      </c>
      <c r="OI34">
        <v>2</v>
      </c>
      <c r="OJ34">
        <v>2.2400000000000002</v>
      </c>
      <c r="OK34">
        <v>3</v>
      </c>
      <c r="OL34">
        <v>50</v>
      </c>
      <c r="OM34">
        <v>12</v>
      </c>
      <c r="ON34">
        <v>8.51</v>
      </c>
      <c r="OO34">
        <v>4</v>
      </c>
      <c r="PR34" s="16">
        <v>0.86</v>
      </c>
      <c r="PS34" s="16">
        <v>1</v>
      </c>
      <c r="PT34" s="16">
        <v>1</v>
      </c>
      <c r="PU34" s="16"/>
      <c r="PV34" s="16">
        <v>12.44</v>
      </c>
      <c r="PW34" s="16"/>
      <c r="PX34" s="16"/>
      <c r="PY34" s="16"/>
      <c r="PZ34" s="16"/>
      <c r="QA34" s="16"/>
      <c r="QB34" s="16"/>
      <c r="QC34" s="16">
        <v>5.31</v>
      </c>
      <c r="QD34" s="16">
        <v>7.99</v>
      </c>
      <c r="QE34" s="16">
        <v>0</v>
      </c>
      <c r="QF34" s="16">
        <v>0</v>
      </c>
      <c r="QG34" s="16">
        <v>0</v>
      </c>
      <c r="QH34" s="16">
        <v>0</v>
      </c>
      <c r="QI34" s="16">
        <v>0</v>
      </c>
      <c r="QJ34">
        <v>0</v>
      </c>
      <c r="QK34" t="s">
        <v>357</v>
      </c>
      <c r="QL34">
        <v>27.5</v>
      </c>
      <c r="QM34" s="16">
        <v>76.2</v>
      </c>
      <c r="QN34" s="16">
        <v>80.400000000000006</v>
      </c>
      <c r="QO34" s="16">
        <v>15.3</v>
      </c>
      <c r="QP34">
        <v>87.64</v>
      </c>
      <c r="QR34">
        <v>0</v>
      </c>
      <c r="QS34">
        <v>0</v>
      </c>
      <c r="QT34">
        <v>12.36</v>
      </c>
      <c r="QU34">
        <v>0</v>
      </c>
      <c r="QV34">
        <v>0</v>
      </c>
      <c r="QX34">
        <v>0</v>
      </c>
      <c r="QY34">
        <v>0</v>
      </c>
      <c r="QZ34">
        <v>0</v>
      </c>
      <c r="RA34">
        <v>24.9</v>
      </c>
      <c r="RB34">
        <v>31.99</v>
      </c>
      <c r="RC34">
        <v>18.66</v>
      </c>
      <c r="RD34">
        <v>0</v>
      </c>
      <c r="RE34">
        <v>0</v>
      </c>
      <c r="RF34">
        <v>4.8</v>
      </c>
      <c r="RG34">
        <v>5</v>
      </c>
      <c r="RH34">
        <v>50</v>
      </c>
      <c r="RI34">
        <v>4</v>
      </c>
      <c r="RN34">
        <v>50</v>
      </c>
      <c r="RO34">
        <v>4</v>
      </c>
      <c r="RT34">
        <v>5.5</v>
      </c>
      <c r="RU34">
        <v>0</v>
      </c>
      <c r="SF34" s="20"/>
      <c r="SX34">
        <v>1</v>
      </c>
      <c r="SY34">
        <v>50</v>
      </c>
      <c r="SZ34">
        <v>4</v>
      </c>
      <c r="TA34">
        <v>3.59</v>
      </c>
      <c r="TB34">
        <v>3</v>
      </c>
      <c r="TC34">
        <v>70</v>
      </c>
      <c r="TD34">
        <v>14</v>
      </c>
      <c r="TE34">
        <v>4.93</v>
      </c>
      <c r="TF34">
        <v>2</v>
      </c>
      <c r="UI34" s="16">
        <v>0.75</v>
      </c>
      <c r="UJ34" s="16">
        <v>1</v>
      </c>
      <c r="UK34" s="16">
        <v>1</v>
      </c>
      <c r="UL34" s="16"/>
      <c r="UM34" s="16">
        <v>9.9600000000000009</v>
      </c>
      <c r="UN34" s="16"/>
      <c r="UO34" s="16"/>
      <c r="UP34" s="16"/>
      <c r="UQ34" s="16"/>
      <c r="UR34" s="16"/>
      <c r="US34" s="16"/>
      <c r="UT34" s="16">
        <v>0</v>
      </c>
      <c r="UU34" s="16">
        <v>0</v>
      </c>
      <c r="UV34" s="16">
        <v>0</v>
      </c>
      <c r="UW34" s="16">
        <v>0</v>
      </c>
      <c r="UX34" s="16">
        <v>0</v>
      </c>
      <c r="UY34" s="16">
        <v>0</v>
      </c>
      <c r="UZ34" s="16">
        <v>0</v>
      </c>
      <c r="VA34">
        <v>0</v>
      </c>
      <c r="VE34" s="15"/>
      <c r="VF34" s="15"/>
      <c r="VM34" s="15"/>
      <c r="VN34" s="15"/>
      <c r="VU34" s="15"/>
      <c r="VV34" s="15"/>
      <c r="WC34" s="15"/>
      <c r="WD34" s="15"/>
      <c r="WK34" s="15"/>
      <c r="WL34" s="15"/>
      <c r="WS34" s="15"/>
      <c r="WT34" s="15"/>
      <c r="XA34" s="15"/>
      <c r="XB34" s="15"/>
      <c r="XI34" s="15"/>
      <c r="XJ34" s="15"/>
      <c r="XQ34" s="15"/>
      <c r="XR34" s="15"/>
      <c r="XY34" s="15"/>
      <c r="XZ34" s="15"/>
      <c r="YG34" s="15"/>
      <c r="YH34" s="15"/>
      <c r="YO34" s="15"/>
      <c r="YP34" s="15"/>
      <c r="YW34" s="15"/>
      <c r="YX34" s="15"/>
      <c r="ZE34" s="15"/>
      <c r="ZF34" s="15"/>
      <c r="ZM34" s="15"/>
      <c r="ZN34" s="15"/>
      <c r="ZU34" s="15"/>
      <c r="ZV34" s="15"/>
      <c r="AAC34" s="15"/>
      <c r="AAD34" s="15"/>
      <c r="AAK34" s="15"/>
      <c r="AAL34" s="15"/>
      <c r="AAS34" s="15"/>
      <c r="AAT34" s="15"/>
      <c r="ABA34" s="15"/>
      <c r="ABB34" s="15"/>
      <c r="ABI34" s="15"/>
      <c r="ABJ34" s="15"/>
      <c r="ABQ34" s="15"/>
      <c r="ABR34" s="15"/>
      <c r="ABY34" s="15"/>
      <c r="ABZ34" s="15"/>
      <c r="ACG34" s="15"/>
      <c r="ACH34" s="15"/>
      <c r="ACO34" s="15"/>
      <c r="ACP34" s="15"/>
      <c r="ACW34" s="15"/>
      <c r="ACX34" s="15"/>
      <c r="ADE34" s="15"/>
      <c r="ADF34" s="15"/>
      <c r="ADM34" s="15"/>
      <c r="ADN34" s="15"/>
      <c r="ADU34" s="15"/>
      <c r="ADV34" s="15"/>
      <c r="AEC34" s="15"/>
      <c r="AED34" s="15"/>
      <c r="AEK34" s="15"/>
      <c r="AEL34" s="15"/>
      <c r="AES34" s="15"/>
      <c r="AET34" s="15"/>
      <c r="AFA34" s="15"/>
      <c r="AFB34" s="15"/>
      <c r="AFI34" s="15"/>
      <c r="AFJ34" s="15"/>
      <c r="AFQ34" s="15"/>
      <c r="AFR34" s="15"/>
      <c r="AFY34" s="15"/>
      <c r="AFZ34" s="15"/>
      <c r="AGG34" s="15"/>
      <c r="AGH34" s="15"/>
      <c r="AGO34" s="15"/>
      <c r="AGP34" s="15"/>
      <c r="AGW34" s="15"/>
      <c r="AGX34" s="15"/>
      <c r="AHE34" s="15"/>
      <c r="AHF34" s="15"/>
      <c r="AHM34" s="15"/>
      <c r="AHN34" s="15"/>
      <c r="AHU34" s="15"/>
      <c r="AHV34" s="15"/>
      <c r="AIC34" s="15"/>
      <c r="AID34" s="15"/>
      <c r="AIK34" s="15"/>
      <c r="AIL34" s="15"/>
      <c r="AIS34" s="15"/>
      <c r="AIT34" s="15"/>
      <c r="AJA34" s="15"/>
      <c r="AJB34" s="15"/>
      <c r="AJI34" s="15"/>
      <c r="AJJ34" s="15"/>
      <c r="AJQ34" s="15"/>
      <c r="AJR34" s="15"/>
      <c r="AJY34" s="15"/>
      <c r="AJZ34" s="15"/>
      <c r="AKG34" s="15"/>
      <c r="AKH34" s="15"/>
      <c r="AKO34" s="15"/>
      <c r="AKP34" s="15"/>
      <c r="AKW34" s="15"/>
      <c r="AKX34" s="15"/>
      <c r="ALE34" s="15"/>
      <c r="ALF34" s="15"/>
      <c r="ALM34" s="15"/>
      <c r="ALN34" s="15"/>
      <c r="ALU34" s="15"/>
      <c r="ALV34" s="15"/>
      <c r="AMC34" s="15"/>
      <c r="AMD34" s="15"/>
    </row>
    <row r="35" spans="1:1018" x14ac:dyDescent="0.2">
      <c r="A35" s="1" t="s">
        <v>367</v>
      </c>
      <c r="B35" s="12">
        <v>42899</v>
      </c>
      <c r="C35">
        <v>2</v>
      </c>
      <c r="D35" s="13">
        <v>40513</v>
      </c>
      <c r="E35" s="12">
        <v>30921</v>
      </c>
      <c r="F35" s="14">
        <f t="shared" si="0"/>
        <v>32.793976728268312</v>
      </c>
      <c r="G35" s="14">
        <f t="shared" si="1"/>
        <v>6.5325119780971939</v>
      </c>
      <c r="H35" s="15" t="s">
        <v>183</v>
      </c>
      <c r="I35" s="15" t="s">
        <v>347</v>
      </c>
      <c r="J35" s="21" t="s">
        <v>181</v>
      </c>
      <c r="K35" s="21">
        <v>4</v>
      </c>
      <c r="L35" s="19">
        <v>60</v>
      </c>
      <c r="M35">
        <v>1.72</v>
      </c>
      <c r="N35" s="16">
        <f t="shared" si="2"/>
        <v>20.281233098972418</v>
      </c>
      <c r="O35" s="19">
        <v>0</v>
      </c>
      <c r="P35" s="19">
        <v>0</v>
      </c>
      <c r="Q35" s="19">
        <v>0</v>
      </c>
      <c r="R35" s="19">
        <v>0</v>
      </c>
      <c r="S35" s="19">
        <v>0</v>
      </c>
      <c r="T35" s="19">
        <v>0</v>
      </c>
      <c r="U35" s="19">
        <v>1</v>
      </c>
      <c r="V35" s="19"/>
      <c r="W35" s="19">
        <v>1</v>
      </c>
      <c r="X35" s="19">
        <v>1</v>
      </c>
      <c r="Y35" s="19">
        <v>1</v>
      </c>
      <c r="Z35" s="19">
        <v>1</v>
      </c>
      <c r="AA35" s="19">
        <v>90</v>
      </c>
      <c r="AB35" s="19" t="s">
        <v>368</v>
      </c>
      <c r="AC35" s="19">
        <v>0</v>
      </c>
      <c r="AD35" s="19">
        <v>0</v>
      </c>
      <c r="AE35" s="19"/>
      <c r="AF35" s="19"/>
      <c r="AG35" s="19"/>
      <c r="AH35" s="19"/>
      <c r="AI35" s="19">
        <v>3</v>
      </c>
      <c r="AJ35" s="19"/>
      <c r="AK35" s="19"/>
      <c r="AL35" s="19"/>
      <c r="AM35" s="19"/>
      <c r="AN35" s="19">
        <v>2</v>
      </c>
      <c r="AO35" s="19"/>
      <c r="AP35" s="19"/>
      <c r="AQ35" s="19"/>
      <c r="AR35" s="19"/>
      <c r="AS35" s="19">
        <v>1</v>
      </c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>
        <v>1</v>
      </c>
      <c r="BK35" s="19"/>
      <c r="BL35" s="19"/>
      <c r="BM35" s="19"/>
      <c r="BN35" s="19"/>
      <c r="BO35" s="19"/>
      <c r="BP35" s="19"/>
      <c r="BQ35" s="19"/>
      <c r="BR35" s="19">
        <v>3</v>
      </c>
      <c r="BS35" s="19">
        <v>2</v>
      </c>
      <c r="BT35" s="19">
        <v>5</v>
      </c>
      <c r="BU35" s="19">
        <v>4</v>
      </c>
      <c r="BV35" s="19">
        <v>1</v>
      </c>
      <c r="BW35" s="19">
        <v>1</v>
      </c>
      <c r="BX35" s="19">
        <v>3</v>
      </c>
      <c r="BY35" s="19">
        <v>3</v>
      </c>
      <c r="BZ35" s="19">
        <v>3</v>
      </c>
      <c r="CA35" s="19">
        <v>3</v>
      </c>
      <c r="CB35" s="19">
        <v>4</v>
      </c>
      <c r="CC35" s="19">
        <v>4</v>
      </c>
      <c r="CD35" s="19">
        <v>3</v>
      </c>
      <c r="CE35" s="19">
        <v>2</v>
      </c>
      <c r="CF35" s="19">
        <v>5</v>
      </c>
      <c r="CG35" s="19">
        <v>3</v>
      </c>
      <c r="CH35" s="19">
        <v>4</v>
      </c>
      <c r="CI35" s="19">
        <v>5</v>
      </c>
      <c r="CJ35" s="19">
        <v>3</v>
      </c>
      <c r="CK35" s="19">
        <v>5</v>
      </c>
      <c r="CL35" t="s">
        <v>355</v>
      </c>
      <c r="CM35">
        <v>37</v>
      </c>
      <c r="CN35" s="16">
        <v>95.1</v>
      </c>
      <c r="CO35" s="16">
        <v>80.400000000000006</v>
      </c>
      <c r="CP35" s="16">
        <v>15.9</v>
      </c>
      <c r="CQ35">
        <v>82.71</v>
      </c>
      <c r="CS35">
        <v>10.32</v>
      </c>
      <c r="CT35">
        <v>0.39</v>
      </c>
      <c r="CU35">
        <v>10.32</v>
      </c>
      <c r="CV35">
        <v>0</v>
      </c>
      <c r="CW35">
        <v>0</v>
      </c>
      <c r="CY35">
        <v>0</v>
      </c>
      <c r="CZ35">
        <v>0</v>
      </c>
      <c r="DA35">
        <v>0</v>
      </c>
      <c r="DB35">
        <v>1.9</v>
      </c>
      <c r="DC35">
        <v>26.26</v>
      </c>
      <c r="DD35">
        <v>6.04</v>
      </c>
      <c r="DE35">
        <v>2.19</v>
      </c>
      <c r="DF35">
        <v>0</v>
      </c>
      <c r="DG35">
        <v>0</v>
      </c>
      <c r="DH35">
        <v>0</v>
      </c>
      <c r="DU35">
        <v>14.7</v>
      </c>
      <c r="DV35">
        <v>1</v>
      </c>
      <c r="DW35">
        <v>35</v>
      </c>
      <c r="DX35">
        <v>2</v>
      </c>
      <c r="DY35">
        <v>1.8</v>
      </c>
      <c r="DZ35">
        <v>3</v>
      </c>
      <c r="EG35" s="20"/>
      <c r="EY35">
        <v>1</v>
      </c>
      <c r="EZ35">
        <v>50</v>
      </c>
      <c r="FA35">
        <v>1</v>
      </c>
      <c r="FB35">
        <v>1.34</v>
      </c>
      <c r="FC35">
        <v>2</v>
      </c>
      <c r="FD35">
        <v>40</v>
      </c>
      <c r="FE35">
        <v>1</v>
      </c>
      <c r="FF35">
        <v>0.9</v>
      </c>
      <c r="FG35">
        <v>3</v>
      </c>
      <c r="FH35">
        <v>50</v>
      </c>
      <c r="FI35">
        <v>1</v>
      </c>
      <c r="FJ35">
        <v>0.9</v>
      </c>
      <c r="FK35">
        <v>3</v>
      </c>
      <c r="FL35">
        <v>80</v>
      </c>
      <c r="FM35">
        <v>2</v>
      </c>
      <c r="FN35">
        <v>2.68</v>
      </c>
      <c r="FO35">
        <v>2</v>
      </c>
      <c r="FP35">
        <v>100</v>
      </c>
      <c r="FQ35">
        <v>1</v>
      </c>
      <c r="FR35">
        <v>2.57</v>
      </c>
      <c r="FS35">
        <v>2</v>
      </c>
      <c r="GJ35">
        <v>0</v>
      </c>
      <c r="GK35" s="19">
        <v>0</v>
      </c>
      <c r="GL35" s="19"/>
      <c r="GM35" s="13"/>
      <c r="GN35" s="13"/>
      <c r="GO35" s="19"/>
      <c r="GP35" s="13"/>
      <c r="GQ35" s="13"/>
      <c r="GR35" s="13"/>
      <c r="GS35" s="13"/>
      <c r="GT35" s="13"/>
      <c r="GU35" s="16">
        <v>5.1100000000000003</v>
      </c>
      <c r="GV35">
        <v>4.8099999999999996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 t="s">
        <v>363</v>
      </c>
      <c r="HD35">
        <v>34.5</v>
      </c>
      <c r="HE35" s="16">
        <v>88.3</v>
      </c>
      <c r="HF35" s="16">
        <v>80.400000000000006</v>
      </c>
      <c r="HG35" s="16">
        <v>22.8</v>
      </c>
      <c r="HH35">
        <v>73.89</v>
      </c>
      <c r="HJ35">
        <v>14.94</v>
      </c>
      <c r="HK35">
        <v>0.5</v>
      </c>
      <c r="HL35">
        <v>10.66</v>
      </c>
      <c r="HM35">
        <v>0</v>
      </c>
      <c r="HN35">
        <v>0</v>
      </c>
      <c r="HP35">
        <v>0</v>
      </c>
      <c r="HQ35">
        <v>0</v>
      </c>
      <c r="HR35">
        <v>0</v>
      </c>
      <c r="HS35">
        <v>0</v>
      </c>
      <c r="HT35">
        <v>46.29</v>
      </c>
      <c r="HU35">
        <v>23.15</v>
      </c>
      <c r="HV35">
        <v>0</v>
      </c>
      <c r="HW35">
        <v>0</v>
      </c>
      <c r="HX35">
        <v>0</v>
      </c>
      <c r="HY35">
        <v>0</v>
      </c>
      <c r="IL35">
        <v>2.8</v>
      </c>
      <c r="IM35">
        <v>1</v>
      </c>
      <c r="IN35">
        <v>35</v>
      </c>
      <c r="IO35">
        <v>1</v>
      </c>
      <c r="IP35">
        <v>0.5</v>
      </c>
      <c r="IQ35">
        <v>3</v>
      </c>
      <c r="IX35" s="20"/>
      <c r="JP35">
        <v>1</v>
      </c>
      <c r="JQ35">
        <v>60</v>
      </c>
      <c r="JR35">
        <v>4</v>
      </c>
      <c r="JS35">
        <v>0.54</v>
      </c>
      <c r="JT35">
        <v>3</v>
      </c>
      <c r="LA35" s="16">
        <v>3.05</v>
      </c>
      <c r="LB35" s="16">
        <v>1</v>
      </c>
      <c r="LC35" s="16">
        <v>1</v>
      </c>
      <c r="LD35" s="16"/>
      <c r="LE35" s="16">
        <v>8.7100000000000009</v>
      </c>
      <c r="LF35" s="16">
        <v>2</v>
      </c>
      <c r="LG35" s="16"/>
      <c r="LH35" s="16">
        <v>12.44</v>
      </c>
      <c r="LI35" s="16"/>
      <c r="LJ35" s="16"/>
      <c r="LK35" s="16"/>
      <c r="LL35" s="16">
        <v>4.5</v>
      </c>
      <c r="LM35" s="16">
        <v>1.2</v>
      </c>
      <c r="LN35" s="16">
        <v>0</v>
      </c>
      <c r="LO35" s="16">
        <v>0</v>
      </c>
      <c r="LP35" s="16">
        <v>0</v>
      </c>
      <c r="LQ35" s="16">
        <v>0</v>
      </c>
      <c r="LR35" s="16">
        <v>0</v>
      </c>
      <c r="LS35">
        <v>0</v>
      </c>
      <c r="LT35" t="s">
        <v>364</v>
      </c>
      <c r="LU35">
        <v>32</v>
      </c>
      <c r="LV35" s="16">
        <v>75</v>
      </c>
      <c r="LW35" s="16">
        <v>80.400000000000006</v>
      </c>
      <c r="LX35" s="16">
        <v>22.6</v>
      </c>
      <c r="LY35">
        <v>76.239999999999995</v>
      </c>
      <c r="MA35">
        <v>15.36</v>
      </c>
      <c r="MB35">
        <v>1.93</v>
      </c>
      <c r="MC35">
        <v>6.47</v>
      </c>
      <c r="MD35">
        <v>0</v>
      </c>
      <c r="ME35">
        <v>0</v>
      </c>
      <c r="MG35">
        <v>0</v>
      </c>
      <c r="MH35">
        <v>0</v>
      </c>
      <c r="MI35">
        <v>0</v>
      </c>
      <c r="MJ35">
        <v>0</v>
      </c>
      <c r="MK35">
        <v>32.86</v>
      </c>
      <c r="ML35">
        <v>26.39</v>
      </c>
      <c r="MM35">
        <v>0</v>
      </c>
      <c r="MN35">
        <v>0</v>
      </c>
      <c r="MO35">
        <v>0</v>
      </c>
      <c r="MP35">
        <v>0</v>
      </c>
      <c r="NC35">
        <v>5.6</v>
      </c>
      <c r="ND35">
        <v>1</v>
      </c>
      <c r="NE35">
        <v>35</v>
      </c>
      <c r="NF35">
        <v>1</v>
      </c>
      <c r="NG35">
        <v>0.5</v>
      </c>
      <c r="NH35">
        <v>3</v>
      </c>
      <c r="NO35" s="20"/>
      <c r="OG35">
        <v>1</v>
      </c>
      <c r="OH35">
        <v>60</v>
      </c>
      <c r="OI35">
        <v>5</v>
      </c>
      <c r="OJ35">
        <v>3.13</v>
      </c>
      <c r="OK35">
        <v>2</v>
      </c>
      <c r="OL35">
        <v>50</v>
      </c>
      <c r="OM35">
        <v>2</v>
      </c>
      <c r="ON35">
        <v>0.67</v>
      </c>
      <c r="OO35">
        <v>2</v>
      </c>
      <c r="PR35" s="16">
        <v>1.43</v>
      </c>
      <c r="PS35" s="16">
        <v>1</v>
      </c>
      <c r="PT35" s="16">
        <v>1</v>
      </c>
      <c r="PU35" s="16"/>
      <c r="PV35" s="16">
        <v>17.43</v>
      </c>
      <c r="PW35" s="16"/>
      <c r="PX35" s="16"/>
      <c r="PY35" s="16"/>
      <c r="PZ35" s="16"/>
      <c r="QA35" s="16"/>
      <c r="QB35" s="16"/>
      <c r="QC35" s="16">
        <v>1.7</v>
      </c>
      <c r="QD35" s="16">
        <v>1.7</v>
      </c>
      <c r="QE35" s="16">
        <v>0</v>
      </c>
      <c r="QF35" s="16">
        <v>0</v>
      </c>
      <c r="QG35" s="16">
        <v>0</v>
      </c>
      <c r="QH35" s="16">
        <v>0</v>
      </c>
      <c r="QI35" s="16">
        <v>0</v>
      </c>
      <c r="QJ35">
        <v>0</v>
      </c>
      <c r="QK35" t="s">
        <v>350</v>
      </c>
      <c r="QL35">
        <v>75</v>
      </c>
      <c r="QM35" s="16">
        <v>87.9</v>
      </c>
      <c r="QN35" s="16">
        <v>80.400000000000006</v>
      </c>
      <c r="QO35" s="16">
        <v>45.2</v>
      </c>
      <c r="QP35">
        <v>50.83</v>
      </c>
      <c r="QQ35">
        <v>0.05</v>
      </c>
      <c r="QR35">
        <v>46.44</v>
      </c>
      <c r="QS35">
        <v>2.67</v>
      </c>
      <c r="QT35">
        <v>0</v>
      </c>
      <c r="QU35">
        <v>0</v>
      </c>
      <c r="QV35">
        <v>0</v>
      </c>
      <c r="QX35">
        <v>0</v>
      </c>
      <c r="QY35">
        <v>0</v>
      </c>
      <c r="QZ35">
        <v>0</v>
      </c>
      <c r="RA35">
        <v>0</v>
      </c>
      <c r="RB35">
        <v>25.21</v>
      </c>
      <c r="RC35">
        <v>43.57</v>
      </c>
      <c r="RD35">
        <v>6.27</v>
      </c>
      <c r="RE35">
        <v>0</v>
      </c>
      <c r="RF35">
        <v>0</v>
      </c>
      <c r="RG35">
        <v>0</v>
      </c>
      <c r="RT35">
        <v>17.8</v>
      </c>
      <c r="RU35">
        <v>1</v>
      </c>
      <c r="RV35">
        <v>35</v>
      </c>
      <c r="RW35">
        <v>9</v>
      </c>
      <c r="RX35">
        <v>2.5499999999999998</v>
      </c>
      <c r="RY35">
        <v>3</v>
      </c>
      <c r="SF35" s="20"/>
      <c r="SX35">
        <v>1</v>
      </c>
      <c r="SY35">
        <v>50</v>
      </c>
      <c r="SZ35">
        <v>8</v>
      </c>
      <c r="TA35">
        <v>2.12</v>
      </c>
      <c r="TB35">
        <v>3</v>
      </c>
      <c r="UI35" s="16">
        <v>3.43</v>
      </c>
      <c r="UJ35" s="16">
        <v>1</v>
      </c>
      <c r="UK35" s="16">
        <v>1</v>
      </c>
      <c r="UL35" s="16"/>
      <c r="UM35" s="16">
        <v>26.11</v>
      </c>
      <c r="UN35" s="16">
        <v>2</v>
      </c>
      <c r="UO35" s="16"/>
      <c r="UP35" s="16">
        <v>11.19</v>
      </c>
      <c r="UQ35" s="16"/>
      <c r="UR35" s="16"/>
      <c r="US35" s="16"/>
      <c r="UT35" s="16">
        <v>6.39</v>
      </c>
      <c r="UU35" s="16">
        <v>3.31</v>
      </c>
      <c r="UV35" s="16">
        <v>0</v>
      </c>
      <c r="UW35" s="16">
        <v>0</v>
      </c>
      <c r="UX35" s="16">
        <v>0</v>
      </c>
      <c r="UY35" s="16">
        <v>0</v>
      </c>
      <c r="UZ35" s="16">
        <v>0</v>
      </c>
      <c r="VA35">
        <v>0</v>
      </c>
      <c r="VB35" t="s">
        <v>361</v>
      </c>
      <c r="VC35">
        <v>74.5</v>
      </c>
      <c r="VD35" s="16">
        <v>76.2</v>
      </c>
      <c r="VE35" s="16">
        <v>80.400000000000006</v>
      </c>
      <c r="VF35" s="16">
        <v>42.8</v>
      </c>
      <c r="VG35">
        <v>57.15</v>
      </c>
      <c r="VH35">
        <v>0.45</v>
      </c>
      <c r="VI35">
        <v>39.090000000000003</v>
      </c>
      <c r="VJ35">
        <v>3.3</v>
      </c>
      <c r="VK35">
        <v>0</v>
      </c>
      <c r="VL35">
        <v>0</v>
      </c>
      <c r="VM35">
        <v>0</v>
      </c>
      <c r="VO35">
        <v>0</v>
      </c>
      <c r="VP35">
        <v>0</v>
      </c>
      <c r="VQ35">
        <v>0</v>
      </c>
      <c r="VR35">
        <v>0</v>
      </c>
      <c r="VS35">
        <v>18.260000000000002</v>
      </c>
      <c r="VT35">
        <v>34.4</v>
      </c>
      <c r="VU35">
        <v>6.27</v>
      </c>
      <c r="VV35">
        <v>0</v>
      </c>
      <c r="VW35">
        <v>0</v>
      </c>
      <c r="VX35">
        <v>0</v>
      </c>
      <c r="WK35">
        <v>18.2</v>
      </c>
      <c r="WL35">
        <v>1</v>
      </c>
      <c r="WM35">
        <v>35</v>
      </c>
      <c r="WN35">
        <v>9</v>
      </c>
      <c r="WO35">
        <v>2.5499999999999998</v>
      </c>
      <c r="WP35">
        <v>3</v>
      </c>
      <c r="WW35" s="20"/>
      <c r="XO35">
        <v>1</v>
      </c>
      <c r="XP35">
        <v>50</v>
      </c>
      <c r="XQ35">
        <v>8</v>
      </c>
      <c r="XR35">
        <v>2.54</v>
      </c>
      <c r="XS35">
        <v>3</v>
      </c>
      <c r="YZ35" s="16">
        <v>7.59</v>
      </c>
      <c r="ZA35" s="16">
        <v>1</v>
      </c>
      <c r="ZB35" s="16">
        <v>1</v>
      </c>
      <c r="ZC35" s="16"/>
      <c r="ZD35" s="16">
        <v>22.38</v>
      </c>
      <c r="ZE35" s="16">
        <v>2</v>
      </c>
      <c r="ZF35" s="16"/>
      <c r="ZG35" s="16">
        <v>14.92</v>
      </c>
      <c r="ZH35" s="16"/>
      <c r="ZI35" s="16"/>
      <c r="ZJ35" s="16"/>
      <c r="ZK35" s="16">
        <v>5.05</v>
      </c>
      <c r="ZL35" s="16">
        <v>1.54</v>
      </c>
      <c r="ZM35" s="16">
        <v>0</v>
      </c>
      <c r="ZN35" s="16">
        <v>0</v>
      </c>
      <c r="ZO35" s="16">
        <v>0</v>
      </c>
      <c r="ZP35" s="16">
        <v>0</v>
      </c>
      <c r="ZQ35" s="16">
        <v>0</v>
      </c>
      <c r="ZR35">
        <v>0</v>
      </c>
      <c r="ZS35" t="s">
        <v>365</v>
      </c>
      <c r="ZT35">
        <v>75</v>
      </c>
      <c r="ZU35" s="16">
        <v>76.8</v>
      </c>
      <c r="ZV35" s="16">
        <v>80.400000000000006</v>
      </c>
      <c r="ZW35" s="16">
        <v>30.8</v>
      </c>
      <c r="ZX35">
        <v>74.739999999999995</v>
      </c>
      <c r="ZZ35">
        <v>4.24</v>
      </c>
      <c r="AAA35">
        <v>16.45</v>
      </c>
      <c r="AAB35">
        <v>4.57</v>
      </c>
      <c r="AAC35">
        <v>0</v>
      </c>
      <c r="AAD35">
        <v>0</v>
      </c>
      <c r="AAF35">
        <v>0</v>
      </c>
      <c r="AAG35">
        <v>0</v>
      </c>
      <c r="AAH35">
        <v>0</v>
      </c>
      <c r="AAI35">
        <v>0</v>
      </c>
      <c r="AAJ35">
        <v>35.229999999999997</v>
      </c>
      <c r="AAK35">
        <v>6.53</v>
      </c>
      <c r="AAL35">
        <v>4.97</v>
      </c>
      <c r="AAM35">
        <v>0</v>
      </c>
      <c r="AAN35">
        <v>0</v>
      </c>
      <c r="AAO35">
        <v>0</v>
      </c>
      <c r="ABB35">
        <v>38.4</v>
      </c>
      <c r="ABC35">
        <v>1</v>
      </c>
      <c r="ABD35">
        <v>47</v>
      </c>
      <c r="ABE35">
        <v>7</v>
      </c>
      <c r="ABF35">
        <v>5.33</v>
      </c>
      <c r="ABG35">
        <v>3</v>
      </c>
      <c r="ABN35" s="20"/>
      <c r="ACF35">
        <v>0</v>
      </c>
      <c r="ADQ35" s="16">
        <v>2.02</v>
      </c>
      <c r="ADR35" s="16">
        <v>1</v>
      </c>
      <c r="ADS35" s="16">
        <v>1</v>
      </c>
      <c r="ADT35" s="16"/>
      <c r="ADU35" s="16">
        <v>9.9499999999999993</v>
      </c>
      <c r="ADV35" s="16">
        <v>2</v>
      </c>
      <c r="ADW35" s="16"/>
      <c r="ADX35" s="16">
        <v>9.9499999999999993</v>
      </c>
      <c r="ADY35" s="16"/>
      <c r="ADZ35" s="16"/>
      <c r="AEA35" s="16"/>
      <c r="AEB35" s="16">
        <v>0</v>
      </c>
      <c r="AEC35" s="16">
        <v>0</v>
      </c>
      <c r="AED35" s="16">
        <v>0</v>
      </c>
      <c r="AEE35" s="16">
        <v>0</v>
      </c>
      <c r="AEF35" s="16">
        <v>0</v>
      </c>
      <c r="AEG35" s="16">
        <v>0</v>
      </c>
      <c r="AEH35" s="16">
        <v>0</v>
      </c>
      <c r="AEI35">
        <v>0</v>
      </c>
      <c r="AEJ35" t="s">
        <v>351</v>
      </c>
      <c r="AEK35">
        <v>30.5</v>
      </c>
      <c r="AEL35" s="16">
        <v>68.400000000000006</v>
      </c>
      <c r="AEM35" s="16">
        <v>80.400000000000006</v>
      </c>
      <c r="AEN35" s="16">
        <v>19.8</v>
      </c>
      <c r="AEO35">
        <v>72.42</v>
      </c>
      <c r="AEQ35">
        <v>0.94</v>
      </c>
      <c r="AER35">
        <v>0.94</v>
      </c>
      <c r="AES35">
        <v>25.7</v>
      </c>
      <c r="AET35">
        <v>0</v>
      </c>
      <c r="AEU35">
        <v>0</v>
      </c>
      <c r="AEW35">
        <v>0</v>
      </c>
      <c r="AEX35">
        <v>0</v>
      </c>
      <c r="AEY35">
        <v>0</v>
      </c>
      <c r="AEZ35">
        <v>0</v>
      </c>
      <c r="AFA35">
        <v>28.26</v>
      </c>
      <c r="AFB35">
        <v>10.55</v>
      </c>
      <c r="AFC35">
        <v>14.21</v>
      </c>
      <c r="AFD35">
        <v>0</v>
      </c>
      <c r="AFE35">
        <v>0</v>
      </c>
      <c r="AFF35">
        <v>0</v>
      </c>
      <c r="AFS35">
        <v>3.3</v>
      </c>
      <c r="AFT35">
        <v>1</v>
      </c>
      <c r="AFU35">
        <v>68</v>
      </c>
      <c r="AFV35">
        <v>2</v>
      </c>
      <c r="AFW35">
        <v>1.52</v>
      </c>
      <c r="AFX35">
        <v>1</v>
      </c>
      <c r="AGE35" s="20"/>
      <c r="AGW35">
        <v>0</v>
      </c>
      <c r="AIH35" s="16">
        <v>0</v>
      </c>
      <c r="AII35" s="16">
        <v>0</v>
      </c>
      <c r="AIJ35" s="16"/>
      <c r="AIK35" s="16"/>
      <c r="AIL35" s="16"/>
      <c r="AIM35" s="16"/>
      <c r="AIN35" s="16"/>
      <c r="AIO35" s="16"/>
      <c r="AIP35" s="16"/>
      <c r="AIQ35" s="16"/>
      <c r="AIR35" s="16"/>
      <c r="AIS35" s="16">
        <v>0.81</v>
      </c>
      <c r="AIT35" s="16">
        <v>0.8</v>
      </c>
      <c r="AIU35" s="16">
        <v>0</v>
      </c>
      <c r="AIV35" s="16">
        <v>0</v>
      </c>
      <c r="AIW35" s="16">
        <v>2.99</v>
      </c>
      <c r="AIX35" s="16">
        <v>5.71</v>
      </c>
      <c r="AIY35" s="16">
        <v>0</v>
      </c>
      <c r="AIZ35">
        <v>0</v>
      </c>
      <c r="AJA35" t="s">
        <v>356</v>
      </c>
      <c r="AJB35">
        <v>39.5</v>
      </c>
      <c r="AJC35" s="16">
        <v>85.1</v>
      </c>
      <c r="AJD35" s="16">
        <v>80.400000000000006</v>
      </c>
      <c r="AJE35" s="16">
        <v>13.6</v>
      </c>
      <c r="AJF35">
        <v>87.38</v>
      </c>
      <c r="AJH35">
        <v>8.0500000000000007</v>
      </c>
      <c r="AJI35">
        <v>0</v>
      </c>
      <c r="AJJ35">
        <v>4.57</v>
      </c>
      <c r="AJK35">
        <v>0</v>
      </c>
      <c r="AJL35">
        <v>0</v>
      </c>
      <c r="AJN35">
        <v>0</v>
      </c>
      <c r="AJO35">
        <v>0</v>
      </c>
      <c r="AJP35">
        <v>0</v>
      </c>
      <c r="AJQ35">
        <v>0</v>
      </c>
      <c r="AJR35">
        <v>45</v>
      </c>
      <c r="AJS35">
        <v>10.1</v>
      </c>
      <c r="AJT35">
        <v>11.8</v>
      </c>
      <c r="AJU35">
        <v>0</v>
      </c>
      <c r="AJV35">
        <v>0</v>
      </c>
      <c r="AJW35">
        <v>0</v>
      </c>
      <c r="AKJ35">
        <v>17.8</v>
      </c>
      <c r="AKK35">
        <v>1</v>
      </c>
      <c r="AKL35">
        <v>30</v>
      </c>
      <c r="AKM35">
        <v>7</v>
      </c>
      <c r="AKN35">
        <v>5.33</v>
      </c>
      <c r="AKO35">
        <v>3</v>
      </c>
      <c r="AKV35" s="20"/>
      <c r="ALN35">
        <v>1</v>
      </c>
      <c r="ALO35">
        <v>50</v>
      </c>
      <c r="ALP35">
        <v>1</v>
      </c>
      <c r="ALQ35">
        <v>0.03</v>
      </c>
      <c r="ALR35">
        <v>1</v>
      </c>
    </row>
    <row r="36" spans="1:1018" x14ac:dyDescent="0.2">
      <c r="A36" s="1" t="s">
        <v>369</v>
      </c>
      <c r="B36" s="12">
        <v>42899</v>
      </c>
      <c r="C36">
        <v>1</v>
      </c>
      <c r="D36" s="13">
        <v>42814</v>
      </c>
      <c r="E36" s="12">
        <v>29642</v>
      </c>
      <c r="F36" s="14">
        <f t="shared" si="0"/>
        <v>36.295687885010267</v>
      </c>
      <c r="G36" s="14">
        <f t="shared" si="1"/>
        <v>0.2327173169062286</v>
      </c>
      <c r="H36" s="15" t="s">
        <v>183</v>
      </c>
      <c r="I36" s="15" t="s">
        <v>347</v>
      </c>
      <c r="J36" s="21" t="s">
        <v>181</v>
      </c>
      <c r="K36" s="21">
        <v>4</v>
      </c>
      <c r="L36" s="19">
        <v>62</v>
      </c>
      <c r="M36">
        <v>1.57</v>
      </c>
      <c r="N36" s="16">
        <f t="shared" si="2"/>
        <v>25.153150229218223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1</v>
      </c>
      <c r="Z36" s="19">
        <v>2</v>
      </c>
      <c r="AA36" s="19">
        <v>60</v>
      </c>
      <c r="AB36" s="19" t="s">
        <v>215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0</v>
      </c>
      <c r="AI36" s="19">
        <v>0</v>
      </c>
      <c r="AJ36" s="19">
        <v>0</v>
      </c>
      <c r="AK36" s="19">
        <v>0</v>
      </c>
      <c r="AL36" s="19">
        <v>0</v>
      </c>
      <c r="AM36" s="19">
        <v>0</v>
      </c>
      <c r="AN36" s="19">
        <v>0</v>
      </c>
      <c r="AO36" s="19">
        <v>0</v>
      </c>
      <c r="AP36" s="19">
        <v>0</v>
      </c>
      <c r="AQ36" s="19">
        <v>0</v>
      </c>
      <c r="AR36" s="19">
        <v>0</v>
      </c>
      <c r="AS36" s="19">
        <v>0</v>
      </c>
      <c r="AT36" s="19">
        <v>0</v>
      </c>
      <c r="AU36" s="19">
        <v>0</v>
      </c>
      <c r="AV36" s="19">
        <v>0</v>
      </c>
      <c r="AW36" s="19">
        <v>0</v>
      </c>
      <c r="AX36" s="19">
        <v>0</v>
      </c>
      <c r="AY36" s="19">
        <v>0</v>
      </c>
      <c r="AZ36" s="19">
        <v>0</v>
      </c>
      <c r="BA36" s="19">
        <v>0</v>
      </c>
      <c r="BB36" s="19">
        <v>0</v>
      </c>
      <c r="BC36" s="19">
        <v>0</v>
      </c>
      <c r="BD36" s="19">
        <v>0</v>
      </c>
      <c r="BE36" s="19">
        <v>0</v>
      </c>
      <c r="BF36" s="19">
        <v>0</v>
      </c>
      <c r="BG36" s="19">
        <v>0</v>
      </c>
      <c r="BH36" s="19">
        <v>0</v>
      </c>
      <c r="BI36" s="19">
        <v>0</v>
      </c>
      <c r="BJ36" s="19">
        <v>0</v>
      </c>
      <c r="BK36" s="19">
        <v>0</v>
      </c>
      <c r="BL36" s="19">
        <v>0</v>
      </c>
      <c r="BM36" s="19">
        <v>0</v>
      </c>
      <c r="BN36" s="19">
        <v>0</v>
      </c>
      <c r="BO36" s="19">
        <v>0</v>
      </c>
      <c r="BP36" s="19">
        <v>0</v>
      </c>
      <c r="BQ36" s="19">
        <v>0</v>
      </c>
      <c r="BR36" s="19">
        <v>2</v>
      </c>
      <c r="BS36" s="19">
        <v>2</v>
      </c>
      <c r="BT36" s="19">
        <v>3</v>
      </c>
      <c r="BU36" s="19">
        <v>5</v>
      </c>
      <c r="BV36" s="19">
        <v>3</v>
      </c>
      <c r="BW36" s="19">
        <v>1</v>
      </c>
      <c r="BX36" s="19">
        <v>1</v>
      </c>
      <c r="BY36" s="19">
        <v>3</v>
      </c>
      <c r="BZ36" s="19">
        <v>4</v>
      </c>
      <c r="CA36" s="19">
        <v>5</v>
      </c>
      <c r="CB36" s="19">
        <v>5</v>
      </c>
      <c r="CC36" s="19">
        <v>5</v>
      </c>
      <c r="CD36" s="19">
        <v>5</v>
      </c>
      <c r="CE36" s="19">
        <v>5</v>
      </c>
      <c r="CF36" s="19">
        <v>2</v>
      </c>
      <c r="CG36" s="19">
        <v>5</v>
      </c>
      <c r="CH36" s="19">
        <v>5</v>
      </c>
      <c r="CI36" s="19">
        <v>5</v>
      </c>
      <c r="CJ36" s="19">
        <v>5</v>
      </c>
      <c r="CK36" s="19">
        <v>10</v>
      </c>
      <c r="CL36" t="s">
        <v>355</v>
      </c>
      <c r="CM36">
        <v>37</v>
      </c>
      <c r="CN36" s="16">
        <v>95.1</v>
      </c>
      <c r="CO36" s="16">
        <v>80.400000000000006</v>
      </c>
      <c r="CP36" s="16">
        <v>15.9</v>
      </c>
      <c r="CQ36">
        <v>82.71</v>
      </c>
      <c r="CS36">
        <v>10.32</v>
      </c>
      <c r="CT36">
        <v>0.39</v>
      </c>
      <c r="CU36">
        <v>10.32</v>
      </c>
      <c r="CV36">
        <v>0</v>
      </c>
      <c r="CW36">
        <v>0</v>
      </c>
      <c r="CY36">
        <v>0</v>
      </c>
      <c r="CZ36">
        <v>0</v>
      </c>
      <c r="DA36">
        <v>0</v>
      </c>
      <c r="DB36">
        <v>1.9</v>
      </c>
      <c r="DC36">
        <v>26.26</v>
      </c>
      <c r="DD36">
        <v>6.04</v>
      </c>
      <c r="DE36">
        <v>2.19</v>
      </c>
      <c r="DF36">
        <v>0</v>
      </c>
      <c r="DG36">
        <v>0</v>
      </c>
      <c r="DH36">
        <v>0</v>
      </c>
      <c r="DU36">
        <v>14.7</v>
      </c>
      <c r="DV36">
        <v>1</v>
      </c>
      <c r="DW36">
        <v>35</v>
      </c>
      <c r="DX36">
        <v>2</v>
      </c>
      <c r="DY36">
        <v>1.8</v>
      </c>
      <c r="DZ36">
        <v>3</v>
      </c>
      <c r="EG36" s="20"/>
      <c r="EY36">
        <v>1</v>
      </c>
      <c r="EZ36">
        <v>50</v>
      </c>
      <c r="FA36">
        <v>1</v>
      </c>
      <c r="FB36">
        <v>1.34</v>
      </c>
      <c r="FC36">
        <v>2</v>
      </c>
      <c r="FD36">
        <v>40</v>
      </c>
      <c r="FE36">
        <v>1</v>
      </c>
      <c r="FF36">
        <v>0.9</v>
      </c>
      <c r="FG36">
        <v>3</v>
      </c>
      <c r="FH36">
        <v>50</v>
      </c>
      <c r="FI36">
        <v>1</v>
      </c>
      <c r="FJ36">
        <v>0.9</v>
      </c>
      <c r="FK36">
        <v>3</v>
      </c>
      <c r="FL36">
        <v>80</v>
      </c>
      <c r="FM36">
        <v>2</v>
      </c>
      <c r="FN36">
        <v>2.68</v>
      </c>
      <c r="FO36">
        <v>2</v>
      </c>
      <c r="FP36">
        <v>100</v>
      </c>
      <c r="FQ36">
        <v>1</v>
      </c>
      <c r="FR36">
        <v>2.57</v>
      </c>
      <c r="FS36">
        <v>2</v>
      </c>
      <c r="GJ36">
        <v>0</v>
      </c>
      <c r="GK36" s="19">
        <v>0</v>
      </c>
      <c r="GL36" s="19"/>
      <c r="GM36" s="13"/>
      <c r="GN36" s="13"/>
      <c r="GO36" s="19"/>
      <c r="GP36" s="13"/>
      <c r="GQ36" s="13"/>
      <c r="GR36" s="13"/>
      <c r="GS36" s="13"/>
      <c r="GT36" s="13"/>
      <c r="GU36" s="16">
        <v>5.1100000000000003</v>
      </c>
      <c r="GV36">
        <v>4.8099999999999996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 t="s">
        <v>361</v>
      </c>
      <c r="HD36">
        <v>74.5</v>
      </c>
      <c r="HE36" s="16">
        <v>76.2</v>
      </c>
      <c r="HF36" s="16">
        <v>80.400000000000006</v>
      </c>
      <c r="HG36" s="16">
        <v>42.8</v>
      </c>
      <c r="HH36">
        <v>57.15</v>
      </c>
      <c r="HI36">
        <v>0.45</v>
      </c>
      <c r="HJ36">
        <v>39.090000000000003</v>
      </c>
      <c r="HK36">
        <v>3.3</v>
      </c>
      <c r="HL36">
        <v>0</v>
      </c>
      <c r="HM36">
        <v>0</v>
      </c>
      <c r="HN36">
        <v>0</v>
      </c>
      <c r="HP36">
        <v>0</v>
      </c>
      <c r="HQ36">
        <v>0</v>
      </c>
      <c r="HR36">
        <v>0</v>
      </c>
      <c r="HS36">
        <v>0</v>
      </c>
      <c r="HT36">
        <v>18.260000000000002</v>
      </c>
      <c r="HU36">
        <v>34.4</v>
      </c>
      <c r="HV36">
        <v>6.27</v>
      </c>
      <c r="HW36">
        <v>0</v>
      </c>
      <c r="HX36">
        <v>0</v>
      </c>
      <c r="HY36">
        <v>0</v>
      </c>
      <c r="IL36">
        <v>18.2</v>
      </c>
      <c r="IM36">
        <v>1</v>
      </c>
      <c r="IN36">
        <v>35</v>
      </c>
      <c r="IO36">
        <v>9</v>
      </c>
      <c r="IP36">
        <v>2.5499999999999998</v>
      </c>
      <c r="IQ36">
        <v>3</v>
      </c>
      <c r="IX36" s="20"/>
      <c r="JP36">
        <v>1</v>
      </c>
      <c r="JQ36">
        <v>50</v>
      </c>
      <c r="JR36">
        <v>8</v>
      </c>
      <c r="JS36">
        <v>2.54</v>
      </c>
      <c r="JT36">
        <v>3</v>
      </c>
      <c r="LA36" s="16">
        <v>7.59</v>
      </c>
      <c r="LB36" s="16">
        <v>1</v>
      </c>
      <c r="LC36" s="16">
        <v>1</v>
      </c>
      <c r="LD36" s="16"/>
      <c r="LE36" s="16">
        <v>22.38</v>
      </c>
      <c r="LF36" s="16">
        <v>2</v>
      </c>
      <c r="LG36" s="16"/>
      <c r="LH36" s="16">
        <v>14.92</v>
      </c>
      <c r="LI36" s="16"/>
      <c r="LJ36" s="16"/>
      <c r="LK36" s="16"/>
      <c r="LL36" s="16">
        <v>5.05</v>
      </c>
      <c r="LM36" s="16">
        <v>1.54</v>
      </c>
      <c r="LN36" s="16">
        <v>0</v>
      </c>
      <c r="LO36" s="16">
        <v>0</v>
      </c>
      <c r="LP36" s="16">
        <v>0</v>
      </c>
      <c r="LQ36" s="16">
        <v>0</v>
      </c>
      <c r="LR36" s="16">
        <v>0</v>
      </c>
      <c r="LS36">
        <v>0</v>
      </c>
      <c r="LT36" t="s">
        <v>351</v>
      </c>
      <c r="LU36">
        <v>30.5</v>
      </c>
      <c r="LV36" s="16">
        <v>68.400000000000006</v>
      </c>
      <c r="LW36" s="16">
        <v>80.400000000000006</v>
      </c>
      <c r="LX36" s="16">
        <v>19.8</v>
      </c>
      <c r="LY36">
        <v>72.42</v>
      </c>
      <c r="MA36">
        <v>0.94</v>
      </c>
      <c r="MB36">
        <v>0.94</v>
      </c>
      <c r="MC36">
        <v>25.7</v>
      </c>
      <c r="MD36">
        <v>0</v>
      </c>
      <c r="ME36">
        <v>0</v>
      </c>
      <c r="MG36">
        <v>0</v>
      </c>
      <c r="MH36">
        <v>0</v>
      </c>
      <c r="MI36">
        <v>0</v>
      </c>
      <c r="MJ36">
        <v>0</v>
      </c>
      <c r="MK36">
        <v>28.26</v>
      </c>
      <c r="ML36">
        <v>10.55</v>
      </c>
      <c r="MM36">
        <v>14.21</v>
      </c>
      <c r="MN36">
        <v>0</v>
      </c>
      <c r="MO36">
        <v>0</v>
      </c>
      <c r="MP36">
        <v>0</v>
      </c>
      <c r="NC36">
        <v>3.3</v>
      </c>
      <c r="ND36">
        <v>1</v>
      </c>
      <c r="NE36">
        <v>68</v>
      </c>
      <c r="NF36">
        <v>2</v>
      </c>
      <c r="NG36">
        <v>1.52</v>
      </c>
      <c r="NH36">
        <v>1</v>
      </c>
      <c r="NO36" s="20"/>
      <c r="OG36">
        <v>0</v>
      </c>
      <c r="PR36" s="16">
        <v>0</v>
      </c>
      <c r="PS36" s="16">
        <v>0</v>
      </c>
      <c r="PT36" s="16"/>
      <c r="PU36" s="16"/>
      <c r="PV36" s="16"/>
      <c r="PW36" s="16"/>
      <c r="PX36" s="16"/>
      <c r="PY36" s="16"/>
      <c r="PZ36" s="16"/>
      <c r="QA36" s="16"/>
      <c r="QB36" s="16"/>
      <c r="QC36" s="16">
        <v>0.81</v>
      </c>
      <c r="QD36" s="16">
        <v>0.8</v>
      </c>
      <c r="QE36" s="16">
        <v>0</v>
      </c>
      <c r="QF36" s="16">
        <v>0</v>
      </c>
      <c r="QG36" s="16">
        <v>2.99</v>
      </c>
      <c r="QH36" s="16">
        <v>5.71</v>
      </c>
      <c r="QI36" s="16">
        <v>0</v>
      </c>
      <c r="QJ36">
        <v>0</v>
      </c>
      <c r="QK36" t="s">
        <v>356</v>
      </c>
      <c r="QL36">
        <v>39.5</v>
      </c>
      <c r="QM36" s="16">
        <v>85.1</v>
      </c>
      <c r="QN36" s="16">
        <v>80.400000000000006</v>
      </c>
      <c r="QO36" s="16">
        <v>13.6</v>
      </c>
      <c r="QP36">
        <v>87.38</v>
      </c>
      <c r="QR36">
        <v>8.0500000000000007</v>
      </c>
      <c r="QS36">
        <v>0</v>
      </c>
      <c r="QT36">
        <v>4.57</v>
      </c>
      <c r="QU36">
        <v>0</v>
      </c>
      <c r="QV36">
        <v>0</v>
      </c>
      <c r="QX36">
        <v>0</v>
      </c>
      <c r="QY36">
        <v>0</v>
      </c>
      <c r="QZ36">
        <v>0</v>
      </c>
      <c r="RA36">
        <v>0</v>
      </c>
      <c r="RB36">
        <v>45</v>
      </c>
      <c r="RC36">
        <v>10.1</v>
      </c>
      <c r="RD36">
        <v>11.8</v>
      </c>
      <c r="RE36">
        <v>0</v>
      </c>
      <c r="RF36">
        <v>0</v>
      </c>
      <c r="RG36">
        <v>0</v>
      </c>
      <c r="RT36">
        <v>17.8</v>
      </c>
      <c r="RU36">
        <v>1</v>
      </c>
      <c r="RV36">
        <v>30</v>
      </c>
      <c r="RW36">
        <v>7</v>
      </c>
      <c r="RX36">
        <v>5.33</v>
      </c>
      <c r="RY36">
        <v>3</v>
      </c>
      <c r="SF36" s="20"/>
      <c r="SX36">
        <v>1</v>
      </c>
      <c r="SY36">
        <v>50</v>
      </c>
      <c r="SZ36">
        <v>1</v>
      </c>
      <c r="TA36">
        <v>0.03</v>
      </c>
      <c r="TB36">
        <v>1</v>
      </c>
      <c r="UI36" s="16">
        <v>3.96</v>
      </c>
      <c r="UJ36" s="16">
        <v>1</v>
      </c>
      <c r="UK36" s="16">
        <v>1</v>
      </c>
      <c r="UL36" s="16"/>
      <c r="UM36" s="16">
        <v>41.03</v>
      </c>
      <c r="UN36" s="16">
        <v>2</v>
      </c>
      <c r="UO36" s="16">
        <v>3.73</v>
      </c>
      <c r="UP36" s="16"/>
      <c r="UQ36" s="16"/>
      <c r="UR36" s="16"/>
      <c r="US36" s="16"/>
      <c r="UT36" s="16">
        <v>0</v>
      </c>
      <c r="UU36" s="16">
        <v>0</v>
      </c>
      <c r="UV36" s="16">
        <v>0</v>
      </c>
      <c r="UW36" s="16">
        <v>0</v>
      </c>
      <c r="UX36" s="16">
        <v>0</v>
      </c>
      <c r="UY36" s="16">
        <v>0</v>
      </c>
      <c r="UZ36" s="16">
        <v>0</v>
      </c>
      <c r="VA36">
        <v>0</v>
      </c>
      <c r="VB36" t="s">
        <v>357</v>
      </c>
      <c r="VC36">
        <v>27.5</v>
      </c>
      <c r="VD36" s="16">
        <v>76.2</v>
      </c>
      <c r="VE36" s="16">
        <v>80.400000000000006</v>
      </c>
      <c r="VF36" s="16">
        <v>15.3</v>
      </c>
      <c r="VG36">
        <v>87.64</v>
      </c>
      <c r="VI36">
        <v>0</v>
      </c>
      <c r="VJ36">
        <v>0</v>
      </c>
      <c r="VK36">
        <v>12.36</v>
      </c>
      <c r="VL36">
        <v>0</v>
      </c>
      <c r="VM36">
        <v>0</v>
      </c>
      <c r="VO36">
        <v>0</v>
      </c>
      <c r="VP36">
        <v>0</v>
      </c>
      <c r="VQ36">
        <v>0</v>
      </c>
      <c r="VR36">
        <v>24.9</v>
      </c>
      <c r="VS36">
        <v>31.99</v>
      </c>
      <c r="VT36">
        <v>18.66</v>
      </c>
      <c r="VU36">
        <v>0</v>
      </c>
      <c r="VV36">
        <v>0</v>
      </c>
      <c r="VW36">
        <v>4.8</v>
      </c>
      <c r="VX36">
        <v>5</v>
      </c>
      <c r="VY36">
        <v>50</v>
      </c>
      <c r="VZ36">
        <v>4</v>
      </c>
      <c r="WE36">
        <v>50</v>
      </c>
      <c r="WF36">
        <v>4</v>
      </c>
      <c r="WK36">
        <v>5.5</v>
      </c>
      <c r="WL36">
        <v>0</v>
      </c>
      <c r="WW36" s="20"/>
      <c r="XO36">
        <v>1</v>
      </c>
      <c r="XP36">
        <v>50</v>
      </c>
      <c r="XQ36">
        <v>4</v>
      </c>
      <c r="XR36">
        <v>3.59</v>
      </c>
      <c r="XS36">
        <v>3</v>
      </c>
      <c r="XT36">
        <v>70</v>
      </c>
      <c r="XU36">
        <v>14</v>
      </c>
      <c r="XV36">
        <v>4.93</v>
      </c>
      <c r="XW36">
        <v>2</v>
      </c>
      <c r="YZ36" s="16">
        <v>0.75</v>
      </c>
      <c r="ZA36" s="16">
        <v>1</v>
      </c>
      <c r="ZB36" s="16">
        <v>1</v>
      </c>
      <c r="ZC36" s="16"/>
      <c r="ZD36" s="16">
        <v>9.9600000000000009</v>
      </c>
      <c r="ZE36" s="16"/>
      <c r="ZF36" s="16"/>
      <c r="ZG36" s="16"/>
      <c r="ZH36" s="16"/>
      <c r="ZI36" s="16"/>
      <c r="ZJ36" s="16"/>
      <c r="ZK36" s="16">
        <v>0</v>
      </c>
      <c r="ZL36" s="16">
        <v>0</v>
      </c>
      <c r="ZM36" s="16">
        <v>0</v>
      </c>
      <c r="ZN36" s="16">
        <v>0</v>
      </c>
      <c r="ZO36" s="16">
        <v>0</v>
      </c>
      <c r="ZP36" s="16">
        <v>0</v>
      </c>
      <c r="ZQ36" s="16">
        <v>0</v>
      </c>
      <c r="ZR36">
        <v>0</v>
      </c>
      <c r="ZS36" t="s">
        <v>370</v>
      </c>
      <c r="ZT36">
        <v>80.5</v>
      </c>
      <c r="ZU36" s="16">
        <v>42.5</v>
      </c>
      <c r="ZV36" s="16">
        <v>80.400000000000006</v>
      </c>
      <c r="ZW36" s="16">
        <v>4.3</v>
      </c>
      <c r="ZX36">
        <v>100</v>
      </c>
      <c r="ZZ36">
        <v>0</v>
      </c>
      <c r="AAA36">
        <v>0</v>
      </c>
      <c r="AAB36">
        <v>0</v>
      </c>
      <c r="AAC36">
        <v>0</v>
      </c>
      <c r="AAD36">
        <v>0</v>
      </c>
      <c r="AAF36">
        <v>0</v>
      </c>
      <c r="AAG36">
        <v>0</v>
      </c>
      <c r="AAH36">
        <v>0</v>
      </c>
      <c r="AAI36">
        <v>0</v>
      </c>
      <c r="AAJ36">
        <v>61.07</v>
      </c>
      <c r="AAK36">
        <v>4</v>
      </c>
      <c r="AAL36">
        <v>0.14000000000000001</v>
      </c>
      <c r="AAM36">
        <v>0</v>
      </c>
      <c r="AAN36">
        <v>15.7</v>
      </c>
      <c r="AAO36">
        <v>1</v>
      </c>
      <c r="AAP36">
        <v>3</v>
      </c>
      <c r="AAR36">
        <v>1</v>
      </c>
      <c r="AAV36">
        <v>3</v>
      </c>
      <c r="AAX36">
        <v>1</v>
      </c>
      <c r="ABB36">
        <v>12.4</v>
      </c>
      <c r="ABC36">
        <v>1</v>
      </c>
      <c r="ABD36">
        <v>34</v>
      </c>
      <c r="ABE36">
        <v>4</v>
      </c>
      <c r="ABF36">
        <v>1.28</v>
      </c>
      <c r="ABG36">
        <v>1</v>
      </c>
      <c r="ABN36" s="20"/>
      <c r="ACF36">
        <v>1</v>
      </c>
      <c r="ACG36">
        <v>50</v>
      </c>
      <c r="ACH36">
        <v>2</v>
      </c>
      <c r="ACI36">
        <v>2.2799999999999998</v>
      </c>
      <c r="ACJ36">
        <v>3</v>
      </c>
      <c r="ACK36">
        <v>50</v>
      </c>
      <c r="ACL36">
        <v>12</v>
      </c>
      <c r="ACM36">
        <v>8.75</v>
      </c>
      <c r="ACN36">
        <v>4</v>
      </c>
      <c r="ADQ36" s="16">
        <v>0.63</v>
      </c>
      <c r="ADR36" s="16">
        <v>1</v>
      </c>
      <c r="ADS36" s="16">
        <v>1</v>
      </c>
      <c r="ADT36" s="16"/>
      <c r="ADU36" s="16">
        <v>7.46</v>
      </c>
      <c r="ADV36" s="16"/>
      <c r="ADW36" s="16"/>
      <c r="ADX36" s="16"/>
      <c r="ADY36" s="16"/>
      <c r="ADZ36" s="16"/>
      <c r="AEA36" s="16"/>
      <c r="AEB36" s="16">
        <v>8.4700000000000006</v>
      </c>
      <c r="AEC36" s="16">
        <v>4.95</v>
      </c>
      <c r="AED36" s="16">
        <v>0</v>
      </c>
      <c r="AEE36" s="16">
        <v>0</v>
      </c>
      <c r="AEF36" s="16">
        <v>0</v>
      </c>
      <c r="AEG36" s="16">
        <v>0</v>
      </c>
      <c r="AEH36" s="16">
        <v>0</v>
      </c>
      <c r="AEI36">
        <v>0</v>
      </c>
      <c r="AEK36" s="15"/>
      <c r="AEL36" s="15"/>
      <c r="AES36" s="15"/>
      <c r="AET36" s="15"/>
      <c r="AFA36" s="15"/>
      <c r="AFB36" s="15"/>
      <c r="AFI36" s="15"/>
      <c r="AFJ36" s="15"/>
      <c r="AFQ36" s="15"/>
      <c r="AFR36" s="15"/>
      <c r="AFY36" s="15"/>
      <c r="AFZ36" s="15"/>
      <c r="AGG36" s="15"/>
      <c r="AGH36" s="15"/>
      <c r="AGO36" s="15"/>
      <c r="AGP36" s="15"/>
      <c r="AGW36" s="15"/>
      <c r="AGX36" s="15"/>
      <c r="AHE36" s="15"/>
      <c r="AHF36" s="15"/>
      <c r="AHM36" s="15"/>
      <c r="AHN36" s="15"/>
      <c r="AHU36" s="15"/>
      <c r="AHV36" s="15"/>
      <c r="AIC36" s="15"/>
      <c r="AID36" s="15"/>
      <c r="AIK36" s="15"/>
      <c r="AIL36" s="15"/>
      <c r="AIS36" s="15"/>
      <c r="AIT36" s="15"/>
      <c r="AJA36" s="15"/>
      <c r="AJB36" s="15"/>
      <c r="AJI36" s="15"/>
      <c r="AJJ36" s="15"/>
      <c r="AJQ36" s="15"/>
      <c r="AJR36" s="15"/>
      <c r="AJY36" s="15"/>
      <c r="AJZ36" s="15"/>
      <c r="AKG36" s="15"/>
      <c r="AKH36" s="15"/>
      <c r="AKO36" s="15"/>
      <c r="AKP36" s="15"/>
      <c r="AKW36" s="15"/>
      <c r="AKX36" s="15"/>
      <c r="ALE36" s="15"/>
      <c r="ALF36" s="15"/>
      <c r="ALM36" s="15"/>
      <c r="ALN36" s="15"/>
      <c r="ALU36" s="15"/>
      <c r="ALV36" s="15"/>
      <c r="AMC36" s="15"/>
      <c r="AMD36" s="15"/>
    </row>
    <row r="37" spans="1:1018" x14ac:dyDescent="0.2">
      <c r="A37" s="1" t="s">
        <v>371</v>
      </c>
      <c r="B37" s="12">
        <v>42899</v>
      </c>
      <c r="C37">
        <v>1</v>
      </c>
      <c r="D37" s="13">
        <v>42786</v>
      </c>
      <c r="E37" s="12">
        <v>31888</v>
      </c>
      <c r="F37" s="14">
        <f t="shared" si="0"/>
        <v>30.146475017111566</v>
      </c>
      <c r="G37" s="14">
        <f t="shared" si="1"/>
        <v>0.30937713894592744</v>
      </c>
      <c r="H37" s="15" t="s">
        <v>183</v>
      </c>
      <c r="I37" s="15" t="s">
        <v>347</v>
      </c>
      <c r="J37" s="21" t="s">
        <v>181</v>
      </c>
      <c r="K37" s="21">
        <v>4</v>
      </c>
      <c r="L37" s="19">
        <v>67</v>
      </c>
      <c r="M37">
        <v>1.73</v>
      </c>
      <c r="N37" s="16">
        <f t="shared" si="2"/>
        <v>22.386314277122523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19">
        <v>1</v>
      </c>
      <c r="V37" s="19">
        <v>5</v>
      </c>
      <c r="W37" s="19">
        <v>1</v>
      </c>
      <c r="X37" s="19">
        <v>0</v>
      </c>
      <c r="Y37" s="19">
        <v>0</v>
      </c>
      <c r="Z37" s="19">
        <v>0</v>
      </c>
      <c r="AA37" s="19">
        <v>0</v>
      </c>
      <c r="AB37" s="19">
        <v>0</v>
      </c>
      <c r="AC37" s="19">
        <v>0</v>
      </c>
      <c r="AD37" s="19">
        <v>0</v>
      </c>
      <c r="AE37" s="19">
        <v>1</v>
      </c>
      <c r="AF37" s="19">
        <v>0</v>
      </c>
      <c r="AG37" s="19">
        <v>0</v>
      </c>
      <c r="AH37" s="19">
        <v>0</v>
      </c>
      <c r="AI37" s="19">
        <v>1</v>
      </c>
      <c r="AJ37" s="19">
        <v>0</v>
      </c>
      <c r="AK37" s="19">
        <v>0</v>
      </c>
      <c r="AL37" s="19">
        <v>0</v>
      </c>
      <c r="AM37" s="19">
        <v>0</v>
      </c>
      <c r="AN37" s="19">
        <v>0</v>
      </c>
      <c r="AO37" s="19">
        <v>0</v>
      </c>
      <c r="AP37" s="19">
        <v>0</v>
      </c>
      <c r="AQ37" s="19">
        <v>0</v>
      </c>
      <c r="AR37" s="19">
        <v>0</v>
      </c>
      <c r="AS37" s="19">
        <v>0</v>
      </c>
      <c r="AT37" s="19">
        <v>0</v>
      </c>
      <c r="AU37" s="19">
        <v>0</v>
      </c>
      <c r="AV37" s="19">
        <v>0</v>
      </c>
      <c r="AW37" s="19">
        <v>0</v>
      </c>
      <c r="AX37" s="19">
        <v>0</v>
      </c>
      <c r="AY37" s="19">
        <v>0</v>
      </c>
      <c r="AZ37" s="19">
        <v>0</v>
      </c>
      <c r="BA37" s="19">
        <v>0</v>
      </c>
      <c r="BB37" s="19">
        <v>1</v>
      </c>
      <c r="BC37" s="19">
        <v>0</v>
      </c>
      <c r="BD37" s="19">
        <v>0</v>
      </c>
      <c r="BE37" s="19">
        <v>0</v>
      </c>
      <c r="BF37" s="19">
        <v>0</v>
      </c>
      <c r="BG37" s="19">
        <v>0</v>
      </c>
      <c r="BH37" s="19">
        <v>0</v>
      </c>
      <c r="BI37" s="19">
        <v>0</v>
      </c>
      <c r="BJ37" s="19">
        <v>0</v>
      </c>
      <c r="BK37" s="19">
        <v>0</v>
      </c>
      <c r="BL37" s="19">
        <v>0</v>
      </c>
      <c r="BM37" s="19">
        <v>0</v>
      </c>
      <c r="BN37" s="19">
        <v>1</v>
      </c>
      <c r="BO37" s="19">
        <v>0</v>
      </c>
      <c r="BP37" s="19">
        <v>0</v>
      </c>
      <c r="BQ37" s="19">
        <v>0</v>
      </c>
      <c r="BR37" s="19">
        <v>1</v>
      </c>
      <c r="BS37" s="19">
        <v>2</v>
      </c>
      <c r="BT37" s="19">
        <v>5</v>
      </c>
      <c r="BU37" s="19">
        <v>5</v>
      </c>
      <c r="BV37" s="19">
        <v>4</v>
      </c>
      <c r="BW37" s="19">
        <v>5</v>
      </c>
      <c r="BX37" s="19">
        <v>3</v>
      </c>
      <c r="BY37" s="19">
        <v>4</v>
      </c>
      <c r="BZ37" s="19">
        <v>4</v>
      </c>
      <c r="CA37" s="19">
        <v>3</v>
      </c>
      <c r="CB37" s="19">
        <v>4</v>
      </c>
      <c r="CC37" s="19">
        <v>5</v>
      </c>
      <c r="CD37" s="19">
        <v>4</v>
      </c>
      <c r="CE37" s="19">
        <v>4</v>
      </c>
      <c r="CF37" s="19">
        <v>4</v>
      </c>
      <c r="CG37" s="19">
        <v>3</v>
      </c>
      <c r="CH37" s="19">
        <v>4</v>
      </c>
      <c r="CI37" s="19">
        <v>4</v>
      </c>
      <c r="CJ37" s="19">
        <v>4</v>
      </c>
      <c r="CK37" s="19">
        <v>9</v>
      </c>
      <c r="CL37" t="s">
        <v>355</v>
      </c>
      <c r="CM37">
        <v>37</v>
      </c>
      <c r="CN37" s="16">
        <v>95.1</v>
      </c>
      <c r="CO37" s="16">
        <v>80.400000000000006</v>
      </c>
      <c r="CP37" s="16">
        <v>15.9</v>
      </c>
      <c r="CQ37">
        <v>82.71</v>
      </c>
      <c r="CS37">
        <v>10.32</v>
      </c>
      <c r="CT37">
        <v>0.39</v>
      </c>
      <c r="CU37">
        <v>10.32</v>
      </c>
      <c r="CV37">
        <v>0</v>
      </c>
      <c r="CW37">
        <v>0</v>
      </c>
      <c r="CY37">
        <v>0</v>
      </c>
      <c r="CZ37">
        <v>0</v>
      </c>
      <c r="DA37">
        <v>0</v>
      </c>
      <c r="DB37">
        <v>1.9</v>
      </c>
      <c r="DC37">
        <v>26.26</v>
      </c>
      <c r="DD37">
        <v>6.04</v>
      </c>
      <c r="DE37">
        <v>2.19</v>
      </c>
      <c r="DF37">
        <v>0</v>
      </c>
      <c r="DG37">
        <v>0</v>
      </c>
      <c r="DH37">
        <v>0</v>
      </c>
      <c r="DU37">
        <v>14.7</v>
      </c>
      <c r="DV37">
        <v>1</v>
      </c>
      <c r="DW37">
        <v>35</v>
      </c>
      <c r="DX37">
        <v>2</v>
      </c>
      <c r="DY37">
        <v>1.8</v>
      </c>
      <c r="DZ37">
        <v>3</v>
      </c>
      <c r="EG37" s="20"/>
      <c r="EY37">
        <v>1</v>
      </c>
      <c r="EZ37">
        <v>50</v>
      </c>
      <c r="FA37">
        <v>1</v>
      </c>
      <c r="FB37">
        <v>1.34</v>
      </c>
      <c r="FC37">
        <v>2</v>
      </c>
      <c r="FD37">
        <v>40</v>
      </c>
      <c r="FE37">
        <v>1</v>
      </c>
      <c r="FF37">
        <v>0.9</v>
      </c>
      <c r="FG37">
        <v>3</v>
      </c>
      <c r="FH37">
        <v>50</v>
      </c>
      <c r="FI37">
        <v>1</v>
      </c>
      <c r="FJ37">
        <v>0.9</v>
      </c>
      <c r="FK37">
        <v>3</v>
      </c>
      <c r="FL37">
        <v>80</v>
      </c>
      <c r="FM37">
        <v>2</v>
      </c>
      <c r="FN37">
        <v>2.68</v>
      </c>
      <c r="FO37">
        <v>2</v>
      </c>
      <c r="FP37">
        <v>100</v>
      </c>
      <c r="FQ37">
        <v>1</v>
      </c>
      <c r="FR37">
        <v>2.57</v>
      </c>
      <c r="FS37">
        <v>2</v>
      </c>
      <c r="GJ37">
        <v>0</v>
      </c>
      <c r="GK37" s="19">
        <v>0</v>
      </c>
      <c r="GL37" s="19"/>
      <c r="GM37" s="13"/>
      <c r="GN37" s="13"/>
      <c r="GO37" s="19"/>
      <c r="GP37" s="13"/>
      <c r="GQ37" s="13"/>
      <c r="GR37" s="13"/>
      <c r="GS37" s="13"/>
      <c r="GT37" s="13"/>
      <c r="GU37" s="16">
        <v>5.1100000000000003</v>
      </c>
      <c r="GV37">
        <v>4.8099999999999996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 t="s">
        <v>351</v>
      </c>
      <c r="HD37">
        <v>30.5</v>
      </c>
      <c r="HE37" s="16">
        <v>68.400000000000006</v>
      </c>
      <c r="HF37" s="16">
        <v>80.400000000000006</v>
      </c>
      <c r="HG37" s="16">
        <v>19.8</v>
      </c>
      <c r="HH37">
        <v>72.42</v>
      </c>
      <c r="HJ37">
        <v>0.94</v>
      </c>
      <c r="HK37">
        <v>0.94</v>
      </c>
      <c r="HL37">
        <v>25.7</v>
      </c>
      <c r="HM37">
        <v>0</v>
      </c>
      <c r="HN37">
        <v>0</v>
      </c>
      <c r="HP37">
        <v>0</v>
      </c>
      <c r="HQ37">
        <v>0</v>
      </c>
      <c r="HR37">
        <v>0</v>
      </c>
      <c r="HS37">
        <v>0</v>
      </c>
      <c r="HT37">
        <v>28.26</v>
      </c>
      <c r="HU37">
        <v>10.55</v>
      </c>
      <c r="HV37">
        <v>14.21</v>
      </c>
      <c r="HW37">
        <v>0</v>
      </c>
      <c r="HX37">
        <v>0</v>
      </c>
      <c r="HY37">
        <v>0</v>
      </c>
      <c r="IL37">
        <v>3.3</v>
      </c>
      <c r="IM37">
        <v>1</v>
      </c>
      <c r="IN37">
        <v>68</v>
      </c>
      <c r="IO37">
        <v>2</v>
      </c>
      <c r="IP37">
        <v>1.52</v>
      </c>
      <c r="IQ37">
        <v>1</v>
      </c>
      <c r="IX37" s="20"/>
      <c r="JP37">
        <v>0</v>
      </c>
      <c r="LA37" s="16">
        <v>0</v>
      </c>
      <c r="LB37" s="16">
        <v>0</v>
      </c>
      <c r="LC37" s="16"/>
      <c r="LD37" s="16"/>
      <c r="LE37" s="16"/>
      <c r="LF37" s="16"/>
      <c r="LG37" s="16"/>
      <c r="LH37" s="16"/>
      <c r="LI37" s="16"/>
      <c r="LJ37" s="16"/>
      <c r="LK37" s="16"/>
      <c r="LL37" s="16">
        <v>0.81</v>
      </c>
      <c r="LM37" s="16">
        <v>0.8</v>
      </c>
      <c r="LN37" s="16">
        <v>0</v>
      </c>
      <c r="LO37" s="16">
        <v>0</v>
      </c>
      <c r="LP37" s="16">
        <v>2.99</v>
      </c>
      <c r="LQ37" s="16">
        <v>5.71</v>
      </c>
      <c r="LR37" s="16">
        <v>0</v>
      </c>
      <c r="LS37">
        <v>0</v>
      </c>
      <c r="LT37" t="s">
        <v>356</v>
      </c>
      <c r="LU37">
        <v>39.5</v>
      </c>
      <c r="LV37" s="16">
        <v>85.1</v>
      </c>
      <c r="LW37" s="16">
        <v>80.400000000000006</v>
      </c>
      <c r="LX37" s="16">
        <v>13.6</v>
      </c>
      <c r="LY37">
        <v>87.38</v>
      </c>
      <c r="MA37">
        <v>8.0500000000000007</v>
      </c>
      <c r="MB37">
        <v>0</v>
      </c>
      <c r="MC37">
        <v>4.57</v>
      </c>
      <c r="MD37">
        <v>0</v>
      </c>
      <c r="ME37">
        <v>0</v>
      </c>
      <c r="MG37">
        <v>0</v>
      </c>
      <c r="MH37">
        <v>0</v>
      </c>
      <c r="MI37">
        <v>0</v>
      </c>
      <c r="MJ37">
        <v>0</v>
      </c>
      <c r="MK37">
        <v>45</v>
      </c>
      <c r="ML37">
        <v>10.1</v>
      </c>
      <c r="MM37">
        <v>11.8</v>
      </c>
      <c r="MN37">
        <v>0</v>
      </c>
      <c r="MO37">
        <v>0</v>
      </c>
      <c r="MP37">
        <v>0</v>
      </c>
      <c r="NC37">
        <v>17.8</v>
      </c>
      <c r="ND37">
        <v>1</v>
      </c>
      <c r="NE37">
        <v>30</v>
      </c>
      <c r="NF37">
        <v>7</v>
      </c>
      <c r="NG37">
        <v>5.33</v>
      </c>
      <c r="NH37">
        <v>3</v>
      </c>
      <c r="NO37" s="20"/>
      <c r="OG37">
        <v>1</v>
      </c>
      <c r="OH37">
        <v>50</v>
      </c>
      <c r="OI37">
        <v>1</v>
      </c>
      <c r="OJ37">
        <v>0.03</v>
      </c>
      <c r="OK37">
        <v>1</v>
      </c>
      <c r="PR37" s="16">
        <v>3.96</v>
      </c>
      <c r="PS37" s="16">
        <v>1</v>
      </c>
      <c r="PT37" s="16">
        <v>1</v>
      </c>
      <c r="PU37" s="16"/>
      <c r="PV37" s="16">
        <v>41.03</v>
      </c>
      <c r="PW37" s="16">
        <v>2</v>
      </c>
      <c r="PX37" s="16">
        <v>3.73</v>
      </c>
      <c r="PY37" s="16"/>
      <c r="PZ37" s="16"/>
      <c r="QA37" s="16"/>
      <c r="QB37" s="16"/>
      <c r="QC37" s="16">
        <v>0</v>
      </c>
      <c r="QD37" s="16">
        <v>0</v>
      </c>
      <c r="QE37" s="16">
        <v>0</v>
      </c>
      <c r="QF37" s="16">
        <v>0</v>
      </c>
      <c r="QG37" s="16">
        <v>0</v>
      </c>
      <c r="QH37" s="16">
        <v>0</v>
      </c>
      <c r="QI37" s="16">
        <v>0</v>
      </c>
      <c r="QJ37">
        <v>0</v>
      </c>
      <c r="QK37" t="s">
        <v>357</v>
      </c>
      <c r="QL37">
        <v>27.5</v>
      </c>
      <c r="QM37" s="16">
        <v>76.2</v>
      </c>
      <c r="QN37" s="16">
        <v>80.400000000000006</v>
      </c>
      <c r="QO37" s="16">
        <v>15.3</v>
      </c>
      <c r="QP37">
        <v>87.64</v>
      </c>
      <c r="QR37">
        <v>0</v>
      </c>
      <c r="QS37">
        <v>0</v>
      </c>
      <c r="QT37">
        <v>12.36</v>
      </c>
      <c r="QU37">
        <v>0</v>
      </c>
      <c r="QV37">
        <v>0</v>
      </c>
      <c r="QX37">
        <v>0</v>
      </c>
      <c r="QY37">
        <v>0</v>
      </c>
      <c r="QZ37">
        <v>0</v>
      </c>
      <c r="RA37">
        <v>24.9</v>
      </c>
      <c r="RB37">
        <v>31.99</v>
      </c>
      <c r="RC37">
        <v>18.66</v>
      </c>
      <c r="RD37">
        <v>0</v>
      </c>
      <c r="RE37">
        <v>0</v>
      </c>
      <c r="RF37">
        <v>4.8</v>
      </c>
      <c r="RG37">
        <v>5</v>
      </c>
      <c r="RH37">
        <v>50</v>
      </c>
      <c r="RI37">
        <v>4</v>
      </c>
      <c r="RN37">
        <v>50</v>
      </c>
      <c r="RO37">
        <v>4</v>
      </c>
      <c r="RT37">
        <v>5.5</v>
      </c>
      <c r="RU37">
        <v>0</v>
      </c>
      <c r="SF37" s="20"/>
      <c r="SX37">
        <v>1</v>
      </c>
      <c r="SY37">
        <v>50</v>
      </c>
      <c r="SZ37">
        <v>4</v>
      </c>
      <c r="TA37">
        <v>3.59</v>
      </c>
      <c r="TB37">
        <v>3</v>
      </c>
      <c r="TC37">
        <v>70</v>
      </c>
      <c r="TD37">
        <v>14</v>
      </c>
      <c r="TE37">
        <v>4.93</v>
      </c>
      <c r="TF37">
        <v>2</v>
      </c>
      <c r="UI37" s="16">
        <v>0.75</v>
      </c>
      <c r="UJ37" s="16">
        <v>1</v>
      </c>
      <c r="UK37" s="16">
        <v>1</v>
      </c>
      <c r="UL37" s="16"/>
      <c r="UM37" s="16">
        <v>9.9600000000000009</v>
      </c>
      <c r="UN37" s="16"/>
      <c r="UO37" s="16"/>
      <c r="UP37" s="16"/>
      <c r="UQ37" s="16"/>
      <c r="UR37" s="16"/>
      <c r="US37" s="16"/>
      <c r="UT37" s="16">
        <v>0</v>
      </c>
      <c r="UU37" s="16">
        <v>0</v>
      </c>
      <c r="UV37" s="16">
        <v>0</v>
      </c>
      <c r="UW37" s="16">
        <v>0</v>
      </c>
      <c r="UX37" s="16">
        <v>0</v>
      </c>
      <c r="UY37" s="16">
        <v>0</v>
      </c>
      <c r="UZ37" s="16">
        <v>0</v>
      </c>
      <c r="VA37">
        <v>0</v>
      </c>
      <c r="VE37" s="15"/>
      <c r="VF37" s="15"/>
      <c r="VM37" s="15"/>
      <c r="VN37" s="15"/>
      <c r="VU37" s="15"/>
      <c r="VV37" s="15"/>
      <c r="WC37" s="15"/>
      <c r="WD37" s="15"/>
      <c r="WK37" s="15"/>
      <c r="WL37" s="15"/>
      <c r="WS37" s="15"/>
      <c r="WT37" s="15"/>
      <c r="XA37" s="15"/>
      <c r="XB37" s="15"/>
      <c r="XI37" s="15"/>
      <c r="XJ37" s="15"/>
      <c r="XQ37" s="15"/>
      <c r="XR37" s="15"/>
      <c r="XY37" s="15"/>
      <c r="XZ37" s="15"/>
      <c r="YG37" s="15"/>
      <c r="YH37" s="15"/>
      <c r="YO37" s="15"/>
      <c r="YP37" s="15"/>
      <c r="YW37" s="15"/>
      <c r="YX37" s="15"/>
      <c r="ZE37" s="15"/>
      <c r="ZF37" s="15"/>
      <c r="ZM37" s="15"/>
      <c r="ZN37" s="15"/>
      <c r="ZU37" s="15"/>
      <c r="ZV37" s="15"/>
      <c r="AAC37" s="15"/>
      <c r="AAD37" s="15"/>
      <c r="AAK37" s="15"/>
      <c r="AAL37" s="15"/>
      <c r="AAS37" s="15"/>
      <c r="AAT37" s="15"/>
      <c r="ABA37" s="15"/>
      <c r="ABB37" s="15"/>
      <c r="ABI37" s="15"/>
      <c r="ABJ37" s="15"/>
      <c r="ABQ37" s="15"/>
      <c r="ABR37" s="15"/>
      <c r="ABY37" s="15"/>
      <c r="ABZ37" s="15"/>
      <c r="ACG37" s="15"/>
      <c r="ACH37" s="15"/>
      <c r="ACO37" s="15"/>
      <c r="ACP37" s="15"/>
      <c r="ACW37" s="15"/>
      <c r="ACX37" s="15"/>
      <c r="ADE37" s="15"/>
      <c r="ADF37" s="15"/>
      <c r="ADM37" s="15"/>
      <c r="ADN37" s="15"/>
      <c r="ADU37" s="15"/>
      <c r="ADV37" s="15"/>
      <c r="AEC37" s="15"/>
      <c r="AED37" s="15"/>
      <c r="AEK37" s="15"/>
      <c r="AEL37" s="15"/>
      <c r="AES37" s="15"/>
      <c r="AET37" s="15"/>
      <c r="AFA37" s="15"/>
      <c r="AFB37" s="15"/>
      <c r="AFI37" s="15"/>
      <c r="AFJ37" s="15"/>
      <c r="AFQ37" s="15"/>
      <c r="AFR37" s="15"/>
      <c r="AFY37" s="15"/>
      <c r="AFZ37" s="15"/>
      <c r="AGG37" s="15"/>
      <c r="AGH37" s="15"/>
      <c r="AGO37" s="15"/>
      <c r="AGP37" s="15"/>
      <c r="AGW37" s="15"/>
      <c r="AGX37" s="15"/>
      <c r="AHE37" s="15"/>
      <c r="AHF37" s="15"/>
      <c r="AHM37" s="15"/>
      <c r="AHN37" s="15"/>
      <c r="AHU37" s="15"/>
      <c r="AHV37" s="15"/>
      <c r="AIC37" s="15"/>
      <c r="AID37" s="15"/>
      <c r="AIK37" s="15"/>
      <c r="AIL37" s="15"/>
      <c r="AIS37" s="15"/>
      <c r="AIT37" s="15"/>
      <c r="AJA37" s="15"/>
      <c r="AJB37" s="15"/>
      <c r="AJI37" s="15"/>
      <c r="AJJ37" s="15"/>
      <c r="AJQ37" s="15"/>
      <c r="AJR37" s="15"/>
      <c r="AJY37" s="15"/>
      <c r="AJZ37" s="15"/>
      <c r="AKG37" s="15"/>
      <c r="AKH37" s="15"/>
      <c r="AKO37" s="15"/>
      <c r="AKP37" s="15"/>
      <c r="AKW37" s="15"/>
      <c r="AKX37" s="15"/>
      <c r="ALE37" s="15"/>
      <c r="ALF37" s="15"/>
      <c r="ALM37" s="15"/>
      <c r="ALN37" s="15"/>
      <c r="ALU37" s="15"/>
      <c r="ALV37" s="15"/>
      <c r="AMC37" s="15"/>
      <c r="AMD37" s="15"/>
    </row>
    <row r="38" spans="1:1018" x14ac:dyDescent="0.2">
      <c r="A38" s="1" t="s">
        <v>372</v>
      </c>
      <c r="B38" s="12">
        <v>42899</v>
      </c>
      <c r="C38">
        <v>1</v>
      </c>
      <c r="D38" s="13">
        <v>42790</v>
      </c>
      <c r="E38" s="12">
        <v>29837</v>
      </c>
      <c r="F38" s="14">
        <f t="shared" si="0"/>
        <v>35.761806981519506</v>
      </c>
      <c r="G38" s="14">
        <f t="shared" si="1"/>
        <v>0.29842573579739906</v>
      </c>
      <c r="H38" s="15" t="s">
        <v>183</v>
      </c>
      <c r="I38" s="15" t="s">
        <v>347</v>
      </c>
      <c r="J38" s="21" t="s">
        <v>181</v>
      </c>
      <c r="K38" s="21">
        <v>4</v>
      </c>
      <c r="L38" s="19">
        <v>87</v>
      </c>
      <c r="M38">
        <v>1.57</v>
      </c>
      <c r="N38" s="16">
        <f t="shared" si="2"/>
        <v>35.295549515193315</v>
      </c>
      <c r="O38" s="19">
        <v>0</v>
      </c>
      <c r="P38" s="19">
        <v>0</v>
      </c>
      <c r="Q38" s="19">
        <v>0</v>
      </c>
      <c r="R38" s="19">
        <v>0</v>
      </c>
      <c r="S38" s="19">
        <v>0</v>
      </c>
      <c r="T38" s="19">
        <v>0</v>
      </c>
      <c r="U38" s="19">
        <v>0</v>
      </c>
      <c r="V38" s="19">
        <v>0</v>
      </c>
      <c r="W38" s="19">
        <v>0</v>
      </c>
      <c r="X38" s="19">
        <v>0</v>
      </c>
      <c r="Y38" s="19">
        <v>1</v>
      </c>
      <c r="Z38" s="19">
        <v>2</v>
      </c>
      <c r="AA38" s="19">
        <v>60</v>
      </c>
      <c r="AB38" s="19" t="s">
        <v>215</v>
      </c>
      <c r="AC38" s="19">
        <v>0</v>
      </c>
      <c r="AD38" s="19">
        <v>0</v>
      </c>
      <c r="AE38" s="19">
        <v>0</v>
      </c>
      <c r="AF38" s="19">
        <v>0</v>
      </c>
      <c r="AG38" s="19">
        <v>0</v>
      </c>
      <c r="AH38" s="19">
        <v>0</v>
      </c>
      <c r="AI38" s="19">
        <v>0</v>
      </c>
      <c r="AJ38" s="19">
        <v>0</v>
      </c>
      <c r="AK38" s="19">
        <v>0</v>
      </c>
      <c r="AL38" s="19">
        <v>0</v>
      </c>
      <c r="AM38" s="19">
        <v>0</v>
      </c>
      <c r="AN38" s="19">
        <v>0</v>
      </c>
      <c r="AO38" s="19">
        <v>0</v>
      </c>
      <c r="AP38" s="19">
        <v>0</v>
      </c>
      <c r="AQ38" s="19">
        <v>0</v>
      </c>
      <c r="AR38" s="19">
        <v>0</v>
      </c>
      <c r="AS38" s="19">
        <v>0</v>
      </c>
      <c r="AT38" s="19">
        <v>0</v>
      </c>
      <c r="AU38" s="19">
        <v>0</v>
      </c>
      <c r="AV38" s="19">
        <v>0</v>
      </c>
      <c r="AW38" s="19">
        <v>0</v>
      </c>
      <c r="AX38" s="19">
        <v>0</v>
      </c>
      <c r="AY38" s="19">
        <v>0</v>
      </c>
      <c r="AZ38" s="19">
        <v>0</v>
      </c>
      <c r="BA38" s="19">
        <v>0</v>
      </c>
      <c r="BB38" s="19">
        <v>0</v>
      </c>
      <c r="BC38" s="19">
        <v>0</v>
      </c>
      <c r="BD38" s="19">
        <v>0</v>
      </c>
      <c r="BE38" s="19">
        <v>0</v>
      </c>
      <c r="BF38" s="19">
        <v>0</v>
      </c>
      <c r="BG38" s="19">
        <v>0</v>
      </c>
      <c r="BH38" s="19">
        <v>0</v>
      </c>
      <c r="BI38" s="19">
        <v>0</v>
      </c>
      <c r="BJ38" s="19">
        <v>0</v>
      </c>
      <c r="BK38" s="19">
        <v>0</v>
      </c>
      <c r="BL38" s="19">
        <v>0</v>
      </c>
      <c r="BM38" s="19">
        <v>0</v>
      </c>
      <c r="BN38" s="19">
        <v>0</v>
      </c>
      <c r="BO38" s="19">
        <v>0</v>
      </c>
      <c r="BP38" s="19">
        <v>0</v>
      </c>
      <c r="BQ38" s="19">
        <v>0</v>
      </c>
      <c r="BR38" s="19">
        <v>1</v>
      </c>
      <c r="BS38" s="19">
        <v>1</v>
      </c>
      <c r="BT38" s="19">
        <v>1</v>
      </c>
      <c r="BU38" s="19">
        <v>2</v>
      </c>
      <c r="BV38" s="19">
        <v>1</v>
      </c>
      <c r="BW38" s="19">
        <v>1</v>
      </c>
      <c r="BX38" s="19">
        <v>1</v>
      </c>
      <c r="BY38" s="19">
        <v>2</v>
      </c>
      <c r="BZ38" s="19">
        <v>3</v>
      </c>
      <c r="CA38" s="19">
        <v>5</v>
      </c>
      <c r="CB38" s="19">
        <v>5</v>
      </c>
      <c r="CC38" s="19">
        <v>5</v>
      </c>
      <c r="CD38" s="19">
        <v>4</v>
      </c>
      <c r="CE38" s="19">
        <v>5</v>
      </c>
      <c r="CF38" s="19">
        <v>3</v>
      </c>
      <c r="CG38" s="19">
        <v>5</v>
      </c>
      <c r="CH38" s="19">
        <v>5</v>
      </c>
      <c r="CI38" s="19">
        <v>5</v>
      </c>
      <c r="CJ38" s="19">
        <v>5</v>
      </c>
      <c r="CK38" s="19">
        <v>10</v>
      </c>
      <c r="CL38" t="s">
        <v>355</v>
      </c>
      <c r="CM38">
        <v>37</v>
      </c>
      <c r="CN38" s="16">
        <v>95.1</v>
      </c>
      <c r="CO38" s="16">
        <v>80.400000000000006</v>
      </c>
      <c r="CP38" s="16">
        <v>15.9</v>
      </c>
      <c r="CQ38">
        <v>82.71</v>
      </c>
      <c r="CS38">
        <v>10.32</v>
      </c>
      <c r="CT38">
        <v>0.39</v>
      </c>
      <c r="CU38">
        <v>10.32</v>
      </c>
      <c r="CV38">
        <v>0</v>
      </c>
      <c r="CW38">
        <v>0</v>
      </c>
      <c r="CY38">
        <v>0</v>
      </c>
      <c r="CZ38">
        <v>0</v>
      </c>
      <c r="DA38">
        <v>0</v>
      </c>
      <c r="DB38">
        <v>1.9</v>
      </c>
      <c r="DC38">
        <v>26.26</v>
      </c>
      <c r="DD38">
        <v>6.04</v>
      </c>
      <c r="DE38">
        <v>2.19</v>
      </c>
      <c r="DF38">
        <v>0</v>
      </c>
      <c r="DG38">
        <v>0</v>
      </c>
      <c r="DH38">
        <v>0</v>
      </c>
      <c r="DU38">
        <v>14.7</v>
      </c>
      <c r="DV38">
        <v>1</v>
      </c>
      <c r="DW38">
        <v>35</v>
      </c>
      <c r="DX38">
        <v>2</v>
      </c>
      <c r="DY38">
        <v>1.8</v>
      </c>
      <c r="DZ38">
        <v>3</v>
      </c>
      <c r="EG38" s="20"/>
      <c r="EY38">
        <v>1</v>
      </c>
      <c r="EZ38">
        <v>50</v>
      </c>
      <c r="FA38">
        <v>1</v>
      </c>
      <c r="FB38">
        <v>1.34</v>
      </c>
      <c r="FC38">
        <v>2</v>
      </c>
      <c r="FD38">
        <v>40</v>
      </c>
      <c r="FE38">
        <v>1</v>
      </c>
      <c r="FF38">
        <v>0.9</v>
      </c>
      <c r="FG38">
        <v>3</v>
      </c>
      <c r="FH38">
        <v>50</v>
      </c>
      <c r="FI38">
        <v>1</v>
      </c>
      <c r="FJ38">
        <v>0.9</v>
      </c>
      <c r="FK38">
        <v>3</v>
      </c>
      <c r="FL38">
        <v>80</v>
      </c>
      <c r="FM38">
        <v>2</v>
      </c>
      <c r="FN38">
        <v>2.68</v>
      </c>
      <c r="FO38">
        <v>2</v>
      </c>
      <c r="FP38">
        <v>100</v>
      </c>
      <c r="FQ38">
        <v>1</v>
      </c>
      <c r="FR38">
        <v>2.57</v>
      </c>
      <c r="FS38">
        <v>2</v>
      </c>
      <c r="GJ38">
        <v>0</v>
      </c>
      <c r="GK38" s="19">
        <v>0</v>
      </c>
      <c r="GL38" s="19"/>
      <c r="GM38" s="13"/>
      <c r="GN38" s="13"/>
      <c r="GO38" s="19"/>
      <c r="GP38" s="13"/>
      <c r="GQ38" s="13"/>
      <c r="GR38" s="13"/>
      <c r="GS38" s="13"/>
      <c r="GT38" s="13"/>
      <c r="GU38" s="16">
        <v>5.1100000000000003</v>
      </c>
      <c r="GV38">
        <v>4.8099999999999996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 t="s">
        <v>351</v>
      </c>
      <c r="HD38">
        <v>30.5</v>
      </c>
      <c r="HE38" s="16">
        <v>68.400000000000006</v>
      </c>
      <c r="HF38" s="16">
        <v>80.400000000000006</v>
      </c>
      <c r="HG38" s="16">
        <v>19.8</v>
      </c>
      <c r="HH38">
        <v>72.42</v>
      </c>
      <c r="HJ38">
        <v>0.94</v>
      </c>
      <c r="HK38">
        <v>0.94</v>
      </c>
      <c r="HL38">
        <v>25.7</v>
      </c>
      <c r="HM38">
        <v>0</v>
      </c>
      <c r="HN38">
        <v>0</v>
      </c>
      <c r="HP38">
        <v>0</v>
      </c>
      <c r="HQ38">
        <v>0</v>
      </c>
      <c r="HR38">
        <v>0</v>
      </c>
      <c r="HS38">
        <v>0</v>
      </c>
      <c r="HT38">
        <v>28.26</v>
      </c>
      <c r="HU38">
        <v>10.55</v>
      </c>
      <c r="HV38">
        <v>14.21</v>
      </c>
      <c r="HW38">
        <v>0</v>
      </c>
      <c r="HX38">
        <v>0</v>
      </c>
      <c r="HY38">
        <v>0</v>
      </c>
      <c r="IL38">
        <v>3.3</v>
      </c>
      <c r="IM38">
        <v>1</v>
      </c>
      <c r="IN38">
        <v>68</v>
      </c>
      <c r="IO38">
        <v>2</v>
      </c>
      <c r="IP38">
        <v>1.52</v>
      </c>
      <c r="IQ38">
        <v>1</v>
      </c>
      <c r="IX38" s="20"/>
      <c r="JP38">
        <v>0</v>
      </c>
      <c r="LA38" s="16">
        <v>0</v>
      </c>
      <c r="LB38" s="16">
        <v>0</v>
      </c>
      <c r="LC38" s="16"/>
      <c r="LD38" s="16"/>
      <c r="LE38" s="16"/>
      <c r="LF38" s="16"/>
      <c r="LG38" s="16"/>
      <c r="LH38" s="16"/>
      <c r="LI38" s="16"/>
      <c r="LJ38" s="16"/>
      <c r="LK38" s="16"/>
      <c r="LL38" s="16">
        <v>0.81</v>
      </c>
      <c r="LM38" s="16">
        <v>0.8</v>
      </c>
      <c r="LN38" s="16">
        <v>0</v>
      </c>
      <c r="LO38" s="16">
        <v>0</v>
      </c>
      <c r="LP38" s="16">
        <v>2.99</v>
      </c>
      <c r="LQ38" s="16">
        <v>5.71</v>
      </c>
      <c r="LR38" s="16">
        <v>0</v>
      </c>
      <c r="LS38">
        <v>0</v>
      </c>
      <c r="LT38" t="s">
        <v>356</v>
      </c>
      <c r="LU38">
        <v>39.5</v>
      </c>
      <c r="LV38" s="16">
        <v>85.1</v>
      </c>
      <c r="LW38" s="16">
        <v>80.400000000000006</v>
      </c>
      <c r="LX38" s="16">
        <v>13.6</v>
      </c>
      <c r="LY38">
        <v>87.38</v>
      </c>
      <c r="MA38">
        <v>8.0500000000000007</v>
      </c>
      <c r="MB38">
        <v>0</v>
      </c>
      <c r="MC38">
        <v>4.57</v>
      </c>
      <c r="MD38">
        <v>0</v>
      </c>
      <c r="ME38">
        <v>0</v>
      </c>
      <c r="MG38">
        <v>0</v>
      </c>
      <c r="MH38">
        <v>0</v>
      </c>
      <c r="MI38">
        <v>0</v>
      </c>
      <c r="MJ38">
        <v>0</v>
      </c>
      <c r="MK38">
        <v>45</v>
      </c>
      <c r="ML38">
        <v>10.1</v>
      </c>
      <c r="MM38">
        <v>11.8</v>
      </c>
      <c r="MN38">
        <v>0</v>
      </c>
      <c r="MO38">
        <v>0</v>
      </c>
      <c r="MP38">
        <v>0</v>
      </c>
      <c r="NC38">
        <v>17.8</v>
      </c>
      <c r="ND38">
        <v>1</v>
      </c>
      <c r="NE38">
        <v>30</v>
      </c>
      <c r="NF38">
        <v>7</v>
      </c>
      <c r="NG38">
        <v>5.33</v>
      </c>
      <c r="NH38">
        <v>3</v>
      </c>
      <c r="NO38" s="20"/>
      <c r="OG38">
        <v>1</v>
      </c>
      <c r="OH38">
        <v>50</v>
      </c>
      <c r="OI38">
        <v>1</v>
      </c>
      <c r="OJ38">
        <v>0.03</v>
      </c>
      <c r="OK38">
        <v>1</v>
      </c>
      <c r="PR38" s="16">
        <v>3.96</v>
      </c>
      <c r="PS38" s="16">
        <v>1</v>
      </c>
      <c r="PT38" s="16">
        <v>1</v>
      </c>
      <c r="PU38" s="16"/>
      <c r="PV38" s="16">
        <v>41.03</v>
      </c>
      <c r="PW38" s="16">
        <v>2</v>
      </c>
      <c r="PX38" s="16">
        <v>3.73</v>
      </c>
      <c r="PY38" s="16"/>
      <c r="PZ38" s="16"/>
      <c r="QA38" s="16"/>
      <c r="QB38" s="16"/>
      <c r="QC38" s="16">
        <v>0</v>
      </c>
      <c r="QD38" s="16">
        <v>0</v>
      </c>
      <c r="QE38" s="16">
        <v>0</v>
      </c>
      <c r="QF38" s="16">
        <v>0</v>
      </c>
      <c r="QG38" s="16">
        <v>0</v>
      </c>
      <c r="QH38" s="16">
        <v>0</v>
      </c>
      <c r="QI38" s="16">
        <v>0</v>
      </c>
      <c r="QJ38">
        <v>0</v>
      </c>
      <c r="QK38" t="s">
        <v>373</v>
      </c>
      <c r="QL38">
        <v>27.5</v>
      </c>
      <c r="QM38" s="16">
        <v>79.099999999999994</v>
      </c>
      <c r="QN38" s="16">
        <v>80.400000000000006</v>
      </c>
      <c r="QO38" s="16">
        <v>15.3</v>
      </c>
      <c r="QP38">
        <v>87.64</v>
      </c>
      <c r="QR38">
        <v>0</v>
      </c>
      <c r="QS38">
        <v>0</v>
      </c>
      <c r="QT38">
        <v>12.36</v>
      </c>
      <c r="QU38">
        <v>0</v>
      </c>
      <c r="QV38">
        <v>0</v>
      </c>
      <c r="QX38">
        <v>0</v>
      </c>
      <c r="QY38">
        <v>0</v>
      </c>
      <c r="QZ38">
        <v>0</v>
      </c>
      <c r="RA38">
        <v>24.9</v>
      </c>
      <c r="RB38">
        <v>31.79</v>
      </c>
      <c r="RC38">
        <v>18.86</v>
      </c>
      <c r="RD38">
        <v>0</v>
      </c>
      <c r="RE38">
        <v>0</v>
      </c>
      <c r="RF38">
        <v>4.8</v>
      </c>
      <c r="RG38">
        <v>5</v>
      </c>
      <c r="RH38">
        <v>50</v>
      </c>
      <c r="RI38">
        <v>4</v>
      </c>
      <c r="RN38">
        <v>50</v>
      </c>
      <c r="RO38">
        <v>4</v>
      </c>
      <c r="RT38">
        <v>5.5</v>
      </c>
      <c r="RU38">
        <v>0</v>
      </c>
      <c r="SF38" s="20"/>
      <c r="SX38">
        <v>1</v>
      </c>
      <c r="SY38">
        <v>50</v>
      </c>
      <c r="SZ38">
        <v>4</v>
      </c>
      <c r="TA38">
        <v>3.59</v>
      </c>
      <c r="TB38">
        <v>3</v>
      </c>
      <c r="TC38">
        <v>70</v>
      </c>
      <c r="TD38">
        <v>14</v>
      </c>
      <c r="TE38">
        <v>4.93</v>
      </c>
      <c r="TF38">
        <v>2</v>
      </c>
      <c r="UI38" s="16">
        <v>0.75</v>
      </c>
      <c r="UJ38" s="16">
        <v>1</v>
      </c>
      <c r="UK38" s="16">
        <v>1</v>
      </c>
      <c r="UL38" s="16"/>
      <c r="UM38" s="16">
        <v>9.9600000000000009</v>
      </c>
      <c r="UN38" s="16"/>
      <c r="UO38" s="16"/>
      <c r="UP38" s="16"/>
      <c r="UQ38" s="16"/>
      <c r="UR38" s="16"/>
      <c r="US38" s="16"/>
      <c r="UT38" s="16">
        <v>0</v>
      </c>
      <c r="UU38" s="16">
        <v>0</v>
      </c>
      <c r="UV38" s="16">
        <v>0</v>
      </c>
      <c r="UW38" s="16">
        <v>0</v>
      </c>
      <c r="UX38" s="16">
        <v>0</v>
      </c>
      <c r="UY38" s="16">
        <v>0</v>
      </c>
      <c r="UZ38" s="16">
        <v>0</v>
      </c>
      <c r="VA38">
        <v>0</v>
      </c>
      <c r="VB38" t="s">
        <v>370</v>
      </c>
      <c r="VC38">
        <v>80.5</v>
      </c>
      <c r="VD38" s="16">
        <v>42.5</v>
      </c>
      <c r="VE38" s="16">
        <v>80.400000000000006</v>
      </c>
      <c r="VF38" s="16">
        <v>4.3</v>
      </c>
      <c r="VG38">
        <v>100</v>
      </c>
      <c r="VI38">
        <v>0</v>
      </c>
      <c r="VJ38">
        <v>0</v>
      </c>
      <c r="VK38">
        <v>0</v>
      </c>
      <c r="VL38">
        <v>0</v>
      </c>
      <c r="VM38">
        <v>0</v>
      </c>
      <c r="VO38">
        <v>0</v>
      </c>
      <c r="VP38">
        <v>0</v>
      </c>
      <c r="VQ38">
        <v>0</v>
      </c>
      <c r="VR38">
        <v>0</v>
      </c>
      <c r="VS38">
        <v>61.07</v>
      </c>
      <c r="VT38">
        <v>4</v>
      </c>
      <c r="VU38">
        <v>0.14000000000000001</v>
      </c>
      <c r="VV38">
        <v>0</v>
      </c>
      <c r="VW38">
        <v>15.7</v>
      </c>
      <c r="VX38">
        <v>1</v>
      </c>
      <c r="VY38">
        <v>3</v>
      </c>
      <c r="WA38">
        <v>1</v>
      </c>
      <c r="WE38">
        <v>3</v>
      </c>
      <c r="WG38">
        <v>1</v>
      </c>
      <c r="WK38">
        <v>12.4</v>
      </c>
      <c r="WL38">
        <v>1</v>
      </c>
      <c r="WM38">
        <v>34</v>
      </c>
      <c r="WN38">
        <v>4</v>
      </c>
      <c r="WO38">
        <v>1.28</v>
      </c>
      <c r="WP38">
        <v>1</v>
      </c>
      <c r="WW38" s="20"/>
      <c r="XO38">
        <v>1</v>
      </c>
      <c r="XP38">
        <v>50</v>
      </c>
      <c r="XQ38">
        <v>2</v>
      </c>
      <c r="XR38">
        <v>2.2799999999999998</v>
      </c>
      <c r="XS38">
        <v>3</v>
      </c>
      <c r="XT38">
        <v>50</v>
      </c>
      <c r="XU38">
        <v>12</v>
      </c>
      <c r="XV38">
        <v>8.75</v>
      </c>
      <c r="XW38">
        <v>4</v>
      </c>
      <c r="YZ38" s="16">
        <v>0.63</v>
      </c>
      <c r="ZA38" s="16">
        <v>1</v>
      </c>
      <c r="ZB38" s="16">
        <v>1</v>
      </c>
      <c r="ZC38" s="16"/>
      <c r="ZD38" s="16">
        <v>7.46</v>
      </c>
      <c r="ZE38" s="16"/>
      <c r="ZF38" s="16"/>
      <c r="ZG38" s="16"/>
      <c r="ZH38" s="16"/>
      <c r="ZI38" s="16"/>
      <c r="ZJ38" s="16"/>
      <c r="ZK38" s="16">
        <v>8.4700000000000006</v>
      </c>
      <c r="ZL38" s="16">
        <v>4.95</v>
      </c>
      <c r="ZM38" s="16">
        <v>0</v>
      </c>
      <c r="ZN38" s="16">
        <v>0</v>
      </c>
      <c r="ZO38" s="16">
        <v>0</v>
      </c>
      <c r="ZP38" s="16">
        <v>0</v>
      </c>
      <c r="ZQ38" s="16">
        <v>0</v>
      </c>
      <c r="ZR38">
        <v>0</v>
      </c>
      <c r="ZU38" s="15"/>
      <c r="ZV38" s="15"/>
      <c r="AAC38" s="15"/>
      <c r="AAD38" s="15"/>
      <c r="AAK38" s="15"/>
      <c r="AAL38" s="15"/>
      <c r="AAS38" s="15"/>
      <c r="AAT38" s="15"/>
      <c r="ABA38" s="15"/>
      <c r="ABB38" s="15"/>
      <c r="ABI38" s="15"/>
      <c r="ABJ38" s="15"/>
      <c r="ABQ38" s="15"/>
      <c r="ABR38" s="15"/>
      <c r="ABY38" s="15"/>
      <c r="ABZ38" s="15"/>
      <c r="ACG38" s="15"/>
      <c r="ACH38" s="15"/>
      <c r="ACO38" s="15"/>
      <c r="ACP38" s="15"/>
      <c r="ACW38" s="15"/>
      <c r="ACX38" s="15"/>
      <c r="ADE38" s="15"/>
      <c r="ADF38" s="15"/>
      <c r="ADM38" s="15"/>
      <c r="ADN38" s="15"/>
      <c r="ADU38" s="15"/>
      <c r="ADV38" s="15"/>
      <c r="AEC38" s="15"/>
      <c r="AED38" s="15"/>
      <c r="AEK38" s="15"/>
      <c r="AEL38" s="15"/>
      <c r="AES38" s="15"/>
      <c r="AET38" s="15"/>
      <c r="AFA38" s="15"/>
      <c r="AFB38" s="15"/>
      <c r="AFI38" s="15"/>
      <c r="AFJ38" s="15"/>
      <c r="AFQ38" s="15"/>
      <c r="AFR38" s="15"/>
      <c r="AFY38" s="15"/>
      <c r="AFZ38" s="15"/>
      <c r="AGG38" s="15"/>
      <c r="AGH38" s="15"/>
      <c r="AGO38" s="15"/>
      <c r="AGP38" s="15"/>
      <c r="AGW38" s="15"/>
      <c r="AGX38" s="15"/>
      <c r="AHE38" s="15"/>
      <c r="AHF38" s="15"/>
      <c r="AHM38" s="15"/>
      <c r="AHN38" s="15"/>
      <c r="AHU38" s="15"/>
      <c r="AHV38" s="15"/>
      <c r="AIC38" s="15"/>
      <c r="AID38" s="15"/>
      <c r="AIK38" s="15"/>
      <c r="AIL38" s="15"/>
      <c r="AIS38" s="15"/>
      <c r="AIT38" s="15"/>
      <c r="AJA38" s="15"/>
      <c r="AJB38" s="15"/>
      <c r="AJI38" s="15"/>
      <c r="AJJ38" s="15"/>
      <c r="AJQ38" s="15"/>
      <c r="AJR38" s="15"/>
      <c r="AJY38" s="15"/>
      <c r="AJZ38" s="15"/>
      <c r="AKG38" s="15"/>
      <c r="AKH38" s="15"/>
      <c r="AKO38" s="15"/>
      <c r="AKP38" s="15"/>
      <c r="AKW38" s="15"/>
      <c r="AKX38" s="15"/>
      <c r="ALE38" s="15"/>
      <c r="ALF38" s="15"/>
      <c r="ALM38" s="15"/>
      <c r="ALN38" s="15"/>
      <c r="ALU38" s="15"/>
      <c r="ALV38" s="15"/>
      <c r="AMC38" s="15"/>
      <c r="AMD38" s="15"/>
    </row>
    <row r="39" spans="1:1018" x14ac:dyDescent="0.2">
      <c r="A39" s="1" t="s">
        <v>374</v>
      </c>
      <c r="B39" s="12">
        <v>42900</v>
      </c>
      <c r="C39">
        <v>1</v>
      </c>
      <c r="D39" s="13">
        <v>42801</v>
      </c>
      <c r="E39" s="12">
        <v>34661</v>
      </c>
      <c r="F39" s="14">
        <f t="shared" si="0"/>
        <v>22.557152635181382</v>
      </c>
      <c r="G39" s="14">
        <f t="shared" si="1"/>
        <v>0.27104722792607805</v>
      </c>
      <c r="H39" s="15" t="s">
        <v>183</v>
      </c>
      <c r="I39" s="15" t="s">
        <v>347</v>
      </c>
      <c r="J39" s="21" t="s">
        <v>181</v>
      </c>
      <c r="K39" s="21">
        <v>4</v>
      </c>
      <c r="L39" s="19">
        <v>53</v>
      </c>
      <c r="M39">
        <v>1.64</v>
      </c>
      <c r="N39" s="16">
        <f t="shared" si="2"/>
        <v>19.705532421177875</v>
      </c>
      <c r="O39" s="19">
        <v>0</v>
      </c>
      <c r="P39" s="19">
        <v>0</v>
      </c>
      <c r="Q39" s="19">
        <v>0</v>
      </c>
      <c r="R39" s="19">
        <v>0</v>
      </c>
      <c r="S39" s="19">
        <v>0</v>
      </c>
      <c r="T39" s="19">
        <v>0</v>
      </c>
      <c r="U39" s="19">
        <v>0</v>
      </c>
      <c r="V39" s="19">
        <v>0</v>
      </c>
      <c r="W39" s="19">
        <v>0</v>
      </c>
      <c r="X39" s="19">
        <v>0</v>
      </c>
      <c r="Y39" s="19">
        <v>0</v>
      </c>
      <c r="Z39" s="19">
        <v>0</v>
      </c>
      <c r="AA39" s="19">
        <v>0</v>
      </c>
      <c r="AB39" s="19">
        <v>0</v>
      </c>
      <c r="AC39" s="19">
        <v>0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9">
        <v>0</v>
      </c>
      <c r="AJ39" s="19">
        <v>0</v>
      </c>
      <c r="AK39" s="19">
        <v>0</v>
      </c>
      <c r="AL39" s="19">
        <v>0</v>
      </c>
      <c r="AM39" s="19">
        <v>0</v>
      </c>
      <c r="AN39" s="19">
        <v>0</v>
      </c>
      <c r="AO39" s="19">
        <v>0</v>
      </c>
      <c r="AP39" s="19">
        <v>0</v>
      </c>
      <c r="AQ39" s="19">
        <v>0</v>
      </c>
      <c r="AR39" s="19">
        <v>0</v>
      </c>
      <c r="AS39" s="19">
        <v>0</v>
      </c>
      <c r="AT39" s="19">
        <v>0</v>
      </c>
      <c r="AU39" s="19">
        <v>0</v>
      </c>
      <c r="AV39" s="19">
        <v>0</v>
      </c>
      <c r="AW39" s="19">
        <v>0</v>
      </c>
      <c r="AX39" s="19">
        <v>0</v>
      </c>
      <c r="AY39" s="19">
        <v>0</v>
      </c>
      <c r="AZ39" s="19">
        <v>0</v>
      </c>
      <c r="BA39" s="19">
        <v>0</v>
      </c>
      <c r="BB39" s="19">
        <v>0</v>
      </c>
      <c r="BC39" s="19">
        <v>0</v>
      </c>
      <c r="BD39" s="19">
        <v>0</v>
      </c>
      <c r="BE39" s="19">
        <v>0</v>
      </c>
      <c r="BF39" s="19">
        <v>0</v>
      </c>
      <c r="BG39" s="19">
        <v>0</v>
      </c>
      <c r="BH39" s="19">
        <v>0</v>
      </c>
      <c r="BI39" s="19">
        <v>0</v>
      </c>
      <c r="BJ39" s="19">
        <v>0</v>
      </c>
      <c r="BK39" s="19">
        <v>0</v>
      </c>
      <c r="BL39" s="19">
        <v>0</v>
      </c>
      <c r="BM39" s="19">
        <v>0</v>
      </c>
      <c r="BN39" s="19">
        <v>0</v>
      </c>
      <c r="BO39" s="19">
        <v>0</v>
      </c>
      <c r="BP39" s="19">
        <v>0</v>
      </c>
      <c r="BQ39" s="19">
        <v>0</v>
      </c>
      <c r="BR39" s="19">
        <v>1</v>
      </c>
      <c r="BS39" s="19">
        <v>1</v>
      </c>
      <c r="BT39" s="19">
        <v>3</v>
      </c>
      <c r="BU39" s="19">
        <v>5</v>
      </c>
      <c r="BV39" s="19">
        <v>2</v>
      </c>
      <c r="BW39" s="19">
        <v>2</v>
      </c>
      <c r="BX39" s="19">
        <v>2</v>
      </c>
      <c r="BY39" s="19">
        <v>3</v>
      </c>
      <c r="BZ39" s="19">
        <v>4</v>
      </c>
      <c r="CA39" s="19">
        <v>5</v>
      </c>
      <c r="CB39" s="19">
        <v>5</v>
      </c>
      <c r="CC39" s="19">
        <v>5</v>
      </c>
      <c r="CD39" s="19">
        <v>5</v>
      </c>
      <c r="CE39" s="19">
        <v>5</v>
      </c>
      <c r="CF39" s="19">
        <v>4</v>
      </c>
      <c r="CG39" s="19">
        <v>5</v>
      </c>
      <c r="CH39" s="19">
        <v>5</v>
      </c>
      <c r="CI39" s="19">
        <v>5</v>
      </c>
      <c r="CJ39" s="19">
        <v>5</v>
      </c>
      <c r="CK39" s="19">
        <v>10</v>
      </c>
      <c r="CL39" t="s">
        <v>355</v>
      </c>
      <c r="CM39">
        <v>37</v>
      </c>
      <c r="CN39" s="16">
        <v>95.1</v>
      </c>
      <c r="CO39" s="16">
        <v>80.400000000000006</v>
      </c>
      <c r="CP39" s="16">
        <v>15.9</v>
      </c>
      <c r="CQ39">
        <v>82.71</v>
      </c>
      <c r="CS39">
        <v>10.32</v>
      </c>
      <c r="CT39">
        <v>0.39</v>
      </c>
      <c r="CU39">
        <v>10.32</v>
      </c>
      <c r="CV39">
        <v>0</v>
      </c>
      <c r="CW39">
        <v>0</v>
      </c>
      <c r="CY39">
        <v>0</v>
      </c>
      <c r="CZ39">
        <v>0</v>
      </c>
      <c r="DA39">
        <v>0</v>
      </c>
      <c r="DB39">
        <v>1.9</v>
      </c>
      <c r="DC39">
        <v>26.26</v>
      </c>
      <c r="DD39">
        <v>6.04</v>
      </c>
      <c r="DE39">
        <v>2.19</v>
      </c>
      <c r="DF39">
        <v>0</v>
      </c>
      <c r="DG39">
        <v>0</v>
      </c>
      <c r="DH39">
        <v>0</v>
      </c>
      <c r="DU39">
        <v>14.7</v>
      </c>
      <c r="DV39">
        <v>1</v>
      </c>
      <c r="DW39">
        <v>35</v>
      </c>
      <c r="DX39">
        <v>2</v>
      </c>
      <c r="DY39">
        <v>1.8</v>
      </c>
      <c r="DZ39">
        <v>3</v>
      </c>
      <c r="EG39" s="20"/>
      <c r="EY39">
        <v>1</v>
      </c>
      <c r="EZ39">
        <v>50</v>
      </c>
      <c r="FA39">
        <v>1</v>
      </c>
      <c r="FB39">
        <v>1.34</v>
      </c>
      <c r="FC39">
        <v>2</v>
      </c>
      <c r="FD39">
        <v>40</v>
      </c>
      <c r="FE39">
        <v>1</v>
      </c>
      <c r="FF39">
        <v>0.9</v>
      </c>
      <c r="FG39">
        <v>3</v>
      </c>
      <c r="FH39">
        <v>50</v>
      </c>
      <c r="FI39">
        <v>1</v>
      </c>
      <c r="FJ39">
        <v>0.9</v>
      </c>
      <c r="FK39">
        <v>3</v>
      </c>
      <c r="FL39">
        <v>80</v>
      </c>
      <c r="FM39">
        <v>2</v>
      </c>
      <c r="FN39">
        <v>2.68</v>
      </c>
      <c r="FO39">
        <v>2</v>
      </c>
      <c r="FP39">
        <v>100</v>
      </c>
      <c r="FQ39">
        <v>1</v>
      </c>
      <c r="FR39">
        <v>2.57</v>
      </c>
      <c r="FS39">
        <v>2</v>
      </c>
      <c r="GJ39">
        <v>0</v>
      </c>
      <c r="GK39" s="19">
        <v>0</v>
      </c>
      <c r="GL39" s="19"/>
      <c r="GM39" s="13"/>
      <c r="GN39" s="13"/>
      <c r="GO39" s="19"/>
      <c r="GP39" s="13"/>
      <c r="GQ39" s="13"/>
      <c r="GR39" s="13"/>
      <c r="GS39" s="13"/>
      <c r="GT39" s="13"/>
      <c r="GU39" s="16">
        <v>5.1100000000000003</v>
      </c>
      <c r="GV39">
        <v>4.8099999999999996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 t="s">
        <v>361</v>
      </c>
      <c r="HD39">
        <v>74.5</v>
      </c>
      <c r="HE39" s="16">
        <v>76.2</v>
      </c>
      <c r="HF39" s="16">
        <v>80.400000000000006</v>
      </c>
      <c r="HG39" s="16">
        <v>42.8</v>
      </c>
      <c r="HH39">
        <v>57.15</v>
      </c>
      <c r="HI39">
        <v>0.45</v>
      </c>
      <c r="HJ39">
        <v>39.090000000000003</v>
      </c>
      <c r="HK39">
        <v>3.3</v>
      </c>
      <c r="HL39">
        <v>0</v>
      </c>
      <c r="HM39">
        <v>0</v>
      </c>
      <c r="HN39">
        <v>0</v>
      </c>
      <c r="HP39">
        <v>0</v>
      </c>
      <c r="HQ39">
        <v>0</v>
      </c>
      <c r="HR39">
        <v>0</v>
      </c>
      <c r="HS39">
        <v>0</v>
      </c>
      <c r="HT39">
        <v>18.260000000000002</v>
      </c>
      <c r="HU39">
        <v>34.4</v>
      </c>
      <c r="HV39">
        <v>6.27</v>
      </c>
      <c r="HW39">
        <v>0</v>
      </c>
      <c r="HX39">
        <v>0</v>
      </c>
      <c r="HY39">
        <v>0</v>
      </c>
      <c r="IL39">
        <v>18.2</v>
      </c>
      <c r="IM39">
        <v>1</v>
      </c>
      <c r="IN39">
        <v>35</v>
      </c>
      <c r="IO39">
        <v>9</v>
      </c>
      <c r="IP39">
        <v>2.5499999999999998</v>
      </c>
      <c r="IQ39">
        <v>3</v>
      </c>
      <c r="IX39" s="20"/>
      <c r="JP39">
        <v>1</v>
      </c>
      <c r="JQ39">
        <v>50</v>
      </c>
      <c r="JR39">
        <v>8</v>
      </c>
      <c r="JS39">
        <v>2.54</v>
      </c>
      <c r="JT39">
        <v>3</v>
      </c>
      <c r="LA39" s="16">
        <v>7.59</v>
      </c>
      <c r="LB39" s="16">
        <v>1</v>
      </c>
      <c r="LC39" s="16">
        <v>1</v>
      </c>
      <c r="LD39" s="16"/>
      <c r="LE39" s="16">
        <v>22.38</v>
      </c>
      <c r="LF39" s="16">
        <v>2</v>
      </c>
      <c r="LG39" s="16"/>
      <c r="LH39" s="16">
        <v>14.92</v>
      </c>
      <c r="LI39" s="16"/>
      <c r="LJ39" s="16"/>
      <c r="LK39" s="16"/>
      <c r="LL39" s="16">
        <v>5.05</v>
      </c>
      <c r="LM39" s="16">
        <v>1.54</v>
      </c>
      <c r="LN39" s="16">
        <v>0</v>
      </c>
      <c r="LO39" s="16">
        <v>0</v>
      </c>
      <c r="LP39" s="16">
        <v>0</v>
      </c>
      <c r="LQ39" s="16">
        <v>0</v>
      </c>
      <c r="LR39" s="16">
        <v>0</v>
      </c>
      <c r="LS39">
        <v>0</v>
      </c>
      <c r="LT39" t="s">
        <v>351</v>
      </c>
      <c r="LU39">
        <v>30.5</v>
      </c>
      <c r="LV39" s="16">
        <v>68.400000000000006</v>
      </c>
      <c r="LW39" s="16">
        <v>80.400000000000006</v>
      </c>
      <c r="LX39" s="16">
        <v>19.8</v>
      </c>
      <c r="LY39">
        <v>72.42</v>
      </c>
      <c r="MA39">
        <v>0.94</v>
      </c>
      <c r="MB39">
        <v>0.94</v>
      </c>
      <c r="MC39">
        <v>25.7</v>
      </c>
      <c r="MD39">
        <v>0</v>
      </c>
      <c r="ME39">
        <v>0</v>
      </c>
      <c r="MG39">
        <v>0</v>
      </c>
      <c r="MH39">
        <v>0</v>
      </c>
      <c r="MI39">
        <v>0</v>
      </c>
      <c r="MJ39">
        <v>0</v>
      </c>
      <c r="MK39">
        <v>28.26</v>
      </c>
      <c r="ML39">
        <v>10.55</v>
      </c>
      <c r="MM39">
        <v>14.21</v>
      </c>
      <c r="MN39">
        <v>0</v>
      </c>
      <c r="MO39">
        <v>0</v>
      </c>
      <c r="MP39">
        <v>0</v>
      </c>
      <c r="NC39">
        <v>3.3</v>
      </c>
      <c r="ND39">
        <v>1</v>
      </c>
      <c r="NE39">
        <v>68</v>
      </c>
      <c r="NF39">
        <v>2</v>
      </c>
      <c r="NG39">
        <v>1.52</v>
      </c>
      <c r="NH39">
        <v>1</v>
      </c>
      <c r="NO39" s="20"/>
      <c r="OG39">
        <v>0</v>
      </c>
      <c r="PR39" s="16">
        <v>0</v>
      </c>
      <c r="PS39" s="16">
        <v>0</v>
      </c>
      <c r="PT39" s="16"/>
      <c r="PU39" s="16"/>
      <c r="PV39" s="16"/>
      <c r="PW39" s="16"/>
      <c r="PX39" s="16"/>
      <c r="PY39" s="16"/>
      <c r="PZ39" s="16"/>
      <c r="QA39" s="16"/>
      <c r="QB39" s="16"/>
      <c r="QC39" s="16">
        <v>0.81</v>
      </c>
      <c r="QD39" s="16">
        <v>0.8</v>
      </c>
      <c r="QE39" s="16">
        <v>0</v>
      </c>
      <c r="QF39" s="16">
        <v>0</v>
      </c>
      <c r="QG39" s="16">
        <v>2.99</v>
      </c>
      <c r="QH39" s="16">
        <v>5.71</v>
      </c>
      <c r="QI39" s="16">
        <v>0</v>
      </c>
      <c r="QJ39">
        <v>0</v>
      </c>
      <c r="QK39" t="s">
        <v>356</v>
      </c>
      <c r="QL39">
        <v>39.5</v>
      </c>
      <c r="QM39" s="16">
        <v>85.1</v>
      </c>
      <c r="QN39" s="16">
        <v>80.400000000000006</v>
      </c>
      <c r="QO39" s="16">
        <v>13.6</v>
      </c>
      <c r="QP39">
        <v>87.38</v>
      </c>
      <c r="QR39">
        <v>8.0500000000000007</v>
      </c>
      <c r="QS39">
        <v>0</v>
      </c>
      <c r="QT39">
        <v>4.57</v>
      </c>
      <c r="QU39">
        <v>0</v>
      </c>
      <c r="QV39">
        <v>0</v>
      </c>
      <c r="QX39">
        <v>0</v>
      </c>
      <c r="QY39">
        <v>0</v>
      </c>
      <c r="QZ39">
        <v>0</v>
      </c>
      <c r="RA39">
        <v>0</v>
      </c>
      <c r="RB39">
        <v>45</v>
      </c>
      <c r="RC39">
        <v>10.1</v>
      </c>
      <c r="RD39">
        <v>11.8</v>
      </c>
      <c r="RE39">
        <v>0</v>
      </c>
      <c r="RF39">
        <v>0</v>
      </c>
      <c r="RG39">
        <v>0</v>
      </c>
      <c r="RT39">
        <v>17.8</v>
      </c>
      <c r="RU39">
        <v>1</v>
      </c>
      <c r="RV39">
        <v>30</v>
      </c>
      <c r="RW39">
        <v>7</v>
      </c>
      <c r="RX39">
        <v>5.33</v>
      </c>
      <c r="RY39">
        <v>3</v>
      </c>
      <c r="SF39" s="20"/>
      <c r="SX39">
        <v>1</v>
      </c>
      <c r="SY39">
        <v>50</v>
      </c>
      <c r="SZ39">
        <v>1</v>
      </c>
      <c r="TA39">
        <v>0.03</v>
      </c>
      <c r="TB39">
        <v>1</v>
      </c>
      <c r="UI39" s="16">
        <v>3.96</v>
      </c>
      <c r="UJ39" s="16">
        <v>1</v>
      </c>
      <c r="UK39" s="16">
        <v>1</v>
      </c>
      <c r="UL39" s="16"/>
      <c r="UM39" s="16">
        <v>41.03</v>
      </c>
      <c r="UN39" s="16">
        <v>2</v>
      </c>
      <c r="UO39" s="16">
        <v>3.73</v>
      </c>
      <c r="UP39" s="16"/>
      <c r="UQ39" s="16"/>
      <c r="UR39" s="16"/>
      <c r="US39" s="16"/>
      <c r="UT39" s="16">
        <v>0</v>
      </c>
      <c r="UU39" s="16">
        <v>0</v>
      </c>
      <c r="UV39" s="16">
        <v>0</v>
      </c>
      <c r="UW39" s="16">
        <v>0</v>
      </c>
      <c r="UX39" s="16">
        <v>0</v>
      </c>
      <c r="UY39" s="16">
        <v>0</v>
      </c>
      <c r="UZ39" s="16">
        <v>0</v>
      </c>
      <c r="VA39">
        <v>0</v>
      </c>
      <c r="VB39" t="s">
        <v>373</v>
      </c>
      <c r="VC39">
        <v>27.5</v>
      </c>
      <c r="VD39" s="16">
        <v>79.099999999999994</v>
      </c>
      <c r="VE39" s="16">
        <v>80.400000000000006</v>
      </c>
      <c r="VF39" s="16">
        <v>15.3</v>
      </c>
      <c r="VG39">
        <v>87.64</v>
      </c>
      <c r="VI39">
        <v>0</v>
      </c>
      <c r="VJ39">
        <v>0</v>
      </c>
      <c r="VK39">
        <v>12.36</v>
      </c>
      <c r="VL39">
        <v>0</v>
      </c>
      <c r="VM39">
        <v>0</v>
      </c>
      <c r="VO39">
        <v>0</v>
      </c>
      <c r="VP39">
        <v>0</v>
      </c>
      <c r="VQ39">
        <v>0</v>
      </c>
      <c r="VR39">
        <v>24.9</v>
      </c>
      <c r="VS39">
        <v>31.79</v>
      </c>
      <c r="VT39">
        <v>18.86</v>
      </c>
      <c r="VU39">
        <v>0</v>
      </c>
      <c r="VV39">
        <v>0</v>
      </c>
      <c r="VW39">
        <v>4.8</v>
      </c>
      <c r="VX39">
        <v>5</v>
      </c>
      <c r="VY39">
        <v>50</v>
      </c>
      <c r="VZ39">
        <v>4</v>
      </c>
      <c r="WE39">
        <v>50</v>
      </c>
      <c r="WF39">
        <v>4</v>
      </c>
      <c r="WK39">
        <v>5.5</v>
      </c>
      <c r="WL39">
        <v>0</v>
      </c>
      <c r="WW39" s="20"/>
      <c r="XO39">
        <v>1</v>
      </c>
      <c r="XP39">
        <v>50</v>
      </c>
      <c r="XQ39">
        <v>4</v>
      </c>
      <c r="XR39">
        <v>3.59</v>
      </c>
      <c r="XS39">
        <v>3</v>
      </c>
      <c r="XT39">
        <v>70</v>
      </c>
      <c r="XU39">
        <v>14</v>
      </c>
      <c r="XV39">
        <v>4.93</v>
      </c>
      <c r="XW39">
        <v>2</v>
      </c>
      <c r="YZ39" s="16">
        <v>0.75</v>
      </c>
      <c r="ZA39" s="16">
        <v>1</v>
      </c>
      <c r="ZB39" s="16">
        <v>1</v>
      </c>
      <c r="ZC39" s="16"/>
      <c r="ZD39" s="16">
        <v>9.9600000000000009</v>
      </c>
      <c r="ZE39" s="16"/>
      <c r="ZF39" s="16"/>
      <c r="ZG39" s="16"/>
      <c r="ZH39" s="16"/>
      <c r="ZI39" s="16"/>
      <c r="ZJ39" s="16"/>
      <c r="ZK39" s="16">
        <v>0</v>
      </c>
      <c r="ZL39" s="16">
        <v>0</v>
      </c>
      <c r="ZM39" s="16">
        <v>0</v>
      </c>
      <c r="ZN39" s="16">
        <v>0</v>
      </c>
      <c r="ZO39" s="16">
        <v>0</v>
      </c>
      <c r="ZP39" s="16">
        <v>0</v>
      </c>
      <c r="ZQ39" s="16">
        <v>0</v>
      </c>
      <c r="ZR39">
        <v>0</v>
      </c>
      <c r="ZU39" s="15"/>
      <c r="ZV39" s="15"/>
      <c r="AAC39" s="15"/>
      <c r="AAD39" s="15"/>
      <c r="AAK39" s="15"/>
      <c r="AAL39" s="15"/>
      <c r="AAS39" s="15"/>
      <c r="AAT39" s="15"/>
      <c r="ABA39" s="15"/>
      <c r="ABB39" s="15"/>
      <c r="ABI39" s="15"/>
      <c r="ABJ39" s="15"/>
      <c r="ABQ39" s="15"/>
      <c r="ABR39" s="15"/>
      <c r="ABY39" s="15"/>
      <c r="ABZ39" s="15"/>
      <c r="ACG39" s="15"/>
      <c r="ACH39" s="15"/>
      <c r="ACO39" s="15"/>
      <c r="ACP39" s="15"/>
      <c r="ACW39" s="15"/>
      <c r="ACX39" s="15"/>
      <c r="ADE39" s="15"/>
      <c r="ADF39" s="15"/>
      <c r="ADM39" s="15"/>
      <c r="ADN39" s="15"/>
      <c r="ADU39" s="15"/>
      <c r="ADV39" s="15"/>
      <c r="AEC39" s="15"/>
      <c r="AED39" s="15"/>
      <c r="AEK39" s="15"/>
      <c r="AEL39" s="15"/>
      <c r="AES39" s="15"/>
      <c r="AET39" s="15"/>
      <c r="AFA39" s="15"/>
      <c r="AFB39" s="15"/>
      <c r="AFI39" s="15"/>
      <c r="AFJ39" s="15"/>
      <c r="AFQ39" s="15"/>
      <c r="AFR39" s="15"/>
      <c r="AFY39" s="15"/>
      <c r="AFZ39" s="15"/>
      <c r="AGG39" s="15"/>
      <c r="AGH39" s="15"/>
      <c r="AGO39" s="15"/>
      <c r="AGP39" s="15"/>
      <c r="AGW39" s="15"/>
      <c r="AGX39" s="15"/>
      <c r="AHE39" s="15"/>
      <c r="AHF39" s="15"/>
      <c r="AHM39" s="15"/>
      <c r="AHN39" s="15"/>
      <c r="AHU39" s="15"/>
      <c r="AHV39" s="15"/>
      <c r="AIC39" s="15"/>
      <c r="AID39" s="15"/>
      <c r="AIK39" s="15"/>
      <c r="AIL39" s="15"/>
      <c r="AIS39" s="15"/>
      <c r="AIT39" s="15"/>
      <c r="AJA39" s="15"/>
      <c r="AJB39" s="15"/>
      <c r="AJI39" s="15"/>
      <c r="AJJ39" s="15"/>
      <c r="AJQ39" s="15"/>
      <c r="AJR39" s="15"/>
      <c r="AJY39" s="15"/>
      <c r="AJZ39" s="15"/>
      <c r="AKG39" s="15"/>
      <c r="AKH39" s="15"/>
      <c r="AKO39" s="15"/>
      <c r="AKP39" s="15"/>
      <c r="AKW39" s="15"/>
      <c r="AKX39" s="15"/>
      <c r="ALE39" s="15"/>
      <c r="ALF39" s="15"/>
      <c r="ALM39" s="15"/>
      <c r="ALN39" s="15"/>
      <c r="ALU39" s="15"/>
      <c r="ALV39" s="15"/>
      <c r="AMC39" s="15"/>
      <c r="AMD39" s="15"/>
    </row>
    <row r="40" spans="1:1018" x14ac:dyDescent="0.2">
      <c r="A40" s="1" t="s">
        <v>375</v>
      </c>
      <c r="B40" s="12">
        <v>42899</v>
      </c>
      <c r="C40">
        <v>2</v>
      </c>
      <c r="D40" s="12">
        <v>34729</v>
      </c>
      <c r="E40" s="12">
        <v>27031</v>
      </c>
      <c r="F40" s="14">
        <f t="shared" si="0"/>
        <v>43.444216290212182</v>
      </c>
      <c r="G40" s="14">
        <f t="shared" si="1"/>
        <v>22.368240930869266</v>
      </c>
      <c r="H40" s="15" t="s">
        <v>183</v>
      </c>
      <c r="I40" s="15" t="s">
        <v>347</v>
      </c>
      <c r="J40" s="21" t="s">
        <v>181</v>
      </c>
      <c r="K40" s="21">
        <v>4</v>
      </c>
      <c r="L40" s="19">
        <v>75</v>
      </c>
      <c r="M40">
        <v>1.74</v>
      </c>
      <c r="N40" s="16">
        <f t="shared" si="2"/>
        <v>24.772096710265558</v>
      </c>
      <c r="O40" s="19">
        <v>0</v>
      </c>
      <c r="P40" s="19">
        <v>0</v>
      </c>
      <c r="Q40" s="19">
        <v>0</v>
      </c>
      <c r="R40" s="19">
        <v>0</v>
      </c>
      <c r="S40" s="19">
        <v>0</v>
      </c>
      <c r="T40" s="19">
        <v>0</v>
      </c>
      <c r="U40" s="19">
        <v>0</v>
      </c>
      <c r="V40" s="19">
        <v>0</v>
      </c>
      <c r="W40" s="19">
        <v>1</v>
      </c>
      <c r="X40" s="19">
        <v>1</v>
      </c>
      <c r="Y40" s="19">
        <v>1</v>
      </c>
      <c r="Z40" s="19">
        <v>2</v>
      </c>
      <c r="AA40" s="19">
        <v>60</v>
      </c>
      <c r="AB40" s="19" t="s">
        <v>376</v>
      </c>
      <c r="AC40" s="19">
        <v>0</v>
      </c>
      <c r="AD40" s="19">
        <v>0</v>
      </c>
      <c r="AE40" s="19">
        <v>1</v>
      </c>
      <c r="AF40" s="19">
        <v>1</v>
      </c>
      <c r="AG40" s="19"/>
      <c r="AH40" s="19"/>
      <c r="AI40" s="19">
        <v>0</v>
      </c>
      <c r="AJ40" s="19">
        <v>0</v>
      </c>
      <c r="AK40" s="19">
        <v>0</v>
      </c>
      <c r="AL40" s="19">
        <v>0</v>
      </c>
      <c r="AM40" s="19">
        <v>0</v>
      </c>
      <c r="AN40" s="19">
        <v>0</v>
      </c>
      <c r="AO40" s="19">
        <v>0</v>
      </c>
      <c r="AP40" s="19">
        <v>0</v>
      </c>
      <c r="AQ40" s="19">
        <v>0</v>
      </c>
      <c r="AR40" s="19">
        <v>0</v>
      </c>
      <c r="AS40" s="19">
        <v>2</v>
      </c>
      <c r="AT40" s="19">
        <v>2</v>
      </c>
      <c r="AU40" s="19">
        <v>2</v>
      </c>
      <c r="AV40" s="19">
        <v>0</v>
      </c>
      <c r="AW40" s="19">
        <v>7</v>
      </c>
      <c r="AX40" s="19">
        <v>1</v>
      </c>
      <c r="AY40" s="19">
        <v>1</v>
      </c>
      <c r="AZ40" s="19">
        <v>1</v>
      </c>
      <c r="BA40" s="19">
        <v>7</v>
      </c>
      <c r="BB40" s="19">
        <v>1</v>
      </c>
      <c r="BC40" s="19">
        <v>1</v>
      </c>
      <c r="BD40" s="19">
        <v>1</v>
      </c>
      <c r="BE40" s="19">
        <v>7</v>
      </c>
      <c r="BF40" s="19">
        <v>0</v>
      </c>
      <c r="BG40" s="19">
        <v>0</v>
      </c>
      <c r="BH40" s="19">
        <v>0</v>
      </c>
      <c r="BI40" s="19">
        <v>0</v>
      </c>
      <c r="BJ40" s="19">
        <v>0</v>
      </c>
      <c r="BK40" s="19">
        <v>0</v>
      </c>
      <c r="BL40" s="19">
        <v>0</v>
      </c>
      <c r="BM40" s="19">
        <v>0</v>
      </c>
      <c r="BN40" s="19">
        <v>0</v>
      </c>
      <c r="BO40" s="19">
        <v>0</v>
      </c>
      <c r="BP40" s="19">
        <v>0</v>
      </c>
      <c r="BQ40" s="19">
        <v>0</v>
      </c>
      <c r="BR40" s="19">
        <v>3</v>
      </c>
      <c r="BS40" s="19">
        <v>3</v>
      </c>
      <c r="BT40" s="19">
        <v>5</v>
      </c>
      <c r="BU40" s="19">
        <v>5</v>
      </c>
      <c r="BV40" s="19">
        <v>3</v>
      </c>
      <c r="BW40" s="19">
        <v>1</v>
      </c>
      <c r="BX40" s="19">
        <v>3</v>
      </c>
      <c r="BY40" s="19">
        <v>3</v>
      </c>
      <c r="BZ40" s="19">
        <v>2</v>
      </c>
      <c r="CA40" s="19">
        <v>3</v>
      </c>
      <c r="CB40" s="19">
        <v>5</v>
      </c>
      <c r="CC40" s="19">
        <v>5</v>
      </c>
      <c r="CD40" s="19">
        <v>1</v>
      </c>
      <c r="CE40" s="19">
        <v>3</v>
      </c>
      <c r="CF40" s="19">
        <v>5</v>
      </c>
      <c r="CG40" s="19">
        <v>3</v>
      </c>
      <c r="CH40" s="19">
        <v>1</v>
      </c>
      <c r="CI40" s="19">
        <v>4</v>
      </c>
      <c r="CJ40" s="19">
        <v>3</v>
      </c>
      <c r="CK40" s="19">
        <v>3</v>
      </c>
      <c r="CL40" t="s">
        <v>355</v>
      </c>
      <c r="CM40">
        <v>37</v>
      </c>
      <c r="CN40" s="16">
        <v>95.1</v>
      </c>
      <c r="CO40" s="16">
        <v>80.400000000000006</v>
      </c>
      <c r="CP40" s="16">
        <v>15.9</v>
      </c>
      <c r="CQ40">
        <v>82.71</v>
      </c>
      <c r="CR40" s="17">
        <v>0</v>
      </c>
      <c r="CS40">
        <v>10.32</v>
      </c>
      <c r="CT40">
        <v>0.39</v>
      </c>
      <c r="CU40">
        <v>10.32</v>
      </c>
      <c r="CV40">
        <v>0</v>
      </c>
      <c r="CW40">
        <v>0</v>
      </c>
      <c r="CY40">
        <v>0</v>
      </c>
      <c r="CZ40">
        <v>0</v>
      </c>
      <c r="DA40">
        <v>0</v>
      </c>
      <c r="DB40">
        <v>1.9</v>
      </c>
      <c r="DC40">
        <v>26.26</v>
      </c>
      <c r="DD40">
        <v>6.04</v>
      </c>
      <c r="DE40">
        <v>2.19</v>
      </c>
      <c r="DF40">
        <v>0</v>
      </c>
      <c r="DG40">
        <v>0</v>
      </c>
      <c r="DH40">
        <v>0</v>
      </c>
      <c r="DU40">
        <v>14.7</v>
      </c>
      <c r="DV40">
        <v>1</v>
      </c>
      <c r="DW40">
        <v>35</v>
      </c>
      <c r="DX40">
        <v>2</v>
      </c>
      <c r="DY40">
        <v>1.8</v>
      </c>
      <c r="DZ40">
        <v>3</v>
      </c>
      <c r="EG40" s="20"/>
      <c r="EY40">
        <v>1</v>
      </c>
      <c r="EZ40">
        <v>50</v>
      </c>
      <c r="FA40">
        <v>1</v>
      </c>
      <c r="FB40">
        <v>1.34</v>
      </c>
      <c r="FC40">
        <v>2</v>
      </c>
      <c r="FD40">
        <v>40</v>
      </c>
      <c r="FE40">
        <v>1</v>
      </c>
      <c r="FF40">
        <v>0.9</v>
      </c>
      <c r="FG40">
        <v>3</v>
      </c>
      <c r="FH40">
        <v>50</v>
      </c>
      <c r="FI40">
        <v>1</v>
      </c>
      <c r="FJ40">
        <v>0.9</v>
      </c>
      <c r="FK40">
        <v>3</v>
      </c>
      <c r="FL40">
        <v>80</v>
      </c>
      <c r="FM40">
        <v>2</v>
      </c>
      <c r="FN40">
        <v>2.68</v>
      </c>
      <c r="FO40">
        <v>2</v>
      </c>
      <c r="FP40">
        <v>100</v>
      </c>
      <c r="FQ40">
        <v>1</v>
      </c>
      <c r="FR40">
        <v>2.57</v>
      </c>
      <c r="FS40">
        <v>2</v>
      </c>
      <c r="GJ40">
        <v>0</v>
      </c>
      <c r="GK40" s="19">
        <v>0</v>
      </c>
      <c r="GL40" s="19"/>
      <c r="GM40" s="13"/>
      <c r="GN40" s="13"/>
      <c r="GO40" s="19"/>
      <c r="GP40" s="13"/>
      <c r="GQ40" s="13"/>
      <c r="GR40" s="13"/>
      <c r="GS40" s="13"/>
      <c r="GT40" s="13"/>
      <c r="GU40" s="16">
        <v>5.1100000000000003</v>
      </c>
      <c r="GV40">
        <v>4.8099999999999996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 t="s">
        <v>363</v>
      </c>
      <c r="HD40">
        <v>34.5</v>
      </c>
      <c r="HE40" s="16">
        <v>88.3</v>
      </c>
      <c r="HF40" s="16">
        <v>80.400000000000006</v>
      </c>
      <c r="HG40" s="16">
        <v>22.8</v>
      </c>
      <c r="HH40">
        <v>73.89</v>
      </c>
      <c r="HI40" s="17">
        <v>0</v>
      </c>
      <c r="HJ40">
        <v>14.94</v>
      </c>
      <c r="HK40">
        <v>0.5</v>
      </c>
      <c r="HL40">
        <v>10.66</v>
      </c>
      <c r="HM40">
        <v>0</v>
      </c>
      <c r="HN40">
        <v>0</v>
      </c>
      <c r="HP40">
        <v>0</v>
      </c>
      <c r="HQ40">
        <v>0</v>
      </c>
      <c r="HR40">
        <v>0</v>
      </c>
      <c r="HS40">
        <v>0</v>
      </c>
      <c r="HT40">
        <v>46.29</v>
      </c>
      <c r="HU40">
        <v>23.15</v>
      </c>
      <c r="HV40">
        <v>0</v>
      </c>
      <c r="HW40">
        <v>0</v>
      </c>
      <c r="HX40">
        <v>0</v>
      </c>
      <c r="HY40">
        <v>0</v>
      </c>
      <c r="IL40">
        <v>2.8</v>
      </c>
      <c r="IM40">
        <v>1</v>
      </c>
      <c r="IN40">
        <v>35</v>
      </c>
      <c r="IO40">
        <v>1</v>
      </c>
      <c r="IP40">
        <v>0.5</v>
      </c>
      <c r="IQ40">
        <v>3</v>
      </c>
      <c r="IX40" s="20"/>
      <c r="JP40">
        <v>1</v>
      </c>
      <c r="JQ40">
        <v>60</v>
      </c>
      <c r="JR40">
        <v>4</v>
      </c>
      <c r="JS40">
        <v>0.54</v>
      </c>
      <c r="JT40">
        <v>3</v>
      </c>
      <c r="LA40" s="16">
        <v>3.05</v>
      </c>
      <c r="LB40" s="16">
        <v>1</v>
      </c>
      <c r="LC40" s="16">
        <v>1</v>
      </c>
      <c r="LD40" s="16">
        <v>5</v>
      </c>
      <c r="LE40" s="16">
        <v>8.7100000000000009</v>
      </c>
      <c r="LF40" s="16">
        <v>2</v>
      </c>
      <c r="LG40" s="16">
        <v>25</v>
      </c>
      <c r="LH40" s="16">
        <v>12.44</v>
      </c>
      <c r="LI40" s="16"/>
      <c r="LJ40" s="16"/>
      <c r="LK40" s="16"/>
      <c r="LL40" s="16">
        <v>4.5</v>
      </c>
      <c r="LM40" s="16">
        <v>1.2</v>
      </c>
      <c r="LN40" s="16">
        <v>0</v>
      </c>
      <c r="LO40" s="16">
        <v>0</v>
      </c>
      <c r="LP40" s="16">
        <v>0</v>
      </c>
      <c r="LQ40" s="16">
        <v>0</v>
      </c>
      <c r="LR40" s="16">
        <v>0</v>
      </c>
      <c r="LS40">
        <v>0</v>
      </c>
      <c r="LT40" t="s">
        <v>364</v>
      </c>
      <c r="LU40">
        <v>32</v>
      </c>
      <c r="LV40" s="16">
        <v>75</v>
      </c>
      <c r="LW40" s="16">
        <v>80.400000000000006</v>
      </c>
      <c r="LX40" s="16">
        <v>22.6</v>
      </c>
      <c r="LY40">
        <v>76.239999999999995</v>
      </c>
      <c r="LZ40" s="17">
        <v>0</v>
      </c>
      <c r="MA40">
        <v>15.36</v>
      </c>
      <c r="MB40">
        <v>1.93</v>
      </c>
      <c r="MC40">
        <v>6.47</v>
      </c>
      <c r="MD40">
        <v>0</v>
      </c>
      <c r="ME40">
        <v>0</v>
      </c>
      <c r="MG40">
        <v>0</v>
      </c>
      <c r="MH40">
        <v>0</v>
      </c>
      <c r="MI40">
        <v>0</v>
      </c>
      <c r="MJ40">
        <v>0</v>
      </c>
      <c r="MK40">
        <v>32.86</v>
      </c>
      <c r="ML40">
        <v>26.39</v>
      </c>
      <c r="MM40">
        <v>0</v>
      </c>
      <c r="MN40">
        <v>0</v>
      </c>
      <c r="MO40">
        <v>0</v>
      </c>
      <c r="MP40">
        <v>0</v>
      </c>
      <c r="NC40">
        <v>5.6</v>
      </c>
      <c r="ND40">
        <v>1</v>
      </c>
      <c r="NE40">
        <v>35</v>
      </c>
      <c r="NF40">
        <v>1</v>
      </c>
      <c r="NG40">
        <v>0.5</v>
      </c>
      <c r="NH40">
        <v>3</v>
      </c>
      <c r="NO40" s="20"/>
      <c r="OG40">
        <v>1</v>
      </c>
      <c r="OH40">
        <v>60</v>
      </c>
      <c r="OI40">
        <v>5</v>
      </c>
      <c r="OJ40">
        <v>3.13</v>
      </c>
      <c r="OK40">
        <v>2</v>
      </c>
      <c r="OL40">
        <v>50</v>
      </c>
      <c r="OM40">
        <v>2</v>
      </c>
      <c r="ON40">
        <v>0.67</v>
      </c>
      <c r="OO40">
        <v>2</v>
      </c>
      <c r="PR40" s="16">
        <v>1.43</v>
      </c>
      <c r="PS40" s="16">
        <v>1</v>
      </c>
      <c r="PT40" s="16">
        <v>1</v>
      </c>
      <c r="PU40" s="16">
        <v>4</v>
      </c>
      <c r="PV40" s="16">
        <v>17.43</v>
      </c>
      <c r="PW40" s="16"/>
      <c r="PX40" s="16"/>
      <c r="PY40" s="16"/>
      <c r="PZ40" s="16"/>
      <c r="QA40" s="16"/>
      <c r="QB40" s="16"/>
      <c r="QC40" s="16">
        <v>1.7</v>
      </c>
      <c r="QD40" s="16">
        <v>1.7</v>
      </c>
      <c r="QE40" s="16">
        <v>0</v>
      </c>
      <c r="QF40" s="16">
        <v>0</v>
      </c>
      <c r="QG40" s="16">
        <v>0</v>
      </c>
      <c r="QH40" s="16">
        <v>0</v>
      </c>
      <c r="QI40" s="16">
        <v>0</v>
      </c>
      <c r="QJ40">
        <v>0</v>
      </c>
      <c r="QK40" t="s">
        <v>350</v>
      </c>
      <c r="QL40">
        <v>75</v>
      </c>
      <c r="QM40" s="16">
        <v>87.9</v>
      </c>
      <c r="QN40" s="16">
        <v>80.400000000000006</v>
      </c>
      <c r="QO40" s="16">
        <v>45.2</v>
      </c>
      <c r="QP40">
        <v>50.83</v>
      </c>
      <c r="QQ40">
        <v>0.05</v>
      </c>
      <c r="QR40">
        <v>46.44</v>
      </c>
      <c r="QS40">
        <v>2.67</v>
      </c>
      <c r="QT40">
        <v>0</v>
      </c>
      <c r="QU40">
        <v>0</v>
      </c>
      <c r="QV40">
        <v>0</v>
      </c>
      <c r="QX40">
        <v>0</v>
      </c>
      <c r="QY40">
        <v>0</v>
      </c>
      <c r="QZ40">
        <v>0</v>
      </c>
      <c r="RA40">
        <v>0</v>
      </c>
      <c r="RB40">
        <v>25.21</v>
      </c>
      <c r="RC40">
        <v>43.57</v>
      </c>
      <c r="RD40">
        <v>6.27</v>
      </c>
      <c r="RE40">
        <v>0</v>
      </c>
      <c r="RF40">
        <v>0</v>
      </c>
      <c r="RG40">
        <v>0</v>
      </c>
      <c r="RT40">
        <v>17.8</v>
      </c>
      <c r="RU40">
        <v>1</v>
      </c>
      <c r="RV40">
        <v>35</v>
      </c>
      <c r="RW40">
        <v>9</v>
      </c>
      <c r="RX40">
        <v>2.5499999999999998</v>
      </c>
      <c r="RY40">
        <v>3</v>
      </c>
      <c r="SF40" s="20"/>
      <c r="SX40">
        <v>1</v>
      </c>
      <c r="SY40">
        <v>50</v>
      </c>
      <c r="SZ40">
        <v>8</v>
      </c>
      <c r="TA40">
        <v>2.12</v>
      </c>
      <c r="TB40">
        <v>3</v>
      </c>
      <c r="UI40" s="16">
        <v>3.43</v>
      </c>
      <c r="UJ40" s="16">
        <v>1</v>
      </c>
      <c r="UK40" s="16">
        <v>1</v>
      </c>
      <c r="UL40" s="16"/>
      <c r="UM40" s="16">
        <v>26.11</v>
      </c>
      <c r="UN40" s="16">
        <v>2</v>
      </c>
      <c r="UO40" s="16"/>
      <c r="UP40" s="16">
        <v>11.19</v>
      </c>
      <c r="UQ40" s="16"/>
      <c r="UR40" s="16"/>
      <c r="US40" s="16"/>
      <c r="UT40" s="16">
        <v>6.39</v>
      </c>
      <c r="UU40" s="16">
        <v>3.31</v>
      </c>
      <c r="UV40" s="16">
        <v>0</v>
      </c>
      <c r="UW40" s="16">
        <v>0</v>
      </c>
      <c r="UX40" s="16">
        <v>0</v>
      </c>
      <c r="UY40" s="16">
        <v>0</v>
      </c>
      <c r="UZ40" s="16">
        <v>0</v>
      </c>
      <c r="VA40">
        <v>0</v>
      </c>
      <c r="VB40" t="s">
        <v>361</v>
      </c>
      <c r="VC40">
        <v>74.5</v>
      </c>
      <c r="VD40" s="16">
        <v>76.2</v>
      </c>
      <c r="VE40" s="16">
        <v>80.400000000000006</v>
      </c>
      <c r="VF40" s="16">
        <v>42.8</v>
      </c>
      <c r="VG40">
        <v>57.15</v>
      </c>
      <c r="VH40">
        <v>0.45</v>
      </c>
      <c r="VI40">
        <v>39.090000000000003</v>
      </c>
      <c r="VJ40">
        <v>3.3</v>
      </c>
      <c r="VK40">
        <v>0</v>
      </c>
      <c r="VL40">
        <v>0</v>
      </c>
      <c r="VM40">
        <v>0</v>
      </c>
      <c r="VO40">
        <v>0</v>
      </c>
      <c r="VP40">
        <v>0</v>
      </c>
      <c r="VQ40">
        <v>0</v>
      </c>
      <c r="VR40">
        <v>0</v>
      </c>
      <c r="VS40">
        <v>18.260000000000002</v>
      </c>
      <c r="VT40">
        <v>34.4</v>
      </c>
      <c r="VU40">
        <v>6.27</v>
      </c>
      <c r="VV40">
        <v>0</v>
      </c>
      <c r="VW40">
        <v>0</v>
      </c>
      <c r="VX40">
        <v>0</v>
      </c>
      <c r="WK40">
        <v>18.2</v>
      </c>
      <c r="WL40">
        <v>1</v>
      </c>
      <c r="WM40">
        <v>35</v>
      </c>
      <c r="WN40">
        <v>9</v>
      </c>
      <c r="WO40">
        <v>2.5499999999999998</v>
      </c>
      <c r="WP40">
        <v>3</v>
      </c>
      <c r="WW40" s="20"/>
      <c r="XO40">
        <v>1</v>
      </c>
      <c r="XP40">
        <v>50</v>
      </c>
      <c r="XQ40">
        <v>8</v>
      </c>
      <c r="XR40">
        <v>2.54</v>
      </c>
      <c r="XS40">
        <v>3</v>
      </c>
      <c r="YZ40" s="16">
        <v>7.59</v>
      </c>
      <c r="ZA40" s="16">
        <v>1</v>
      </c>
      <c r="ZB40" s="16">
        <v>1</v>
      </c>
      <c r="ZC40" s="16"/>
      <c r="ZD40" s="16">
        <v>22.38</v>
      </c>
      <c r="ZE40" s="16">
        <v>2</v>
      </c>
      <c r="ZF40" s="16"/>
      <c r="ZG40" s="16">
        <v>14.92</v>
      </c>
      <c r="ZH40" s="16"/>
      <c r="ZI40" s="16"/>
      <c r="ZJ40" s="16"/>
      <c r="ZK40" s="16">
        <v>5.05</v>
      </c>
      <c r="ZL40" s="16">
        <v>1.54</v>
      </c>
      <c r="ZM40" s="16">
        <v>0</v>
      </c>
      <c r="ZN40" s="16">
        <v>0</v>
      </c>
      <c r="ZO40" s="16">
        <v>0</v>
      </c>
      <c r="ZP40" s="16">
        <v>0</v>
      </c>
      <c r="ZQ40" s="16">
        <v>0</v>
      </c>
      <c r="ZR40">
        <v>0</v>
      </c>
      <c r="ZS40" t="s">
        <v>365</v>
      </c>
      <c r="ZT40">
        <v>75</v>
      </c>
      <c r="ZU40" s="16">
        <v>76.8</v>
      </c>
      <c r="ZV40" s="16">
        <v>80.400000000000006</v>
      </c>
      <c r="ZW40" s="16">
        <v>30.8</v>
      </c>
      <c r="ZX40">
        <v>74.739999999999995</v>
      </c>
      <c r="ZY40" s="17">
        <v>0</v>
      </c>
      <c r="ZZ40">
        <v>4.24</v>
      </c>
      <c r="AAA40">
        <v>16.45</v>
      </c>
      <c r="AAB40">
        <v>4.57</v>
      </c>
      <c r="AAC40">
        <v>0</v>
      </c>
      <c r="AAD40">
        <v>0</v>
      </c>
      <c r="AAF40">
        <v>0</v>
      </c>
      <c r="AAG40">
        <v>0</v>
      </c>
      <c r="AAH40">
        <v>0</v>
      </c>
      <c r="AAI40">
        <v>0</v>
      </c>
      <c r="AAJ40">
        <v>35.229999999999997</v>
      </c>
      <c r="AAK40">
        <v>6.53</v>
      </c>
      <c r="AAL40">
        <v>4.97</v>
      </c>
      <c r="AAM40">
        <v>0</v>
      </c>
      <c r="AAN40">
        <v>0</v>
      </c>
      <c r="AAO40">
        <v>0</v>
      </c>
      <c r="ABB40">
        <v>38.4</v>
      </c>
      <c r="ABC40">
        <v>1</v>
      </c>
      <c r="ABD40">
        <v>47</v>
      </c>
      <c r="ABE40">
        <v>7</v>
      </c>
      <c r="ABF40">
        <v>5.33</v>
      </c>
      <c r="ABG40">
        <v>3</v>
      </c>
      <c r="ABN40" s="20"/>
      <c r="ACF40">
        <v>0</v>
      </c>
      <c r="ADQ40" s="16">
        <v>2.02</v>
      </c>
      <c r="ADR40" s="16">
        <v>1</v>
      </c>
      <c r="ADS40" s="16">
        <v>1</v>
      </c>
      <c r="ADT40" s="16"/>
      <c r="ADU40" s="16">
        <v>9.9499999999999993</v>
      </c>
      <c r="ADV40" s="16">
        <v>2</v>
      </c>
      <c r="ADW40" s="16"/>
      <c r="ADX40" s="16">
        <v>9.9499999999999993</v>
      </c>
      <c r="ADY40" s="16"/>
      <c r="ADZ40" s="16"/>
      <c r="AEA40" s="16"/>
      <c r="AEB40" s="16">
        <v>0</v>
      </c>
      <c r="AEC40" s="16">
        <v>0</v>
      </c>
      <c r="AED40" s="16">
        <v>0</v>
      </c>
      <c r="AEE40" s="16">
        <v>0</v>
      </c>
      <c r="AEF40" s="16">
        <v>0</v>
      </c>
      <c r="AEG40" s="16">
        <v>0</v>
      </c>
      <c r="AEH40" s="16">
        <v>0</v>
      </c>
      <c r="AEI40">
        <v>0</v>
      </c>
      <c r="AEJ40" t="s">
        <v>351</v>
      </c>
      <c r="AEK40">
        <v>30.5</v>
      </c>
      <c r="AEL40" s="16">
        <v>68.400000000000006</v>
      </c>
      <c r="AEM40" s="16">
        <v>80.400000000000006</v>
      </c>
      <c r="AEN40" s="16">
        <v>19.8</v>
      </c>
      <c r="AEO40">
        <v>72.42</v>
      </c>
      <c r="AEP40" s="17">
        <v>0</v>
      </c>
      <c r="AEQ40">
        <v>0.94</v>
      </c>
      <c r="AER40">
        <v>0.94</v>
      </c>
      <c r="AES40">
        <v>25.7</v>
      </c>
      <c r="AET40">
        <v>0</v>
      </c>
      <c r="AEU40">
        <v>0</v>
      </c>
      <c r="AEW40">
        <v>0</v>
      </c>
      <c r="AEX40">
        <v>0</v>
      </c>
      <c r="AEY40">
        <v>0</v>
      </c>
      <c r="AEZ40">
        <v>0</v>
      </c>
      <c r="AFA40">
        <v>28.26</v>
      </c>
      <c r="AFB40">
        <v>10.55</v>
      </c>
      <c r="AFC40">
        <v>14.21</v>
      </c>
      <c r="AFD40">
        <v>0</v>
      </c>
      <c r="AFE40">
        <v>0</v>
      </c>
      <c r="AFF40">
        <v>0</v>
      </c>
      <c r="AFS40">
        <v>3.3</v>
      </c>
      <c r="AFT40">
        <v>1</v>
      </c>
      <c r="AFU40">
        <v>68</v>
      </c>
      <c r="AFV40">
        <v>2</v>
      </c>
      <c r="AFW40">
        <v>1.52</v>
      </c>
      <c r="AFX40">
        <v>1</v>
      </c>
      <c r="AGE40" s="20"/>
      <c r="AGW40">
        <v>0</v>
      </c>
      <c r="AIH40" s="16">
        <v>0</v>
      </c>
      <c r="AII40" s="16">
        <v>0</v>
      </c>
      <c r="AIJ40" s="16"/>
      <c r="AIK40" s="16"/>
      <c r="AIL40" s="16"/>
      <c r="AIM40" s="16"/>
      <c r="AIN40" s="16"/>
      <c r="AIO40" s="16"/>
      <c r="AIP40" s="16"/>
      <c r="AIQ40" s="16"/>
      <c r="AIR40" s="16"/>
      <c r="AIS40" s="16">
        <v>0.81</v>
      </c>
      <c r="AIT40" s="16">
        <v>0.8</v>
      </c>
      <c r="AIU40" s="16">
        <v>0</v>
      </c>
      <c r="AIV40" s="16">
        <v>0</v>
      </c>
      <c r="AIW40" s="16">
        <v>2.99</v>
      </c>
      <c r="AIX40" s="16">
        <v>5.71</v>
      </c>
      <c r="AIY40" s="16">
        <v>0</v>
      </c>
      <c r="AIZ40">
        <v>0</v>
      </c>
      <c r="AJA40" t="s">
        <v>356</v>
      </c>
      <c r="AJB40">
        <v>39.5</v>
      </c>
      <c r="AJC40" s="16">
        <v>85.1</v>
      </c>
      <c r="AJD40" s="16">
        <v>80.400000000000006</v>
      </c>
      <c r="AJE40" s="16">
        <v>13.6</v>
      </c>
      <c r="AJF40">
        <v>87.38</v>
      </c>
      <c r="AJG40" s="17">
        <v>0</v>
      </c>
      <c r="AJH40">
        <v>8.0500000000000007</v>
      </c>
      <c r="AJI40">
        <v>0</v>
      </c>
      <c r="AJJ40">
        <v>4.57</v>
      </c>
      <c r="AJK40">
        <v>0</v>
      </c>
      <c r="AJL40">
        <v>0</v>
      </c>
      <c r="AJN40">
        <v>0</v>
      </c>
      <c r="AJO40">
        <v>0</v>
      </c>
      <c r="AJP40">
        <v>0</v>
      </c>
      <c r="AJQ40">
        <v>0</v>
      </c>
      <c r="AJR40">
        <v>45</v>
      </c>
      <c r="AJS40">
        <v>10.1</v>
      </c>
      <c r="AJT40">
        <v>11.8</v>
      </c>
      <c r="AJU40">
        <v>0</v>
      </c>
      <c r="AJV40">
        <v>0</v>
      </c>
      <c r="AJW40">
        <v>0</v>
      </c>
      <c r="AKJ40">
        <v>17.8</v>
      </c>
      <c r="AKK40">
        <v>1</v>
      </c>
      <c r="AKL40">
        <v>30</v>
      </c>
      <c r="AKM40">
        <v>7</v>
      </c>
      <c r="AKN40">
        <v>5.33</v>
      </c>
      <c r="AKO40">
        <v>3</v>
      </c>
      <c r="AKV40" s="20"/>
      <c r="ALN40">
        <v>1</v>
      </c>
      <c r="ALO40">
        <v>50</v>
      </c>
      <c r="ALP40">
        <v>1</v>
      </c>
      <c r="ALQ40">
        <v>0.03</v>
      </c>
      <c r="ALR40">
        <v>1</v>
      </c>
    </row>
    <row r="41" spans="1:1018" x14ac:dyDescent="0.2">
      <c r="A41" s="1" t="s">
        <v>377</v>
      </c>
      <c r="B41" s="12">
        <v>42899</v>
      </c>
      <c r="C41">
        <v>2</v>
      </c>
      <c r="D41" s="13">
        <v>42790</v>
      </c>
      <c r="E41" s="12">
        <v>33908</v>
      </c>
      <c r="F41" s="14">
        <f t="shared" si="0"/>
        <v>24.616016427104721</v>
      </c>
      <c r="G41" s="14">
        <f t="shared" si="1"/>
        <v>0.29842573579739906</v>
      </c>
      <c r="H41" s="15" t="s">
        <v>217</v>
      </c>
      <c r="I41" s="15" t="s">
        <v>218</v>
      </c>
      <c r="J41" s="21" t="s">
        <v>181</v>
      </c>
      <c r="K41" s="21">
        <v>4</v>
      </c>
      <c r="L41" s="19">
        <v>75</v>
      </c>
      <c r="M41">
        <v>1.72</v>
      </c>
      <c r="N41" s="16">
        <f t="shared" si="2"/>
        <v>25.351541373715524</v>
      </c>
      <c r="O41" s="19">
        <v>0</v>
      </c>
      <c r="P41" s="19">
        <v>0</v>
      </c>
      <c r="Q41" s="19">
        <v>0</v>
      </c>
      <c r="R41" s="19">
        <v>0</v>
      </c>
      <c r="S41" s="19">
        <v>0</v>
      </c>
      <c r="T41" s="19">
        <v>0</v>
      </c>
      <c r="U41" s="19">
        <v>0</v>
      </c>
      <c r="V41" s="19">
        <v>0</v>
      </c>
      <c r="W41" s="19">
        <v>0</v>
      </c>
      <c r="X41" s="19">
        <v>0</v>
      </c>
      <c r="Y41" s="19">
        <v>1</v>
      </c>
      <c r="Z41" s="19">
        <v>1</v>
      </c>
      <c r="AA41" s="19">
        <v>90</v>
      </c>
      <c r="AB41" s="19" t="s">
        <v>349</v>
      </c>
      <c r="AC41" s="19">
        <v>0</v>
      </c>
      <c r="AD41" s="19">
        <v>0</v>
      </c>
      <c r="AE41" s="19">
        <v>0</v>
      </c>
      <c r="AF41" s="19">
        <v>0</v>
      </c>
      <c r="AG41" s="19">
        <v>0</v>
      </c>
      <c r="AH41" s="19">
        <v>0</v>
      </c>
      <c r="AI41" s="19">
        <v>0</v>
      </c>
      <c r="AJ41" s="19">
        <v>0</v>
      </c>
      <c r="AK41" s="19">
        <v>0</v>
      </c>
      <c r="AL41" s="19">
        <v>0</v>
      </c>
      <c r="AM41" s="19">
        <v>0</v>
      </c>
      <c r="AN41" s="19">
        <v>0</v>
      </c>
      <c r="AO41" s="19">
        <v>0</v>
      </c>
      <c r="AP41" s="19">
        <v>0</v>
      </c>
      <c r="AQ41" s="19">
        <v>0</v>
      </c>
      <c r="AR41" s="19">
        <v>0</v>
      </c>
      <c r="AS41" s="19">
        <v>0</v>
      </c>
      <c r="AT41" s="19">
        <v>0</v>
      </c>
      <c r="AU41" s="19">
        <v>0</v>
      </c>
      <c r="AV41" s="19">
        <v>0</v>
      </c>
      <c r="AW41" s="19">
        <v>0</v>
      </c>
      <c r="AX41" s="19">
        <v>0</v>
      </c>
      <c r="AY41" s="19">
        <v>0</v>
      </c>
      <c r="AZ41" s="19">
        <v>0</v>
      </c>
      <c r="BA41" s="19">
        <v>0</v>
      </c>
      <c r="BB41" s="19">
        <v>0</v>
      </c>
      <c r="BC41" s="19">
        <v>0</v>
      </c>
      <c r="BD41" s="19">
        <v>0</v>
      </c>
      <c r="BE41" s="19">
        <v>0</v>
      </c>
      <c r="BF41" s="19">
        <v>0</v>
      </c>
      <c r="BG41" s="19">
        <v>0</v>
      </c>
      <c r="BH41" s="19">
        <v>0</v>
      </c>
      <c r="BI41" s="19">
        <v>0</v>
      </c>
      <c r="BJ41" s="19">
        <v>0</v>
      </c>
      <c r="BK41" s="19">
        <v>0</v>
      </c>
      <c r="BL41" s="19">
        <v>0</v>
      </c>
      <c r="BM41" s="19">
        <v>0</v>
      </c>
      <c r="BN41" s="19">
        <v>0</v>
      </c>
      <c r="BO41" s="19">
        <v>0</v>
      </c>
      <c r="BP41" s="19">
        <v>0</v>
      </c>
      <c r="BQ41" s="19">
        <v>0</v>
      </c>
      <c r="BR41" s="19">
        <v>2</v>
      </c>
      <c r="BS41" s="19">
        <v>1</v>
      </c>
      <c r="BT41" s="19">
        <v>3</v>
      </c>
      <c r="BU41" s="19">
        <v>5</v>
      </c>
      <c r="BV41" s="19">
        <v>1</v>
      </c>
      <c r="BW41" s="19">
        <v>1</v>
      </c>
      <c r="BX41" s="19">
        <v>5</v>
      </c>
      <c r="BY41" s="19">
        <v>3</v>
      </c>
      <c r="BZ41" s="19">
        <v>5</v>
      </c>
      <c r="CA41" s="19">
        <v>3</v>
      </c>
      <c r="CB41" s="19">
        <v>5</v>
      </c>
      <c r="CC41" s="19">
        <v>5</v>
      </c>
      <c r="CD41" s="19">
        <v>5</v>
      </c>
      <c r="CE41" s="19">
        <v>5</v>
      </c>
      <c r="CF41" s="19">
        <v>2</v>
      </c>
      <c r="CG41" s="19">
        <v>5</v>
      </c>
      <c r="CH41" s="19">
        <v>5</v>
      </c>
      <c r="CI41" s="19">
        <v>5</v>
      </c>
      <c r="CJ41" s="19">
        <v>5</v>
      </c>
      <c r="CK41" s="19">
        <v>10</v>
      </c>
      <c r="CL41" t="s">
        <v>219</v>
      </c>
      <c r="CM41">
        <v>33.5</v>
      </c>
      <c r="CN41" s="16">
        <v>91.5</v>
      </c>
      <c r="CO41" s="16">
        <v>80.400000000000006</v>
      </c>
      <c r="CP41" s="16">
        <v>20</v>
      </c>
      <c r="CQ41">
        <v>84.58</v>
      </c>
      <c r="CR41" s="17">
        <v>0</v>
      </c>
      <c r="CS41">
        <v>15.42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13.79</v>
      </c>
      <c r="DD41">
        <v>2.67</v>
      </c>
      <c r="DE41">
        <v>11.54</v>
      </c>
      <c r="DF41">
        <v>0</v>
      </c>
      <c r="DG41">
        <v>12.3</v>
      </c>
      <c r="DH41">
        <v>2</v>
      </c>
      <c r="DI41">
        <v>5</v>
      </c>
      <c r="DJ41">
        <v>2</v>
      </c>
      <c r="DO41">
        <v>5</v>
      </c>
      <c r="DP41">
        <v>2</v>
      </c>
      <c r="DU41">
        <v>0</v>
      </c>
      <c r="DV41">
        <v>1</v>
      </c>
      <c r="DW41">
        <v>34</v>
      </c>
      <c r="DX41">
        <v>2</v>
      </c>
      <c r="DY41">
        <v>0.1</v>
      </c>
      <c r="DZ41">
        <v>1</v>
      </c>
      <c r="EA41">
        <v>10</v>
      </c>
      <c r="EB41">
        <f>8*4</f>
        <v>32</v>
      </c>
      <c r="EC41">
        <f>0.06+0.01+0.4+1.7+0.24+0.14+0.96</f>
        <v>3.5100000000000002</v>
      </c>
      <c r="ED41">
        <v>3</v>
      </c>
      <c r="EG41" s="18"/>
      <c r="EY41">
        <v>0</v>
      </c>
      <c r="GJ41" s="16">
        <v>0.25</v>
      </c>
      <c r="GK41" s="16">
        <v>1</v>
      </c>
      <c r="GL41" s="16">
        <v>2</v>
      </c>
      <c r="GM41" s="16"/>
      <c r="GN41" s="16">
        <v>0.55000000000000004</v>
      </c>
      <c r="GO41" s="16"/>
      <c r="GP41" s="16"/>
      <c r="GQ41" s="16"/>
      <c r="GR41" s="16"/>
      <c r="GS41" s="16"/>
      <c r="GT41" s="16"/>
      <c r="GU41" s="16">
        <v>0.55000000000000004</v>
      </c>
      <c r="GV41" s="16">
        <v>0.55000000000000004</v>
      </c>
      <c r="GW41" s="16"/>
      <c r="GX41" s="16"/>
      <c r="GY41" s="16">
        <v>0</v>
      </c>
      <c r="GZ41" s="16">
        <v>0</v>
      </c>
      <c r="HA41" s="16">
        <v>0</v>
      </c>
      <c r="HB41">
        <v>0</v>
      </c>
      <c r="HC41" t="s">
        <v>220</v>
      </c>
      <c r="HD41">
        <v>27</v>
      </c>
      <c r="HE41" s="16">
        <v>54.4</v>
      </c>
      <c r="HF41" s="16">
        <v>80.400000000000006</v>
      </c>
      <c r="HG41" s="16">
        <v>18.100000000000001</v>
      </c>
      <c r="HH41">
        <v>81.88</v>
      </c>
      <c r="HI41" s="17">
        <v>0</v>
      </c>
      <c r="HJ41">
        <v>9.83</v>
      </c>
      <c r="HK41">
        <v>0</v>
      </c>
      <c r="HL41">
        <v>2.14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2.3199999999999998</v>
      </c>
      <c r="HU41">
        <v>19.66</v>
      </c>
      <c r="HV41">
        <v>3.64</v>
      </c>
      <c r="HW41">
        <v>0</v>
      </c>
      <c r="HX41">
        <v>0</v>
      </c>
      <c r="HY41">
        <v>0</v>
      </c>
      <c r="IL41">
        <v>0</v>
      </c>
      <c r="IM41">
        <v>1</v>
      </c>
      <c r="IN41">
        <v>26</v>
      </c>
      <c r="IO41">
        <v>2</v>
      </c>
      <c r="IP41">
        <v>0.05</v>
      </c>
      <c r="IQ41">
        <v>2</v>
      </c>
      <c r="IX41" s="18"/>
      <c r="JP41">
        <v>0</v>
      </c>
      <c r="LA41" s="16">
        <v>2.1</v>
      </c>
      <c r="LB41" s="16">
        <v>1</v>
      </c>
      <c r="LC41" s="16">
        <v>1</v>
      </c>
      <c r="LD41" s="16"/>
      <c r="LE41" s="16">
        <f>0.1+0.76*2+2.02+1.35*2+0.67</f>
        <v>7.01</v>
      </c>
      <c r="LF41" s="16"/>
      <c r="LG41" s="16"/>
      <c r="LH41" s="16"/>
      <c r="LI41" s="16"/>
      <c r="LJ41" s="16"/>
      <c r="LK41" s="16"/>
      <c r="LL41" s="16">
        <v>6.35</v>
      </c>
      <c r="LM41" s="16">
        <v>14.8</v>
      </c>
      <c r="LN41" s="16"/>
      <c r="LO41" s="16"/>
      <c r="LP41" s="16">
        <v>0</v>
      </c>
      <c r="LQ41" s="16">
        <v>0</v>
      </c>
      <c r="LR41" s="16">
        <v>0</v>
      </c>
      <c r="LS41">
        <v>0</v>
      </c>
      <c r="LT41" t="s">
        <v>221</v>
      </c>
      <c r="LU41">
        <v>20.5</v>
      </c>
      <c r="LV41" s="16">
        <v>76.900000000000006</v>
      </c>
      <c r="LW41" s="16">
        <v>80.400000000000006</v>
      </c>
      <c r="LX41" s="16">
        <v>9.1</v>
      </c>
      <c r="LY41">
        <v>88.58</v>
      </c>
      <c r="LZ41">
        <v>10.3</v>
      </c>
      <c r="MA41">
        <v>1.1200000000000001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6.33</v>
      </c>
      <c r="ML41">
        <v>16.97</v>
      </c>
      <c r="MM41">
        <v>0</v>
      </c>
      <c r="MN41">
        <v>0</v>
      </c>
      <c r="MO41">
        <v>4.0999999999999996</v>
      </c>
      <c r="MP41">
        <v>2</v>
      </c>
      <c r="MQ41">
        <v>5</v>
      </c>
      <c r="MR41">
        <v>1</v>
      </c>
      <c r="MW41">
        <v>5</v>
      </c>
      <c r="MX41">
        <v>1</v>
      </c>
      <c r="NC41">
        <v>0</v>
      </c>
      <c r="ND41">
        <v>0</v>
      </c>
      <c r="NO41" s="18"/>
      <c r="OG41">
        <v>0</v>
      </c>
      <c r="PR41" s="16">
        <v>2.2400000000000002</v>
      </c>
      <c r="PS41" s="16">
        <v>1</v>
      </c>
      <c r="PT41" s="16">
        <v>2</v>
      </c>
      <c r="PU41" s="16"/>
      <c r="PV41" s="16">
        <v>4.97</v>
      </c>
      <c r="PW41" s="16"/>
      <c r="PX41" s="16"/>
      <c r="PY41" s="16"/>
      <c r="PZ41" s="16"/>
      <c r="QA41" s="16"/>
      <c r="QB41" s="16"/>
      <c r="QC41" s="16">
        <v>5.0999999999999996</v>
      </c>
      <c r="QD41" s="16">
        <v>5.97</v>
      </c>
      <c r="QE41" s="16"/>
      <c r="QF41" s="16"/>
      <c r="QG41" s="16">
        <v>0</v>
      </c>
      <c r="QH41" s="16">
        <v>0</v>
      </c>
      <c r="QI41" s="16">
        <v>0</v>
      </c>
      <c r="QJ41">
        <v>0</v>
      </c>
      <c r="QK41" t="s">
        <v>222</v>
      </c>
      <c r="QL41">
        <v>32.5</v>
      </c>
      <c r="QM41" s="16">
        <v>96.7</v>
      </c>
      <c r="QN41" s="16">
        <v>80.400000000000006</v>
      </c>
      <c r="QO41" s="16">
        <v>15.1</v>
      </c>
      <c r="QP41">
        <v>52.24</v>
      </c>
      <c r="QQ41">
        <v>45.43</v>
      </c>
      <c r="QR41">
        <v>1.1200000000000001</v>
      </c>
      <c r="QS41">
        <v>0</v>
      </c>
      <c r="QT41">
        <v>1.2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1.2</v>
      </c>
      <c r="RB41">
        <v>15.88</v>
      </c>
      <c r="RC41">
        <v>48.59</v>
      </c>
      <c r="RD41">
        <v>0</v>
      </c>
      <c r="RE41">
        <v>0</v>
      </c>
      <c r="RF41">
        <v>0</v>
      </c>
      <c r="RG41">
        <v>0</v>
      </c>
      <c r="RT41">
        <v>0</v>
      </c>
      <c r="RU41">
        <v>0</v>
      </c>
      <c r="SF41" s="18"/>
      <c r="SX41">
        <v>1</v>
      </c>
      <c r="SY41">
        <v>50</v>
      </c>
      <c r="SZ41">
        <v>2</v>
      </c>
      <c r="TA41">
        <f>3.18+12.73</f>
        <v>15.91</v>
      </c>
      <c r="TB41">
        <v>1</v>
      </c>
      <c r="UI41" s="16">
        <v>5.9</v>
      </c>
      <c r="UJ41" s="16">
        <v>1</v>
      </c>
      <c r="UK41" s="16">
        <v>2</v>
      </c>
      <c r="UL41" s="16"/>
      <c r="UM41" s="16">
        <f>0.09+0.18*3+0.13+0.53+1.07*2+1.34*2+0.17*2+3.18+12.73</f>
        <v>22.36</v>
      </c>
      <c r="UN41" s="16"/>
      <c r="UO41" s="16"/>
      <c r="UP41" s="16"/>
      <c r="UQ41" s="16"/>
      <c r="UR41" s="16"/>
      <c r="US41" s="16"/>
      <c r="UT41" s="16">
        <v>11.45</v>
      </c>
      <c r="UU41" s="16">
        <v>41.19</v>
      </c>
      <c r="UV41" s="16"/>
      <c r="UW41" s="16"/>
      <c r="UX41" s="16">
        <v>0</v>
      </c>
      <c r="UY41" s="16">
        <v>0</v>
      </c>
      <c r="UZ41" s="16">
        <v>0</v>
      </c>
      <c r="VA41">
        <v>0</v>
      </c>
      <c r="VB41" t="s">
        <v>223</v>
      </c>
      <c r="VC41">
        <v>30.5</v>
      </c>
      <c r="VD41" s="16">
        <v>68.8</v>
      </c>
      <c r="VE41" s="16">
        <v>80.400000000000006</v>
      </c>
      <c r="VF41" s="16">
        <v>16.3</v>
      </c>
      <c r="VG41">
        <v>66.28</v>
      </c>
      <c r="VH41">
        <v>20.09</v>
      </c>
      <c r="VI41">
        <v>1.81</v>
      </c>
      <c r="VJ41">
        <v>0</v>
      </c>
      <c r="VK41">
        <v>11.82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13.17</v>
      </c>
      <c r="VT41">
        <v>35.75</v>
      </c>
      <c r="VU41">
        <v>0</v>
      </c>
      <c r="VV41">
        <v>0</v>
      </c>
      <c r="VW41">
        <v>0</v>
      </c>
      <c r="VX41">
        <v>0</v>
      </c>
      <c r="WK41">
        <v>0</v>
      </c>
      <c r="WL41">
        <v>1</v>
      </c>
      <c r="WM41">
        <v>52</v>
      </c>
      <c r="WN41">
        <v>1</v>
      </c>
      <c r="WO41">
        <v>0.01</v>
      </c>
      <c r="WP41">
        <v>2</v>
      </c>
      <c r="WW41" s="18"/>
      <c r="XO41">
        <v>0</v>
      </c>
      <c r="YZ41" s="16">
        <v>5.43</v>
      </c>
      <c r="ZA41" s="16">
        <v>1</v>
      </c>
      <c r="ZB41" s="16">
        <v>1</v>
      </c>
      <c r="ZC41" s="16"/>
      <c r="ZD41" s="16">
        <f>0.09*2+0.07+1.36</f>
        <v>1.61</v>
      </c>
      <c r="ZE41" s="16">
        <v>2</v>
      </c>
      <c r="ZF41" s="16"/>
      <c r="ZG41" s="16">
        <f>4.2+0.09+0.66+0.01+3.18+3.18</f>
        <v>11.32</v>
      </c>
      <c r="ZH41" s="16"/>
      <c r="ZI41" s="16"/>
      <c r="ZJ41" s="16"/>
      <c r="ZK41" s="16">
        <v>8.61</v>
      </c>
      <c r="ZL41" s="16">
        <v>26.91</v>
      </c>
      <c r="ZM41" s="16"/>
      <c r="ZN41" s="16"/>
      <c r="ZO41" s="16">
        <v>0</v>
      </c>
      <c r="ZP41" s="16">
        <v>0</v>
      </c>
      <c r="ZQ41" s="16">
        <v>0</v>
      </c>
      <c r="ZR41">
        <v>0</v>
      </c>
      <c r="ZS41" t="s">
        <v>224</v>
      </c>
      <c r="ZT41">
        <v>39.5</v>
      </c>
      <c r="ZU41" s="16">
        <v>60.8</v>
      </c>
      <c r="ZV41" s="16">
        <v>80.400000000000006</v>
      </c>
      <c r="ZW41" s="16">
        <v>22.9</v>
      </c>
      <c r="ZX41">
        <v>67.010000000000005</v>
      </c>
      <c r="ZY41">
        <v>11.71</v>
      </c>
      <c r="ZZ41">
        <v>16.61</v>
      </c>
      <c r="AAA41">
        <v>0</v>
      </c>
      <c r="AAB41">
        <v>4.67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20.9</v>
      </c>
      <c r="AAK41">
        <v>25.23</v>
      </c>
      <c r="AAL41">
        <v>0.57999999999999996</v>
      </c>
      <c r="AAM41">
        <v>0</v>
      </c>
      <c r="AAN41">
        <v>0</v>
      </c>
      <c r="AAO41">
        <v>0</v>
      </c>
      <c r="ABB41">
        <v>2</v>
      </c>
      <c r="ABC41">
        <v>1</v>
      </c>
      <c r="ABD41">
        <v>103</v>
      </c>
      <c r="ABE41">
        <v>2</v>
      </c>
      <c r="ABF41">
        <f>0.18+0.14</f>
        <v>0.32</v>
      </c>
      <c r="ABG41">
        <v>1</v>
      </c>
      <c r="ABH41">
        <v>68</v>
      </c>
      <c r="ABI41">
        <v>1</v>
      </c>
      <c r="ABJ41">
        <v>0.01</v>
      </c>
      <c r="ABK41">
        <v>1</v>
      </c>
      <c r="ABL41">
        <v>52</v>
      </c>
      <c r="ABM41">
        <v>3</v>
      </c>
      <c r="ABN41" s="18">
        <v>0.05</v>
      </c>
      <c r="ABO41">
        <v>2</v>
      </c>
      <c r="ACF41">
        <v>0</v>
      </c>
      <c r="ADQ41" s="16">
        <v>3.66</v>
      </c>
      <c r="ADR41" s="16">
        <v>1</v>
      </c>
      <c r="ADS41" s="16">
        <v>1</v>
      </c>
      <c r="ADT41" s="16"/>
      <c r="ADU41" s="16">
        <f>2.69*3+1.35*3+0.14*2+0.1</f>
        <v>12.5</v>
      </c>
      <c r="ADV41" s="16">
        <v>2</v>
      </c>
      <c r="ADW41" s="16"/>
      <c r="ADX41" s="16">
        <f>0.66+0.35+0.18+0.14+1.25+1.23</f>
        <v>3.81</v>
      </c>
      <c r="ADY41" s="16"/>
      <c r="ADZ41" s="16"/>
      <c r="AEA41" s="16"/>
      <c r="AEB41" s="16">
        <v>10.050000000000001</v>
      </c>
      <c r="AEC41" s="16">
        <v>27.11</v>
      </c>
      <c r="AED41" s="16"/>
      <c r="AEE41" s="16"/>
      <c r="AEF41" s="16">
        <v>0</v>
      </c>
      <c r="AEG41" s="16">
        <v>0</v>
      </c>
      <c r="AEH41" s="16">
        <v>0</v>
      </c>
      <c r="AEI41">
        <v>0</v>
      </c>
      <c r="AEJ41" t="s">
        <v>225</v>
      </c>
      <c r="AEK41">
        <v>47</v>
      </c>
      <c r="AEL41" s="16">
        <v>72.3</v>
      </c>
      <c r="AEM41" s="16">
        <v>80.400000000000006</v>
      </c>
      <c r="AEN41" s="16">
        <v>18</v>
      </c>
      <c r="AEO41">
        <v>70.55</v>
      </c>
      <c r="AEP41">
        <v>6.81</v>
      </c>
      <c r="AEQ41">
        <v>3.09</v>
      </c>
      <c r="AER41">
        <v>0</v>
      </c>
      <c r="AES41">
        <v>19.55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18.07</v>
      </c>
      <c r="AFB41">
        <v>30.57</v>
      </c>
      <c r="AFC41">
        <v>7.61</v>
      </c>
      <c r="AFD41">
        <v>0</v>
      </c>
      <c r="AFE41">
        <v>14</v>
      </c>
      <c r="AFF41">
        <v>2</v>
      </c>
      <c r="AFG41">
        <v>5</v>
      </c>
      <c r="AFH41">
        <v>4.47</v>
      </c>
      <c r="AFJ41">
        <v>7</v>
      </c>
      <c r="AFK41">
        <v>5.15</v>
      </c>
      <c r="AFM41">
        <v>5</v>
      </c>
      <c r="AFN41">
        <v>4.47</v>
      </c>
      <c r="AFP41">
        <v>7</v>
      </c>
      <c r="AFQ41">
        <v>5.15</v>
      </c>
      <c r="AFS41">
        <v>0</v>
      </c>
      <c r="AFT41">
        <v>0</v>
      </c>
      <c r="AGE41" s="18"/>
      <c r="AGW41">
        <v>0</v>
      </c>
      <c r="AIH41" s="16">
        <v>4.21</v>
      </c>
      <c r="AII41" s="16">
        <v>1</v>
      </c>
      <c r="AIJ41" s="16">
        <v>2</v>
      </c>
      <c r="AIK41" s="16"/>
      <c r="AIL41" s="16">
        <f>7.46+1.59+0.6</f>
        <v>9.65</v>
      </c>
      <c r="AIM41" s="16"/>
      <c r="AIN41" s="16"/>
      <c r="AIO41" s="16"/>
      <c r="AIP41" s="16"/>
      <c r="AIQ41" s="16"/>
      <c r="AIR41" s="16"/>
      <c r="AIS41" s="16">
        <v>10.63</v>
      </c>
      <c r="AIT41" s="16">
        <v>36.380000000000003</v>
      </c>
      <c r="AIU41" s="16"/>
      <c r="AIV41" s="16"/>
      <c r="AIW41" s="16">
        <v>0</v>
      </c>
      <c r="AIX41" s="16">
        <v>0</v>
      </c>
      <c r="AIY41" s="16">
        <v>0</v>
      </c>
      <c r="AIZ41">
        <v>0</v>
      </c>
      <c r="AJA41" t="s">
        <v>226</v>
      </c>
      <c r="AJB41">
        <v>19</v>
      </c>
      <c r="AJC41" s="16">
        <v>82.6</v>
      </c>
      <c r="AJD41" s="16">
        <v>80.400000000000006</v>
      </c>
      <c r="AJE41" s="16">
        <v>7.7</v>
      </c>
      <c r="AJF41">
        <v>86.83</v>
      </c>
      <c r="AJG41">
        <v>12.69</v>
      </c>
      <c r="AJH41">
        <v>0</v>
      </c>
      <c r="AJI41">
        <v>0</v>
      </c>
      <c r="AJJ41">
        <v>0.48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7.16</v>
      </c>
      <c r="AJS41">
        <v>10.76</v>
      </c>
      <c r="AJT41">
        <v>0</v>
      </c>
      <c r="AJU41">
        <v>0</v>
      </c>
      <c r="AJV41">
        <v>3.4</v>
      </c>
      <c r="AJW41">
        <v>2</v>
      </c>
      <c r="AJX41">
        <v>11.9</v>
      </c>
      <c r="AJY41">
        <v>0.48</v>
      </c>
      <c r="AKD41">
        <v>11.9</v>
      </c>
      <c r="AKE41">
        <v>0.48</v>
      </c>
      <c r="AKJ41">
        <v>0</v>
      </c>
      <c r="AKK41">
        <v>1</v>
      </c>
      <c r="AKL41">
        <v>34</v>
      </c>
      <c r="AKM41">
        <v>2</v>
      </c>
      <c r="AKN41">
        <f>0.84*2</f>
        <v>1.68</v>
      </c>
      <c r="AKO41">
        <v>1</v>
      </c>
      <c r="AKV41" s="18"/>
      <c r="ALN41">
        <v>0</v>
      </c>
    </row>
    <row r="42" spans="1:1018" x14ac:dyDescent="0.2">
      <c r="A42" s="1" t="s">
        <v>378</v>
      </c>
      <c r="B42" s="12">
        <v>42899</v>
      </c>
      <c r="C42">
        <v>2</v>
      </c>
      <c r="D42" s="13">
        <v>42797</v>
      </c>
      <c r="E42" s="12">
        <v>32802</v>
      </c>
      <c r="F42" s="14">
        <f t="shared" si="0"/>
        <v>27.644079397672826</v>
      </c>
      <c r="G42" s="14">
        <f t="shared" si="1"/>
        <v>0.27926078028747431</v>
      </c>
      <c r="H42" s="15" t="s">
        <v>217</v>
      </c>
      <c r="I42" s="15" t="s">
        <v>218</v>
      </c>
      <c r="J42" s="21" t="s">
        <v>181</v>
      </c>
      <c r="K42" s="21">
        <v>4</v>
      </c>
      <c r="L42" s="19">
        <v>78</v>
      </c>
      <c r="M42">
        <v>1.82</v>
      </c>
      <c r="N42" s="16">
        <f t="shared" si="2"/>
        <v>23.547880690737831</v>
      </c>
      <c r="O42" s="19">
        <v>0</v>
      </c>
      <c r="P42" s="19">
        <v>0</v>
      </c>
      <c r="Q42" s="19">
        <v>0</v>
      </c>
      <c r="R42" s="19">
        <v>0</v>
      </c>
      <c r="S42" s="19">
        <v>0</v>
      </c>
      <c r="T42" s="19">
        <v>0</v>
      </c>
      <c r="U42" s="19">
        <v>0</v>
      </c>
      <c r="V42" s="19">
        <v>0</v>
      </c>
      <c r="W42" s="19">
        <v>0</v>
      </c>
      <c r="X42" s="19">
        <v>0</v>
      </c>
      <c r="Y42" s="19">
        <v>1</v>
      </c>
      <c r="Z42" s="19">
        <v>1</v>
      </c>
      <c r="AA42" s="19">
        <v>90</v>
      </c>
      <c r="AB42" s="19" t="s">
        <v>349</v>
      </c>
      <c r="AC42" s="19">
        <v>1</v>
      </c>
      <c r="AD42" s="19">
        <v>10</v>
      </c>
      <c r="AE42" s="19">
        <v>0</v>
      </c>
      <c r="AF42" s="19">
        <v>0</v>
      </c>
      <c r="AG42" s="19">
        <v>0</v>
      </c>
      <c r="AH42" s="19">
        <v>0</v>
      </c>
      <c r="AI42" s="19">
        <v>0</v>
      </c>
      <c r="AJ42" s="19">
        <v>0</v>
      </c>
      <c r="AK42" s="19">
        <v>0</v>
      </c>
      <c r="AL42" s="19">
        <v>0</v>
      </c>
      <c r="AM42" s="19">
        <v>0</v>
      </c>
      <c r="AN42" s="19">
        <v>0</v>
      </c>
      <c r="AO42" s="19">
        <v>0</v>
      </c>
      <c r="AP42" s="19">
        <v>0</v>
      </c>
      <c r="AQ42" s="19">
        <v>0</v>
      </c>
      <c r="AR42" s="19">
        <v>0</v>
      </c>
      <c r="AS42" s="19">
        <v>0</v>
      </c>
      <c r="AT42" s="19">
        <v>0</v>
      </c>
      <c r="AU42" s="19">
        <v>0</v>
      </c>
      <c r="AV42" s="19">
        <v>0</v>
      </c>
      <c r="AW42" s="19">
        <v>0</v>
      </c>
      <c r="AX42" s="19">
        <v>0</v>
      </c>
      <c r="AY42" s="19">
        <v>0</v>
      </c>
      <c r="AZ42" s="19">
        <v>0</v>
      </c>
      <c r="BA42" s="19">
        <v>0</v>
      </c>
      <c r="BB42" s="19">
        <v>0</v>
      </c>
      <c r="BC42" s="19">
        <v>0</v>
      </c>
      <c r="BD42" s="19">
        <v>0</v>
      </c>
      <c r="BE42" s="19">
        <v>0</v>
      </c>
      <c r="BF42" s="19">
        <v>0</v>
      </c>
      <c r="BG42" s="19">
        <v>0</v>
      </c>
      <c r="BH42" s="19">
        <v>0</v>
      </c>
      <c r="BI42" s="19">
        <v>0</v>
      </c>
      <c r="BJ42" s="19">
        <v>0</v>
      </c>
      <c r="BK42" s="19">
        <v>0</v>
      </c>
      <c r="BL42" s="19">
        <v>0</v>
      </c>
      <c r="BM42" s="19">
        <v>0</v>
      </c>
      <c r="BN42" s="19">
        <v>1</v>
      </c>
      <c r="BO42" s="19">
        <v>0</v>
      </c>
      <c r="BP42" s="19">
        <v>1</v>
      </c>
      <c r="BQ42" s="19">
        <v>5</v>
      </c>
      <c r="BR42" s="19">
        <v>1</v>
      </c>
      <c r="BS42" s="19">
        <v>1</v>
      </c>
      <c r="BT42" s="19">
        <v>3</v>
      </c>
      <c r="BU42" s="19">
        <v>5</v>
      </c>
      <c r="BV42" s="19">
        <v>2</v>
      </c>
      <c r="BW42" s="19">
        <v>1</v>
      </c>
      <c r="BX42" s="19">
        <v>3</v>
      </c>
      <c r="BY42" s="19">
        <v>4</v>
      </c>
      <c r="BZ42" s="19">
        <v>4</v>
      </c>
      <c r="CA42" s="19">
        <v>5</v>
      </c>
      <c r="CB42" s="19">
        <v>5</v>
      </c>
      <c r="CC42" s="19">
        <v>5</v>
      </c>
      <c r="CD42" s="19">
        <v>4</v>
      </c>
      <c r="CE42" s="19">
        <v>5</v>
      </c>
      <c r="CF42" s="19">
        <v>5</v>
      </c>
      <c r="CG42" s="19">
        <v>5</v>
      </c>
      <c r="CH42" s="19">
        <v>5</v>
      </c>
      <c r="CI42" s="19">
        <v>5</v>
      </c>
      <c r="CJ42" s="19">
        <v>5</v>
      </c>
      <c r="CK42" s="19">
        <v>9</v>
      </c>
      <c r="CL42" t="s">
        <v>219</v>
      </c>
      <c r="CM42">
        <v>33.5</v>
      </c>
      <c r="CN42" s="16">
        <v>91.5</v>
      </c>
      <c r="CO42" s="16">
        <v>80.400000000000006</v>
      </c>
      <c r="CP42" s="16">
        <v>20</v>
      </c>
      <c r="CQ42">
        <v>84.58</v>
      </c>
      <c r="CR42" s="17">
        <v>0</v>
      </c>
      <c r="CS42">
        <v>15.42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13.79</v>
      </c>
      <c r="DD42">
        <v>2.67</v>
      </c>
      <c r="DE42">
        <v>11.54</v>
      </c>
      <c r="DF42">
        <v>0</v>
      </c>
      <c r="DG42">
        <v>12.3</v>
      </c>
      <c r="DH42">
        <v>2</v>
      </c>
      <c r="DI42">
        <v>5</v>
      </c>
      <c r="DJ42">
        <v>2</v>
      </c>
      <c r="DO42">
        <v>5</v>
      </c>
      <c r="DP42">
        <v>2</v>
      </c>
      <c r="DU42">
        <v>0</v>
      </c>
      <c r="DV42">
        <v>1</v>
      </c>
      <c r="DW42">
        <v>34</v>
      </c>
      <c r="DX42">
        <v>2</v>
      </c>
      <c r="DY42">
        <v>0.1</v>
      </c>
      <c r="DZ42">
        <v>1</v>
      </c>
      <c r="EA42">
        <v>10</v>
      </c>
      <c r="EB42">
        <f>8*4</f>
        <v>32</v>
      </c>
      <c r="EC42">
        <f>0.06+0.01+0.4+1.7+0.24+0.14+0.96</f>
        <v>3.5100000000000002</v>
      </c>
      <c r="ED42">
        <v>3</v>
      </c>
      <c r="EG42" s="18"/>
      <c r="EY42">
        <v>0</v>
      </c>
      <c r="GJ42" s="16">
        <v>0.25</v>
      </c>
      <c r="GK42" s="16">
        <v>1</v>
      </c>
      <c r="GL42" s="16">
        <v>2</v>
      </c>
      <c r="GM42" s="16"/>
      <c r="GN42" s="16">
        <v>0.55000000000000004</v>
      </c>
      <c r="GO42" s="16"/>
      <c r="GP42" s="16"/>
      <c r="GQ42" s="16"/>
      <c r="GR42" s="16"/>
      <c r="GS42" s="16"/>
      <c r="GT42" s="16"/>
      <c r="GU42" s="16">
        <v>0.55000000000000004</v>
      </c>
      <c r="GV42" s="16">
        <v>0.55000000000000004</v>
      </c>
      <c r="GW42" s="16"/>
      <c r="GX42" s="16"/>
      <c r="GY42" s="16">
        <v>0</v>
      </c>
      <c r="GZ42" s="16">
        <v>0</v>
      </c>
      <c r="HA42" s="16">
        <v>0</v>
      </c>
      <c r="HB42">
        <v>0</v>
      </c>
      <c r="HC42" t="s">
        <v>220</v>
      </c>
      <c r="HD42">
        <v>27</v>
      </c>
      <c r="HE42" s="16">
        <v>54.4</v>
      </c>
      <c r="HF42" s="16">
        <v>80.400000000000006</v>
      </c>
      <c r="HG42" s="16">
        <v>18.100000000000001</v>
      </c>
      <c r="HH42">
        <v>81.88</v>
      </c>
      <c r="HI42" s="17">
        <v>0</v>
      </c>
      <c r="HJ42">
        <v>9.83</v>
      </c>
      <c r="HK42">
        <v>0</v>
      </c>
      <c r="HL42">
        <v>2.14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2.3199999999999998</v>
      </c>
      <c r="HU42">
        <v>19.66</v>
      </c>
      <c r="HV42">
        <v>3.64</v>
      </c>
      <c r="HW42">
        <v>0</v>
      </c>
      <c r="HX42">
        <v>0</v>
      </c>
      <c r="HY42">
        <v>0</v>
      </c>
      <c r="IL42">
        <v>0</v>
      </c>
      <c r="IM42">
        <v>1</v>
      </c>
      <c r="IN42">
        <v>26</v>
      </c>
      <c r="IO42">
        <v>2</v>
      </c>
      <c r="IP42">
        <v>0.05</v>
      </c>
      <c r="IQ42">
        <v>2</v>
      </c>
      <c r="IX42" s="18"/>
      <c r="JP42">
        <v>0</v>
      </c>
      <c r="LA42" s="16">
        <v>2.1</v>
      </c>
      <c r="LB42" s="16">
        <v>1</v>
      </c>
      <c r="LC42" s="16">
        <v>1</v>
      </c>
      <c r="LD42" s="16"/>
      <c r="LE42" s="16">
        <f>0.1+0.76*2+2.02+1.35*2+0.67</f>
        <v>7.01</v>
      </c>
      <c r="LF42" s="16"/>
      <c r="LG42" s="16"/>
      <c r="LH42" s="16"/>
      <c r="LI42" s="16"/>
      <c r="LJ42" s="16"/>
      <c r="LK42" s="16"/>
      <c r="LL42" s="16">
        <v>6.35</v>
      </c>
      <c r="LM42" s="16">
        <v>14.8</v>
      </c>
      <c r="LN42" s="16"/>
      <c r="LO42" s="16"/>
      <c r="LP42" s="16">
        <v>0</v>
      </c>
      <c r="LQ42" s="16">
        <v>0</v>
      </c>
      <c r="LR42" s="16">
        <v>0</v>
      </c>
      <c r="LS42">
        <v>0</v>
      </c>
      <c r="LT42" t="s">
        <v>221</v>
      </c>
      <c r="LU42">
        <v>20.5</v>
      </c>
      <c r="LV42" s="16">
        <v>76.900000000000006</v>
      </c>
      <c r="LW42" s="16">
        <v>80.400000000000006</v>
      </c>
      <c r="LX42" s="16">
        <v>9.1</v>
      </c>
      <c r="LY42">
        <v>88.58</v>
      </c>
      <c r="LZ42">
        <v>10.3</v>
      </c>
      <c r="MA42">
        <v>1.1200000000000001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6.33</v>
      </c>
      <c r="ML42">
        <v>16.97</v>
      </c>
      <c r="MM42">
        <v>0</v>
      </c>
      <c r="MN42">
        <v>0</v>
      </c>
      <c r="MO42">
        <v>4.0999999999999996</v>
      </c>
      <c r="MP42">
        <v>2</v>
      </c>
      <c r="MQ42">
        <v>5</v>
      </c>
      <c r="MR42">
        <v>1</v>
      </c>
      <c r="MW42">
        <v>5</v>
      </c>
      <c r="MX42">
        <v>1</v>
      </c>
      <c r="NC42">
        <v>0</v>
      </c>
      <c r="ND42">
        <v>0</v>
      </c>
      <c r="NO42" s="18"/>
      <c r="OG42">
        <v>0</v>
      </c>
      <c r="PR42" s="16">
        <v>2.2400000000000002</v>
      </c>
      <c r="PS42" s="16">
        <v>1</v>
      </c>
      <c r="PT42" s="16">
        <v>2</v>
      </c>
      <c r="PU42" s="16"/>
      <c r="PV42" s="16">
        <v>4.97</v>
      </c>
      <c r="PW42" s="16"/>
      <c r="PX42" s="16"/>
      <c r="PY42" s="16"/>
      <c r="PZ42" s="16"/>
      <c r="QA42" s="16"/>
      <c r="QB42" s="16"/>
      <c r="QC42" s="16">
        <v>5.0999999999999996</v>
      </c>
      <c r="QD42" s="16">
        <v>5.97</v>
      </c>
      <c r="QE42" s="16"/>
      <c r="QF42" s="16"/>
      <c r="QG42" s="16">
        <v>0</v>
      </c>
      <c r="QH42" s="16">
        <v>0</v>
      </c>
      <c r="QI42" s="16">
        <v>0</v>
      </c>
      <c r="QJ42">
        <v>0</v>
      </c>
      <c r="QK42" t="s">
        <v>222</v>
      </c>
      <c r="QL42">
        <v>32.5</v>
      </c>
      <c r="QM42" s="16">
        <v>96.7</v>
      </c>
      <c r="QN42" s="16">
        <v>80.400000000000006</v>
      </c>
      <c r="QO42" s="16">
        <v>15.1</v>
      </c>
      <c r="QP42">
        <v>52.24</v>
      </c>
      <c r="QQ42">
        <v>45.43</v>
      </c>
      <c r="QR42">
        <v>1.1200000000000001</v>
      </c>
      <c r="QS42">
        <v>0</v>
      </c>
      <c r="QT42">
        <v>1.2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1.2</v>
      </c>
      <c r="RB42">
        <v>15.88</v>
      </c>
      <c r="RC42">
        <v>48.59</v>
      </c>
      <c r="RD42">
        <v>0</v>
      </c>
      <c r="RE42">
        <v>0</v>
      </c>
      <c r="RF42">
        <v>0</v>
      </c>
      <c r="RG42">
        <v>0</v>
      </c>
      <c r="RT42">
        <v>0</v>
      </c>
      <c r="RU42">
        <v>0</v>
      </c>
      <c r="SF42" s="18"/>
      <c r="SX42">
        <v>1</v>
      </c>
      <c r="SY42">
        <v>50</v>
      </c>
      <c r="SZ42">
        <v>2</v>
      </c>
      <c r="TA42">
        <f>3.18+12.73</f>
        <v>15.91</v>
      </c>
      <c r="TB42">
        <v>1</v>
      </c>
      <c r="UI42" s="16">
        <v>5.9</v>
      </c>
      <c r="UJ42" s="16">
        <v>1</v>
      </c>
      <c r="UK42" s="16">
        <v>2</v>
      </c>
      <c r="UL42" s="16"/>
      <c r="UM42" s="16">
        <f>0.09+0.18*3+0.13+0.53+1.07*2+1.34*2+0.17*2+3.18+12.73</f>
        <v>22.36</v>
      </c>
      <c r="UN42" s="16"/>
      <c r="UO42" s="16"/>
      <c r="UP42" s="16"/>
      <c r="UQ42" s="16"/>
      <c r="UR42" s="16"/>
      <c r="US42" s="16"/>
      <c r="UT42" s="16">
        <v>11.45</v>
      </c>
      <c r="UU42" s="16">
        <v>41.19</v>
      </c>
      <c r="UV42" s="16"/>
      <c r="UW42" s="16"/>
      <c r="UX42" s="16">
        <v>0</v>
      </c>
      <c r="UY42" s="16">
        <v>0</v>
      </c>
      <c r="UZ42" s="16">
        <v>0</v>
      </c>
      <c r="VA42">
        <v>0</v>
      </c>
      <c r="VB42" t="s">
        <v>223</v>
      </c>
      <c r="VC42">
        <v>30.5</v>
      </c>
      <c r="VD42" s="16">
        <v>68.8</v>
      </c>
      <c r="VE42" s="16">
        <v>80.400000000000006</v>
      </c>
      <c r="VF42" s="16">
        <v>16.3</v>
      </c>
      <c r="VG42">
        <v>66.28</v>
      </c>
      <c r="VH42">
        <v>20.09</v>
      </c>
      <c r="VI42">
        <v>1.81</v>
      </c>
      <c r="VJ42">
        <v>0</v>
      </c>
      <c r="VK42">
        <v>11.82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13.17</v>
      </c>
      <c r="VT42">
        <v>35.75</v>
      </c>
      <c r="VU42">
        <v>0</v>
      </c>
      <c r="VV42">
        <v>0</v>
      </c>
      <c r="VW42">
        <v>0</v>
      </c>
      <c r="VX42">
        <v>0</v>
      </c>
      <c r="WK42">
        <v>0</v>
      </c>
      <c r="WL42">
        <v>1</v>
      </c>
      <c r="WM42">
        <v>52</v>
      </c>
      <c r="WN42">
        <v>1</v>
      </c>
      <c r="WO42">
        <v>0.01</v>
      </c>
      <c r="WP42">
        <v>2</v>
      </c>
      <c r="WW42" s="18"/>
      <c r="XO42">
        <v>0</v>
      </c>
      <c r="YZ42" s="16">
        <v>5.43</v>
      </c>
      <c r="ZA42" s="16">
        <v>1</v>
      </c>
      <c r="ZB42" s="16">
        <v>1</v>
      </c>
      <c r="ZC42" s="16"/>
      <c r="ZD42" s="16">
        <f>0.09*2+0.07+1.36</f>
        <v>1.61</v>
      </c>
      <c r="ZE42" s="16">
        <v>2</v>
      </c>
      <c r="ZF42" s="16"/>
      <c r="ZG42" s="16">
        <f>4.2+0.09+0.66+0.01+3.18+3.18</f>
        <v>11.32</v>
      </c>
      <c r="ZH42" s="16"/>
      <c r="ZI42" s="16"/>
      <c r="ZJ42" s="16"/>
      <c r="ZK42" s="16">
        <v>8.61</v>
      </c>
      <c r="ZL42" s="16">
        <v>26.91</v>
      </c>
      <c r="ZM42" s="16"/>
      <c r="ZN42" s="16"/>
      <c r="ZO42" s="16">
        <v>0</v>
      </c>
      <c r="ZP42" s="16">
        <v>0</v>
      </c>
      <c r="ZQ42" s="16">
        <v>0</v>
      </c>
      <c r="ZR42">
        <v>0</v>
      </c>
      <c r="ZS42" t="s">
        <v>224</v>
      </c>
      <c r="ZT42">
        <v>39.5</v>
      </c>
      <c r="ZU42" s="16">
        <v>60.8</v>
      </c>
      <c r="ZV42" s="16">
        <v>80.400000000000006</v>
      </c>
      <c r="ZW42" s="16">
        <v>22.9</v>
      </c>
      <c r="ZX42">
        <v>67.010000000000005</v>
      </c>
      <c r="ZY42">
        <v>11.71</v>
      </c>
      <c r="ZZ42">
        <v>16.61</v>
      </c>
      <c r="AAA42">
        <v>0</v>
      </c>
      <c r="AAB42">
        <v>4.67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20.9</v>
      </c>
      <c r="AAK42">
        <v>25.23</v>
      </c>
      <c r="AAL42">
        <v>0.57999999999999996</v>
      </c>
      <c r="AAM42">
        <v>0</v>
      </c>
      <c r="AAN42">
        <v>0</v>
      </c>
      <c r="AAO42">
        <v>0</v>
      </c>
      <c r="ABB42">
        <v>2</v>
      </c>
      <c r="ABC42">
        <v>1</v>
      </c>
      <c r="ABD42">
        <v>103</v>
      </c>
      <c r="ABE42">
        <v>2</v>
      </c>
      <c r="ABF42">
        <f>0.18+0.14</f>
        <v>0.32</v>
      </c>
      <c r="ABG42">
        <v>1</v>
      </c>
      <c r="ABH42">
        <v>68</v>
      </c>
      <c r="ABI42">
        <v>1</v>
      </c>
      <c r="ABJ42">
        <v>0.01</v>
      </c>
      <c r="ABK42">
        <v>1</v>
      </c>
      <c r="ABL42">
        <v>52</v>
      </c>
      <c r="ABM42">
        <v>3</v>
      </c>
      <c r="ABN42" s="18">
        <v>0.05</v>
      </c>
      <c r="ABO42">
        <v>2</v>
      </c>
      <c r="ACF42">
        <v>0</v>
      </c>
      <c r="ADQ42" s="16">
        <v>3.66</v>
      </c>
      <c r="ADR42" s="16">
        <v>1</v>
      </c>
      <c r="ADS42" s="16">
        <v>1</v>
      </c>
      <c r="ADT42" s="16"/>
      <c r="ADU42" s="16">
        <f>2.69*3+1.35*3+0.14*2+0.1</f>
        <v>12.5</v>
      </c>
      <c r="ADV42" s="16">
        <v>2</v>
      </c>
      <c r="ADW42" s="16"/>
      <c r="ADX42" s="16">
        <f>0.66+0.35+0.18+0.14+1.25+1.23</f>
        <v>3.81</v>
      </c>
      <c r="ADY42" s="16"/>
      <c r="ADZ42" s="16"/>
      <c r="AEA42" s="16"/>
      <c r="AEB42" s="16">
        <v>10.050000000000001</v>
      </c>
      <c r="AEC42" s="16">
        <v>27.11</v>
      </c>
      <c r="AED42" s="16"/>
      <c r="AEE42" s="16"/>
      <c r="AEF42" s="16">
        <v>0</v>
      </c>
      <c r="AEG42" s="16">
        <v>0</v>
      </c>
      <c r="AEH42" s="16">
        <v>0</v>
      </c>
      <c r="AEI42">
        <v>0</v>
      </c>
      <c r="AEJ42" t="s">
        <v>225</v>
      </c>
      <c r="AEK42">
        <v>47</v>
      </c>
      <c r="AEL42" s="16">
        <v>72.3</v>
      </c>
      <c r="AEM42" s="16">
        <v>80.400000000000006</v>
      </c>
      <c r="AEN42" s="16">
        <v>18</v>
      </c>
      <c r="AEO42">
        <v>70.55</v>
      </c>
      <c r="AEP42">
        <v>6.81</v>
      </c>
      <c r="AEQ42">
        <v>3.09</v>
      </c>
      <c r="AER42">
        <v>0</v>
      </c>
      <c r="AES42">
        <v>19.55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18.07</v>
      </c>
      <c r="AFB42">
        <v>30.57</v>
      </c>
      <c r="AFC42">
        <v>7.61</v>
      </c>
      <c r="AFD42">
        <v>0</v>
      </c>
      <c r="AFE42">
        <v>14</v>
      </c>
      <c r="AFF42">
        <v>2</v>
      </c>
      <c r="AFG42">
        <v>5</v>
      </c>
      <c r="AFH42">
        <v>4.47</v>
      </c>
      <c r="AFJ42">
        <v>7</v>
      </c>
      <c r="AFK42">
        <v>5.15</v>
      </c>
      <c r="AFM42">
        <v>5</v>
      </c>
      <c r="AFN42">
        <v>4.47</v>
      </c>
      <c r="AFP42">
        <v>7</v>
      </c>
      <c r="AFQ42">
        <v>5.15</v>
      </c>
      <c r="AFS42">
        <v>0</v>
      </c>
      <c r="AFT42">
        <v>0</v>
      </c>
      <c r="AGE42" s="18"/>
      <c r="AGW42">
        <v>0</v>
      </c>
      <c r="AIH42" s="16">
        <v>4.21</v>
      </c>
      <c r="AII42" s="16">
        <v>1</v>
      </c>
      <c r="AIJ42" s="16">
        <v>2</v>
      </c>
      <c r="AIK42" s="16"/>
      <c r="AIL42" s="16">
        <f>7.46+1.59+0.6</f>
        <v>9.65</v>
      </c>
      <c r="AIM42" s="16"/>
      <c r="AIN42" s="16"/>
      <c r="AIO42" s="16"/>
      <c r="AIP42" s="16"/>
      <c r="AIQ42" s="16"/>
      <c r="AIR42" s="16"/>
      <c r="AIS42" s="16">
        <v>10.63</v>
      </c>
      <c r="AIT42" s="16">
        <v>36.380000000000003</v>
      </c>
      <c r="AIU42" s="16"/>
      <c r="AIV42" s="16"/>
      <c r="AIW42" s="16">
        <v>0</v>
      </c>
      <c r="AIX42" s="16">
        <v>0</v>
      </c>
      <c r="AIY42" s="16">
        <v>0</v>
      </c>
      <c r="AIZ42">
        <v>0</v>
      </c>
      <c r="AJA42" t="s">
        <v>226</v>
      </c>
      <c r="AJB42">
        <v>19</v>
      </c>
      <c r="AJC42" s="16">
        <v>82.6</v>
      </c>
      <c r="AJD42" s="16">
        <v>80.400000000000006</v>
      </c>
      <c r="AJE42" s="16">
        <v>7.7</v>
      </c>
      <c r="AJF42">
        <v>86.83</v>
      </c>
      <c r="AJG42">
        <v>12.69</v>
      </c>
      <c r="AJH42">
        <v>0</v>
      </c>
      <c r="AJI42">
        <v>0</v>
      </c>
      <c r="AJJ42">
        <v>0.48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7.16</v>
      </c>
      <c r="AJS42">
        <v>10.76</v>
      </c>
      <c r="AJT42">
        <v>0</v>
      </c>
      <c r="AJU42">
        <v>0</v>
      </c>
      <c r="AJV42">
        <v>3.4</v>
      </c>
      <c r="AJW42">
        <v>2</v>
      </c>
      <c r="AJX42">
        <v>11.9</v>
      </c>
      <c r="AJY42">
        <v>0.48</v>
      </c>
      <c r="AKD42">
        <v>11.9</v>
      </c>
      <c r="AKE42">
        <v>0.48</v>
      </c>
      <c r="AKJ42">
        <v>0</v>
      </c>
      <c r="AKK42">
        <v>1</v>
      </c>
      <c r="AKL42">
        <v>34</v>
      </c>
      <c r="AKM42">
        <v>2</v>
      </c>
      <c r="AKN42">
        <f>0.84*2</f>
        <v>1.68</v>
      </c>
      <c r="AKO42">
        <v>1</v>
      </c>
      <c r="AKV42" s="18"/>
      <c r="ALN42">
        <v>0</v>
      </c>
    </row>
    <row r="43" spans="1:1018" x14ac:dyDescent="0.2">
      <c r="A43" s="1" t="s">
        <v>379</v>
      </c>
      <c r="B43" s="13">
        <v>42899</v>
      </c>
      <c r="C43">
        <v>2</v>
      </c>
      <c r="D43" s="13">
        <v>42804</v>
      </c>
      <c r="E43" s="12">
        <v>33133</v>
      </c>
      <c r="F43" s="14">
        <f t="shared" si="0"/>
        <v>26.7378507871321</v>
      </c>
      <c r="G43" s="14">
        <f t="shared" si="1"/>
        <v>0.26009582477754961</v>
      </c>
      <c r="H43" s="15" t="s">
        <v>217</v>
      </c>
      <c r="I43" s="15" t="s">
        <v>218</v>
      </c>
      <c r="J43" s="21" t="s">
        <v>181</v>
      </c>
      <c r="K43" s="21">
        <v>4</v>
      </c>
      <c r="L43" s="19">
        <v>85</v>
      </c>
      <c r="M43">
        <v>1.7</v>
      </c>
      <c r="N43" s="16">
        <f t="shared" si="2"/>
        <v>29.411764705882355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19">
        <v>0</v>
      </c>
      <c r="V43" s="19">
        <v>0</v>
      </c>
      <c r="W43" s="19">
        <v>0</v>
      </c>
      <c r="X43" s="19">
        <v>0</v>
      </c>
      <c r="Y43" s="19">
        <v>0</v>
      </c>
      <c r="Z43" s="19">
        <v>0</v>
      </c>
      <c r="AA43" s="19">
        <v>0</v>
      </c>
      <c r="AB43" s="19">
        <v>0</v>
      </c>
      <c r="AC43" s="19">
        <v>0</v>
      </c>
      <c r="AD43" s="19">
        <v>0</v>
      </c>
      <c r="AE43" s="19">
        <v>0</v>
      </c>
      <c r="AF43" s="19">
        <v>0</v>
      </c>
      <c r="AG43" s="19">
        <v>0</v>
      </c>
      <c r="AH43" s="19">
        <v>0</v>
      </c>
      <c r="AI43" s="19">
        <v>0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19">
        <v>0</v>
      </c>
      <c r="AP43" s="19">
        <v>0</v>
      </c>
      <c r="AQ43" s="19">
        <v>0</v>
      </c>
      <c r="AR43" s="19">
        <v>0</v>
      </c>
      <c r="AS43" s="19">
        <v>0</v>
      </c>
      <c r="AT43" s="19">
        <v>0</v>
      </c>
      <c r="AU43" s="19">
        <v>0</v>
      </c>
      <c r="AV43" s="19">
        <v>0</v>
      </c>
      <c r="AW43" s="19">
        <v>0</v>
      </c>
      <c r="AX43" s="19">
        <v>0</v>
      </c>
      <c r="AY43" s="19">
        <v>0</v>
      </c>
      <c r="AZ43" s="19">
        <v>0</v>
      </c>
      <c r="BA43" s="19">
        <v>0</v>
      </c>
      <c r="BB43" s="19">
        <v>0</v>
      </c>
      <c r="BC43" s="19">
        <v>0</v>
      </c>
      <c r="BD43" s="19">
        <v>0</v>
      </c>
      <c r="BE43" s="19">
        <v>0</v>
      </c>
      <c r="BF43" s="19">
        <v>0</v>
      </c>
      <c r="BG43" s="19">
        <v>0</v>
      </c>
      <c r="BH43" s="19">
        <v>0</v>
      </c>
      <c r="BI43" s="19">
        <v>0</v>
      </c>
      <c r="BJ43" s="19">
        <v>0</v>
      </c>
      <c r="BK43" s="19">
        <v>0</v>
      </c>
      <c r="BL43" s="19">
        <v>0</v>
      </c>
      <c r="BM43" s="19">
        <v>0</v>
      </c>
      <c r="BN43" s="19">
        <v>0</v>
      </c>
      <c r="BO43" s="19">
        <v>0</v>
      </c>
      <c r="BP43" s="19">
        <v>0</v>
      </c>
      <c r="BQ43" s="19">
        <v>0</v>
      </c>
      <c r="BR43" s="19">
        <v>1</v>
      </c>
      <c r="BS43" s="19">
        <v>1</v>
      </c>
      <c r="BT43" s="19">
        <v>3</v>
      </c>
      <c r="BU43" s="19">
        <v>5</v>
      </c>
      <c r="BV43" s="19">
        <v>1</v>
      </c>
      <c r="BW43" s="19">
        <v>1</v>
      </c>
      <c r="BX43" s="19">
        <v>5</v>
      </c>
      <c r="BY43" s="19">
        <v>5</v>
      </c>
      <c r="BZ43" s="19">
        <v>5</v>
      </c>
      <c r="CA43" s="19">
        <v>3</v>
      </c>
      <c r="CB43" s="19">
        <v>5</v>
      </c>
      <c r="CC43" s="19">
        <v>5</v>
      </c>
      <c r="CD43" s="19">
        <v>5</v>
      </c>
      <c r="CE43" s="19">
        <v>5</v>
      </c>
      <c r="CF43" s="19">
        <v>5</v>
      </c>
      <c r="CG43" s="19">
        <v>5</v>
      </c>
      <c r="CH43" s="19">
        <v>5</v>
      </c>
      <c r="CI43" s="19">
        <v>5</v>
      </c>
      <c r="CJ43" s="19">
        <v>5</v>
      </c>
      <c r="CK43" s="19">
        <v>10</v>
      </c>
      <c r="CL43" t="s">
        <v>219</v>
      </c>
      <c r="CM43">
        <v>33.5</v>
      </c>
      <c r="CN43" s="16">
        <v>91.5</v>
      </c>
      <c r="CO43" s="16">
        <v>80.400000000000006</v>
      </c>
      <c r="CP43" s="16">
        <v>20</v>
      </c>
      <c r="CQ43">
        <v>84.58</v>
      </c>
      <c r="CR43" s="17">
        <v>0</v>
      </c>
      <c r="CS43">
        <v>15.42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13.79</v>
      </c>
      <c r="DD43">
        <v>2.67</v>
      </c>
      <c r="DE43">
        <v>11.54</v>
      </c>
      <c r="DF43">
        <v>0</v>
      </c>
      <c r="DG43">
        <v>12.3</v>
      </c>
      <c r="DH43">
        <v>2</v>
      </c>
      <c r="DI43">
        <v>5</v>
      </c>
      <c r="DJ43">
        <v>2</v>
      </c>
      <c r="DO43">
        <v>5</v>
      </c>
      <c r="DP43">
        <v>2</v>
      </c>
      <c r="DU43">
        <v>0</v>
      </c>
      <c r="DV43">
        <v>1</v>
      </c>
      <c r="DW43">
        <v>34</v>
      </c>
      <c r="DX43">
        <v>2</v>
      </c>
      <c r="DY43">
        <v>0.1</v>
      </c>
      <c r="DZ43">
        <v>1</v>
      </c>
      <c r="EA43">
        <v>10</v>
      </c>
      <c r="EB43">
        <f>8*4</f>
        <v>32</v>
      </c>
      <c r="EC43">
        <f>0.06+0.01+0.4+1.7+0.24+0.14+0.96</f>
        <v>3.5100000000000002</v>
      </c>
      <c r="ED43">
        <v>3</v>
      </c>
      <c r="EG43" s="18"/>
      <c r="EY43">
        <v>0</v>
      </c>
      <c r="GJ43" s="16">
        <v>0.25</v>
      </c>
      <c r="GK43" s="16">
        <v>1</v>
      </c>
      <c r="GL43" s="16">
        <v>2</v>
      </c>
      <c r="GM43" s="16"/>
      <c r="GN43" s="16">
        <v>0.55000000000000004</v>
      </c>
      <c r="GO43" s="16"/>
      <c r="GP43" s="16"/>
      <c r="GQ43" s="16"/>
      <c r="GR43" s="16"/>
      <c r="GS43" s="16"/>
      <c r="GT43" s="16"/>
      <c r="GU43" s="16">
        <v>0.55000000000000004</v>
      </c>
      <c r="GV43" s="16">
        <v>0.55000000000000004</v>
      </c>
      <c r="GW43" s="16"/>
      <c r="GX43" s="16"/>
      <c r="GY43" s="16">
        <v>0</v>
      </c>
      <c r="GZ43" s="16">
        <v>0</v>
      </c>
      <c r="HA43" s="16">
        <v>0</v>
      </c>
      <c r="HB43">
        <v>0</v>
      </c>
      <c r="HC43" t="s">
        <v>220</v>
      </c>
      <c r="HD43">
        <v>27</v>
      </c>
      <c r="HE43" s="16">
        <v>54.4</v>
      </c>
      <c r="HF43" s="16">
        <v>80.400000000000006</v>
      </c>
      <c r="HG43" s="16">
        <v>18.100000000000001</v>
      </c>
      <c r="HH43">
        <v>81.88</v>
      </c>
      <c r="HI43" s="17">
        <v>0</v>
      </c>
      <c r="HJ43">
        <v>9.83</v>
      </c>
      <c r="HK43">
        <v>0</v>
      </c>
      <c r="HL43">
        <v>2.14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2.3199999999999998</v>
      </c>
      <c r="HU43">
        <v>19.66</v>
      </c>
      <c r="HV43">
        <v>3.64</v>
      </c>
      <c r="HW43">
        <v>0</v>
      </c>
      <c r="HX43">
        <v>0</v>
      </c>
      <c r="HY43">
        <v>0</v>
      </c>
      <c r="IL43">
        <v>0</v>
      </c>
      <c r="IM43">
        <v>1</v>
      </c>
      <c r="IN43">
        <v>26</v>
      </c>
      <c r="IO43">
        <v>2</v>
      </c>
      <c r="IP43">
        <v>0.05</v>
      </c>
      <c r="IQ43">
        <v>2</v>
      </c>
      <c r="IX43" s="18"/>
      <c r="JP43">
        <v>0</v>
      </c>
      <c r="LA43" s="16">
        <v>2.1</v>
      </c>
      <c r="LB43" s="16">
        <v>1</v>
      </c>
      <c r="LC43" s="16">
        <v>1</v>
      </c>
      <c r="LD43" s="16"/>
      <c r="LE43" s="16">
        <f>0.1+0.76*2+2.02+1.35*2+0.67</f>
        <v>7.01</v>
      </c>
      <c r="LF43" s="16"/>
      <c r="LG43" s="16"/>
      <c r="LH43" s="16"/>
      <c r="LI43" s="16"/>
      <c r="LJ43" s="16"/>
      <c r="LK43" s="16"/>
      <c r="LL43" s="16">
        <v>6.35</v>
      </c>
      <c r="LM43" s="16">
        <v>14.8</v>
      </c>
      <c r="LN43" s="16"/>
      <c r="LO43" s="16"/>
      <c r="LP43" s="16">
        <v>0</v>
      </c>
      <c r="LQ43" s="16">
        <v>0</v>
      </c>
      <c r="LR43" s="16">
        <v>0</v>
      </c>
      <c r="LS43">
        <v>0</v>
      </c>
      <c r="LT43" t="s">
        <v>221</v>
      </c>
      <c r="LU43">
        <v>20.5</v>
      </c>
      <c r="LV43" s="16">
        <v>76.900000000000006</v>
      </c>
      <c r="LW43" s="16">
        <v>80.400000000000006</v>
      </c>
      <c r="LX43" s="16">
        <v>9.1</v>
      </c>
      <c r="LY43">
        <v>88.58</v>
      </c>
      <c r="LZ43">
        <v>10.3</v>
      </c>
      <c r="MA43">
        <v>1.1200000000000001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6.33</v>
      </c>
      <c r="ML43">
        <v>16.97</v>
      </c>
      <c r="MM43">
        <v>0</v>
      </c>
      <c r="MN43">
        <v>0</v>
      </c>
      <c r="MO43">
        <v>4.0999999999999996</v>
      </c>
      <c r="MP43">
        <v>2</v>
      </c>
      <c r="MQ43">
        <v>5</v>
      </c>
      <c r="MR43">
        <v>1</v>
      </c>
      <c r="MW43">
        <v>5</v>
      </c>
      <c r="MX43">
        <v>1</v>
      </c>
      <c r="NC43">
        <v>0</v>
      </c>
      <c r="ND43">
        <v>0</v>
      </c>
      <c r="NO43" s="18"/>
      <c r="OG43">
        <v>0</v>
      </c>
      <c r="PR43" s="16">
        <v>2.2400000000000002</v>
      </c>
      <c r="PS43" s="16">
        <v>1</v>
      </c>
      <c r="PT43" s="16">
        <v>2</v>
      </c>
      <c r="PU43" s="16"/>
      <c r="PV43" s="16">
        <v>4.97</v>
      </c>
      <c r="PW43" s="16"/>
      <c r="PX43" s="16"/>
      <c r="PY43" s="16"/>
      <c r="PZ43" s="16"/>
      <c r="QA43" s="16"/>
      <c r="QB43" s="16"/>
      <c r="QC43" s="16">
        <v>5.0999999999999996</v>
      </c>
      <c r="QD43" s="16">
        <v>5.97</v>
      </c>
      <c r="QE43" s="16"/>
      <c r="QF43" s="16"/>
      <c r="QG43" s="16">
        <v>0</v>
      </c>
      <c r="QH43" s="16">
        <v>0</v>
      </c>
      <c r="QI43" s="16">
        <v>0</v>
      </c>
      <c r="QJ43">
        <v>0</v>
      </c>
      <c r="QK43" t="s">
        <v>222</v>
      </c>
      <c r="QL43">
        <v>32.5</v>
      </c>
      <c r="QM43" s="16">
        <v>96.7</v>
      </c>
      <c r="QN43" s="16">
        <v>80.400000000000006</v>
      </c>
      <c r="QO43" s="16">
        <v>15.1</v>
      </c>
      <c r="QP43">
        <v>52.24</v>
      </c>
      <c r="QQ43">
        <v>45.43</v>
      </c>
      <c r="QR43">
        <v>1.1200000000000001</v>
      </c>
      <c r="QS43">
        <v>0</v>
      </c>
      <c r="QT43">
        <v>1.2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1.2</v>
      </c>
      <c r="RB43">
        <v>15.88</v>
      </c>
      <c r="RC43">
        <v>48.59</v>
      </c>
      <c r="RD43">
        <v>0</v>
      </c>
      <c r="RE43">
        <v>0</v>
      </c>
      <c r="RF43">
        <v>0</v>
      </c>
      <c r="RG43">
        <v>0</v>
      </c>
      <c r="RT43">
        <v>0</v>
      </c>
      <c r="RU43">
        <v>0</v>
      </c>
      <c r="SF43" s="18"/>
      <c r="SX43">
        <v>1</v>
      </c>
      <c r="SY43">
        <v>50</v>
      </c>
      <c r="SZ43">
        <v>2</v>
      </c>
      <c r="TA43">
        <f>3.18+12.73</f>
        <v>15.91</v>
      </c>
      <c r="TB43">
        <v>1</v>
      </c>
      <c r="UI43" s="16">
        <v>5.9</v>
      </c>
      <c r="UJ43" s="16">
        <v>1</v>
      </c>
      <c r="UK43" s="16">
        <v>2</v>
      </c>
      <c r="UL43" s="16"/>
      <c r="UM43" s="16">
        <f>0.09+0.18*3+0.13+0.53+1.07*2+1.34*2+0.17*2+3.18+12.73</f>
        <v>22.36</v>
      </c>
      <c r="UN43" s="16"/>
      <c r="UO43" s="16"/>
      <c r="UP43" s="16"/>
      <c r="UQ43" s="16"/>
      <c r="UR43" s="16"/>
      <c r="US43" s="16"/>
      <c r="UT43" s="16">
        <v>11.45</v>
      </c>
      <c r="UU43" s="16">
        <v>41.19</v>
      </c>
      <c r="UV43" s="16"/>
      <c r="UW43" s="16"/>
      <c r="UX43" s="16">
        <v>0</v>
      </c>
      <c r="UY43" s="16">
        <v>0</v>
      </c>
      <c r="UZ43" s="16">
        <v>0</v>
      </c>
      <c r="VA43">
        <v>0</v>
      </c>
      <c r="VB43" t="s">
        <v>223</v>
      </c>
      <c r="VC43">
        <v>30.5</v>
      </c>
      <c r="VD43" s="16">
        <v>68.8</v>
      </c>
      <c r="VE43" s="16">
        <v>80.400000000000006</v>
      </c>
      <c r="VF43" s="16">
        <v>16.3</v>
      </c>
      <c r="VG43">
        <v>66.28</v>
      </c>
      <c r="VH43">
        <v>20.09</v>
      </c>
      <c r="VI43">
        <v>1.81</v>
      </c>
      <c r="VJ43">
        <v>0</v>
      </c>
      <c r="VK43">
        <v>11.82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13.17</v>
      </c>
      <c r="VT43">
        <v>35.75</v>
      </c>
      <c r="VU43">
        <v>0</v>
      </c>
      <c r="VV43">
        <v>0</v>
      </c>
      <c r="VW43">
        <v>0</v>
      </c>
      <c r="VX43">
        <v>0</v>
      </c>
      <c r="WK43">
        <v>0</v>
      </c>
      <c r="WL43">
        <v>1</v>
      </c>
      <c r="WM43">
        <v>52</v>
      </c>
      <c r="WN43">
        <v>1</v>
      </c>
      <c r="WO43">
        <v>0.01</v>
      </c>
      <c r="WP43">
        <v>2</v>
      </c>
      <c r="WW43" s="18"/>
      <c r="XO43">
        <v>0</v>
      </c>
      <c r="YZ43" s="16">
        <v>5.43</v>
      </c>
      <c r="ZA43" s="16">
        <v>1</v>
      </c>
      <c r="ZB43" s="16">
        <v>1</v>
      </c>
      <c r="ZC43" s="16"/>
      <c r="ZD43" s="16">
        <f>0.09*2+0.07+1.36</f>
        <v>1.61</v>
      </c>
      <c r="ZE43" s="16">
        <v>2</v>
      </c>
      <c r="ZF43" s="16"/>
      <c r="ZG43" s="16">
        <f>4.2+0.09+0.66+0.01+3.18+3.18</f>
        <v>11.32</v>
      </c>
      <c r="ZH43" s="16"/>
      <c r="ZI43" s="16"/>
      <c r="ZJ43" s="16"/>
      <c r="ZK43" s="16">
        <v>8.61</v>
      </c>
      <c r="ZL43" s="16">
        <v>26.91</v>
      </c>
      <c r="ZM43" s="16"/>
      <c r="ZN43" s="16"/>
      <c r="ZO43" s="16">
        <v>0</v>
      </c>
      <c r="ZP43" s="16">
        <v>0</v>
      </c>
      <c r="ZQ43" s="16">
        <v>0</v>
      </c>
      <c r="ZR43">
        <v>0</v>
      </c>
      <c r="ZS43" t="s">
        <v>224</v>
      </c>
      <c r="ZT43">
        <v>39.5</v>
      </c>
      <c r="ZU43" s="16">
        <v>60.8</v>
      </c>
      <c r="ZV43" s="16">
        <v>80.400000000000006</v>
      </c>
      <c r="ZW43" s="16">
        <v>22.9</v>
      </c>
      <c r="ZX43">
        <v>67.010000000000005</v>
      </c>
      <c r="ZY43">
        <v>11.71</v>
      </c>
      <c r="ZZ43">
        <v>16.61</v>
      </c>
      <c r="AAA43">
        <v>0</v>
      </c>
      <c r="AAB43">
        <v>4.67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20.9</v>
      </c>
      <c r="AAK43">
        <v>25.23</v>
      </c>
      <c r="AAL43">
        <v>0.57999999999999996</v>
      </c>
      <c r="AAM43">
        <v>0</v>
      </c>
      <c r="AAN43">
        <v>0</v>
      </c>
      <c r="AAO43">
        <v>0</v>
      </c>
      <c r="ABB43">
        <v>2</v>
      </c>
      <c r="ABC43">
        <v>1</v>
      </c>
      <c r="ABD43">
        <v>103</v>
      </c>
      <c r="ABE43">
        <v>2</v>
      </c>
      <c r="ABF43">
        <f>0.18+0.14</f>
        <v>0.32</v>
      </c>
      <c r="ABG43">
        <v>1</v>
      </c>
      <c r="ABH43">
        <v>68</v>
      </c>
      <c r="ABI43">
        <v>1</v>
      </c>
      <c r="ABJ43">
        <v>0.01</v>
      </c>
      <c r="ABK43">
        <v>1</v>
      </c>
      <c r="ABL43">
        <v>52</v>
      </c>
      <c r="ABM43">
        <v>3</v>
      </c>
      <c r="ABN43" s="18">
        <v>0.05</v>
      </c>
      <c r="ABO43">
        <v>2</v>
      </c>
      <c r="ACF43">
        <v>0</v>
      </c>
      <c r="ADQ43" s="16">
        <v>3.66</v>
      </c>
      <c r="ADR43" s="16">
        <v>1</v>
      </c>
      <c r="ADS43" s="16">
        <v>1</v>
      </c>
      <c r="ADT43" s="16"/>
      <c r="ADU43" s="16">
        <f>2.69*3+1.35*3+0.14*2+0.1</f>
        <v>12.5</v>
      </c>
      <c r="ADV43" s="16">
        <v>2</v>
      </c>
      <c r="ADW43" s="16"/>
      <c r="ADX43" s="16">
        <f>0.66+0.35+0.18+0.14+1.25+1.23</f>
        <v>3.81</v>
      </c>
      <c r="ADY43" s="16"/>
      <c r="ADZ43" s="16"/>
      <c r="AEA43" s="16"/>
      <c r="AEB43" s="16">
        <v>10.050000000000001</v>
      </c>
      <c r="AEC43" s="16">
        <v>27.11</v>
      </c>
      <c r="AED43" s="16"/>
      <c r="AEE43" s="16"/>
      <c r="AEF43" s="16">
        <v>0</v>
      </c>
      <c r="AEG43" s="16">
        <v>0</v>
      </c>
      <c r="AEH43" s="16">
        <v>0</v>
      </c>
      <c r="AEI43">
        <v>0</v>
      </c>
      <c r="AEJ43" t="s">
        <v>225</v>
      </c>
      <c r="AEK43">
        <v>47</v>
      </c>
      <c r="AEL43" s="16">
        <v>72.3</v>
      </c>
      <c r="AEM43" s="16">
        <v>80.400000000000006</v>
      </c>
      <c r="AEN43" s="16">
        <v>18</v>
      </c>
      <c r="AEO43">
        <v>70.55</v>
      </c>
      <c r="AEP43">
        <v>6.81</v>
      </c>
      <c r="AEQ43">
        <v>3.09</v>
      </c>
      <c r="AER43">
        <v>0</v>
      </c>
      <c r="AES43">
        <v>19.55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18.07</v>
      </c>
      <c r="AFB43">
        <v>30.57</v>
      </c>
      <c r="AFC43">
        <v>7.61</v>
      </c>
      <c r="AFD43">
        <v>0</v>
      </c>
      <c r="AFE43">
        <v>14</v>
      </c>
      <c r="AFF43">
        <v>2</v>
      </c>
      <c r="AFG43">
        <v>5</v>
      </c>
      <c r="AFH43">
        <v>4.47</v>
      </c>
      <c r="AFJ43">
        <v>7</v>
      </c>
      <c r="AFK43">
        <v>5.15</v>
      </c>
      <c r="AFM43">
        <v>5</v>
      </c>
      <c r="AFN43">
        <v>4.47</v>
      </c>
      <c r="AFP43">
        <v>7</v>
      </c>
      <c r="AFQ43">
        <v>5.15</v>
      </c>
      <c r="AFS43">
        <v>0</v>
      </c>
      <c r="AFT43">
        <v>0</v>
      </c>
      <c r="AGE43" s="18"/>
      <c r="AGW43">
        <v>0</v>
      </c>
      <c r="AIH43" s="16">
        <v>4.21</v>
      </c>
      <c r="AII43" s="16">
        <v>1</v>
      </c>
      <c r="AIJ43" s="16">
        <v>2</v>
      </c>
      <c r="AIK43" s="16"/>
      <c r="AIL43" s="16">
        <f>7.46+1.59+0.6</f>
        <v>9.65</v>
      </c>
      <c r="AIM43" s="16"/>
      <c r="AIN43" s="16"/>
      <c r="AIO43" s="16"/>
      <c r="AIP43" s="16"/>
      <c r="AIQ43" s="16"/>
      <c r="AIR43" s="16"/>
      <c r="AIS43" s="16">
        <v>10.63</v>
      </c>
      <c r="AIT43" s="16">
        <v>36.380000000000003</v>
      </c>
      <c r="AIU43" s="16"/>
      <c r="AIV43" s="16"/>
      <c r="AIW43" s="16">
        <v>0</v>
      </c>
      <c r="AIX43" s="16">
        <v>0</v>
      </c>
      <c r="AIY43" s="16">
        <v>0</v>
      </c>
      <c r="AIZ43">
        <v>0</v>
      </c>
      <c r="AJA43" t="s">
        <v>226</v>
      </c>
      <c r="AJB43">
        <v>19</v>
      </c>
      <c r="AJC43" s="16">
        <v>82.6</v>
      </c>
      <c r="AJD43" s="16">
        <v>80.400000000000006</v>
      </c>
      <c r="AJE43" s="16">
        <v>7.7</v>
      </c>
      <c r="AJF43">
        <v>86.83</v>
      </c>
      <c r="AJG43">
        <v>12.69</v>
      </c>
      <c r="AJH43">
        <v>0</v>
      </c>
      <c r="AJI43">
        <v>0</v>
      </c>
      <c r="AJJ43">
        <v>0.48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7.16</v>
      </c>
      <c r="AJS43">
        <v>10.76</v>
      </c>
      <c r="AJT43">
        <v>0</v>
      </c>
      <c r="AJU43">
        <v>0</v>
      </c>
      <c r="AJV43">
        <v>3.4</v>
      </c>
      <c r="AJW43">
        <v>2</v>
      </c>
      <c r="AJX43">
        <v>11.9</v>
      </c>
      <c r="AJY43">
        <v>0.48</v>
      </c>
      <c r="AKD43">
        <v>11.9</v>
      </c>
      <c r="AKE43">
        <v>0.48</v>
      </c>
      <c r="AKJ43">
        <v>0</v>
      </c>
      <c r="AKK43">
        <v>1</v>
      </c>
      <c r="AKL43">
        <v>34</v>
      </c>
      <c r="AKM43">
        <v>2</v>
      </c>
      <c r="AKN43">
        <f>0.84*2</f>
        <v>1.68</v>
      </c>
      <c r="AKO43">
        <v>1</v>
      </c>
      <c r="AKV43" s="18"/>
      <c r="ALN43">
        <v>0</v>
      </c>
    </row>
    <row r="44" spans="1:1018" x14ac:dyDescent="0.2">
      <c r="A44" s="1" t="s">
        <v>380</v>
      </c>
      <c r="B44" s="12">
        <v>42893</v>
      </c>
      <c r="C44">
        <v>1</v>
      </c>
      <c r="D44" s="13">
        <v>39118</v>
      </c>
      <c r="E44" s="12">
        <v>27176</v>
      </c>
      <c r="F44" s="14">
        <f t="shared" si="0"/>
        <v>43.030800821355236</v>
      </c>
      <c r="G44" s="14">
        <f t="shared" si="1"/>
        <v>10.335386721423683</v>
      </c>
      <c r="H44" s="15" t="s">
        <v>217</v>
      </c>
      <c r="I44" s="15" t="s">
        <v>218</v>
      </c>
      <c r="J44" s="21" t="s">
        <v>181</v>
      </c>
      <c r="K44" s="21">
        <v>8</v>
      </c>
      <c r="L44" s="19">
        <v>65</v>
      </c>
      <c r="M44">
        <v>1.62</v>
      </c>
      <c r="N44" s="16">
        <f t="shared" si="2"/>
        <v>24.767565919829291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19">
        <v>0</v>
      </c>
      <c r="V44" s="19">
        <v>0</v>
      </c>
      <c r="W44" s="19">
        <v>1</v>
      </c>
      <c r="X44" s="19">
        <v>0</v>
      </c>
      <c r="Y44" s="19">
        <v>1</v>
      </c>
      <c r="Z44" s="19">
        <v>1</v>
      </c>
      <c r="AA44" s="19">
        <v>40</v>
      </c>
      <c r="AB44" s="19" t="s">
        <v>381</v>
      </c>
      <c r="AC44" s="19">
        <v>0</v>
      </c>
      <c r="AD44" s="19">
        <v>0</v>
      </c>
      <c r="AE44" s="19">
        <v>1</v>
      </c>
      <c r="AF44" s="19">
        <v>1</v>
      </c>
      <c r="AG44" s="19">
        <v>1</v>
      </c>
      <c r="AH44" s="19">
        <v>9</v>
      </c>
      <c r="AI44" s="19">
        <v>2</v>
      </c>
      <c r="AJ44" s="19">
        <v>2</v>
      </c>
      <c r="AK44" s="19">
        <v>2</v>
      </c>
      <c r="AL44" s="19">
        <v>0</v>
      </c>
      <c r="AM44" s="19">
        <v>6</v>
      </c>
      <c r="AN44" s="19">
        <v>3</v>
      </c>
      <c r="AO44" s="19">
        <v>3</v>
      </c>
      <c r="AP44" s="19">
        <v>3</v>
      </c>
      <c r="AQ44" s="19">
        <v>9</v>
      </c>
      <c r="AR44" s="19">
        <v>10</v>
      </c>
      <c r="AS44" s="19">
        <v>0</v>
      </c>
      <c r="AT44" s="19">
        <v>0</v>
      </c>
      <c r="AU44" s="19">
        <v>0</v>
      </c>
      <c r="AV44" s="19">
        <v>0</v>
      </c>
      <c r="AW44" s="19">
        <v>0</v>
      </c>
      <c r="AX44" s="19">
        <v>0</v>
      </c>
      <c r="AY44" s="19">
        <v>0</v>
      </c>
      <c r="AZ44" s="19">
        <v>0</v>
      </c>
      <c r="BA44" s="19">
        <v>0</v>
      </c>
      <c r="BB44" s="19">
        <v>1</v>
      </c>
      <c r="BC44" s="19">
        <v>0</v>
      </c>
      <c r="BD44" s="19">
        <v>0</v>
      </c>
      <c r="BE44" s="19">
        <v>0</v>
      </c>
      <c r="BF44" s="19">
        <v>1</v>
      </c>
      <c r="BG44" s="19"/>
      <c r="BH44" s="19">
        <v>0</v>
      </c>
      <c r="BI44" s="19">
        <v>0</v>
      </c>
      <c r="BJ44" s="19">
        <v>0</v>
      </c>
      <c r="BK44" s="19">
        <v>0</v>
      </c>
      <c r="BL44" s="19">
        <v>0</v>
      </c>
      <c r="BM44" s="19">
        <v>0</v>
      </c>
      <c r="BN44" s="19">
        <v>1</v>
      </c>
      <c r="BO44" s="19">
        <v>0</v>
      </c>
      <c r="BP44" s="19">
        <v>1</v>
      </c>
      <c r="BQ44" s="19">
        <v>3</v>
      </c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>
        <v>5</v>
      </c>
      <c r="CI44" s="19">
        <v>5</v>
      </c>
      <c r="CJ44" s="19">
        <v>2</v>
      </c>
      <c r="CK44" s="19">
        <v>9</v>
      </c>
      <c r="CL44" t="s">
        <v>219</v>
      </c>
      <c r="CM44">
        <v>33.5</v>
      </c>
      <c r="CN44" s="16">
        <v>91.5</v>
      </c>
      <c r="CO44" s="16">
        <v>80.400000000000006</v>
      </c>
      <c r="CP44" s="16">
        <v>20</v>
      </c>
      <c r="CQ44">
        <v>84.58</v>
      </c>
      <c r="CR44" s="17">
        <v>0</v>
      </c>
      <c r="CS44">
        <v>15.42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13.79</v>
      </c>
      <c r="DD44">
        <v>2.67</v>
      </c>
      <c r="DE44">
        <v>11.54</v>
      </c>
      <c r="DF44">
        <v>0</v>
      </c>
      <c r="DG44">
        <v>12.3</v>
      </c>
      <c r="DH44">
        <v>2</v>
      </c>
      <c r="DI44">
        <v>5</v>
      </c>
      <c r="DJ44">
        <v>2</v>
      </c>
      <c r="DO44">
        <v>5</v>
      </c>
      <c r="DP44">
        <v>2</v>
      </c>
      <c r="DU44">
        <v>0</v>
      </c>
      <c r="DV44">
        <v>1</v>
      </c>
      <c r="DW44">
        <v>34</v>
      </c>
      <c r="DX44">
        <v>2</v>
      </c>
      <c r="DY44">
        <v>0.1</v>
      </c>
      <c r="DZ44">
        <v>1</v>
      </c>
      <c r="EA44">
        <v>10</v>
      </c>
      <c r="EB44">
        <f>8*4</f>
        <v>32</v>
      </c>
      <c r="EC44">
        <f>0.06+0.01+0.4+1.7+0.24+0.14+0.96</f>
        <v>3.5100000000000002</v>
      </c>
      <c r="ED44">
        <v>3</v>
      </c>
      <c r="EG44" s="18"/>
      <c r="EY44">
        <v>0</v>
      </c>
      <c r="GJ44" s="16">
        <v>0.25</v>
      </c>
      <c r="GK44" s="16">
        <v>1</v>
      </c>
      <c r="GL44" s="16">
        <v>2</v>
      </c>
      <c r="GM44" s="16"/>
      <c r="GN44" s="16">
        <v>0.55000000000000004</v>
      </c>
      <c r="GO44" s="16"/>
      <c r="GP44" s="16"/>
      <c r="GQ44" s="16"/>
      <c r="GR44" s="16"/>
      <c r="GS44" s="16"/>
      <c r="GT44" s="16"/>
      <c r="GU44" s="16">
        <v>0.55000000000000004</v>
      </c>
      <c r="GV44" s="16">
        <v>0.55000000000000004</v>
      </c>
      <c r="GW44" s="16"/>
      <c r="GX44" s="16"/>
      <c r="GY44" s="16">
        <v>0</v>
      </c>
      <c r="GZ44" s="16">
        <v>0</v>
      </c>
      <c r="HA44" s="16">
        <v>0</v>
      </c>
      <c r="HB44">
        <v>0</v>
      </c>
      <c r="HC44" t="s">
        <v>220</v>
      </c>
      <c r="HD44">
        <v>27</v>
      </c>
      <c r="HE44" s="16">
        <v>54.4</v>
      </c>
      <c r="HF44" s="16">
        <v>80.400000000000006</v>
      </c>
      <c r="HG44" s="16">
        <v>18.100000000000001</v>
      </c>
      <c r="HH44">
        <v>81.88</v>
      </c>
      <c r="HI44" s="17">
        <v>0</v>
      </c>
      <c r="HJ44">
        <v>9.83</v>
      </c>
      <c r="HK44">
        <v>0</v>
      </c>
      <c r="HL44">
        <v>2.14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2.3199999999999998</v>
      </c>
      <c r="HU44">
        <v>19.66</v>
      </c>
      <c r="HV44">
        <v>3.64</v>
      </c>
      <c r="HW44">
        <v>0</v>
      </c>
      <c r="HX44">
        <v>0</v>
      </c>
      <c r="HY44">
        <v>0</v>
      </c>
      <c r="IL44">
        <v>0</v>
      </c>
      <c r="IM44">
        <v>1</v>
      </c>
      <c r="IN44">
        <v>26</v>
      </c>
      <c r="IO44">
        <v>2</v>
      </c>
      <c r="IP44">
        <v>0.05</v>
      </c>
      <c r="IQ44">
        <v>2</v>
      </c>
      <c r="IX44" s="18"/>
      <c r="JP44">
        <v>0</v>
      </c>
      <c r="LA44" s="16">
        <v>2.1</v>
      </c>
      <c r="LB44" s="16">
        <v>1</v>
      </c>
      <c r="LC44" s="16">
        <v>1</v>
      </c>
      <c r="LD44" s="16"/>
      <c r="LE44" s="16">
        <f>0.1+0.76*2+2.02+1.35*2+0.67</f>
        <v>7.01</v>
      </c>
      <c r="LF44" s="16"/>
      <c r="LG44" s="16"/>
      <c r="LH44" s="16"/>
      <c r="LI44" s="16"/>
      <c r="LJ44" s="16"/>
      <c r="LK44" s="16"/>
      <c r="LL44" s="16">
        <v>6.35</v>
      </c>
      <c r="LM44" s="16">
        <v>14.8</v>
      </c>
      <c r="LN44" s="16"/>
      <c r="LO44" s="16"/>
      <c r="LP44" s="16">
        <v>0</v>
      </c>
      <c r="LQ44" s="16">
        <v>0</v>
      </c>
      <c r="LR44" s="16">
        <v>0</v>
      </c>
      <c r="LS44">
        <v>0</v>
      </c>
      <c r="LT44" t="s">
        <v>221</v>
      </c>
      <c r="LU44">
        <v>20.5</v>
      </c>
      <c r="LV44" s="16">
        <v>76.900000000000006</v>
      </c>
      <c r="LW44" s="16">
        <v>80.400000000000006</v>
      </c>
      <c r="LX44" s="16">
        <v>9.1</v>
      </c>
      <c r="LY44">
        <v>88.58</v>
      </c>
      <c r="LZ44">
        <v>10.3</v>
      </c>
      <c r="MA44">
        <v>1.1200000000000001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6.33</v>
      </c>
      <c r="ML44">
        <v>16.97</v>
      </c>
      <c r="MM44">
        <v>0</v>
      </c>
      <c r="MN44">
        <v>0</v>
      </c>
      <c r="MO44">
        <v>4.0999999999999996</v>
      </c>
      <c r="MP44">
        <v>2</v>
      </c>
      <c r="MQ44">
        <v>5</v>
      </c>
      <c r="MR44">
        <v>1</v>
      </c>
      <c r="MW44">
        <v>5</v>
      </c>
      <c r="MX44">
        <v>1</v>
      </c>
      <c r="NC44">
        <v>0</v>
      </c>
      <c r="ND44">
        <v>0</v>
      </c>
      <c r="NO44" s="18"/>
      <c r="OG44">
        <v>0</v>
      </c>
      <c r="PR44" s="16">
        <v>2.2400000000000002</v>
      </c>
      <c r="PS44" s="16">
        <v>1</v>
      </c>
      <c r="PT44" s="16">
        <v>2</v>
      </c>
      <c r="PU44" s="16"/>
      <c r="PV44" s="16">
        <v>4.97</v>
      </c>
      <c r="PW44" s="16"/>
      <c r="PX44" s="16"/>
      <c r="PY44" s="16"/>
      <c r="PZ44" s="16"/>
      <c r="QA44" s="16"/>
      <c r="QB44" s="16"/>
      <c r="QC44" s="16">
        <v>5.0999999999999996</v>
      </c>
      <c r="QD44" s="16">
        <v>5.97</v>
      </c>
      <c r="QE44" s="16"/>
      <c r="QF44" s="16"/>
      <c r="QG44" s="16">
        <v>0</v>
      </c>
      <c r="QH44" s="16">
        <v>0</v>
      </c>
      <c r="QI44" s="16">
        <v>0</v>
      </c>
      <c r="QJ44">
        <v>0</v>
      </c>
      <c r="QK44" t="s">
        <v>222</v>
      </c>
      <c r="QL44">
        <v>32.5</v>
      </c>
      <c r="QM44" s="16">
        <v>96.7</v>
      </c>
      <c r="QN44" s="16">
        <v>80.400000000000006</v>
      </c>
      <c r="QO44" s="16">
        <v>15.1</v>
      </c>
      <c r="QP44">
        <v>52.24</v>
      </c>
      <c r="QQ44">
        <v>45.43</v>
      </c>
      <c r="QR44">
        <v>1.1200000000000001</v>
      </c>
      <c r="QS44">
        <v>0</v>
      </c>
      <c r="QT44">
        <v>1.2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1.2</v>
      </c>
      <c r="RB44">
        <v>15.88</v>
      </c>
      <c r="RC44">
        <v>48.59</v>
      </c>
      <c r="RD44">
        <v>0</v>
      </c>
      <c r="RE44">
        <v>0</v>
      </c>
      <c r="RF44">
        <v>0</v>
      </c>
      <c r="RG44">
        <v>0</v>
      </c>
      <c r="RT44">
        <v>0</v>
      </c>
      <c r="RU44">
        <v>0</v>
      </c>
      <c r="SF44" s="18"/>
      <c r="SX44">
        <v>1</v>
      </c>
      <c r="SY44">
        <v>50</v>
      </c>
      <c r="SZ44">
        <v>2</v>
      </c>
      <c r="TA44">
        <f>3.18+12.73</f>
        <v>15.91</v>
      </c>
      <c r="TB44">
        <v>1</v>
      </c>
      <c r="UI44" s="16">
        <v>5.9</v>
      </c>
      <c r="UJ44" s="16">
        <v>1</v>
      </c>
      <c r="UK44" s="16">
        <v>2</v>
      </c>
      <c r="UL44" s="16"/>
      <c r="UM44" s="16">
        <f>0.09+0.18*3+0.13+0.53+1.07*2+1.34*2+0.17*2+3.18+12.73</f>
        <v>22.36</v>
      </c>
      <c r="UN44" s="16"/>
      <c r="UO44" s="16"/>
      <c r="UP44" s="16"/>
      <c r="UQ44" s="16"/>
      <c r="UR44" s="16"/>
      <c r="US44" s="16"/>
      <c r="UT44" s="16">
        <v>11.45</v>
      </c>
      <c r="UU44" s="16">
        <v>41.19</v>
      </c>
      <c r="UV44" s="16"/>
      <c r="UW44" s="16"/>
      <c r="UX44" s="16">
        <v>0</v>
      </c>
      <c r="UY44" s="16">
        <v>0</v>
      </c>
      <c r="UZ44" s="16">
        <v>0</v>
      </c>
      <c r="VA44">
        <v>0</v>
      </c>
      <c r="VB44" t="s">
        <v>223</v>
      </c>
      <c r="VC44">
        <v>30.5</v>
      </c>
      <c r="VD44" s="16">
        <v>68.8</v>
      </c>
      <c r="VE44" s="16">
        <v>80.400000000000006</v>
      </c>
      <c r="VF44" s="16">
        <v>16.3</v>
      </c>
      <c r="VG44">
        <v>66.28</v>
      </c>
      <c r="VH44">
        <v>20.09</v>
      </c>
      <c r="VI44">
        <v>1.81</v>
      </c>
      <c r="VJ44">
        <v>0</v>
      </c>
      <c r="VK44">
        <v>11.82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13.17</v>
      </c>
      <c r="VT44">
        <v>35.75</v>
      </c>
      <c r="VU44">
        <v>0</v>
      </c>
      <c r="VV44">
        <v>0</v>
      </c>
      <c r="VW44">
        <v>0</v>
      </c>
      <c r="VX44">
        <v>0</v>
      </c>
      <c r="WK44">
        <v>0</v>
      </c>
      <c r="WL44">
        <v>1</v>
      </c>
      <c r="WM44">
        <v>52</v>
      </c>
      <c r="WN44">
        <v>1</v>
      </c>
      <c r="WO44">
        <v>0.01</v>
      </c>
      <c r="WP44">
        <v>2</v>
      </c>
      <c r="WW44" s="18"/>
      <c r="XO44">
        <v>0</v>
      </c>
      <c r="YZ44" s="16">
        <v>5.43</v>
      </c>
      <c r="ZA44" s="16">
        <v>1</v>
      </c>
      <c r="ZB44" s="16">
        <v>1</v>
      </c>
      <c r="ZC44" s="16"/>
      <c r="ZD44" s="16">
        <f>0.09*2+0.07+1.36</f>
        <v>1.61</v>
      </c>
      <c r="ZE44" s="16">
        <v>2</v>
      </c>
      <c r="ZF44" s="16"/>
      <c r="ZG44" s="16">
        <f>4.2+0.09+0.66+0.01+3.18+3.18</f>
        <v>11.32</v>
      </c>
      <c r="ZH44" s="16"/>
      <c r="ZI44" s="16"/>
      <c r="ZJ44" s="16"/>
      <c r="ZK44" s="16">
        <v>8.61</v>
      </c>
      <c r="ZL44" s="16">
        <v>26.91</v>
      </c>
      <c r="ZM44" s="16"/>
      <c r="ZN44" s="16"/>
      <c r="ZO44" s="16">
        <v>0</v>
      </c>
      <c r="ZP44" s="16">
        <v>0</v>
      </c>
      <c r="ZQ44" s="16">
        <v>0</v>
      </c>
      <c r="ZR44">
        <v>0</v>
      </c>
      <c r="ZS44" t="s">
        <v>224</v>
      </c>
      <c r="ZT44">
        <v>39.5</v>
      </c>
      <c r="ZU44" s="16">
        <v>60.8</v>
      </c>
      <c r="ZV44" s="16">
        <v>80.400000000000006</v>
      </c>
      <c r="ZW44" s="16">
        <v>22.9</v>
      </c>
      <c r="ZX44">
        <v>67.010000000000005</v>
      </c>
      <c r="ZY44">
        <v>11.71</v>
      </c>
      <c r="ZZ44">
        <v>16.61</v>
      </c>
      <c r="AAA44">
        <v>0</v>
      </c>
      <c r="AAB44">
        <v>4.67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20.9</v>
      </c>
      <c r="AAK44">
        <v>25.23</v>
      </c>
      <c r="AAL44">
        <v>0.57999999999999996</v>
      </c>
      <c r="AAM44">
        <v>0</v>
      </c>
      <c r="AAN44">
        <v>0</v>
      </c>
      <c r="AAO44">
        <v>0</v>
      </c>
      <c r="ABB44">
        <v>2</v>
      </c>
      <c r="ABC44">
        <v>1</v>
      </c>
      <c r="ABD44">
        <v>103</v>
      </c>
      <c r="ABE44">
        <v>2</v>
      </c>
      <c r="ABF44">
        <f>0.18+0.14</f>
        <v>0.32</v>
      </c>
      <c r="ABG44">
        <v>1</v>
      </c>
      <c r="ABH44">
        <v>68</v>
      </c>
      <c r="ABI44">
        <v>1</v>
      </c>
      <c r="ABJ44">
        <v>0.01</v>
      </c>
      <c r="ABK44">
        <v>1</v>
      </c>
      <c r="ABL44">
        <v>52</v>
      </c>
      <c r="ABM44">
        <v>3</v>
      </c>
      <c r="ABN44" s="18">
        <v>0.05</v>
      </c>
      <c r="ABO44">
        <v>2</v>
      </c>
      <c r="ACF44">
        <v>0</v>
      </c>
      <c r="ADQ44" s="16">
        <v>3.66</v>
      </c>
      <c r="ADR44" s="16">
        <v>1</v>
      </c>
      <c r="ADS44" s="16">
        <v>1</v>
      </c>
      <c r="ADT44" s="16"/>
      <c r="ADU44" s="16">
        <f>2.69*3+1.35*3+0.14*2+0.1</f>
        <v>12.5</v>
      </c>
      <c r="ADV44" s="16">
        <v>2</v>
      </c>
      <c r="ADW44" s="16"/>
      <c r="ADX44" s="16">
        <f>0.66+0.35+0.18+0.14+1.25+1.23</f>
        <v>3.81</v>
      </c>
      <c r="ADY44" s="16"/>
      <c r="ADZ44" s="16"/>
      <c r="AEA44" s="16"/>
      <c r="AEB44" s="16">
        <v>10.050000000000001</v>
      </c>
      <c r="AEC44" s="16">
        <v>27.11</v>
      </c>
      <c r="AED44" s="16"/>
      <c r="AEE44" s="16"/>
      <c r="AEF44" s="16">
        <v>0</v>
      </c>
      <c r="AEG44" s="16">
        <v>0</v>
      </c>
      <c r="AEH44" s="16">
        <v>0</v>
      </c>
      <c r="AEI44">
        <v>0</v>
      </c>
      <c r="AEJ44" t="s">
        <v>225</v>
      </c>
      <c r="AEK44">
        <v>47</v>
      </c>
      <c r="AEL44" s="16">
        <v>72.3</v>
      </c>
      <c r="AEM44" s="16">
        <v>80.400000000000006</v>
      </c>
      <c r="AEN44" s="16">
        <v>18</v>
      </c>
      <c r="AEO44">
        <v>70.55</v>
      </c>
      <c r="AEP44">
        <v>6.81</v>
      </c>
      <c r="AEQ44">
        <v>3.09</v>
      </c>
      <c r="AER44">
        <v>0</v>
      </c>
      <c r="AES44">
        <v>19.55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18.07</v>
      </c>
      <c r="AFB44">
        <v>30.57</v>
      </c>
      <c r="AFC44">
        <v>7.61</v>
      </c>
      <c r="AFD44">
        <v>0</v>
      </c>
      <c r="AFE44">
        <v>14</v>
      </c>
      <c r="AFF44">
        <v>2</v>
      </c>
      <c r="AFG44">
        <v>5</v>
      </c>
      <c r="AFH44">
        <v>4.47</v>
      </c>
      <c r="AFJ44">
        <v>7</v>
      </c>
      <c r="AFK44">
        <v>5.15</v>
      </c>
      <c r="AFM44">
        <v>5</v>
      </c>
      <c r="AFN44">
        <v>4.47</v>
      </c>
      <c r="AFP44">
        <v>7</v>
      </c>
      <c r="AFQ44">
        <v>5.15</v>
      </c>
      <c r="AFS44">
        <v>0</v>
      </c>
      <c r="AFT44">
        <v>0</v>
      </c>
      <c r="AGE44" s="18"/>
      <c r="AGW44">
        <v>0</v>
      </c>
      <c r="AIH44" s="16">
        <v>4.21</v>
      </c>
      <c r="AII44" s="16">
        <v>1</v>
      </c>
      <c r="AIJ44" s="16">
        <v>2</v>
      </c>
      <c r="AIK44" s="16"/>
      <c r="AIL44" s="16">
        <f>7.46+1.59+0.6</f>
        <v>9.65</v>
      </c>
      <c r="AIM44" s="16"/>
      <c r="AIN44" s="16"/>
      <c r="AIO44" s="16"/>
      <c r="AIP44" s="16"/>
      <c r="AIQ44" s="16"/>
      <c r="AIR44" s="16"/>
      <c r="AIS44" s="16">
        <v>10.63</v>
      </c>
      <c r="AIT44" s="16">
        <v>36.380000000000003</v>
      </c>
      <c r="AIU44" s="16"/>
      <c r="AIV44" s="16"/>
      <c r="AIW44" s="16">
        <v>0</v>
      </c>
      <c r="AIX44" s="16">
        <v>0</v>
      </c>
      <c r="AIY44" s="16">
        <v>0</v>
      </c>
      <c r="AIZ44">
        <v>0</v>
      </c>
      <c r="AJA44" t="s">
        <v>226</v>
      </c>
      <c r="AJB44">
        <v>19</v>
      </c>
      <c r="AJC44" s="16">
        <v>82.6</v>
      </c>
      <c r="AJD44" s="16">
        <v>80.400000000000006</v>
      </c>
      <c r="AJE44" s="16">
        <v>7.7</v>
      </c>
      <c r="AJF44">
        <v>86.83</v>
      </c>
      <c r="AJG44">
        <v>12.69</v>
      </c>
      <c r="AJH44">
        <v>0</v>
      </c>
      <c r="AJI44">
        <v>0</v>
      </c>
      <c r="AJJ44">
        <v>0.48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7.16</v>
      </c>
      <c r="AJS44">
        <v>10.76</v>
      </c>
      <c r="AJT44">
        <v>0</v>
      </c>
      <c r="AJU44">
        <v>0</v>
      </c>
      <c r="AJV44">
        <v>3.4</v>
      </c>
      <c r="AJW44">
        <v>2</v>
      </c>
      <c r="AJX44">
        <v>11.9</v>
      </c>
      <c r="AJY44">
        <v>0.48</v>
      </c>
      <c r="AKD44">
        <v>11.9</v>
      </c>
      <c r="AKE44">
        <v>0.48</v>
      </c>
      <c r="AKJ44">
        <v>0</v>
      </c>
      <c r="AKK44">
        <v>1</v>
      </c>
      <c r="AKL44">
        <v>34</v>
      </c>
      <c r="AKM44">
        <v>2</v>
      </c>
      <c r="AKN44">
        <f>0.84*2</f>
        <v>1.68</v>
      </c>
      <c r="AKO44">
        <v>1</v>
      </c>
      <c r="AKV44" s="18"/>
      <c r="ALN44">
        <v>0</v>
      </c>
    </row>
    <row r="45" spans="1:1018" s="15" customFormat="1" x14ac:dyDescent="0.2">
      <c r="A45" s="1" t="s">
        <v>382</v>
      </c>
      <c r="B45" s="12">
        <v>42900</v>
      </c>
      <c r="C45">
        <v>1</v>
      </c>
      <c r="D45" s="13">
        <v>35163</v>
      </c>
      <c r="E45" s="12">
        <v>27704</v>
      </c>
      <c r="F45" s="14">
        <f t="shared" si="0"/>
        <v>41.604380561259411</v>
      </c>
      <c r="G45" s="14">
        <f t="shared" si="1"/>
        <v>21.182751540041068</v>
      </c>
      <c r="H45" s="15" t="s">
        <v>183</v>
      </c>
      <c r="I45" s="15" t="s">
        <v>383</v>
      </c>
      <c r="J45" s="21" t="s">
        <v>181</v>
      </c>
      <c r="K45" s="21">
        <v>4</v>
      </c>
      <c r="L45" s="19"/>
      <c r="M45">
        <v>1.75</v>
      </c>
      <c r="N45" s="16">
        <f t="shared" si="2"/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1</v>
      </c>
      <c r="X45" s="19">
        <v>0</v>
      </c>
      <c r="Y45" s="19">
        <v>1</v>
      </c>
      <c r="Z45" s="19">
        <v>1</v>
      </c>
      <c r="AA45" s="19">
        <v>60</v>
      </c>
      <c r="AB45" s="19" t="s">
        <v>215</v>
      </c>
      <c r="AC45" s="19">
        <v>0</v>
      </c>
      <c r="AD45" s="19">
        <v>0</v>
      </c>
      <c r="AE45" s="19">
        <v>1</v>
      </c>
      <c r="AF45" s="19">
        <v>1</v>
      </c>
      <c r="AG45" s="19">
        <v>1</v>
      </c>
      <c r="AH45" s="19">
        <v>6</v>
      </c>
      <c r="AI45" s="19">
        <v>3</v>
      </c>
      <c r="AJ45" s="19">
        <v>3</v>
      </c>
      <c r="AK45" s="19">
        <v>3</v>
      </c>
      <c r="AL45" s="19">
        <v>8</v>
      </c>
      <c r="AM45" s="19">
        <v>9</v>
      </c>
      <c r="AN45" s="19">
        <v>3</v>
      </c>
      <c r="AO45" s="19">
        <v>3</v>
      </c>
      <c r="AP45" s="19">
        <v>3</v>
      </c>
      <c r="AQ45" s="19">
        <v>6</v>
      </c>
      <c r="AR45" s="19">
        <v>9</v>
      </c>
      <c r="AS45" s="19">
        <v>3</v>
      </c>
      <c r="AT45" s="19">
        <v>3</v>
      </c>
      <c r="AU45" s="19">
        <v>3</v>
      </c>
      <c r="AV45" s="19">
        <v>5</v>
      </c>
      <c r="AW45" s="19">
        <v>7</v>
      </c>
      <c r="AX45" s="19">
        <v>0</v>
      </c>
      <c r="AY45" s="19">
        <v>0</v>
      </c>
      <c r="AZ45" s="19">
        <v>0</v>
      </c>
      <c r="BA45" s="19">
        <v>0</v>
      </c>
      <c r="BB45" s="19">
        <v>1</v>
      </c>
      <c r="BC45" s="19">
        <v>0</v>
      </c>
      <c r="BD45" s="19">
        <v>0</v>
      </c>
      <c r="BE45" s="19">
        <v>0</v>
      </c>
      <c r="BF45" s="19">
        <v>1</v>
      </c>
      <c r="BG45" s="19">
        <v>0</v>
      </c>
      <c r="BH45" s="19">
        <v>0</v>
      </c>
      <c r="BI45" s="19">
        <v>0</v>
      </c>
      <c r="BJ45" s="19">
        <v>1</v>
      </c>
      <c r="BK45" s="19">
        <v>0</v>
      </c>
      <c r="BL45" s="19">
        <v>0</v>
      </c>
      <c r="BM45" s="19">
        <v>0</v>
      </c>
      <c r="BN45" s="19">
        <v>1</v>
      </c>
      <c r="BO45" s="19">
        <v>0</v>
      </c>
      <c r="BP45" s="19">
        <v>1</v>
      </c>
      <c r="BQ45" s="19">
        <v>4</v>
      </c>
      <c r="BR45" s="19">
        <v>3</v>
      </c>
      <c r="BS45" s="19">
        <v>2</v>
      </c>
      <c r="BT45" s="19">
        <v>5</v>
      </c>
      <c r="BU45" s="19">
        <v>5</v>
      </c>
      <c r="BV45" s="19">
        <v>2</v>
      </c>
      <c r="BW45" s="19">
        <v>3</v>
      </c>
      <c r="BX45" s="19">
        <v>4</v>
      </c>
      <c r="BY45" s="19">
        <v>3</v>
      </c>
      <c r="BZ45" s="19">
        <v>1</v>
      </c>
      <c r="CA45" s="19">
        <v>2</v>
      </c>
      <c r="CB45" s="19">
        <v>3</v>
      </c>
      <c r="CC45" s="19">
        <v>5</v>
      </c>
      <c r="CD45" s="19">
        <v>3</v>
      </c>
      <c r="CE45" s="19">
        <v>4</v>
      </c>
      <c r="CF45" s="19">
        <v>5</v>
      </c>
      <c r="CG45" s="19">
        <v>5</v>
      </c>
      <c r="CH45" s="19">
        <v>2</v>
      </c>
      <c r="CI45" s="19">
        <v>4</v>
      </c>
      <c r="CJ45" s="19">
        <v>1</v>
      </c>
      <c r="CK45" s="19">
        <v>5</v>
      </c>
      <c r="CL45" s="30" t="s">
        <v>384</v>
      </c>
      <c r="CM45" s="15">
        <v>28.5</v>
      </c>
      <c r="CN45" s="17">
        <v>69.3</v>
      </c>
      <c r="CO45" s="17">
        <v>114</v>
      </c>
      <c r="CP45" s="17">
        <v>19.5</v>
      </c>
      <c r="CQ45" s="17">
        <v>79.150000000000006</v>
      </c>
      <c r="CR45" s="17">
        <v>0</v>
      </c>
      <c r="CS45" s="17">
        <v>3.87</v>
      </c>
      <c r="CT45" s="17">
        <v>2.86</v>
      </c>
      <c r="CU45" s="17">
        <v>14.12</v>
      </c>
      <c r="CV45" s="17">
        <v>0</v>
      </c>
      <c r="CW45" s="17">
        <v>0</v>
      </c>
      <c r="CX45" s="17">
        <v>0</v>
      </c>
      <c r="CY45" s="17">
        <v>0</v>
      </c>
      <c r="CZ45" s="17">
        <v>0</v>
      </c>
      <c r="DA45" s="17">
        <v>0</v>
      </c>
      <c r="DB45" s="17">
        <v>0.82</v>
      </c>
      <c r="DC45" s="17">
        <v>11.71</v>
      </c>
      <c r="DD45" s="17">
        <v>15.43</v>
      </c>
      <c r="DE45" s="17">
        <v>4.91</v>
      </c>
      <c r="DF45" s="17">
        <v>0</v>
      </c>
      <c r="DG45" s="17">
        <v>0</v>
      </c>
      <c r="DH45" s="17">
        <v>0</v>
      </c>
      <c r="DI45" s="17">
        <v>0</v>
      </c>
      <c r="DJ45" s="17">
        <v>0</v>
      </c>
      <c r="DK45" s="17">
        <v>0</v>
      </c>
      <c r="DL45" s="17">
        <v>0</v>
      </c>
      <c r="DM45" s="17">
        <v>0</v>
      </c>
      <c r="DN45" s="17">
        <v>0</v>
      </c>
      <c r="DO45" s="17">
        <v>0</v>
      </c>
      <c r="DP45" s="17">
        <v>0</v>
      </c>
      <c r="DQ45" s="17">
        <v>0</v>
      </c>
      <c r="DR45" s="17">
        <v>0</v>
      </c>
      <c r="DS45" s="17">
        <v>0</v>
      </c>
      <c r="DT45" s="17">
        <v>0</v>
      </c>
      <c r="DU45" s="17">
        <v>0</v>
      </c>
      <c r="DV45" s="17">
        <v>0</v>
      </c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31"/>
      <c r="EH45" s="17"/>
      <c r="EK45" s="31"/>
      <c r="EO45" s="31"/>
      <c r="ES45" s="31"/>
      <c r="EW45" s="31"/>
      <c r="EY45" s="15">
        <v>0</v>
      </c>
      <c r="GJ45" s="15">
        <v>0</v>
      </c>
      <c r="GK45" s="15">
        <v>0</v>
      </c>
      <c r="GU45" s="15">
        <v>8.6999999999999993</v>
      </c>
      <c r="GV45" s="15">
        <f t="shared" ref="GV45:GV53" si="26">3.27*4+1.23+0.08+0.52*2</f>
        <v>15.43</v>
      </c>
      <c r="GW45" s="15">
        <v>0</v>
      </c>
      <c r="GX45" s="15">
        <v>0</v>
      </c>
      <c r="GY45" s="15">
        <v>0</v>
      </c>
      <c r="GZ45" s="15">
        <v>0</v>
      </c>
      <c r="HA45" s="15">
        <v>0</v>
      </c>
      <c r="HB45" s="15">
        <v>0</v>
      </c>
      <c r="HC45" s="15" t="s">
        <v>385</v>
      </c>
      <c r="HD45" s="15">
        <v>38.5</v>
      </c>
      <c r="HE45" s="17">
        <v>55</v>
      </c>
      <c r="HF45" s="17">
        <v>114</v>
      </c>
      <c r="HG45" s="17">
        <v>7.8</v>
      </c>
      <c r="HH45" s="17">
        <v>95.15</v>
      </c>
      <c r="HI45" s="17">
        <v>0</v>
      </c>
      <c r="HJ45" s="17">
        <v>3.78</v>
      </c>
      <c r="HK45" s="17">
        <v>0</v>
      </c>
      <c r="HL45" s="17">
        <v>1.07</v>
      </c>
      <c r="HM45" s="17">
        <v>0</v>
      </c>
      <c r="HN45" s="17">
        <v>0</v>
      </c>
      <c r="HO45" s="17">
        <v>0</v>
      </c>
      <c r="HP45" s="17">
        <v>0</v>
      </c>
      <c r="HQ45" s="17">
        <v>0</v>
      </c>
      <c r="HR45" s="17">
        <v>0</v>
      </c>
      <c r="HS45" s="17">
        <v>0</v>
      </c>
      <c r="HT45" s="17">
        <v>15.05</v>
      </c>
      <c r="HU45" s="17">
        <v>4.58</v>
      </c>
      <c r="HV45" s="17">
        <v>0.1</v>
      </c>
      <c r="HW45" s="17">
        <v>0</v>
      </c>
      <c r="HX45" s="17">
        <v>0</v>
      </c>
      <c r="HY45" s="17">
        <v>0</v>
      </c>
      <c r="IL45" s="15">
        <v>22.8</v>
      </c>
      <c r="IM45" s="15">
        <v>1</v>
      </c>
      <c r="IN45" s="15">
        <v>38</v>
      </c>
      <c r="IO45" s="15">
        <v>5</v>
      </c>
      <c r="IP45" s="15">
        <f t="shared" ref="IP45:IP53" si="27">2.45+1.09</f>
        <v>3.54</v>
      </c>
      <c r="IQ45" s="15">
        <v>5</v>
      </c>
      <c r="IX45" s="31"/>
      <c r="JB45" s="31"/>
      <c r="JF45" s="31"/>
      <c r="JJ45" s="31"/>
      <c r="JN45" s="31"/>
      <c r="JP45" s="15">
        <v>0</v>
      </c>
      <c r="LA45" s="15">
        <v>0</v>
      </c>
      <c r="LB45" s="15">
        <v>0</v>
      </c>
      <c r="LL45" s="15">
        <v>7.84</v>
      </c>
      <c r="LM45" s="15">
        <f t="shared" ref="LM45:LM53" si="28">2.45+1.09</f>
        <v>3.54</v>
      </c>
      <c r="LN45" s="15">
        <v>0</v>
      </c>
      <c r="LO45" s="15">
        <v>0</v>
      </c>
      <c r="LP45" s="15">
        <v>0</v>
      </c>
      <c r="LQ45" s="15">
        <v>0</v>
      </c>
      <c r="LR45" s="15">
        <v>0</v>
      </c>
      <c r="LS45" s="15">
        <v>0</v>
      </c>
      <c r="LT45" s="15" t="s">
        <v>386</v>
      </c>
      <c r="LU45" s="15">
        <v>38</v>
      </c>
      <c r="LV45" s="17">
        <v>48.8</v>
      </c>
      <c r="LW45" s="17">
        <v>114</v>
      </c>
      <c r="LX45" s="17">
        <v>7.2</v>
      </c>
      <c r="LY45" s="17">
        <v>96.13</v>
      </c>
      <c r="LZ45" s="17">
        <v>0</v>
      </c>
      <c r="MA45" s="17">
        <v>3.78</v>
      </c>
      <c r="MB45" s="17">
        <v>0</v>
      </c>
      <c r="MC45" s="17">
        <v>0.1</v>
      </c>
      <c r="MD45" s="17">
        <v>0</v>
      </c>
      <c r="ME45" s="17">
        <v>0</v>
      </c>
      <c r="MF45" s="17">
        <v>0</v>
      </c>
      <c r="MG45" s="17">
        <v>0</v>
      </c>
      <c r="MH45" s="17">
        <v>0</v>
      </c>
      <c r="MI45" s="17">
        <v>0</v>
      </c>
      <c r="MJ45" s="17">
        <v>0</v>
      </c>
      <c r="MK45" s="17">
        <v>12.85</v>
      </c>
      <c r="ML45" s="17">
        <v>4.58</v>
      </c>
      <c r="MM45" s="17">
        <v>0.1</v>
      </c>
      <c r="MN45" s="17">
        <v>0</v>
      </c>
      <c r="MO45" s="17">
        <v>0</v>
      </c>
      <c r="MP45" s="17">
        <v>0</v>
      </c>
      <c r="NC45" s="15">
        <v>22.8</v>
      </c>
      <c r="ND45" s="15">
        <v>1</v>
      </c>
      <c r="NE45" s="15">
        <v>38</v>
      </c>
      <c r="NF45" s="15">
        <v>5</v>
      </c>
      <c r="NG45" s="15">
        <f t="shared" ref="NG45:NG53" si="29">2.45+1.09</f>
        <v>3.54</v>
      </c>
      <c r="NH45" s="15">
        <v>5</v>
      </c>
      <c r="NI45" s="15">
        <v>20</v>
      </c>
      <c r="NJ45" s="15">
        <v>4</v>
      </c>
      <c r="NK45" s="15">
        <v>0.28999999999999998</v>
      </c>
      <c r="NL45" s="15">
        <v>2</v>
      </c>
      <c r="NO45" s="31"/>
      <c r="NS45" s="31"/>
      <c r="NW45" s="31"/>
      <c r="OA45" s="31"/>
      <c r="OE45" s="31"/>
      <c r="OG45" s="15">
        <v>0</v>
      </c>
      <c r="PR45" s="15">
        <v>0</v>
      </c>
      <c r="PS45" s="15">
        <v>0</v>
      </c>
      <c r="QC45" s="15">
        <v>7.84</v>
      </c>
      <c r="QD45" s="15">
        <f t="shared" ref="QD45:QD53" si="30">2.45+1.09</f>
        <v>3.54</v>
      </c>
      <c r="QE45" s="15">
        <v>0</v>
      </c>
      <c r="QF45" s="15">
        <v>0</v>
      </c>
      <c r="QG45" s="15">
        <v>0</v>
      </c>
      <c r="QH45" s="15">
        <v>0</v>
      </c>
      <c r="QI45" s="15">
        <v>0</v>
      </c>
      <c r="QJ45" s="15">
        <v>0</v>
      </c>
      <c r="QK45" s="15" t="s">
        <v>387</v>
      </c>
      <c r="QL45" s="15">
        <v>64</v>
      </c>
      <c r="QM45" s="17">
        <v>70.599999999999994</v>
      </c>
      <c r="QN45" s="17">
        <v>114</v>
      </c>
      <c r="QO45" s="17">
        <v>14.9</v>
      </c>
      <c r="QP45" s="17">
        <v>88.29</v>
      </c>
      <c r="QQ45" s="17">
        <v>0</v>
      </c>
      <c r="QR45" s="17">
        <v>9.81</v>
      </c>
      <c r="QS45" s="17">
        <v>1.64</v>
      </c>
      <c r="QT45" s="17">
        <v>0.26</v>
      </c>
      <c r="QU45" s="17">
        <v>0</v>
      </c>
      <c r="QV45" s="17">
        <v>0</v>
      </c>
      <c r="QW45" s="17">
        <v>0</v>
      </c>
      <c r="QX45" s="17">
        <v>0</v>
      </c>
      <c r="QY45" s="17">
        <v>0</v>
      </c>
      <c r="QZ45" s="17">
        <v>0</v>
      </c>
      <c r="RA45" s="17">
        <v>0.55000000000000004</v>
      </c>
      <c r="RB45" s="17">
        <v>22.64</v>
      </c>
      <c r="RC45" s="17">
        <v>2.58</v>
      </c>
      <c r="RD45" s="17">
        <v>0.13</v>
      </c>
      <c r="RE45" s="17">
        <v>0</v>
      </c>
      <c r="RF45" s="17">
        <v>0</v>
      </c>
      <c r="RG45" s="17">
        <v>0</v>
      </c>
      <c r="RT45" s="15">
        <v>40.4</v>
      </c>
      <c r="RU45" s="15">
        <v>1</v>
      </c>
      <c r="RV45" s="15">
        <v>38</v>
      </c>
      <c r="RW45" s="15">
        <v>9</v>
      </c>
      <c r="RX45" s="15">
        <v>5.52</v>
      </c>
      <c r="RY45" s="15">
        <v>5</v>
      </c>
      <c r="RZ45" s="15">
        <v>23</v>
      </c>
      <c r="SA45" s="15">
        <v>1</v>
      </c>
      <c r="SB45" s="15">
        <v>0.09</v>
      </c>
      <c r="SC45" s="15">
        <v>3</v>
      </c>
      <c r="SF45" s="31"/>
      <c r="SJ45" s="31"/>
      <c r="SN45" s="31"/>
      <c r="SR45" s="31"/>
      <c r="SV45" s="31"/>
      <c r="SX45" s="15">
        <v>0</v>
      </c>
      <c r="UI45" s="15">
        <v>0</v>
      </c>
      <c r="UJ45" s="15">
        <v>0</v>
      </c>
      <c r="UT45" s="15">
        <v>8.33</v>
      </c>
      <c r="UU45" s="15">
        <v>5.52</v>
      </c>
      <c r="UV45" s="15">
        <v>0</v>
      </c>
      <c r="UW45" s="15">
        <v>0</v>
      </c>
      <c r="UX45" s="15">
        <v>0</v>
      </c>
      <c r="UY45" s="15">
        <v>0</v>
      </c>
      <c r="UZ45" s="15">
        <v>0</v>
      </c>
      <c r="VA45" s="15">
        <v>0</v>
      </c>
      <c r="VB45" s="15" t="s">
        <v>388</v>
      </c>
      <c r="VC45" s="15">
        <v>64</v>
      </c>
      <c r="VD45" s="17">
        <v>79.5</v>
      </c>
      <c r="VE45" s="17">
        <v>114</v>
      </c>
      <c r="VF45" s="17">
        <v>15</v>
      </c>
      <c r="VG45" s="17">
        <v>88.29</v>
      </c>
      <c r="VH45" s="17">
        <v>0</v>
      </c>
      <c r="VI45" s="17">
        <v>9.81</v>
      </c>
      <c r="VJ45" s="17">
        <v>1.64</v>
      </c>
      <c r="VK45" s="17">
        <v>0.26</v>
      </c>
      <c r="VL45" s="17">
        <v>0</v>
      </c>
      <c r="VM45" s="17">
        <v>0</v>
      </c>
      <c r="VN45" s="17">
        <v>0</v>
      </c>
      <c r="VO45" s="17">
        <v>0</v>
      </c>
      <c r="VP45" s="17">
        <v>0</v>
      </c>
      <c r="VQ45" s="17">
        <v>0</v>
      </c>
      <c r="VR45" s="17">
        <v>0.55000000000000004</v>
      </c>
      <c r="VS45" s="17">
        <v>24</v>
      </c>
      <c r="VT45" s="17">
        <v>4.3099999999999996</v>
      </c>
      <c r="VU45" s="17">
        <v>0.82</v>
      </c>
      <c r="VV45" s="17">
        <v>0</v>
      </c>
      <c r="VW45" s="17">
        <v>0</v>
      </c>
      <c r="VX45" s="17">
        <v>0</v>
      </c>
      <c r="VY45" s="17"/>
      <c r="WK45" s="15">
        <v>40.4</v>
      </c>
      <c r="WL45" s="15">
        <v>1</v>
      </c>
      <c r="WM45" s="15">
        <v>38</v>
      </c>
      <c r="WN45" s="15">
        <v>9</v>
      </c>
      <c r="WO45" s="15">
        <v>5.52</v>
      </c>
      <c r="WP45" s="15">
        <v>5</v>
      </c>
      <c r="WQ45" s="15">
        <v>23</v>
      </c>
      <c r="WR45" s="15">
        <v>1</v>
      </c>
      <c r="WS45" s="15">
        <v>0.09</v>
      </c>
      <c r="WT45" s="15">
        <v>3</v>
      </c>
      <c r="WW45" s="31"/>
      <c r="XA45" s="31"/>
      <c r="XE45" s="31"/>
      <c r="XI45" s="31"/>
      <c r="XM45" s="31"/>
      <c r="XO45" s="15">
        <v>0</v>
      </c>
      <c r="YZ45" s="15">
        <v>0</v>
      </c>
      <c r="ZA45" s="15">
        <v>0</v>
      </c>
      <c r="ZK45" s="15">
        <v>8.33</v>
      </c>
      <c r="ZL45" s="15">
        <v>5.52</v>
      </c>
      <c r="ZM45" s="15">
        <v>0</v>
      </c>
      <c r="ZN45" s="15">
        <v>0</v>
      </c>
      <c r="ZO45" s="15">
        <v>0</v>
      </c>
      <c r="ZP45" s="15">
        <v>0</v>
      </c>
      <c r="ZQ45" s="15">
        <v>0</v>
      </c>
      <c r="ZR45" s="15">
        <v>0</v>
      </c>
      <c r="ZS45" s="15" t="s">
        <v>196</v>
      </c>
      <c r="ZT45" s="15">
        <v>24.5</v>
      </c>
      <c r="ZU45" s="17">
        <v>58.4</v>
      </c>
      <c r="ZV45" s="17">
        <v>114</v>
      </c>
      <c r="ZW45" s="17">
        <v>12</v>
      </c>
      <c r="ZX45" s="17">
        <v>92.09</v>
      </c>
      <c r="ZY45" s="17">
        <v>0</v>
      </c>
      <c r="ZZ45" s="17">
        <v>0</v>
      </c>
      <c r="AAA45" s="17">
        <v>5.57</v>
      </c>
      <c r="AAB45" s="17">
        <v>2.35</v>
      </c>
      <c r="AAC45" s="17">
        <v>0</v>
      </c>
      <c r="AAD45" s="17">
        <v>0</v>
      </c>
      <c r="AAE45" s="17">
        <v>0</v>
      </c>
      <c r="AAF45" s="17">
        <v>0</v>
      </c>
      <c r="AAG45" s="17">
        <v>0</v>
      </c>
      <c r="AAH45" s="17">
        <v>0</v>
      </c>
      <c r="AAI45" s="17">
        <v>8.58</v>
      </c>
      <c r="AAJ45" s="17">
        <v>3.1</v>
      </c>
      <c r="AAK45" s="17">
        <v>0.55000000000000004</v>
      </c>
      <c r="AAL45" s="17">
        <v>0.71</v>
      </c>
      <c r="AAM45" s="17">
        <v>0</v>
      </c>
      <c r="AAN45" s="17">
        <v>0</v>
      </c>
      <c r="AAO45" s="17">
        <v>0</v>
      </c>
      <c r="ABB45" s="15">
        <v>7.2</v>
      </c>
      <c r="ABC45" s="15">
        <v>1</v>
      </c>
      <c r="ABD45" s="17">
        <v>30</v>
      </c>
      <c r="ABE45" s="17">
        <v>2</v>
      </c>
      <c r="ABF45" s="17">
        <v>1.0900000000000001</v>
      </c>
      <c r="ABG45" s="17">
        <v>4</v>
      </c>
      <c r="ABH45" s="17">
        <v>30</v>
      </c>
      <c r="ABI45" s="17">
        <v>2</v>
      </c>
      <c r="ABJ45" s="17">
        <v>0.27</v>
      </c>
      <c r="ABK45" s="17">
        <v>2</v>
      </c>
      <c r="ABL45" s="17">
        <v>34</v>
      </c>
      <c r="ABM45" s="17">
        <v>1</v>
      </c>
      <c r="ABN45" s="31">
        <v>1.0900000000000001</v>
      </c>
      <c r="ABO45" s="17">
        <v>1</v>
      </c>
      <c r="ABR45" s="31"/>
      <c r="ABV45" s="31"/>
      <c r="ABZ45" s="31"/>
      <c r="ACD45" s="31"/>
      <c r="ACF45" s="15">
        <v>0</v>
      </c>
      <c r="ADQ45" s="15">
        <v>0</v>
      </c>
      <c r="ADR45" s="15">
        <v>0</v>
      </c>
      <c r="AEB45" s="15">
        <v>5.3</v>
      </c>
      <c r="AEC45" s="15">
        <f t="shared" ref="AEC45:AEC53" si="31">0.27+8.58+0.32</f>
        <v>9.17</v>
      </c>
      <c r="AED45" s="15">
        <v>0</v>
      </c>
      <c r="AEE45" s="15">
        <v>0</v>
      </c>
      <c r="AEF45" s="15">
        <v>0</v>
      </c>
      <c r="AEG45" s="15">
        <v>8.58</v>
      </c>
      <c r="AEH45" s="15">
        <v>0</v>
      </c>
      <c r="AEI45" s="15">
        <v>0</v>
      </c>
      <c r="AEJ45" s="15" t="s">
        <v>195</v>
      </c>
      <c r="AEK45" s="15">
        <v>22</v>
      </c>
      <c r="AEL45" s="17">
        <v>44.2</v>
      </c>
      <c r="AEM45" s="17">
        <v>114</v>
      </c>
      <c r="AEN45" s="17">
        <v>10.9</v>
      </c>
      <c r="AEO45" s="17">
        <v>92.8</v>
      </c>
      <c r="AEP45" s="17">
        <v>0</v>
      </c>
      <c r="AEQ45" s="17">
        <v>0</v>
      </c>
      <c r="AER45" s="17">
        <v>5.57</v>
      </c>
      <c r="AES45" s="17">
        <v>1.64</v>
      </c>
      <c r="AET45" s="17">
        <v>0</v>
      </c>
      <c r="AEU45" s="17">
        <v>0</v>
      </c>
      <c r="AEV45" s="17">
        <v>0</v>
      </c>
      <c r="AEW45" s="17">
        <v>0</v>
      </c>
      <c r="AEX45" s="17">
        <v>0</v>
      </c>
      <c r="AEY45" s="17">
        <v>0</v>
      </c>
      <c r="AEZ45" s="17">
        <v>8.58</v>
      </c>
      <c r="AFA45" s="17">
        <v>1.57</v>
      </c>
      <c r="AFB45" s="17">
        <v>0.55000000000000004</v>
      </c>
      <c r="AFC45" s="17">
        <v>0</v>
      </c>
      <c r="AFD45" s="17">
        <v>0</v>
      </c>
      <c r="AFE45" s="17">
        <v>0</v>
      </c>
      <c r="AFF45" s="17">
        <v>0</v>
      </c>
      <c r="AFS45" s="15">
        <v>7.15</v>
      </c>
      <c r="AFT45" s="15">
        <v>1</v>
      </c>
      <c r="AFU45" s="17">
        <v>30</v>
      </c>
      <c r="AFV45" s="17">
        <v>2</v>
      </c>
      <c r="AFW45" s="17">
        <v>1.0900000000000001</v>
      </c>
      <c r="AFX45" s="17">
        <v>4</v>
      </c>
      <c r="AFY45" s="17">
        <v>30</v>
      </c>
      <c r="AFZ45" s="17">
        <v>2</v>
      </c>
      <c r="AGA45" s="17">
        <v>0.27</v>
      </c>
      <c r="AGB45" s="17">
        <v>2</v>
      </c>
      <c r="AGC45" s="17">
        <v>34</v>
      </c>
      <c r="AGD45" s="17">
        <v>1</v>
      </c>
      <c r="AGE45" s="31">
        <v>1.0900000000000001</v>
      </c>
      <c r="AGF45" s="17">
        <v>1</v>
      </c>
      <c r="AGI45" s="31"/>
      <c r="AGM45" s="31"/>
      <c r="AGQ45" s="31"/>
      <c r="AGU45" s="31"/>
      <c r="AIH45" s="15">
        <v>0</v>
      </c>
      <c r="AII45" s="15">
        <v>0</v>
      </c>
      <c r="AIS45" s="15">
        <v>2.59</v>
      </c>
      <c r="AIT45" s="15">
        <f t="shared" ref="AIT45:AIT53" si="32">0.27+0.32</f>
        <v>0.59000000000000008</v>
      </c>
      <c r="AIU45" s="15">
        <v>0</v>
      </c>
      <c r="AIV45" s="15">
        <v>0</v>
      </c>
      <c r="AIW45" s="15">
        <v>0</v>
      </c>
      <c r="AIX45" s="15">
        <v>0</v>
      </c>
      <c r="AIY45" s="15">
        <v>1.03</v>
      </c>
      <c r="AIZ45" s="15">
        <v>0</v>
      </c>
      <c r="AJA45" s="15" t="s">
        <v>389</v>
      </c>
      <c r="AJB45" s="15">
        <v>10</v>
      </c>
      <c r="AJC45" s="17">
        <v>46.2</v>
      </c>
      <c r="AJD45" s="17">
        <v>114</v>
      </c>
      <c r="AJE45" s="17">
        <v>6.3</v>
      </c>
      <c r="AJF45" s="17">
        <v>0</v>
      </c>
      <c r="AJG45" s="17">
        <v>0</v>
      </c>
      <c r="AJH45" s="17">
        <v>1.91</v>
      </c>
      <c r="AJI45" s="17">
        <v>0</v>
      </c>
      <c r="AJJ45" s="17">
        <v>1.91</v>
      </c>
      <c r="AJK45" s="17">
        <v>0</v>
      </c>
      <c r="AJL45" s="17">
        <v>0</v>
      </c>
      <c r="AJM45" s="17">
        <v>0</v>
      </c>
      <c r="AJN45" s="17">
        <v>0</v>
      </c>
      <c r="AJO45" s="17">
        <v>0</v>
      </c>
      <c r="AJP45" s="17">
        <v>0</v>
      </c>
      <c r="AJQ45" s="17">
        <v>0</v>
      </c>
      <c r="AJR45" s="17">
        <v>8.85</v>
      </c>
      <c r="AJS45" s="17">
        <v>4.3600000000000003</v>
      </c>
      <c r="AJT45" s="17">
        <v>0</v>
      </c>
      <c r="AJU45" s="17">
        <v>0</v>
      </c>
      <c r="AJV45" s="17">
        <v>0</v>
      </c>
      <c r="AKJ45" s="15">
        <v>0</v>
      </c>
      <c r="AKV45" s="31"/>
      <c r="AKZ45" s="31"/>
      <c r="ALD45" s="31"/>
      <c r="ALH45" s="31"/>
      <c r="ALL45" s="31"/>
      <c r="ALN45" s="15">
        <v>0</v>
      </c>
    </row>
    <row r="46" spans="1:1018" x14ac:dyDescent="0.2">
      <c r="A46" s="1" t="s">
        <v>390</v>
      </c>
      <c r="B46" s="12">
        <v>42900</v>
      </c>
      <c r="C46">
        <v>2</v>
      </c>
      <c r="D46" s="13">
        <v>34973</v>
      </c>
      <c r="E46" s="12">
        <v>27160</v>
      </c>
      <c r="F46" s="14">
        <f t="shared" si="0"/>
        <v>43.093771389459278</v>
      </c>
      <c r="G46" s="14">
        <f t="shared" si="1"/>
        <v>21.702943189596166</v>
      </c>
      <c r="H46" s="15" t="s">
        <v>183</v>
      </c>
      <c r="I46" s="15" t="s">
        <v>383</v>
      </c>
      <c r="J46" s="21" t="s">
        <v>181</v>
      </c>
      <c r="K46" s="21">
        <v>4</v>
      </c>
      <c r="L46" s="19">
        <v>69</v>
      </c>
      <c r="M46">
        <v>1.74</v>
      </c>
      <c r="N46" s="16">
        <f t="shared" si="2"/>
        <v>22.790328973444311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19">
        <v>0</v>
      </c>
      <c r="V46" s="19">
        <v>0</v>
      </c>
      <c r="W46" s="19">
        <v>1</v>
      </c>
      <c r="X46" s="19">
        <v>0</v>
      </c>
      <c r="Y46" s="19">
        <v>1</v>
      </c>
      <c r="Z46" s="19">
        <v>2</v>
      </c>
      <c r="AA46" s="19">
        <v>90</v>
      </c>
      <c r="AB46" s="19" t="s">
        <v>335</v>
      </c>
      <c r="AC46" s="19">
        <v>0</v>
      </c>
      <c r="AD46" s="19">
        <v>0</v>
      </c>
      <c r="AE46" s="19">
        <v>1</v>
      </c>
      <c r="AF46" s="19"/>
      <c r="AG46" s="19">
        <v>0</v>
      </c>
      <c r="AH46" s="19">
        <v>0</v>
      </c>
      <c r="AI46" s="19">
        <v>0</v>
      </c>
      <c r="AJ46" s="19">
        <v>0</v>
      </c>
      <c r="AK46" s="19">
        <v>0</v>
      </c>
      <c r="AL46" s="19">
        <v>0</v>
      </c>
      <c r="AM46" s="19"/>
      <c r="AN46" s="19">
        <v>0</v>
      </c>
      <c r="AO46" s="19">
        <v>0</v>
      </c>
      <c r="AP46" s="19">
        <v>0</v>
      </c>
      <c r="AQ46" s="19">
        <v>0</v>
      </c>
      <c r="AR46" s="19">
        <v>0</v>
      </c>
      <c r="AS46" s="19">
        <v>0</v>
      </c>
      <c r="AT46" s="19">
        <v>0</v>
      </c>
      <c r="AU46" s="19">
        <v>0</v>
      </c>
      <c r="AV46" s="19">
        <v>0</v>
      </c>
      <c r="AW46" s="19">
        <v>0</v>
      </c>
      <c r="AX46" s="19">
        <v>0</v>
      </c>
      <c r="AY46" s="19">
        <v>0</v>
      </c>
      <c r="AZ46" s="19">
        <v>0</v>
      </c>
      <c r="BA46" s="19">
        <v>0</v>
      </c>
      <c r="BB46" s="19">
        <v>0</v>
      </c>
      <c r="BC46" s="19">
        <v>0</v>
      </c>
      <c r="BD46" s="19">
        <v>0</v>
      </c>
      <c r="BE46" s="19">
        <v>0</v>
      </c>
      <c r="BF46" s="19">
        <v>0</v>
      </c>
      <c r="BG46" s="19">
        <v>0</v>
      </c>
      <c r="BH46" s="19">
        <v>0</v>
      </c>
      <c r="BI46" s="19">
        <v>0</v>
      </c>
      <c r="BJ46" s="19">
        <v>1</v>
      </c>
      <c r="BK46" s="19"/>
      <c r="BL46" s="19"/>
      <c r="BM46" s="19"/>
      <c r="BN46" s="19">
        <v>0</v>
      </c>
      <c r="BO46" s="19">
        <v>0</v>
      </c>
      <c r="BP46" s="19">
        <v>0</v>
      </c>
      <c r="BQ46" s="19">
        <v>0</v>
      </c>
      <c r="BR46" s="19">
        <v>3</v>
      </c>
      <c r="BS46" s="19">
        <v>3</v>
      </c>
      <c r="BT46" s="19">
        <v>3</v>
      </c>
      <c r="BU46" s="19">
        <v>4</v>
      </c>
      <c r="BV46" s="19">
        <v>2</v>
      </c>
      <c r="BW46" s="19">
        <v>1</v>
      </c>
      <c r="BX46" s="19">
        <v>3</v>
      </c>
      <c r="BY46" s="19">
        <v>3</v>
      </c>
      <c r="BZ46" s="19">
        <v>3</v>
      </c>
      <c r="CA46" s="19">
        <v>2</v>
      </c>
      <c r="CB46" s="19">
        <v>2</v>
      </c>
      <c r="CC46" s="19">
        <v>5</v>
      </c>
      <c r="CD46" s="19">
        <v>2</v>
      </c>
      <c r="CE46" s="19">
        <v>5</v>
      </c>
      <c r="CF46" s="19">
        <v>4</v>
      </c>
      <c r="CG46" s="19">
        <v>4</v>
      </c>
      <c r="CH46" s="19">
        <v>4</v>
      </c>
      <c r="CI46" s="19">
        <v>4</v>
      </c>
      <c r="CJ46" s="19">
        <v>3</v>
      </c>
      <c r="CK46" s="19">
        <v>9</v>
      </c>
      <c r="CL46" s="30" t="s">
        <v>384</v>
      </c>
      <c r="CM46" s="15">
        <v>28.5</v>
      </c>
      <c r="CN46" s="17">
        <v>69.3</v>
      </c>
      <c r="CO46" s="17">
        <v>114</v>
      </c>
      <c r="CP46" s="17">
        <v>19.5</v>
      </c>
      <c r="CQ46" s="17">
        <v>79.150000000000006</v>
      </c>
      <c r="CR46" s="17">
        <v>0</v>
      </c>
      <c r="CS46" s="17">
        <v>3.87</v>
      </c>
      <c r="CT46" s="17">
        <v>2.86</v>
      </c>
      <c r="CU46" s="17">
        <v>14.12</v>
      </c>
      <c r="CV46" s="17">
        <v>0</v>
      </c>
      <c r="CW46" s="17">
        <v>0</v>
      </c>
      <c r="CX46" s="17">
        <v>0</v>
      </c>
      <c r="CY46" s="17">
        <v>0</v>
      </c>
      <c r="CZ46" s="17">
        <v>0</v>
      </c>
      <c r="DA46" s="17">
        <v>0</v>
      </c>
      <c r="DB46" s="17">
        <v>0.82</v>
      </c>
      <c r="DC46" s="17">
        <v>11.71</v>
      </c>
      <c r="DD46" s="17">
        <v>15.43</v>
      </c>
      <c r="DE46" s="17">
        <v>4.91</v>
      </c>
      <c r="DF46" s="17">
        <v>0</v>
      </c>
      <c r="DG46" s="17">
        <v>0</v>
      </c>
      <c r="DH46" s="17">
        <v>0</v>
      </c>
      <c r="DI46" s="17">
        <v>0</v>
      </c>
      <c r="DJ46" s="17">
        <v>0</v>
      </c>
      <c r="DK46" s="17">
        <v>0</v>
      </c>
      <c r="DL46" s="17">
        <v>0</v>
      </c>
      <c r="DM46" s="17">
        <v>0</v>
      </c>
      <c r="DN46" s="17">
        <v>0</v>
      </c>
      <c r="DO46" s="17">
        <v>0</v>
      </c>
      <c r="DP46" s="17">
        <v>0</v>
      </c>
      <c r="DQ46" s="17">
        <v>0</v>
      </c>
      <c r="DR46" s="17">
        <v>0</v>
      </c>
      <c r="DS46" s="17">
        <v>0</v>
      </c>
      <c r="DT46" s="17">
        <v>0</v>
      </c>
      <c r="DU46" s="17">
        <v>0</v>
      </c>
      <c r="DV46" s="17">
        <v>0</v>
      </c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31"/>
      <c r="EH46" s="17"/>
      <c r="EK46" s="31"/>
      <c r="EO46" s="31"/>
      <c r="ES46" s="31"/>
      <c r="EW46" s="31"/>
      <c r="EY46" s="15">
        <v>0</v>
      </c>
      <c r="GJ46" s="15">
        <v>0</v>
      </c>
      <c r="GK46" s="15">
        <v>0</v>
      </c>
      <c r="GU46" s="15">
        <v>8.6999999999999993</v>
      </c>
      <c r="GV46" s="15">
        <f t="shared" si="26"/>
        <v>15.43</v>
      </c>
      <c r="GW46" s="15">
        <v>0</v>
      </c>
      <c r="GX46" s="15">
        <v>0</v>
      </c>
      <c r="GY46" s="15">
        <v>0</v>
      </c>
      <c r="GZ46" s="15">
        <v>0</v>
      </c>
      <c r="HA46" s="15">
        <v>0</v>
      </c>
      <c r="HB46" s="15">
        <v>0</v>
      </c>
      <c r="HC46" s="15" t="s">
        <v>385</v>
      </c>
      <c r="HD46" s="15">
        <v>38.5</v>
      </c>
      <c r="HE46" s="17">
        <v>55</v>
      </c>
      <c r="HF46" s="17">
        <v>114</v>
      </c>
      <c r="HG46" s="17">
        <v>7.8</v>
      </c>
      <c r="HH46" s="17">
        <v>95.15</v>
      </c>
      <c r="HI46" s="17">
        <v>0</v>
      </c>
      <c r="HJ46" s="17">
        <v>3.78</v>
      </c>
      <c r="HK46" s="17">
        <v>0</v>
      </c>
      <c r="HL46" s="17">
        <v>1.07</v>
      </c>
      <c r="HM46" s="17">
        <v>0</v>
      </c>
      <c r="HN46" s="17">
        <v>0</v>
      </c>
      <c r="HO46" s="17">
        <v>0</v>
      </c>
      <c r="HP46" s="17">
        <v>0</v>
      </c>
      <c r="HQ46" s="17">
        <v>0</v>
      </c>
      <c r="HR46" s="17">
        <v>0</v>
      </c>
      <c r="HS46" s="17">
        <v>0</v>
      </c>
      <c r="HT46" s="17">
        <v>15.05</v>
      </c>
      <c r="HU46" s="17">
        <v>4.58</v>
      </c>
      <c r="HV46" s="17">
        <v>0.1</v>
      </c>
      <c r="HW46" s="17">
        <v>0</v>
      </c>
      <c r="HX46" s="17">
        <v>0</v>
      </c>
      <c r="HY46" s="17">
        <v>0</v>
      </c>
      <c r="IL46" s="15">
        <v>22.8</v>
      </c>
      <c r="IM46" s="15">
        <v>1</v>
      </c>
      <c r="IN46" s="15">
        <v>38</v>
      </c>
      <c r="IO46" s="15">
        <v>5</v>
      </c>
      <c r="IP46" s="15">
        <f t="shared" si="27"/>
        <v>3.54</v>
      </c>
      <c r="IQ46" s="15">
        <v>5</v>
      </c>
      <c r="IX46" s="31"/>
      <c r="JB46" s="31"/>
      <c r="JF46" s="31"/>
      <c r="JJ46" s="31"/>
      <c r="JN46" s="31"/>
      <c r="JP46" s="15">
        <v>0</v>
      </c>
      <c r="LA46" s="15">
        <v>0</v>
      </c>
      <c r="LB46" s="15">
        <v>0</v>
      </c>
      <c r="LL46" s="15">
        <v>7.84</v>
      </c>
      <c r="LM46" s="15">
        <f t="shared" si="28"/>
        <v>3.54</v>
      </c>
      <c r="LN46" s="15">
        <v>0</v>
      </c>
      <c r="LO46" s="15">
        <v>0</v>
      </c>
      <c r="LP46" s="15">
        <v>0</v>
      </c>
      <c r="LQ46" s="15">
        <v>0</v>
      </c>
      <c r="LR46" s="15">
        <v>0</v>
      </c>
      <c r="LS46" s="15">
        <v>0</v>
      </c>
      <c r="LT46" s="15" t="s">
        <v>386</v>
      </c>
      <c r="LU46" s="15">
        <v>38</v>
      </c>
      <c r="LV46" s="17">
        <v>48.8</v>
      </c>
      <c r="LW46" s="17">
        <v>114</v>
      </c>
      <c r="LX46" s="17">
        <v>7.2</v>
      </c>
      <c r="LY46" s="17">
        <v>96.13</v>
      </c>
      <c r="LZ46" s="17">
        <v>0</v>
      </c>
      <c r="MA46" s="17">
        <v>3.78</v>
      </c>
      <c r="MB46" s="17">
        <v>0</v>
      </c>
      <c r="MC46" s="17">
        <v>0.1</v>
      </c>
      <c r="MD46" s="17">
        <v>0</v>
      </c>
      <c r="ME46" s="17">
        <v>0</v>
      </c>
      <c r="MF46" s="17">
        <v>0</v>
      </c>
      <c r="MG46" s="17">
        <v>0</v>
      </c>
      <c r="MH46" s="17">
        <v>0</v>
      </c>
      <c r="MI46" s="17">
        <v>0</v>
      </c>
      <c r="MJ46" s="17">
        <v>0</v>
      </c>
      <c r="MK46" s="17">
        <v>12.85</v>
      </c>
      <c r="ML46" s="17">
        <v>4.58</v>
      </c>
      <c r="MM46" s="17">
        <v>0.1</v>
      </c>
      <c r="MN46" s="17">
        <v>0</v>
      </c>
      <c r="MO46" s="17">
        <v>0</v>
      </c>
      <c r="MP46" s="17">
        <v>0</v>
      </c>
      <c r="NC46" s="15">
        <v>22.8</v>
      </c>
      <c r="ND46" s="15">
        <v>1</v>
      </c>
      <c r="NE46" s="15">
        <v>38</v>
      </c>
      <c r="NF46" s="15">
        <v>5</v>
      </c>
      <c r="NG46" s="15">
        <f t="shared" si="29"/>
        <v>3.54</v>
      </c>
      <c r="NH46" s="15">
        <v>5</v>
      </c>
      <c r="NI46" s="15">
        <v>20</v>
      </c>
      <c r="NJ46" s="15">
        <v>4</v>
      </c>
      <c r="NK46" s="15">
        <v>0.28999999999999998</v>
      </c>
      <c r="NL46" s="15">
        <v>2</v>
      </c>
      <c r="NO46" s="31"/>
      <c r="NS46" s="31"/>
      <c r="NW46" s="31"/>
      <c r="OA46" s="31"/>
      <c r="OE46" s="31"/>
      <c r="OG46" s="15">
        <v>0</v>
      </c>
      <c r="PR46" s="15">
        <v>0</v>
      </c>
      <c r="PS46" s="15">
        <v>0</v>
      </c>
      <c r="QC46" s="15">
        <v>7.84</v>
      </c>
      <c r="QD46" s="15">
        <f t="shared" si="30"/>
        <v>3.54</v>
      </c>
      <c r="QE46" s="15">
        <v>0</v>
      </c>
      <c r="QF46" s="15">
        <v>0</v>
      </c>
      <c r="QG46" s="15">
        <v>0</v>
      </c>
      <c r="QH46" s="15">
        <v>0</v>
      </c>
      <c r="QI46" s="15">
        <v>0</v>
      </c>
      <c r="QJ46" s="15">
        <v>0</v>
      </c>
      <c r="QK46" s="15" t="s">
        <v>387</v>
      </c>
      <c r="QL46" s="15">
        <v>64</v>
      </c>
      <c r="QM46" s="17">
        <v>70.599999999999994</v>
      </c>
      <c r="QN46" s="17">
        <v>114</v>
      </c>
      <c r="QO46" s="17">
        <v>14.9</v>
      </c>
      <c r="QP46" s="17">
        <v>88.29</v>
      </c>
      <c r="QQ46" s="17">
        <v>0</v>
      </c>
      <c r="QR46" s="17">
        <v>9.81</v>
      </c>
      <c r="QS46" s="17">
        <v>1.64</v>
      </c>
      <c r="QT46" s="17">
        <v>0.26</v>
      </c>
      <c r="QU46" s="17">
        <v>0</v>
      </c>
      <c r="QV46" s="17">
        <v>0</v>
      </c>
      <c r="QW46" s="17">
        <v>0</v>
      </c>
      <c r="QX46" s="17">
        <v>0</v>
      </c>
      <c r="QY46" s="17">
        <v>0</v>
      </c>
      <c r="QZ46" s="17">
        <v>0</v>
      </c>
      <c r="RA46" s="17">
        <v>0.55000000000000004</v>
      </c>
      <c r="RB46" s="17">
        <v>22.64</v>
      </c>
      <c r="RC46" s="17">
        <v>2.58</v>
      </c>
      <c r="RD46" s="17">
        <v>0.13</v>
      </c>
      <c r="RE46" s="17">
        <v>0</v>
      </c>
      <c r="RF46" s="17">
        <v>0</v>
      </c>
      <c r="RG46" s="17">
        <v>0</v>
      </c>
      <c r="RT46" s="15">
        <v>40.4</v>
      </c>
      <c r="RU46" s="15">
        <v>1</v>
      </c>
      <c r="RV46" s="15">
        <v>38</v>
      </c>
      <c r="RW46" s="15">
        <v>9</v>
      </c>
      <c r="RX46" s="15">
        <v>5.52</v>
      </c>
      <c r="RY46" s="15">
        <v>5</v>
      </c>
      <c r="RZ46" s="15">
        <v>23</v>
      </c>
      <c r="SA46" s="15">
        <v>1</v>
      </c>
      <c r="SB46" s="15">
        <v>0.09</v>
      </c>
      <c r="SC46" s="15">
        <v>3</v>
      </c>
      <c r="SF46" s="31"/>
      <c r="SJ46" s="31"/>
      <c r="SN46" s="31"/>
      <c r="SR46" s="31"/>
      <c r="SV46" s="31"/>
      <c r="SX46" s="15">
        <v>0</v>
      </c>
      <c r="UI46" s="15">
        <v>0</v>
      </c>
      <c r="UJ46" s="15">
        <v>0</v>
      </c>
      <c r="UT46" s="15">
        <v>8.33</v>
      </c>
      <c r="UU46" s="15">
        <v>5.52</v>
      </c>
      <c r="UV46" s="15">
        <v>0</v>
      </c>
      <c r="UW46" s="15">
        <v>0</v>
      </c>
      <c r="UX46" s="15">
        <v>0</v>
      </c>
      <c r="UY46" s="15">
        <v>0</v>
      </c>
      <c r="UZ46" s="15">
        <v>0</v>
      </c>
      <c r="VA46" s="15">
        <v>0</v>
      </c>
      <c r="VB46" s="15" t="s">
        <v>388</v>
      </c>
      <c r="VC46" s="15">
        <v>64</v>
      </c>
      <c r="VD46" s="17">
        <v>79.5</v>
      </c>
      <c r="VE46" s="17">
        <v>114</v>
      </c>
      <c r="VF46" s="17">
        <v>15</v>
      </c>
      <c r="VG46" s="17">
        <v>88.29</v>
      </c>
      <c r="VH46" s="17">
        <v>0</v>
      </c>
      <c r="VI46" s="17">
        <v>9.81</v>
      </c>
      <c r="VJ46" s="17">
        <v>1.64</v>
      </c>
      <c r="VK46" s="17">
        <v>0.26</v>
      </c>
      <c r="VL46" s="17">
        <v>0</v>
      </c>
      <c r="VM46" s="17">
        <v>0</v>
      </c>
      <c r="VN46" s="17">
        <v>0</v>
      </c>
      <c r="VO46" s="17">
        <v>0</v>
      </c>
      <c r="VP46" s="17">
        <v>0</v>
      </c>
      <c r="VQ46" s="17">
        <v>0</v>
      </c>
      <c r="VR46" s="17">
        <v>0.55000000000000004</v>
      </c>
      <c r="VS46" s="17">
        <v>24</v>
      </c>
      <c r="VT46" s="17">
        <v>4.3099999999999996</v>
      </c>
      <c r="VU46" s="17">
        <v>0.82</v>
      </c>
      <c r="VV46" s="17">
        <v>0</v>
      </c>
      <c r="VW46" s="17">
        <v>0</v>
      </c>
      <c r="VX46" s="17">
        <v>0</v>
      </c>
      <c r="VY46" s="17"/>
      <c r="WK46" s="15">
        <v>40.4</v>
      </c>
      <c r="WL46" s="15">
        <v>1</v>
      </c>
      <c r="WM46" s="15">
        <v>38</v>
      </c>
      <c r="WN46" s="15">
        <v>9</v>
      </c>
      <c r="WO46" s="15">
        <v>5.52</v>
      </c>
      <c r="WP46" s="15">
        <v>5</v>
      </c>
      <c r="WQ46" s="15">
        <v>23</v>
      </c>
      <c r="WR46" s="15">
        <v>1</v>
      </c>
      <c r="WS46" s="15">
        <v>0.09</v>
      </c>
      <c r="WT46" s="15">
        <v>3</v>
      </c>
      <c r="WW46" s="31"/>
      <c r="XA46" s="31"/>
      <c r="XE46" s="31"/>
      <c r="XI46" s="31"/>
      <c r="XM46" s="31"/>
      <c r="XO46" s="15">
        <v>0</v>
      </c>
      <c r="YZ46" s="15">
        <v>0</v>
      </c>
      <c r="ZA46" s="15">
        <v>0</v>
      </c>
      <c r="ZK46" s="15">
        <v>8.33</v>
      </c>
      <c r="ZL46" s="15">
        <v>5.52</v>
      </c>
      <c r="ZM46" s="15">
        <v>0</v>
      </c>
      <c r="ZN46" s="15">
        <v>0</v>
      </c>
      <c r="ZO46" s="15">
        <v>0</v>
      </c>
      <c r="ZP46" s="15">
        <v>0</v>
      </c>
      <c r="ZQ46" s="15">
        <v>0</v>
      </c>
      <c r="ZR46" s="15">
        <v>0</v>
      </c>
      <c r="ZS46" s="15" t="s">
        <v>196</v>
      </c>
      <c r="ZT46" s="15">
        <v>24.5</v>
      </c>
      <c r="ZU46" s="17">
        <v>58.4</v>
      </c>
      <c r="ZV46" s="17">
        <v>114</v>
      </c>
      <c r="ZW46" s="17">
        <v>12</v>
      </c>
      <c r="ZX46" s="17">
        <v>92.09</v>
      </c>
      <c r="ZY46" s="17">
        <v>0</v>
      </c>
      <c r="ZZ46" s="17">
        <v>0</v>
      </c>
      <c r="AAA46" s="17">
        <v>5.57</v>
      </c>
      <c r="AAB46" s="17">
        <v>2.35</v>
      </c>
      <c r="AAC46" s="17">
        <v>0</v>
      </c>
      <c r="AAD46" s="17">
        <v>0</v>
      </c>
      <c r="AAE46" s="17">
        <v>0</v>
      </c>
      <c r="AAF46" s="17">
        <v>0</v>
      </c>
      <c r="AAG46" s="17">
        <v>0</v>
      </c>
      <c r="AAH46" s="17">
        <v>0</v>
      </c>
      <c r="AAI46" s="17">
        <v>8.58</v>
      </c>
      <c r="AAJ46" s="17">
        <v>3.1</v>
      </c>
      <c r="AAK46" s="17">
        <v>0.55000000000000004</v>
      </c>
      <c r="AAL46" s="17">
        <v>0.71</v>
      </c>
      <c r="AAM46" s="17">
        <v>0</v>
      </c>
      <c r="AAN46" s="17">
        <v>0</v>
      </c>
      <c r="AAO46" s="17">
        <v>0</v>
      </c>
      <c r="ABB46" s="15">
        <v>7.2</v>
      </c>
      <c r="ABC46" s="15">
        <v>1</v>
      </c>
      <c r="ABD46" s="17">
        <v>30</v>
      </c>
      <c r="ABE46" s="17">
        <v>2</v>
      </c>
      <c r="ABF46" s="17">
        <v>1.0900000000000001</v>
      </c>
      <c r="ABG46" s="17">
        <v>4</v>
      </c>
      <c r="ABH46" s="17">
        <v>30</v>
      </c>
      <c r="ABI46" s="17">
        <v>2</v>
      </c>
      <c r="ABJ46" s="17">
        <v>0.27</v>
      </c>
      <c r="ABK46" s="17">
        <v>2</v>
      </c>
      <c r="ABL46" s="17">
        <v>34</v>
      </c>
      <c r="ABM46" s="17">
        <v>1</v>
      </c>
      <c r="ABN46" s="31">
        <v>1.0900000000000001</v>
      </c>
      <c r="ABO46" s="17">
        <v>1</v>
      </c>
      <c r="ABR46" s="31"/>
      <c r="ABV46" s="31"/>
      <c r="ABZ46" s="31"/>
      <c r="ACD46" s="31"/>
      <c r="ACF46" s="15">
        <v>0</v>
      </c>
      <c r="ADQ46" s="15">
        <v>0</v>
      </c>
      <c r="ADR46" s="15">
        <v>0</v>
      </c>
      <c r="AEB46" s="15">
        <v>5.3</v>
      </c>
      <c r="AEC46" s="15">
        <f t="shared" si="31"/>
        <v>9.17</v>
      </c>
      <c r="AED46" s="15">
        <v>0</v>
      </c>
      <c r="AEE46" s="15">
        <v>0</v>
      </c>
      <c r="AEF46" s="15">
        <v>0</v>
      </c>
      <c r="AEG46" s="15">
        <v>8.58</v>
      </c>
      <c r="AEH46" s="15">
        <v>0</v>
      </c>
      <c r="AEI46" s="15">
        <v>0</v>
      </c>
      <c r="AEJ46" s="15" t="s">
        <v>195</v>
      </c>
      <c r="AEK46" s="15">
        <v>22</v>
      </c>
      <c r="AEL46" s="17">
        <v>44.2</v>
      </c>
      <c r="AEM46" s="17">
        <v>114</v>
      </c>
      <c r="AEN46" s="17">
        <v>10.9</v>
      </c>
      <c r="AEO46" s="17">
        <v>92.8</v>
      </c>
      <c r="AEP46" s="17">
        <v>0</v>
      </c>
      <c r="AEQ46" s="17">
        <v>0</v>
      </c>
      <c r="AER46" s="17">
        <v>5.57</v>
      </c>
      <c r="AES46" s="17">
        <v>1.64</v>
      </c>
      <c r="AET46" s="17">
        <v>0</v>
      </c>
      <c r="AEU46" s="17">
        <v>0</v>
      </c>
      <c r="AEV46" s="17">
        <v>0</v>
      </c>
      <c r="AEW46" s="17">
        <v>0</v>
      </c>
      <c r="AEX46" s="17">
        <v>0</v>
      </c>
      <c r="AEY46" s="17">
        <v>0</v>
      </c>
      <c r="AEZ46" s="17">
        <v>8.58</v>
      </c>
      <c r="AFA46" s="17">
        <v>1.57</v>
      </c>
      <c r="AFB46" s="17">
        <v>0.55000000000000004</v>
      </c>
      <c r="AFC46" s="17">
        <v>0</v>
      </c>
      <c r="AFD46" s="17">
        <v>0</v>
      </c>
      <c r="AFE46" s="17">
        <v>0</v>
      </c>
      <c r="AFF46" s="17">
        <v>0</v>
      </c>
      <c r="AFS46" s="15">
        <v>7.15</v>
      </c>
      <c r="AFT46" s="15">
        <v>1</v>
      </c>
      <c r="AFU46" s="17">
        <v>30</v>
      </c>
      <c r="AFV46" s="17">
        <v>2</v>
      </c>
      <c r="AFW46" s="17">
        <v>1.0900000000000001</v>
      </c>
      <c r="AFX46" s="17">
        <v>4</v>
      </c>
      <c r="AFY46" s="17">
        <v>30</v>
      </c>
      <c r="AFZ46" s="17">
        <v>2</v>
      </c>
      <c r="AGA46" s="17">
        <v>0.27</v>
      </c>
      <c r="AGB46" s="17">
        <v>2</v>
      </c>
      <c r="AGC46" s="17">
        <v>34</v>
      </c>
      <c r="AGD46" s="17">
        <v>1</v>
      </c>
      <c r="AGE46" s="31">
        <v>1.0900000000000001</v>
      </c>
      <c r="AGF46" s="17">
        <v>1</v>
      </c>
      <c r="AGI46" s="31"/>
      <c r="AGM46" s="31"/>
      <c r="AGQ46" s="31"/>
      <c r="AGU46" s="31"/>
      <c r="AIH46" s="15">
        <v>0</v>
      </c>
      <c r="AII46" s="15">
        <v>0</v>
      </c>
      <c r="AIS46" s="15">
        <v>2.59</v>
      </c>
      <c r="AIT46" s="15">
        <f t="shared" si="32"/>
        <v>0.59000000000000008</v>
      </c>
      <c r="AIU46" s="15">
        <v>0</v>
      </c>
      <c r="AIV46" s="15">
        <v>0</v>
      </c>
      <c r="AIW46" s="15">
        <v>0</v>
      </c>
      <c r="AIX46" s="15">
        <v>0</v>
      </c>
      <c r="AIY46" s="15">
        <v>1.03</v>
      </c>
      <c r="AIZ46" s="15">
        <v>0</v>
      </c>
      <c r="AJA46" s="15" t="s">
        <v>389</v>
      </c>
      <c r="AJB46" s="15">
        <v>10</v>
      </c>
      <c r="AJC46" s="17">
        <v>46.2</v>
      </c>
      <c r="AJD46" s="17">
        <v>114</v>
      </c>
      <c r="AJE46" s="17">
        <v>6.3</v>
      </c>
      <c r="AJF46" s="17">
        <v>0</v>
      </c>
      <c r="AJG46" s="17">
        <v>0</v>
      </c>
      <c r="AJH46" s="17">
        <v>1.91</v>
      </c>
      <c r="AJI46" s="17">
        <v>0</v>
      </c>
      <c r="AJJ46" s="17">
        <v>1.91</v>
      </c>
      <c r="AJK46" s="17">
        <v>0</v>
      </c>
      <c r="AJL46" s="17">
        <v>0</v>
      </c>
      <c r="AJM46" s="17">
        <v>0</v>
      </c>
      <c r="AJN46" s="17">
        <v>0</v>
      </c>
      <c r="AJO46" s="17">
        <v>0</v>
      </c>
      <c r="AJP46" s="17">
        <v>0</v>
      </c>
      <c r="AJQ46" s="17">
        <v>0</v>
      </c>
      <c r="AJR46" s="17">
        <v>8.85</v>
      </c>
      <c r="AJS46" s="17">
        <v>4.3600000000000003</v>
      </c>
      <c r="AJT46" s="17">
        <v>0</v>
      </c>
      <c r="AJU46" s="17">
        <v>0</v>
      </c>
      <c r="AJV46" s="17">
        <v>0</v>
      </c>
      <c r="AKJ46" s="15">
        <v>0</v>
      </c>
      <c r="AKV46" s="31"/>
      <c r="AKZ46" s="31"/>
      <c r="ALD46" s="31"/>
      <c r="ALH46" s="31"/>
      <c r="ALL46" s="31"/>
      <c r="ALN46" s="15">
        <v>0</v>
      </c>
    </row>
    <row r="47" spans="1:1018" x14ac:dyDescent="0.2">
      <c r="A47" s="1" t="s">
        <v>391</v>
      </c>
      <c r="B47" s="12">
        <v>42900</v>
      </c>
      <c r="C47">
        <v>2</v>
      </c>
      <c r="D47" s="13">
        <v>35569</v>
      </c>
      <c r="E47" s="12">
        <v>27955</v>
      </c>
      <c r="F47" s="14">
        <f t="shared" si="0"/>
        <v>40.917180013689254</v>
      </c>
      <c r="G47" s="14">
        <f t="shared" si="1"/>
        <v>20.071184120465436</v>
      </c>
      <c r="H47" s="15" t="s">
        <v>183</v>
      </c>
      <c r="I47" s="15" t="s">
        <v>383</v>
      </c>
      <c r="J47" s="21" t="s">
        <v>181</v>
      </c>
      <c r="K47" s="21">
        <v>4</v>
      </c>
      <c r="L47" s="19">
        <v>62</v>
      </c>
      <c r="M47">
        <v>1.76</v>
      </c>
      <c r="N47" s="16">
        <f t="shared" si="2"/>
        <v>20.015495867768596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19">
        <v>0</v>
      </c>
      <c r="V47" s="19">
        <v>0</v>
      </c>
      <c r="W47" s="19">
        <v>0</v>
      </c>
      <c r="X47" s="19">
        <v>0</v>
      </c>
      <c r="Y47" s="19">
        <v>0</v>
      </c>
      <c r="Z47" s="19">
        <v>0</v>
      </c>
      <c r="AA47" s="19">
        <v>0</v>
      </c>
      <c r="AB47" s="19">
        <v>0</v>
      </c>
      <c r="AC47" s="19">
        <v>1</v>
      </c>
      <c r="AD47" s="19">
        <v>15</v>
      </c>
      <c r="AE47" s="19">
        <v>0</v>
      </c>
      <c r="AF47" s="19">
        <v>0</v>
      </c>
      <c r="AG47" s="19">
        <v>0</v>
      </c>
      <c r="AH47" s="19">
        <v>0</v>
      </c>
      <c r="AI47" s="19">
        <v>1</v>
      </c>
      <c r="AJ47" s="19">
        <v>1</v>
      </c>
      <c r="AK47" s="19">
        <v>0</v>
      </c>
      <c r="AL47" s="19">
        <v>0</v>
      </c>
      <c r="AM47" s="19">
        <v>0</v>
      </c>
      <c r="AN47" s="19">
        <v>1</v>
      </c>
      <c r="AO47" s="19">
        <v>1</v>
      </c>
      <c r="AP47" s="19"/>
      <c r="AQ47" s="19"/>
      <c r="AR47" s="19"/>
      <c r="AS47" s="19">
        <v>0</v>
      </c>
      <c r="AT47" s="19">
        <v>0</v>
      </c>
      <c r="AU47" s="19">
        <v>0</v>
      </c>
      <c r="AV47" s="19">
        <v>0</v>
      </c>
      <c r="AW47" s="19">
        <v>0</v>
      </c>
      <c r="AX47" s="19">
        <v>0</v>
      </c>
      <c r="AY47" s="19">
        <v>0</v>
      </c>
      <c r="AZ47" s="19">
        <v>0</v>
      </c>
      <c r="BA47" s="19">
        <v>0</v>
      </c>
      <c r="BB47" s="19">
        <v>1</v>
      </c>
      <c r="BC47" s="19">
        <v>0</v>
      </c>
      <c r="BD47" s="19">
        <v>0</v>
      </c>
      <c r="BE47" s="19">
        <v>0</v>
      </c>
      <c r="BF47" s="19">
        <v>0</v>
      </c>
      <c r="BG47" s="19">
        <v>0</v>
      </c>
      <c r="BH47" s="19">
        <v>0</v>
      </c>
      <c r="BI47" s="19">
        <v>0</v>
      </c>
      <c r="BJ47" s="19">
        <v>0</v>
      </c>
      <c r="BK47" s="19">
        <v>0</v>
      </c>
      <c r="BL47" s="19">
        <v>0</v>
      </c>
      <c r="BM47" s="19">
        <v>0</v>
      </c>
      <c r="BN47" s="19">
        <v>1</v>
      </c>
      <c r="BO47" s="19">
        <v>1</v>
      </c>
      <c r="BP47" s="19"/>
      <c r="BQ47" s="19"/>
      <c r="BR47" s="19">
        <v>2</v>
      </c>
      <c r="BS47" s="19">
        <v>1</v>
      </c>
      <c r="BT47" s="19">
        <v>2</v>
      </c>
      <c r="BU47" s="19">
        <v>4</v>
      </c>
      <c r="BV47" s="19">
        <v>2</v>
      </c>
      <c r="BW47" s="19">
        <v>2</v>
      </c>
      <c r="BX47" s="19">
        <v>1</v>
      </c>
      <c r="BY47" s="19">
        <v>1</v>
      </c>
      <c r="BZ47" s="19">
        <v>1</v>
      </c>
      <c r="CA47" s="19">
        <v>2</v>
      </c>
      <c r="CB47" s="19">
        <v>4</v>
      </c>
      <c r="CC47" s="19">
        <v>4</v>
      </c>
      <c r="CD47" s="19">
        <v>1</v>
      </c>
      <c r="CE47" s="19">
        <v>1</v>
      </c>
      <c r="CF47" s="19">
        <v>5</v>
      </c>
      <c r="CG47" s="19">
        <v>4</v>
      </c>
      <c r="CH47" s="19">
        <v>4</v>
      </c>
      <c r="CI47" s="19">
        <v>4</v>
      </c>
      <c r="CJ47" s="19">
        <v>2</v>
      </c>
      <c r="CK47" s="19">
        <v>8</v>
      </c>
      <c r="CL47" s="30" t="s">
        <v>384</v>
      </c>
      <c r="CM47" s="15">
        <v>28.5</v>
      </c>
      <c r="CN47" s="17">
        <v>69.3</v>
      </c>
      <c r="CO47" s="17">
        <v>114</v>
      </c>
      <c r="CP47" s="17">
        <v>19.5</v>
      </c>
      <c r="CQ47" s="17">
        <v>79.150000000000006</v>
      </c>
      <c r="CR47" s="17">
        <v>0</v>
      </c>
      <c r="CS47" s="17">
        <v>3.87</v>
      </c>
      <c r="CT47" s="17">
        <v>2.86</v>
      </c>
      <c r="CU47" s="17">
        <v>14.12</v>
      </c>
      <c r="CV47" s="17">
        <v>0</v>
      </c>
      <c r="CW47" s="17">
        <v>0</v>
      </c>
      <c r="CX47" s="17">
        <v>0</v>
      </c>
      <c r="CY47" s="17">
        <v>0</v>
      </c>
      <c r="CZ47" s="17">
        <v>0</v>
      </c>
      <c r="DA47" s="17">
        <v>0</v>
      </c>
      <c r="DB47" s="17">
        <v>0.82</v>
      </c>
      <c r="DC47" s="17">
        <v>11.71</v>
      </c>
      <c r="DD47" s="17">
        <v>15.43</v>
      </c>
      <c r="DE47" s="17">
        <v>4.91</v>
      </c>
      <c r="DF47" s="17">
        <v>0</v>
      </c>
      <c r="DG47" s="17">
        <v>0</v>
      </c>
      <c r="DH47" s="17">
        <v>0</v>
      </c>
      <c r="DI47" s="17">
        <v>0</v>
      </c>
      <c r="DJ47" s="17">
        <v>0</v>
      </c>
      <c r="DK47" s="17">
        <v>0</v>
      </c>
      <c r="DL47" s="17">
        <v>0</v>
      </c>
      <c r="DM47" s="17">
        <v>0</v>
      </c>
      <c r="DN47" s="17">
        <v>0</v>
      </c>
      <c r="DO47" s="17">
        <v>0</v>
      </c>
      <c r="DP47" s="17">
        <v>0</v>
      </c>
      <c r="DQ47" s="17">
        <v>0</v>
      </c>
      <c r="DR47" s="17">
        <v>0</v>
      </c>
      <c r="DS47" s="17">
        <v>0</v>
      </c>
      <c r="DT47" s="17">
        <v>0</v>
      </c>
      <c r="DU47" s="17">
        <v>0</v>
      </c>
      <c r="DV47" s="17">
        <v>0</v>
      </c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31"/>
      <c r="EH47" s="17"/>
      <c r="EK47" s="31"/>
      <c r="EO47" s="31"/>
      <c r="ES47" s="31"/>
      <c r="EW47" s="31"/>
      <c r="EY47" s="15">
        <v>0</v>
      </c>
      <c r="GJ47" s="15">
        <v>0</v>
      </c>
      <c r="GK47" s="15">
        <v>0</v>
      </c>
      <c r="GU47" s="15">
        <v>8.6999999999999993</v>
      </c>
      <c r="GV47" s="15">
        <f t="shared" si="26"/>
        <v>15.43</v>
      </c>
      <c r="GW47" s="15">
        <v>0</v>
      </c>
      <c r="GX47" s="15">
        <v>0</v>
      </c>
      <c r="GY47" s="15">
        <v>0</v>
      </c>
      <c r="GZ47" s="15">
        <v>0</v>
      </c>
      <c r="HA47" s="15">
        <v>0</v>
      </c>
      <c r="HB47" s="15">
        <v>0</v>
      </c>
      <c r="HC47" s="15" t="s">
        <v>385</v>
      </c>
      <c r="HD47" s="15">
        <v>38.5</v>
      </c>
      <c r="HE47" s="17">
        <v>55</v>
      </c>
      <c r="HF47" s="17">
        <v>114</v>
      </c>
      <c r="HG47" s="17">
        <v>7.8</v>
      </c>
      <c r="HH47" s="17">
        <v>95.15</v>
      </c>
      <c r="HI47" s="17">
        <v>0</v>
      </c>
      <c r="HJ47" s="17">
        <v>3.78</v>
      </c>
      <c r="HK47" s="17">
        <v>0</v>
      </c>
      <c r="HL47" s="17">
        <v>1.07</v>
      </c>
      <c r="HM47" s="17">
        <v>0</v>
      </c>
      <c r="HN47" s="17">
        <v>0</v>
      </c>
      <c r="HO47" s="17">
        <v>0</v>
      </c>
      <c r="HP47" s="17">
        <v>0</v>
      </c>
      <c r="HQ47" s="17">
        <v>0</v>
      </c>
      <c r="HR47" s="17">
        <v>0</v>
      </c>
      <c r="HS47" s="17">
        <v>0</v>
      </c>
      <c r="HT47" s="17">
        <v>15.05</v>
      </c>
      <c r="HU47" s="17">
        <v>4.58</v>
      </c>
      <c r="HV47" s="17">
        <v>0.1</v>
      </c>
      <c r="HW47" s="17">
        <v>0</v>
      </c>
      <c r="HX47" s="17">
        <v>0</v>
      </c>
      <c r="HY47" s="17">
        <v>0</v>
      </c>
      <c r="IL47" s="15">
        <v>22.8</v>
      </c>
      <c r="IM47" s="15">
        <v>1</v>
      </c>
      <c r="IN47" s="15">
        <v>38</v>
      </c>
      <c r="IO47" s="15">
        <v>5</v>
      </c>
      <c r="IP47" s="15">
        <f t="shared" si="27"/>
        <v>3.54</v>
      </c>
      <c r="IQ47" s="15">
        <v>5</v>
      </c>
      <c r="IX47" s="31"/>
      <c r="JB47" s="31"/>
      <c r="JF47" s="31"/>
      <c r="JJ47" s="31"/>
      <c r="JN47" s="31"/>
      <c r="JP47" s="15">
        <v>0</v>
      </c>
      <c r="LA47" s="15">
        <v>0</v>
      </c>
      <c r="LB47" s="15">
        <v>0</v>
      </c>
      <c r="LL47" s="15">
        <v>7.84</v>
      </c>
      <c r="LM47" s="15">
        <f t="shared" si="28"/>
        <v>3.54</v>
      </c>
      <c r="LN47" s="15">
        <v>0</v>
      </c>
      <c r="LO47" s="15">
        <v>0</v>
      </c>
      <c r="LP47" s="15">
        <v>0</v>
      </c>
      <c r="LQ47" s="15">
        <v>0</v>
      </c>
      <c r="LR47" s="15">
        <v>0</v>
      </c>
      <c r="LS47" s="15">
        <v>0</v>
      </c>
      <c r="LT47" s="15" t="s">
        <v>386</v>
      </c>
      <c r="LU47" s="15">
        <v>38</v>
      </c>
      <c r="LV47" s="17">
        <v>48.8</v>
      </c>
      <c r="LW47" s="17">
        <v>114</v>
      </c>
      <c r="LX47" s="17">
        <v>7.2</v>
      </c>
      <c r="LY47" s="17">
        <v>96.13</v>
      </c>
      <c r="LZ47" s="17">
        <v>0</v>
      </c>
      <c r="MA47" s="17">
        <v>3.78</v>
      </c>
      <c r="MB47" s="17">
        <v>0</v>
      </c>
      <c r="MC47" s="17">
        <v>0.1</v>
      </c>
      <c r="MD47" s="17">
        <v>0</v>
      </c>
      <c r="ME47" s="17">
        <v>0</v>
      </c>
      <c r="MF47" s="17">
        <v>0</v>
      </c>
      <c r="MG47" s="17">
        <v>0</v>
      </c>
      <c r="MH47" s="17">
        <v>0</v>
      </c>
      <c r="MI47" s="17">
        <v>0</v>
      </c>
      <c r="MJ47" s="17">
        <v>0</v>
      </c>
      <c r="MK47" s="17">
        <v>12.85</v>
      </c>
      <c r="ML47" s="17">
        <v>4.58</v>
      </c>
      <c r="MM47" s="17">
        <v>0.1</v>
      </c>
      <c r="MN47" s="17">
        <v>0</v>
      </c>
      <c r="MO47" s="17">
        <v>0</v>
      </c>
      <c r="MP47" s="17">
        <v>0</v>
      </c>
      <c r="NC47" s="15">
        <v>22.8</v>
      </c>
      <c r="ND47" s="15">
        <v>1</v>
      </c>
      <c r="NE47" s="15">
        <v>38</v>
      </c>
      <c r="NF47" s="15">
        <v>5</v>
      </c>
      <c r="NG47" s="15">
        <f t="shared" si="29"/>
        <v>3.54</v>
      </c>
      <c r="NH47" s="15">
        <v>5</v>
      </c>
      <c r="NI47" s="15">
        <v>20</v>
      </c>
      <c r="NJ47" s="15">
        <v>4</v>
      </c>
      <c r="NK47" s="15">
        <v>0.28999999999999998</v>
      </c>
      <c r="NL47" s="15">
        <v>2</v>
      </c>
      <c r="NO47" s="31"/>
      <c r="NS47" s="31"/>
      <c r="NW47" s="31"/>
      <c r="OA47" s="31"/>
      <c r="OE47" s="31"/>
      <c r="OG47" s="15">
        <v>0</v>
      </c>
      <c r="PR47" s="15">
        <v>0</v>
      </c>
      <c r="PS47" s="15">
        <v>0</v>
      </c>
      <c r="QC47" s="15">
        <v>7.84</v>
      </c>
      <c r="QD47" s="15">
        <f t="shared" si="30"/>
        <v>3.54</v>
      </c>
      <c r="QE47" s="15">
        <v>0</v>
      </c>
      <c r="QF47" s="15">
        <v>0</v>
      </c>
      <c r="QG47" s="15">
        <v>0</v>
      </c>
      <c r="QH47" s="15">
        <v>0</v>
      </c>
      <c r="QI47" s="15">
        <v>0</v>
      </c>
      <c r="QJ47" s="15">
        <v>0</v>
      </c>
      <c r="QK47" s="15" t="s">
        <v>387</v>
      </c>
      <c r="QL47" s="15">
        <v>64</v>
      </c>
      <c r="QM47" s="17">
        <v>70.599999999999994</v>
      </c>
      <c r="QN47" s="17">
        <v>114</v>
      </c>
      <c r="QO47" s="17">
        <v>14.9</v>
      </c>
      <c r="QP47" s="17">
        <v>88.29</v>
      </c>
      <c r="QQ47" s="17">
        <v>0</v>
      </c>
      <c r="QR47" s="17">
        <v>9.81</v>
      </c>
      <c r="QS47" s="17">
        <v>1.64</v>
      </c>
      <c r="QT47" s="17">
        <v>0.26</v>
      </c>
      <c r="QU47" s="17">
        <v>0</v>
      </c>
      <c r="QV47" s="17">
        <v>0</v>
      </c>
      <c r="QW47" s="17">
        <v>0</v>
      </c>
      <c r="QX47" s="17">
        <v>0</v>
      </c>
      <c r="QY47" s="17">
        <v>0</v>
      </c>
      <c r="QZ47" s="17">
        <v>0</v>
      </c>
      <c r="RA47" s="17">
        <v>0.55000000000000004</v>
      </c>
      <c r="RB47" s="17">
        <v>22.64</v>
      </c>
      <c r="RC47" s="17">
        <v>2.58</v>
      </c>
      <c r="RD47" s="17">
        <v>0.13</v>
      </c>
      <c r="RE47" s="17">
        <v>0</v>
      </c>
      <c r="RF47" s="17">
        <v>0</v>
      </c>
      <c r="RG47" s="17">
        <v>0</v>
      </c>
      <c r="RT47" s="15">
        <v>40.4</v>
      </c>
      <c r="RU47" s="15">
        <v>1</v>
      </c>
      <c r="RV47" s="15">
        <v>38</v>
      </c>
      <c r="RW47" s="15">
        <v>9</v>
      </c>
      <c r="RX47" s="15">
        <v>5.52</v>
      </c>
      <c r="RY47" s="15">
        <v>5</v>
      </c>
      <c r="RZ47" s="15">
        <v>23</v>
      </c>
      <c r="SA47" s="15">
        <v>1</v>
      </c>
      <c r="SB47" s="15">
        <v>0.09</v>
      </c>
      <c r="SC47" s="15">
        <v>3</v>
      </c>
      <c r="SF47" s="31"/>
      <c r="SJ47" s="31"/>
      <c r="SN47" s="31"/>
      <c r="SR47" s="31"/>
      <c r="SV47" s="31"/>
      <c r="SX47" s="15">
        <v>0</v>
      </c>
      <c r="UI47" s="15">
        <v>0</v>
      </c>
      <c r="UJ47" s="15">
        <v>0</v>
      </c>
      <c r="UT47" s="15">
        <v>8.33</v>
      </c>
      <c r="UU47" s="15">
        <v>5.52</v>
      </c>
      <c r="UV47" s="15">
        <v>0</v>
      </c>
      <c r="UW47" s="15">
        <v>0</v>
      </c>
      <c r="UX47" s="15">
        <v>0</v>
      </c>
      <c r="UY47" s="15">
        <v>0</v>
      </c>
      <c r="UZ47" s="15">
        <v>0</v>
      </c>
      <c r="VA47" s="15">
        <v>0</v>
      </c>
      <c r="VB47" s="15" t="s">
        <v>388</v>
      </c>
      <c r="VC47" s="15">
        <v>64</v>
      </c>
      <c r="VD47" s="17">
        <v>79.5</v>
      </c>
      <c r="VE47" s="17">
        <v>114</v>
      </c>
      <c r="VF47" s="17">
        <v>15</v>
      </c>
      <c r="VG47" s="17">
        <v>88.29</v>
      </c>
      <c r="VH47" s="17">
        <v>0</v>
      </c>
      <c r="VI47" s="17">
        <v>9.81</v>
      </c>
      <c r="VJ47" s="17">
        <v>1.64</v>
      </c>
      <c r="VK47" s="17">
        <v>0.26</v>
      </c>
      <c r="VL47" s="17">
        <v>0</v>
      </c>
      <c r="VM47" s="17">
        <v>0</v>
      </c>
      <c r="VN47" s="17">
        <v>0</v>
      </c>
      <c r="VO47" s="17">
        <v>0</v>
      </c>
      <c r="VP47" s="17">
        <v>0</v>
      </c>
      <c r="VQ47" s="17">
        <v>0</v>
      </c>
      <c r="VR47" s="17">
        <v>0.55000000000000004</v>
      </c>
      <c r="VS47" s="17">
        <v>24</v>
      </c>
      <c r="VT47" s="17">
        <v>4.3099999999999996</v>
      </c>
      <c r="VU47" s="17">
        <v>0.82</v>
      </c>
      <c r="VV47" s="17">
        <v>0</v>
      </c>
      <c r="VW47" s="17">
        <v>0</v>
      </c>
      <c r="VX47" s="17">
        <v>0</v>
      </c>
      <c r="VY47" s="17"/>
      <c r="WK47" s="15">
        <v>40.4</v>
      </c>
      <c r="WL47" s="15">
        <v>1</v>
      </c>
      <c r="WM47" s="15">
        <v>38</v>
      </c>
      <c r="WN47" s="15">
        <v>9</v>
      </c>
      <c r="WO47" s="15">
        <v>5.52</v>
      </c>
      <c r="WP47" s="15">
        <v>5</v>
      </c>
      <c r="WQ47" s="15">
        <v>23</v>
      </c>
      <c r="WR47" s="15">
        <v>1</v>
      </c>
      <c r="WS47" s="15">
        <v>0.09</v>
      </c>
      <c r="WT47" s="15">
        <v>3</v>
      </c>
      <c r="WW47" s="31"/>
      <c r="XA47" s="31"/>
      <c r="XE47" s="31"/>
      <c r="XI47" s="31"/>
      <c r="XM47" s="31"/>
      <c r="XO47" s="15">
        <v>0</v>
      </c>
      <c r="YZ47" s="15">
        <v>0</v>
      </c>
      <c r="ZA47" s="15">
        <v>0</v>
      </c>
      <c r="ZK47" s="15">
        <v>8.33</v>
      </c>
      <c r="ZL47" s="15">
        <v>5.52</v>
      </c>
      <c r="ZM47" s="15">
        <v>0</v>
      </c>
      <c r="ZN47" s="15">
        <v>0</v>
      </c>
      <c r="ZO47" s="15">
        <v>0</v>
      </c>
      <c r="ZP47" s="15">
        <v>0</v>
      </c>
      <c r="ZQ47" s="15">
        <v>0</v>
      </c>
      <c r="ZR47" s="15">
        <v>0</v>
      </c>
      <c r="ZS47" s="15" t="s">
        <v>196</v>
      </c>
      <c r="ZT47" s="15">
        <v>24.5</v>
      </c>
      <c r="ZU47" s="17">
        <v>58.4</v>
      </c>
      <c r="ZV47" s="17">
        <v>114</v>
      </c>
      <c r="ZW47" s="17">
        <v>12</v>
      </c>
      <c r="ZX47" s="17">
        <v>92.09</v>
      </c>
      <c r="ZY47" s="17">
        <v>0</v>
      </c>
      <c r="ZZ47" s="17">
        <v>0</v>
      </c>
      <c r="AAA47" s="17">
        <v>5.57</v>
      </c>
      <c r="AAB47" s="17">
        <v>2.35</v>
      </c>
      <c r="AAC47" s="17">
        <v>0</v>
      </c>
      <c r="AAD47" s="17">
        <v>0</v>
      </c>
      <c r="AAE47" s="17">
        <v>0</v>
      </c>
      <c r="AAF47" s="17">
        <v>0</v>
      </c>
      <c r="AAG47" s="17">
        <v>0</v>
      </c>
      <c r="AAH47" s="17">
        <v>0</v>
      </c>
      <c r="AAI47" s="17">
        <v>8.58</v>
      </c>
      <c r="AAJ47" s="17">
        <v>3.1</v>
      </c>
      <c r="AAK47" s="17">
        <v>0.55000000000000004</v>
      </c>
      <c r="AAL47" s="17">
        <v>0.71</v>
      </c>
      <c r="AAM47" s="17">
        <v>0</v>
      </c>
      <c r="AAN47" s="17">
        <v>0</v>
      </c>
      <c r="AAO47" s="17">
        <v>0</v>
      </c>
      <c r="ABB47" s="15">
        <v>7.2</v>
      </c>
      <c r="ABC47" s="15">
        <v>1</v>
      </c>
      <c r="ABD47" s="17">
        <v>30</v>
      </c>
      <c r="ABE47" s="17">
        <v>2</v>
      </c>
      <c r="ABF47" s="17">
        <v>1.0900000000000001</v>
      </c>
      <c r="ABG47" s="17">
        <v>4</v>
      </c>
      <c r="ABH47" s="17">
        <v>30</v>
      </c>
      <c r="ABI47" s="17">
        <v>2</v>
      </c>
      <c r="ABJ47" s="17">
        <v>0.27</v>
      </c>
      <c r="ABK47" s="17">
        <v>2</v>
      </c>
      <c r="ABL47" s="17">
        <v>34</v>
      </c>
      <c r="ABM47" s="17">
        <v>1</v>
      </c>
      <c r="ABN47" s="31">
        <v>1.0900000000000001</v>
      </c>
      <c r="ABO47" s="17">
        <v>1</v>
      </c>
      <c r="ABR47" s="31"/>
      <c r="ABV47" s="31"/>
      <c r="ABZ47" s="31"/>
      <c r="ACD47" s="31"/>
      <c r="ACF47" s="15">
        <v>0</v>
      </c>
      <c r="ADQ47" s="15">
        <v>0</v>
      </c>
      <c r="ADR47" s="15">
        <v>0</v>
      </c>
      <c r="AEB47" s="15">
        <v>5.3</v>
      </c>
      <c r="AEC47" s="15">
        <f t="shared" si="31"/>
        <v>9.17</v>
      </c>
      <c r="AED47" s="15">
        <v>0</v>
      </c>
      <c r="AEE47" s="15">
        <v>0</v>
      </c>
      <c r="AEF47" s="15">
        <v>0</v>
      </c>
      <c r="AEG47" s="15">
        <v>8.58</v>
      </c>
      <c r="AEH47" s="15">
        <v>0</v>
      </c>
      <c r="AEI47" s="15">
        <v>0</v>
      </c>
      <c r="AEJ47" s="15" t="s">
        <v>195</v>
      </c>
      <c r="AEK47" s="15">
        <v>22</v>
      </c>
      <c r="AEL47" s="17">
        <v>44.2</v>
      </c>
      <c r="AEM47" s="17">
        <v>114</v>
      </c>
      <c r="AEN47" s="17">
        <v>10.9</v>
      </c>
      <c r="AEO47" s="17">
        <v>92.8</v>
      </c>
      <c r="AEP47" s="17">
        <v>0</v>
      </c>
      <c r="AEQ47" s="17">
        <v>0</v>
      </c>
      <c r="AER47" s="17">
        <v>5.57</v>
      </c>
      <c r="AES47" s="17">
        <v>1.64</v>
      </c>
      <c r="AET47" s="17">
        <v>0</v>
      </c>
      <c r="AEU47" s="17">
        <v>0</v>
      </c>
      <c r="AEV47" s="17">
        <v>0</v>
      </c>
      <c r="AEW47" s="17">
        <v>0</v>
      </c>
      <c r="AEX47" s="17">
        <v>0</v>
      </c>
      <c r="AEY47" s="17">
        <v>0</v>
      </c>
      <c r="AEZ47" s="17">
        <v>8.58</v>
      </c>
      <c r="AFA47" s="17">
        <v>1.57</v>
      </c>
      <c r="AFB47" s="17">
        <v>0.55000000000000004</v>
      </c>
      <c r="AFC47" s="17">
        <v>0</v>
      </c>
      <c r="AFD47" s="17">
        <v>0</v>
      </c>
      <c r="AFE47" s="17">
        <v>0</v>
      </c>
      <c r="AFF47" s="17">
        <v>0</v>
      </c>
      <c r="AFS47" s="15">
        <v>7.15</v>
      </c>
      <c r="AFT47" s="15">
        <v>1</v>
      </c>
      <c r="AFU47" s="17">
        <v>30</v>
      </c>
      <c r="AFV47" s="17">
        <v>2</v>
      </c>
      <c r="AFW47" s="17">
        <v>1.0900000000000001</v>
      </c>
      <c r="AFX47" s="17">
        <v>4</v>
      </c>
      <c r="AFY47" s="17">
        <v>30</v>
      </c>
      <c r="AFZ47" s="17">
        <v>2</v>
      </c>
      <c r="AGA47" s="17">
        <v>0.27</v>
      </c>
      <c r="AGB47" s="17">
        <v>2</v>
      </c>
      <c r="AGC47" s="17">
        <v>34</v>
      </c>
      <c r="AGD47" s="17">
        <v>1</v>
      </c>
      <c r="AGE47" s="31">
        <v>1.0900000000000001</v>
      </c>
      <c r="AGF47" s="17">
        <v>1</v>
      </c>
      <c r="AGI47" s="31"/>
      <c r="AGM47" s="31"/>
      <c r="AGQ47" s="31"/>
      <c r="AGU47" s="31"/>
      <c r="AIH47" s="15">
        <v>0</v>
      </c>
      <c r="AII47" s="15">
        <v>0</v>
      </c>
      <c r="AIS47" s="15">
        <v>2.59</v>
      </c>
      <c r="AIT47" s="15">
        <f t="shared" si="32"/>
        <v>0.59000000000000008</v>
      </c>
      <c r="AIU47" s="15">
        <v>0</v>
      </c>
      <c r="AIV47" s="15">
        <v>0</v>
      </c>
      <c r="AIW47" s="15">
        <v>0</v>
      </c>
      <c r="AIX47" s="15">
        <v>0</v>
      </c>
      <c r="AIY47" s="15">
        <v>1.03</v>
      </c>
      <c r="AIZ47" s="15">
        <v>0</v>
      </c>
      <c r="AJA47" s="15" t="s">
        <v>389</v>
      </c>
      <c r="AJB47" s="15">
        <v>10</v>
      </c>
      <c r="AJC47" s="17">
        <v>46.2</v>
      </c>
      <c r="AJD47" s="17">
        <v>114</v>
      </c>
      <c r="AJE47" s="17">
        <v>6.3</v>
      </c>
      <c r="AJF47" s="17">
        <v>0</v>
      </c>
      <c r="AJG47" s="17">
        <v>0</v>
      </c>
      <c r="AJH47" s="17">
        <v>1.91</v>
      </c>
      <c r="AJI47" s="17">
        <v>0</v>
      </c>
      <c r="AJJ47" s="17">
        <v>1.91</v>
      </c>
      <c r="AJK47" s="17">
        <v>0</v>
      </c>
      <c r="AJL47" s="17">
        <v>0</v>
      </c>
      <c r="AJM47" s="17">
        <v>0</v>
      </c>
      <c r="AJN47" s="17">
        <v>0</v>
      </c>
      <c r="AJO47" s="17">
        <v>0</v>
      </c>
      <c r="AJP47" s="17">
        <v>0</v>
      </c>
      <c r="AJQ47" s="17">
        <v>0</v>
      </c>
      <c r="AJR47" s="17">
        <v>8.85</v>
      </c>
      <c r="AJS47" s="17">
        <v>4.3600000000000003</v>
      </c>
      <c r="AJT47" s="17">
        <v>0</v>
      </c>
      <c r="AJU47" s="17">
        <v>0</v>
      </c>
      <c r="AJV47" s="17">
        <v>0</v>
      </c>
      <c r="AKJ47" s="15">
        <v>0</v>
      </c>
      <c r="AKV47" s="31"/>
      <c r="AKZ47" s="31"/>
      <c r="ALD47" s="31"/>
      <c r="ALH47" s="31"/>
      <c r="ALL47" s="31"/>
      <c r="ALN47" s="15">
        <v>0</v>
      </c>
    </row>
    <row r="48" spans="1:1018" x14ac:dyDescent="0.2">
      <c r="A48" s="1" t="s">
        <v>392</v>
      </c>
      <c r="B48" s="12">
        <v>42900</v>
      </c>
      <c r="C48">
        <v>1</v>
      </c>
      <c r="D48" s="13">
        <v>34645</v>
      </c>
      <c r="E48" s="12">
        <v>24913</v>
      </c>
      <c r="F48" s="14">
        <f t="shared" si="0"/>
        <v>49.24572210814511</v>
      </c>
      <c r="G48" s="14">
        <f t="shared" si="1"/>
        <v>22.600958247775495</v>
      </c>
      <c r="H48" s="15" t="s">
        <v>183</v>
      </c>
      <c r="I48" s="15" t="s">
        <v>383</v>
      </c>
      <c r="J48" s="21" t="s">
        <v>181</v>
      </c>
      <c r="K48" s="21">
        <v>4</v>
      </c>
      <c r="L48" s="19">
        <v>72</v>
      </c>
      <c r="M48">
        <v>1.5</v>
      </c>
      <c r="N48" s="16">
        <f t="shared" si="2"/>
        <v>32</v>
      </c>
      <c r="O48" s="19">
        <v>1</v>
      </c>
      <c r="P48" s="19">
        <v>1</v>
      </c>
      <c r="Q48" s="19"/>
      <c r="R48" s="19">
        <v>0</v>
      </c>
      <c r="S48" s="19">
        <v>0</v>
      </c>
      <c r="T48" s="19">
        <v>0</v>
      </c>
      <c r="U48" s="19">
        <v>0</v>
      </c>
      <c r="V48" s="19">
        <v>0</v>
      </c>
      <c r="W48" s="19">
        <v>1</v>
      </c>
      <c r="X48" s="19">
        <v>0</v>
      </c>
      <c r="Y48" s="19">
        <v>0</v>
      </c>
      <c r="Z48" s="19">
        <v>0</v>
      </c>
      <c r="AA48" s="19">
        <v>0</v>
      </c>
      <c r="AB48" s="19">
        <v>0</v>
      </c>
      <c r="AC48" s="19">
        <v>1</v>
      </c>
      <c r="AD48" s="19">
        <v>6</v>
      </c>
      <c r="AE48" s="19">
        <v>1</v>
      </c>
      <c r="AF48" s="19">
        <v>1</v>
      </c>
      <c r="AG48" s="19">
        <v>1</v>
      </c>
      <c r="AH48" s="19"/>
      <c r="AI48" s="19">
        <v>3</v>
      </c>
      <c r="AJ48" s="19">
        <v>3</v>
      </c>
      <c r="AK48" s="19">
        <v>3</v>
      </c>
      <c r="AL48" s="19">
        <v>9</v>
      </c>
      <c r="AM48" s="19">
        <v>9</v>
      </c>
      <c r="AN48" s="19">
        <v>3</v>
      </c>
      <c r="AO48" s="19">
        <v>3</v>
      </c>
      <c r="AP48" s="19">
        <v>3</v>
      </c>
      <c r="AQ48" s="19">
        <v>9</v>
      </c>
      <c r="AR48" s="19">
        <v>9</v>
      </c>
      <c r="AS48" s="19">
        <v>3</v>
      </c>
      <c r="AT48" s="19">
        <v>3</v>
      </c>
      <c r="AU48" s="19">
        <v>3</v>
      </c>
      <c r="AV48" s="19">
        <v>9</v>
      </c>
      <c r="AW48" s="19">
        <v>9</v>
      </c>
      <c r="AX48" s="19">
        <v>0</v>
      </c>
      <c r="AY48" s="19">
        <v>0</v>
      </c>
      <c r="AZ48" s="19">
        <v>0</v>
      </c>
      <c r="BA48" s="19">
        <v>0</v>
      </c>
      <c r="BB48" s="19">
        <v>1</v>
      </c>
      <c r="BC48" s="19">
        <v>1</v>
      </c>
      <c r="BD48" s="19">
        <v>1</v>
      </c>
      <c r="BE48" s="19">
        <v>5</v>
      </c>
      <c r="BF48" s="19">
        <v>0</v>
      </c>
      <c r="BG48" s="19">
        <v>0</v>
      </c>
      <c r="BH48" s="19">
        <v>0</v>
      </c>
      <c r="BI48" s="19">
        <v>0</v>
      </c>
      <c r="BJ48" s="19">
        <v>0</v>
      </c>
      <c r="BK48" s="19">
        <v>0</v>
      </c>
      <c r="BL48" s="19">
        <v>0</v>
      </c>
      <c r="BM48" s="19">
        <v>0</v>
      </c>
      <c r="BN48" s="19">
        <v>0</v>
      </c>
      <c r="BO48" s="19">
        <v>0</v>
      </c>
      <c r="BP48" s="19">
        <v>0</v>
      </c>
      <c r="BQ48" s="19">
        <v>0</v>
      </c>
      <c r="BR48" s="19">
        <v>3</v>
      </c>
      <c r="BS48" s="19">
        <v>1</v>
      </c>
      <c r="BT48" s="19"/>
      <c r="BU48" s="19">
        <v>4</v>
      </c>
      <c r="BV48" s="19">
        <v>1</v>
      </c>
      <c r="BW48" s="19">
        <v>1</v>
      </c>
      <c r="BX48" s="19">
        <v>2</v>
      </c>
      <c r="BY48" s="19">
        <v>3</v>
      </c>
      <c r="BZ48" s="19">
        <v>2</v>
      </c>
      <c r="CA48" s="19">
        <v>2</v>
      </c>
      <c r="CB48" s="19">
        <v>2</v>
      </c>
      <c r="CC48" s="19">
        <v>5</v>
      </c>
      <c r="CD48" s="19">
        <v>3</v>
      </c>
      <c r="CE48" s="19">
        <v>5</v>
      </c>
      <c r="CF48" s="19">
        <v>5</v>
      </c>
      <c r="CG48" s="19">
        <v>4</v>
      </c>
      <c r="CH48" s="19">
        <v>4</v>
      </c>
      <c r="CI48" s="19">
        <v>4</v>
      </c>
      <c r="CJ48" s="19">
        <v>4</v>
      </c>
      <c r="CK48" s="19">
        <v>9</v>
      </c>
      <c r="CL48" s="30" t="s">
        <v>384</v>
      </c>
      <c r="CM48" s="15">
        <v>28.5</v>
      </c>
      <c r="CN48" s="17">
        <v>69.3</v>
      </c>
      <c r="CO48" s="17">
        <v>114</v>
      </c>
      <c r="CP48" s="17">
        <v>19.5</v>
      </c>
      <c r="CQ48" s="17">
        <v>79.150000000000006</v>
      </c>
      <c r="CR48" s="17">
        <v>0</v>
      </c>
      <c r="CS48" s="17">
        <v>3.87</v>
      </c>
      <c r="CT48" s="17">
        <v>2.86</v>
      </c>
      <c r="CU48" s="17">
        <v>14.12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0</v>
      </c>
      <c r="DB48" s="17">
        <v>0.82</v>
      </c>
      <c r="DC48" s="17">
        <v>11.71</v>
      </c>
      <c r="DD48" s="17">
        <v>15.43</v>
      </c>
      <c r="DE48" s="17">
        <v>4.91</v>
      </c>
      <c r="DF48" s="17">
        <v>0</v>
      </c>
      <c r="DG48" s="17">
        <v>0</v>
      </c>
      <c r="DH48" s="17">
        <v>0</v>
      </c>
      <c r="DI48" s="17">
        <v>0</v>
      </c>
      <c r="DJ48" s="17">
        <v>0</v>
      </c>
      <c r="DK48" s="17">
        <v>0</v>
      </c>
      <c r="DL48" s="17">
        <v>0</v>
      </c>
      <c r="DM48" s="17">
        <v>0</v>
      </c>
      <c r="DN48" s="17">
        <v>0</v>
      </c>
      <c r="DO48" s="17">
        <v>0</v>
      </c>
      <c r="DP48" s="17">
        <v>0</v>
      </c>
      <c r="DQ48" s="17">
        <v>0</v>
      </c>
      <c r="DR48" s="17">
        <v>0</v>
      </c>
      <c r="DS48" s="17">
        <v>0</v>
      </c>
      <c r="DT48" s="17">
        <v>0</v>
      </c>
      <c r="DU48" s="17">
        <v>0</v>
      </c>
      <c r="DV48" s="17">
        <v>0</v>
      </c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31"/>
      <c r="EH48" s="17"/>
      <c r="EK48" s="31"/>
      <c r="EO48" s="31"/>
      <c r="ES48" s="31"/>
      <c r="EW48" s="31"/>
      <c r="EY48" s="15">
        <v>0</v>
      </c>
      <c r="GJ48" s="15">
        <v>0</v>
      </c>
      <c r="GK48" s="15">
        <v>0</v>
      </c>
      <c r="GU48" s="15">
        <v>8.6999999999999993</v>
      </c>
      <c r="GV48" s="15">
        <f t="shared" si="26"/>
        <v>15.43</v>
      </c>
      <c r="GW48" s="15">
        <v>0</v>
      </c>
      <c r="GX48" s="15">
        <v>0</v>
      </c>
      <c r="GY48" s="15">
        <v>0</v>
      </c>
      <c r="GZ48" s="15">
        <v>0</v>
      </c>
      <c r="HA48" s="15">
        <v>0</v>
      </c>
      <c r="HB48" s="15">
        <v>0</v>
      </c>
      <c r="HC48" s="15" t="s">
        <v>385</v>
      </c>
      <c r="HD48" s="15">
        <v>38.5</v>
      </c>
      <c r="HE48" s="17">
        <v>55</v>
      </c>
      <c r="HF48" s="17">
        <v>114</v>
      </c>
      <c r="HG48" s="17">
        <v>7.8</v>
      </c>
      <c r="HH48" s="17">
        <v>95.15</v>
      </c>
      <c r="HI48" s="17">
        <v>0</v>
      </c>
      <c r="HJ48" s="17">
        <v>3.78</v>
      </c>
      <c r="HK48" s="17">
        <v>0</v>
      </c>
      <c r="HL48" s="17">
        <v>1.07</v>
      </c>
      <c r="HM48" s="17">
        <v>0</v>
      </c>
      <c r="HN48" s="17">
        <v>0</v>
      </c>
      <c r="HO48" s="17">
        <v>0</v>
      </c>
      <c r="HP48" s="17">
        <v>0</v>
      </c>
      <c r="HQ48" s="17">
        <v>0</v>
      </c>
      <c r="HR48" s="17">
        <v>0</v>
      </c>
      <c r="HS48" s="17">
        <v>0</v>
      </c>
      <c r="HT48" s="17">
        <v>15.05</v>
      </c>
      <c r="HU48" s="17">
        <v>4.58</v>
      </c>
      <c r="HV48" s="17">
        <v>0.1</v>
      </c>
      <c r="HW48" s="17">
        <v>0</v>
      </c>
      <c r="HX48" s="17">
        <v>0</v>
      </c>
      <c r="HY48" s="17">
        <v>0</v>
      </c>
      <c r="IL48" s="15">
        <v>22.8</v>
      </c>
      <c r="IM48" s="15">
        <v>1</v>
      </c>
      <c r="IN48" s="15">
        <v>38</v>
      </c>
      <c r="IO48" s="15">
        <v>5</v>
      </c>
      <c r="IP48" s="15">
        <f t="shared" si="27"/>
        <v>3.54</v>
      </c>
      <c r="IQ48" s="15">
        <v>5</v>
      </c>
      <c r="IX48" s="31"/>
      <c r="JB48" s="31"/>
      <c r="JF48" s="31"/>
      <c r="JJ48" s="31"/>
      <c r="JN48" s="31"/>
      <c r="JP48" s="15">
        <v>0</v>
      </c>
      <c r="LA48" s="15">
        <v>0</v>
      </c>
      <c r="LB48" s="15">
        <v>0</v>
      </c>
      <c r="LL48" s="15">
        <v>7.84</v>
      </c>
      <c r="LM48" s="15">
        <f t="shared" si="28"/>
        <v>3.54</v>
      </c>
      <c r="LN48" s="15">
        <v>0</v>
      </c>
      <c r="LO48" s="15">
        <v>0</v>
      </c>
      <c r="LP48" s="15">
        <v>0</v>
      </c>
      <c r="LQ48" s="15">
        <v>0</v>
      </c>
      <c r="LR48" s="15">
        <v>0</v>
      </c>
      <c r="LS48" s="15">
        <v>0</v>
      </c>
      <c r="LT48" s="15" t="s">
        <v>386</v>
      </c>
      <c r="LU48" s="15">
        <v>38</v>
      </c>
      <c r="LV48" s="17">
        <v>48.8</v>
      </c>
      <c r="LW48" s="17">
        <v>114</v>
      </c>
      <c r="LX48" s="17">
        <v>7.2</v>
      </c>
      <c r="LY48" s="17">
        <v>96.13</v>
      </c>
      <c r="LZ48" s="17">
        <v>0</v>
      </c>
      <c r="MA48" s="17">
        <v>3.78</v>
      </c>
      <c r="MB48" s="17">
        <v>0</v>
      </c>
      <c r="MC48" s="17">
        <v>0.1</v>
      </c>
      <c r="MD48" s="17">
        <v>0</v>
      </c>
      <c r="ME48" s="17">
        <v>0</v>
      </c>
      <c r="MF48" s="17">
        <v>0</v>
      </c>
      <c r="MG48" s="17">
        <v>0</v>
      </c>
      <c r="MH48" s="17">
        <v>0</v>
      </c>
      <c r="MI48" s="17">
        <v>0</v>
      </c>
      <c r="MJ48" s="17">
        <v>0</v>
      </c>
      <c r="MK48" s="17">
        <v>12.85</v>
      </c>
      <c r="ML48" s="17">
        <v>4.58</v>
      </c>
      <c r="MM48" s="17">
        <v>0.1</v>
      </c>
      <c r="MN48" s="17">
        <v>0</v>
      </c>
      <c r="MO48" s="17">
        <v>0</v>
      </c>
      <c r="MP48" s="17">
        <v>0</v>
      </c>
      <c r="NC48" s="15">
        <v>22.8</v>
      </c>
      <c r="ND48" s="15">
        <v>1</v>
      </c>
      <c r="NE48" s="15">
        <v>38</v>
      </c>
      <c r="NF48" s="15">
        <v>5</v>
      </c>
      <c r="NG48" s="15">
        <f t="shared" si="29"/>
        <v>3.54</v>
      </c>
      <c r="NH48" s="15">
        <v>5</v>
      </c>
      <c r="NI48" s="15">
        <v>20</v>
      </c>
      <c r="NJ48" s="15">
        <v>4</v>
      </c>
      <c r="NK48" s="15">
        <v>0.28999999999999998</v>
      </c>
      <c r="NL48" s="15">
        <v>2</v>
      </c>
      <c r="NO48" s="31"/>
      <c r="NS48" s="31"/>
      <c r="NW48" s="31"/>
      <c r="OA48" s="31"/>
      <c r="OE48" s="31"/>
      <c r="OG48" s="15">
        <v>0</v>
      </c>
      <c r="PR48" s="15">
        <v>0</v>
      </c>
      <c r="PS48" s="15">
        <v>0</v>
      </c>
      <c r="QC48" s="15">
        <v>7.84</v>
      </c>
      <c r="QD48" s="15">
        <f t="shared" si="30"/>
        <v>3.54</v>
      </c>
      <c r="QE48" s="15">
        <v>0</v>
      </c>
      <c r="QF48" s="15">
        <v>0</v>
      </c>
      <c r="QG48" s="15">
        <v>0</v>
      </c>
      <c r="QH48" s="15">
        <v>0</v>
      </c>
      <c r="QI48" s="15">
        <v>0</v>
      </c>
      <c r="QJ48" s="15">
        <v>0</v>
      </c>
      <c r="QK48" s="15" t="s">
        <v>387</v>
      </c>
      <c r="QL48" s="15">
        <v>64</v>
      </c>
      <c r="QM48" s="17">
        <v>70.599999999999994</v>
      </c>
      <c r="QN48" s="17">
        <v>114</v>
      </c>
      <c r="QO48" s="17">
        <v>14.9</v>
      </c>
      <c r="QP48" s="17">
        <v>88.29</v>
      </c>
      <c r="QQ48" s="17">
        <v>0</v>
      </c>
      <c r="QR48" s="17">
        <v>9.81</v>
      </c>
      <c r="QS48" s="17">
        <v>1.64</v>
      </c>
      <c r="QT48" s="17">
        <v>0.26</v>
      </c>
      <c r="QU48" s="17">
        <v>0</v>
      </c>
      <c r="QV48" s="17">
        <v>0</v>
      </c>
      <c r="QW48" s="17">
        <v>0</v>
      </c>
      <c r="QX48" s="17">
        <v>0</v>
      </c>
      <c r="QY48" s="17">
        <v>0</v>
      </c>
      <c r="QZ48" s="17">
        <v>0</v>
      </c>
      <c r="RA48" s="17">
        <v>0.55000000000000004</v>
      </c>
      <c r="RB48" s="17">
        <v>22.64</v>
      </c>
      <c r="RC48" s="17">
        <v>2.58</v>
      </c>
      <c r="RD48" s="17">
        <v>0.13</v>
      </c>
      <c r="RE48" s="17">
        <v>0</v>
      </c>
      <c r="RF48" s="17">
        <v>0</v>
      </c>
      <c r="RG48" s="17">
        <v>0</v>
      </c>
      <c r="RT48" s="15">
        <v>40.4</v>
      </c>
      <c r="RU48" s="15">
        <v>1</v>
      </c>
      <c r="RV48" s="15">
        <v>38</v>
      </c>
      <c r="RW48" s="15">
        <v>9</v>
      </c>
      <c r="RX48" s="15">
        <v>5.52</v>
      </c>
      <c r="RY48" s="15">
        <v>5</v>
      </c>
      <c r="RZ48" s="15">
        <v>23</v>
      </c>
      <c r="SA48" s="15">
        <v>1</v>
      </c>
      <c r="SB48" s="15">
        <v>0.09</v>
      </c>
      <c r="SC48" s="15">
        <v>3</v>
      </c>
      <c r="SF48" s="31"/>
      <c r="SJ48" s="31"/>
      <c r="SN48" s="31"/>
      <c r="SR48" s="31"/>
      <c r="SV48" s="31"/>
      <c r="SX48" s="15">
        <v>0</v>
      </c>
      <c r="UI48" s="15">
        <v>0</v>
      </c>
      <c r="UJ48" s="15">
        <v>0</v>
      </c>
      <c r="UT48" s="15">
        <v>8.33</v>
      </c>
      <c r="UU48" s="15">
        <v>5.52</v>
      </c>
      <c r="UV48" s="15">
        <v>0</v>
      </c>
      <c r="UW48" s="15">
        <v>0</v>
      </c>
      <c r="UX48" s="15">
        <v>0</v>
      </c>
      <c r="UY48" s="15">
        <v>0</v>
      </c>
      <c r="UZ48" s="15">
        <v>0</v>
      </c>
      <c r="VA48" s="15">
        <v>0</v>
      </c>
      <c r="VB48" s="15" t="s">
        <v>388</v>
      </c>
      <c r="VC48" s="15">
        <v>64</v>
      </c>
      <c r="VD48" s="17">
        <v>79.5</v>
      </c>
      <c r="VE48" s="17">
        <v>114</v>
      </c>
      <c r="VF48" s="17">
        <v>15</v>
      </c>
      <c r="VG48" s="17">
        <v>88.29</v>
      </c>
      <c r="VH48" s="17">
        <v>0</v>
      </c>
      <c r="VI48" s="17">
        <v>9.81</v>
      </c>
      <c r="VJ48" s="17">
        <v>1.64</v>
      </c>
      <c r="VK48" s="17">
        <v>0.26</v>
      </c>
      <c r="VL48" s="17">
        <v>0</v>
      </c>
      <c r="VM48" s="17">
        <v>0</v>
      </c>
      <c r="VN48" s="17">
        <v>0</v>
      </c>
      <c r="VO48" s="17">
        <v>0</v>
      </c>
      <c r="VP48" s="17">
        <v>0</v>
      </c>
      <c r="VQ48" s="17">
        <v>0</v>
      </c>
      <c r="VR48" s="17">
        <v>0.55000000000000004</v>
      </c>
      <c r="VS48" s="17">
        <v>24</v>
      </c>
      <c r="VT48" s="17">
        <v>4.3099999999999996</v>
      </c>
      <c r="VU48" s="17">
        <v>0.82</v>
      </c>
      <c r="VV48" s="17">
        <v>0</v>
      </c>
      <c r="VW48" s="17">
        <v>0</v>
      </c>
      <c r="VX48" s="17">
        <v>0</v>
      </c>
      <c r="VY48" s="17"/>
      <c r="WK48" s="15">
        <v>40.4</v>
      </c>
      <c r="WL48" s="15">
        <v>1</v>
      </c>
      <c r="WM48" s="15">
        <v>38</v>
      </c>
      <c r="WN48" s="15">
        <v>9</v>
      </c>
      <c r="WO48" s="15">
        <v>5.52</v>
      </c>
      <c r="WP48" s="15">
        <v>5</v>
      </c>
      <c r="WQ48" s="15">
        <v>23</v>
      </c>
      <c r="WR48" s="15">
        <v>1</v>
      </c>
      <c r="WS48" s="15">
        <v>0.09</v>
      </c>
      <c r="WT48" s="15">
        <v>3</v>
      </c>
      <c r="WW48" s="31"/>
      <c r="XA48" s="31"/>
      <c r="XE48" s="31"/>
      <c r="XI48" s="31"/>
      <c r="XM48" s="31"/>
      <c r="XO48" s="15">
        <v>0</v>
      </c>
      <c r="YZ48" s="15">
        <v>0</v>
      </c>
      <c r="ZA48" s="15">
        <v>0</v>
      </c>
      <c r="ZK48" s="15">
        <v>8.33</v>
      </c>
      <c r="ZL48" s="15">
        <v>5.52</v>
      </c>
      <c r="ZM48" s="15">
        <v>0</v>
      </c>
      <c r="ZN48" s="15">
        <v>0</v>
      </c>
      <c r="ZO48" s="15">
        <v>0</v>
      </c>
      <c r="ZP48" s="15">
        <v>0</v>
      </c>
      <c r="ZQ48" s="15">
        <v>0</v>
      </c>
      <c r="ZR48" s="15">
        <v>0</v>
      </c>
      <c r="ZS48" s="15" t="s">
        <v>196</v>
      </c>
      <c r="ZT48" s="15">
        <v>24.5</v>
      </c>
      <c r="ZU48" s="17">
        <v>58.4</v>
      </c>
      <c r="ZV48" s="17">
        <v>114</v>
      </c>
      <c r="ZW48" s="17">
        <v>12</v>
      </c>
      <c r="ZX48" s="17">
        <v>92.09</v>
      </c>
      <c r="ZY48" s="17">
        <v>0</v>
      </c>
      <c r="ZZ48" s="17">
        <v>0</v>
      </c>
      <c r="AAA48" s="17">
        <v>5.57</v>
      </c>
      <c r="AAB48" s="17">
        <v>2.35</v>
      </c>
      <c r="AAC48" s="17">
        <v>0</v>
      </c>
      <c r="AAD48" s="17">
        <v>0</v>
      </c>
      <c r="AAE48" s="17">
        <v>0</v>
      </c>
      <c r="AAF48" s="17">
        <v>0</v>
      </c>
      <c r="AAG48" s="17">
        <v>0</v>
      </c>
      <c r="AAH48" s="17">
        <v>0</v>
      </c>
      <c r="AAI48" s="17">
        <v>8.58</v>
      </c>
      <c r="AAJ48" s="17">
        <v>3.1</v>
      </c>
      <c r="AAK48" s="17">
        <v>0.55000000000000004</v>
      </c>
      <c r="AAL48" s="17">
        <v>0.71</v>
      </c>
      <c r="AAM48" s="17">
        <v>0</v>
      </c>
      <c r="AAN48" s="17">
        <v>0</v>
      </c>
      <c r="AAO48" s="17">
        <v>0</v>
      </c>
      <c r="ABB48" s="15">
        <v>7.2</v>
      </c>
      <c r="ABC48" s="15">
        <v>1</v>
      </c>
      <c r="ABD48" s="17">
        <v>30</v>
      </c>
      <c r="ABE48" s="17">
        <v>2</v>
      </c>
      <c r="ABF48" s="17">
        <v>1.0900000000000001</v>
      </c>
      <c r="ABG48" s="17">
        <v>4</v>
      </c>
      <c r="ABH48" s="17">
        <v>30</v>
      </c>
      <c r="ABI48" s="17">
        <v>2</v>
      </c>
      <c r="ABJ48" s="17">
        <v>0.27</v>
      </c>
      <c r="ABK48" s="17">
        <v>2</v>
      </c>
      <c r="ABL48" s="17">
        <v>34</v>
      </c>
      <c r="ABM48" s="17">
        <v>1</v>
      </c>
      <c r="ABN48" s="31">
        <v>1.0900000000000001</v>
      </c>
      <c r="ABO48" s="17">
        <v>1</v>
      </c>
      <c r="ABR48" s="31"/>
      <c r="ABV48" s="31"/>
      <c r="ABZ48" s="31"/>
      <c r="ACD48" s="31"/>
      <c r="ACF48" s="15">
        <v>0</v>
      </c>
      <c r="ADQ48" s="15">
        <v>0</v>
      </c>
      <c r="ADR48" s="15">
        <v>0</v>
      </c>
      <c r="AEB48" s="15">
        <v>5.3</v>
      </c>
      <c r="AEC48" s="15">
        <f t="shared" si="31"/>
        <v>9.17</v>
      </c>
      <c r="AED48" s="15">
        <v>0</v>
      </c>
      <c r="AEE48" s="15">
        <v>0</v>
      </c>
      <c r="AEF48" s="15">
        <v>0</v>
      </c>
      <c r="AEG48" s="15">
        <v>8.58</v>
      </c>
      <c r="AEH48" s="15">
        <v>0</v>
      </c>
      <c r="AEI48" s="15">
        <v>0</v>
      </c>
      <c r="AEJ48" s="15" t="s">
        <v>195</v>
      </c>
      <c r="AEK48" s="15">
        <v>22</v>
      </c>
      <c r="AEL48" s="17">
        <v>44.2</v>
      </c>
      <c r="AEM48" s="17">
        <v>114</v>
      </c>
      <c r="AEN48" s="17">
        <v>10.9</v>
      </c>
      <c r="AEO48" s="17">
        <v>92.8</v>
      </c>
      <c r="AEP48" s="17">
        <v>0</v>
      </c>
      <c r="AEQ48" s="17">
        <v>0</v>
      </c>
      <c r="AER48" s="17">
        <v>5.57</v>
      </c>
      <c r="AES48" s="17">
        <v>1.64</v>
      </c>
      <c r="AET48" s="17">
        <v>0</v>
      </c>
      <c r="AEU48" s="17">
        <v>0</v>
      </c>
      <c r="AEV48" s="17">
        <v>0</v>
      </c>
      <c r="AEW48" s="17">
        <v>0</v>
      </c>
      <c r="AEX48" s="17">
        <v>0</v>
      </c>
      <c r="AEY48" s="17">
        <v>0</v>
      </c>
      <c r="AEZ48" s="17">
        <v>8.58</v>
      </c>
      <c r="AFA48" s="17">
        <v>1.57</v>
      </c>
      <c r="AFB48" s="17">
        <v>0.55000000000000004</v>
      </c>
      <c r="AFC48" s="17">
        <v>0</v>
      </c>
      <c r="AFD48" s="17">
        <v>0</v>
      </c>
      <c r="AFE48" s="17">
        <v>0</v>
      </c>
      <c r="AFF48" s="17">
        <v>0</v>
      </c>
      <c r="AFS48" s="15">
        <v>7.15</v>
      </c>
      <c r="AFT48" s="15">
        <v>1</v>
      </c>
      <c r="AFU48" s="17">
        <v>30</v>
      </c>
      <c r="AFV48" s="17">
        <v>2</v>
      </c>
      <c r="AFW48" s="17">
        <v>1.0900000000000001</v>
      </c>
      <c r="AFX48" s="17">
        <v>4</v>
      </c>
      <c r="AFY48" s="17">
        <v>30</v>
      </c>
      <c r="AFZ48" s="17">
        <v>2</v>
      </c>
      <c r="AGA48" s="17">
        <v>0.27</v>
      </c>
      <c r="AGB48" s="17">
        <v>2</v>
      </c>
      <c r="AGC48" s="17">
        <v>34</v>
      </c>
      <c r="AGD48" s="17">
        <v>1</v>
      </c>
      <c r="AGE48" s="31">
        <v>1.0900000000000001</v>
      </c>
      <c r="AGF48" s="17">
        <v>1</v>
      </c>
      <c r="AGI48" s="31"/>
      <c r="AGM48" s="31"/>
      <c r="AGQ48" s="31"/>
      <c r="AGU48" s="31"/>
      <c r="AIH48" s="15">
        <v>0</v>
      </c>
      <c r="AII48" s="15">
        <v>0</v>
      </c>
      <c r="AIS48" s="15">
        <v>2.59</v>
      </c>
      <c r="AIT48" s="15">
        <f t="shared" si="32"/>
        <v>0.59000000000000008</v>
      </c>
      <c r="AIU48" s="15">
        <v>0</v>
      </c>
      <c r="AIV48" s="15">
        <v>0</v>
      </c>
      <c r="AIW48" s="15">
        <v>0</v>
      </c>
      <c r="AIX48" s="15">
        <v>0</v>
      </c>
      <c r="AIY48" s="15">
        <v>1.03</v>
      </c>
      <c r="AIZ48" s="15">
        <v>0</v>
      </c>
      <c r="AJA48" s="15" t="s">
        <v>389</v>
      </c>
      <c r="AJB48" s="15">
        <v>10</v>
      </c>
      <c r="AJC48" s="17">
        <v>46.2</v>
      </c>
      <c r="AJD48" s="17">
        <v>114</v>
      </c>
      <c r="AJE48" s="17">
        <v>6.3</v>
      </c>
      <c r="AJF48" s="17">
        <v>0</v>
      </c>
      <c r="AJG48" s="17">
        <v>0</v>
      </c>
      <c r="AJH48" s="17">
        <v>1.91</v>
      </c>
      <c r="AJI48" s="17">
        <v>0</v>
      </c>
      <c r="AJJ48" s="17">
        <v>1.91</v>
      </c>
      <c r="AJK48" s="17">
        <v>0</v>
      </c>
      <c r="AJL48" s="17">
        <v>0</v>
      </c>
      <c r="AJM48" s="17">
        <v>0</v>
      </c>
      <c r="AJN48" s="17">
        <v>0</v>
      </c>
      <c r="AJO48" s="17">
        <v>0</v>
      </c>
      <c r="AJP48" s="17">
        <v>0</v>
      </c>
      <c r="AJQ48" s="17">
        <v>0</v>
      </c>
      <c r="AJR48" s="17">
        <v>8.85</v>
      </c>
      <c r="AJS48" s="17">
        <v>4.3600000000000003</v>
      </c>
      <c r="AJT48" s="17">
        <v>0</v>
      </c>
      <c r="AJU48" s="17">
        <v>0</v>
      </c>
      <c r="AJV48" s="17">
        <v>0</v>
      </c>
      <c r="AKJ48" s="15">
        <v>0</v>
      </c>
      <c r="AKV48" s="31"/>
      <c r="AKZ48" s="31"/>
      <c r="ALD48" s="31"/>
      <c r="ALH48" s="31"/>
      <c r="ALL48" s="31"/>
      <c r="ALN48" s="15">
        <v>0</v>
      </c>
    </row>
    <row r="49" spans="1:1018" x14ac:dyDescent="0.2">
      <c r="A49" s="1" t="s">
        <v>393</v>
      </c>
      <c r="B49" s="12">
        <v>42900</v>
      </c>
      <c r="C49">
        <v>2</v>
      </c>
      <c r="D49" s="13">
        <v>34624</v>
      </c>
      <c r="E49" s="12">
        <v>25514</v>
      </c>
      <c r="F49" s="14">
        <f t="shared" si="0"/>
        <v>47.600273785078713</v>
      </c>
      <c r="G49" s="14">
        <f t="shared" si="1"/>
        <v>22.658453114305271</v>
      </c>
      <c r="H49" s="15" t="s">
        <v>183</v>
      </c>
      <c r="I49" s="15" t="s">
        <v>383</v>
      </c>
      <c r="J49" s="21" t="s">
        <v>181</v>
      </c>
      <c r="K49" s="21">
        <v>4</v>
      </c>
      <c r="L49" s="19">
        <v>85</v>
      </c>
      <c r="M49">
        <v>1.73</v>
      </c>
      <c r="N49" s="16">
        <f t="shared" si="2"/>
        <v>28.400547963513649</v>
      </c>
      <c r="O49" s="19">
        <v>1</v>
      </c>
      <c r="P49" s="19">
        <v>1</v>
      </c>
      <c r="Q49" s="19" t="s">
        <v>394</v>
      </c>
      <c r="R49" s="19">
        <v>0</v>
      </c>
      <c r="S49" s="19">
        <v>0</v>
      </c>
      <c r="T49" s="19">
        <v>0</v>
      </c>
      <c r="U49" s="19">
        <v>0</v>
      </c>
      <c r="V49" s="19">
        <v>0</v>
      </c>
      <c r="W49" s="19">
        <v>0</v>
      </c>
      <c r="X49" s="19">
        <v>0</v>
      </c>
      <c r="Y49" s="19">
        <v>1</v>
      </c>
      <c r="Z49" s="19">
        <v>1</v>
      </c>
      <c r="AA49" s="19">
        <v>120</v>
      </c>
      <c r="AB49" s="19" t="s">
        <v>395</v>
      </c>
      <c r="AC49" s="19">
        <v>0</v>
      </c>
      <c r="AD49" s="19">
        <v>0</v>
      </c>
      <c r="AE49" s="19">
        <v>0</v>
      </c>
      <c r="AF49" s="19">
        <v>0</v>
      </c>
      <c r="AG49" s="19"/>
      <c r="AH49" s="19"/>
      <c r="AI49" s="19">
        <v>0</v>
      </c>
      <c r="AJ49" s="19">
        <v>0</v>
      </c>
      <c r="AK49" s="19">
        <v>0</v>
      </c>
      <c r="AL49" s="19">
        <v>0</v>
      </c>
      <c r="AM49" s="19">
        <v>0</v>
      </c>
      <c r="AN49" s="19">
        <v>0</v>
      </c>
      <c r="AO49" s="19">
        <v>0</v>
      </c>
      <c r="AP49" s="19">
        <v>0</v>
      </c>
      <c r="AQ49" s="19">
        <v>0</v>
      </c>
      <c r="AR49" s="19">
        <v>0</v>
      </c>
      <c r="AS49" s="19">
        <v>3</v>
      </c>
      <c r="AT49" s="19"/>
      <c r="AU49" s="19"/>
      <c r="AV49" s="19"/>
      <c r="AW49" s="19"/>
      <c r="AX49" s="19">
        <v>0</v>
      </c>
      <c r="AY49" s="19">
        <v>0</v>
      </c>
      <c r="AZ49" s="19">
        <v>0</v>
      </c>
      <c r="BA49" s="19">
        <v>0</v>
      </c>
      <c r="BB49" s="19">
        <v>1</v>
      </c>
      <c r="BC49" s="19"/>
      <c r="BD49" s="19"/>
      <c r="BE49" s="19"/>
      <c r="BF49" s="19">
        <v>0</v>
      </c>
      <c r="BG49" s="19">
        <v>0</v>
      </c>
      <c r="BH49" s="19">
        <v>0</v>
      </c>
      <c r="BI49" s="19">
        <v>0</v>
      </c>
      <c r="BJ49" s="19"/>
      <c r="BK49" s="19"/>
      <c r="BL49" s="19"/>
      <c r="BM49" s="19"/>
      <c r="BN49" s="19">
        <v>0</v>
      </c>
      <c r="BO49" s="19">
        <v>0</v>
      </c>
      <c r="BP49" s="19">
        <v>0</v>
      </c>
      <c r="BQ49" s="19">
        <v>0</v>
      </c>
      <c r="BR49" s="19">
        <v>2</v>
      </c>
      <c r="BS49" s="19">
        <v>2</v>
      </c>
      <c r="BT49" s="19">
        <v>4</v>
      </c>
      <c r="BU49" s="19">
        <v>5</v>
      </c>
      <c r="BV49" s="19">
        <v>3</v>
      </c>
      <c r="BW49" s="19">
        <v>3</v>
      </c>
      <c r="BX49" s="19">
        <v>3</v>
      </c>
      <c r="BY49" s="19">
        <v>4</v>
      </c>
      <c r="BZ49" s="19">
        <v>2</v>
      </c>
      <c r="CA49" s="19">
        <v>3</v>
      </c>
      <c r="CB49" s="19">
        <v>3</v>
      </c>
      <c r="CC49" s="19">
        <v>5</v>
      </c>
      <c r="CD49" s="19">
        <v>4</v>
      </c>
      <c r="CE49" s="19">
        <v>4</v>
      </c>
      <c r="CF49" s="19">
        <v>4</v>
      </c>
      <c r="CG49" s="19">
        <v>5</v>
      </c>
      <c r="CH49" s="19">
        <v>4</v>
      </c>
      <c r="CI49" s="19">
        <v>4</v>
      </c>
      <c r="CJ49" s="19">
        <v>4</v>
      </c>
      <c r="CK49" s="19">
        <v>9</v>
      </c>
      <c r="CL49" s="30" t="s">
        <v>384</v>
      </c>
      <c r="CM49" s="15">
        <v>28.5</v>
      </c>
      <c r="CN49" s="17">
        <v>69.3</v>
      </c>
      <c r="CO49" s="17">
        <v>114</v>
      </c>
      <c r="CP49" s="17">
        <v>19.5</v>
      </c>
      <c r="CQ49" s="17">
        <v>79.150000000000006</v>
      </c>
      <c r="CR49" s="17">
        <v>0</v>
      </c>
      <c r="CS49" s="17">
        <v>3.87</v>
      </c>
      <c r="CT49" s="17">
        <v>2.86</v>
      </c>
      <c r="CU49" s="17">
        <v>14.12</v>
      </c>
      <c r="CV49" s="17">
        <v>0</v>
      </c>
      <c r="CW49" s="17">
        <v>0</v>
      </c>
      <c r="CX49" s="17">
        <v>0</v>
      </c>
      <c r="CY49" s="17">
        <v>0</v>
      </c>
      <c r="CZ49" s="17">
        <v>0</v>
      </c>
      <c r="DA49" s="17">
        <v>0</v>
      </c>
      <c r="DB49" s="17">
        <v>0.82</v>
      </c>
      <c r="DC49" s="17">
        <v>11.71</v>
      </c>
      <c r="DD49" s="17">
        <v>15.43</v>
      </c>
      <c r="DE49" s="17">
        <v>4.91</v>
      </c>
      <c r="DF49" s="17">
        <v>0</v>
      </c>
      <c r="DG49" s="17">
        <v>0</v>
      </c>
      <c r="DH49" s="17">
        <v>0</v>
      </c>
      <c r="DI49" s="17">
        <v>0</v>
      </c>
      <c r="DJ49" s="17">
        <v>0</v>
      </c>
      <c r="DK49" s="17">
        <v>0</v>
      </c>
      <c r="DL49" s="17">
        <v>0</v>
      </c>
      <c r="DM49" s="17">
        <v>0</v>
      </c>
      <c r="DN49" s="17">
        <v>0</v>
      </c>
      <c r="DO49" s="17">
        <v>0</v>
      </c>
      <c r="DP49" s="17">
        <v>0</v>
      </c>
      <c r="DQ49" s="17">
        <v>0</v>
      </c>
      <c r="DR49" s="17">
        <v>0</v>
      </c>
      <c r="DS49" s="17">
        <v>0</v>
      </c>
      <c r="DT49" s="17">
        <v>0</v>
      </c>
      <c r="DU49" s="17">
        <v>0</v>
      </c>
      <c r="DV49" s="17">
        <v>0</v>
      </c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31"/>
      <c r="EH49" s="17"/>
      <c r="EK49" s="31"/>
      <c r="EO49" s="31"/>
      <c r="ES49" s="31"/>
      <c r="EW49" s="31"/>
      <c r="EY49" s="15">
        <v>0</v>
      </c>
      <c r="GJ49" s="15">
        <v>0</v>
      </c>
      <c r="GK49" s="15">
        <v>0</v>
      </c>
      <c r="GU49" s="15">
        <v>8.6999999999999993</v>
      </c>
      <c r="GV49" s="15">
        <f t="shared" si="26"/>
        <v>15.43</v>
      </c>
      <c r="GW49" s="15">
        <v>0</v>
      </c>
      <c r="GX49" s="15">
        <v>0</v>
      </c>
      <c r="GY49" s="15">
        <v>0</v>
      </c>
      <c r="GZ49" s="15">
        <v>0</v>
      </c>
      <c r="HA49" s="15">
        <v>0</v>
      </c>
      <c r="HB49" s="15">
        <v>0</v>
      </c>
      <c r="HC49" s="15" t="s">
        <v>385</v>
      </c>
      <c r="HD49" s="15">
        <v>38.5</v>
      </c>
      <c r="HE49" s="17">
        <v>55</v>
      </c>
      <c r="HF49" s="17">
        <v>114</v>
      </c>
      <c r="HG49" s="17">
        <v>7.8</v>
      </c>
      <c r="HH49" s="17">
        <v>95.15</v>
      </c>
      <c r="HI49" s="17">
        <v>0</v>
      </c>
      <c r="HJ49" s="17">
        <v>3.78</v>
      </c>
      <c r="HK49" s="17">
        <v>0</v>
      </c>
      <c r="HL49" s="17">
        <v>1.07</v>
      </c>
      <c r="HM49" s="17">
        <v>0</v>
      </c>
      <c r="HN49" s="17">
        <v>0</v>
      </c>
      <c r="HO49" s="17">
        <v>0</v>
      </c>
      <c r="HP49" s="17">
        <v>0</v>
      </c>
      <c r="HQ49" s="17">
        <v>0</v>
      </c>
      <c r="HR49" s="17">
        <v>0</v>
      </c>
      <c r="HS49" s="17">
        <v>0</v>
      </c>
      <c r="HT49" s="17">
        <v>15.05</v>
      </c>
      <c r="HU49" s="17">
        <v>4.58</v>
      </c>
      <c r="HV49" s="17">
        <v>0.1</v>
      </c>
      <c r="HW49" s="17">
        <v>0</v>
      </c>
      <c r="HX49" s="17">
        <v>0</v>
      </c>
      <c r="HY49" s="17">
        <v>0</v>
      </c>
      <c r="IL49" s="15">
        <v>22.8</v>
      </c>
      <c r="IM49" s="15">
        <v>1</v>
      </c>
      <c r="IN49" s="15">
        <v>38</v>
      </c>
      <c r="IO49" s="15">
        <v>5</v>
      </c>
      <c r="IP49" s="15">
        <f t="shared" si="27"/>
        <v>3.54</v>
      </c>
      <c r="IQ49" s="15">
        <v>5</v>
      </c>
      <c r="IX49" s="31"/>
      <c r="JB49" s="31"/>
      <c r="JF49" s="31"/>
      <c r="JJ49" s="31"/>
      <c r="JN49" s="31"/>
      <c r="JP49" s="15">
        <v>0</v>
      </c>
      <c r="LA49" s="15">
        <v>0</v>
      </c>
      <c r="LB49" s="15">
        <v>0</v>
      </c>
      <c r="LL49" s="15">
        <v>7.84</v>
      </c>
      <c r="LM49" s="15">
        <f t="shared" si="28"/>
        <v>3.54</v>
      </c>
      <c r="LN49" s="15">
        <v>0</v>
      </c>
      <c r="LO49" s="15">
        <v>0</v>
      </c>
      <c r="LP49" s="15">
        <v>0</v>
      </c>
      <c r="LQ49" s="15">
        <v>0</v>
      </c>
      <c r="LR49" s="15">
        <v>0</v>
      </c>
      <c r="LS49" s="15">
        <v>0</v>
      </c>
      <c r="LT49" s="15" t="s">
        <v>386</v>
      </c>
      <c r="LU49" s="15">
        <v>38</v>
      </c>
      <c r="LV49" s="17">
        <v>48.8</v>
      </c>
      <c r="LW49" s="17">
        <v>114</v>
      </c>
      <c r="LX49" s="17">
        <v>7.2</v>
      </c>
      <c r="LY49" s="17">
        <v>96.13</v>
      </c>
      <c r="LZ49" s="17">
        <v>0</v>
      </c>
      <c r="MA49" s="17">
        <v>3.78</v>
      </c>
      <c r="MB49" s="17">
        <v>0</v>
      </c>
      <c r="MC49" s="17">
        <v>0.1</v>
      </c>
      <c r="MD49" s="17">
        <v>0</v>
      </c>
      <c r="ME49" s="17">
        <v>0</v>
      </c>
      <c r="MF49" s="17">
        <v>0</v>
      </c>
      <c r="MG49" s="17">
        <v>0</v>
      </c>
      <c r="MH49" s="17">
        <v>0</v>
      </c>
      <c r="MI49" s="17">
        <v>0</v>
      </c>
      <c r="MJ49" s="17">
        <v>0</v>
      </c>
      <c r="MK49" s="17">
        <v>12.85</v>
      </c>
      <c r="ML49" s="17">
        <v>4.58</v>
      </c>
      <c r="MM49" s="17">
        <v>0.1</v>
      </c>
      <c r="MN49" s="17">
        <v>0</v>
      </c>
      <c r="MO49" s="17">
        <v>0</v>
      </c>
      <c r="MP49" s="17">
        <v>0</v>
      </c>
      <c r="NC49" s="15">
        <v>22.8</v>
      </c>
      <c r="ND49" s="15">
        <v>1</v>
      </c>
      <c r="NE49" s="15">
        <v>38</v>
      </c>
      <c r="NF49" s="15">
        <v>5</v>
      </c>
      <c r="NG49" s="15">
        <f t="shared" si="29"/>
        <v>3.54</v>
      </c>
      <c r="NH49" s="15">
        <v>5</v>
      </c>
      <c r="NI49" s="15">
        <v>20</v>
      </c>
      <c r="NJ49" s="15">
        <v>4</v>
      </c>
      <c r="NK49" s="15">
        <v>0.28999999999999998</v>
      </c>
      <c r="NL49" s="15">
        <v>2</v>
      </c>
      <c r="NO49" s="31"/>
      <c r="NS49" s="31"/>
      <c r="NW49" s="31"/>
      <c r="OA49" s="31"/>
      <c r="OE49" s="31"/>
      <c r="OG49" s="15">
        <v>0</v>
      </c>
      <c r="PR49" s="15">
        <v>0</v>
      </c>
      <c r="PS49" s="15">
        <v>0</v>
      </c>
      <c r="QC49" s="15">
        <v>7.84</v>
      </c>
      <c r="QD49" s="15">
        <f t="shared" si="30"/>
        <v>3.54</v>
      </c>
      <c r="QE49" s="15">
        <v>0</v>
      </c>
      <c r="QF49" s="15">
        <v>0</v>
      </c>
      <c r="QG49" s="15">
        <v>0</v>
      </c>
      <c r="QH49" s="15">
        <v>0</v>
      </c>
      <c r="QI49" s="15">
        <v>0</v>
      </c>
      <c r="QJ49" s="15">
        <v>0</v>
      </c>
      <c r="QK49" s="15" t="s">
        <v>387</v>
      </c>
      <c r="QL49" s="15">
        <v>64</v>
      </c>
      <c r="QM49" s="17">
        <v>70.599999999999994</v>
      </c>
      <c r="QN49" s="17">
        <v>114</v>
      </c>
      <c r="QO49" s="17">
        <v>14.9</v>
      </c>
      <c r="QP49" s="17">
        <v>88.29</v>
      </c>
      <c r="QQ49" s="17">
        <v>0</v>
      </c>
      <c r="QR49" s="17">
        <v>9.81</v>
      </c>
      <c r="QS49" s="17">
        <v>1.64</v>
      </c>
      <c r="QT49" s="17">
        <v>0.26</v>
      </c>
      <c r="QU49" s="17">
        <v>0</v>
      </c>
      <c r="QV49" s="17">
        <v>0</v>
      </c>
      <c r="QW49" s="17">
        <v>0</v>
      </c>
      <c r="QX49" s="17">
        <v>0</v>
      </c>
      <c r="QY49" s="17">
        <v>0</v>
      </c>
      <c r="QZ49" s="17">
        <v>0</v>
      </c>
      <c r="RA49" s="17">
        <v>0.55000000000000004</v>
      </c>
      <c r="RB49" s="17">
        <v>22.64</v>
      </c>
      <c r="RC49" s="17">
        <v>2.58</v>
      </c>
      <c r="RD49" s="17">
        <v>0.13</v>
      </c>
      <c r="RE49" s="17">
        <v>0</v>
      </c>
      <c r="RF49" s="17">
        <v>0</v>
      </c>
      <c r="RG49" s="17">
        <v>0</v>
      </c>
      <c r="RT49" s="15">
        <v>40.4</v>
      </c>
      <c r="RU49" s="15">
        <v>1</v>
      </c>
      <c r="RV49" s="15">
        <v>38</v>
      </c>
      <c r="RW49" s="15">
        <v>9</v>
      </c>
      <c r="RX49" s="15">
        <v>5.52</v>
      </c>
      <c r="RY49" s="15">
        <v>5</v>
      </c>
      <c r="RZ49" s="15">
        <v>23</v>
      </c>
      <c r="SA49" s="15">
        <v>1</v>
      </c>
      <c r="SB49" s="15">
        <v>0.09</v>
      </c>
      <c r="SC49" s="15">
        <v>3</v>
      </c>
      <c r="SF49" s="31"/>
      <c r="SJ49" s="31"/>
      <c r="SN49" s="31"/>
      <c r="SR49" s="31"/>
      <c r="SV49" s="31"/>
      <c r="SX49" s="15">
        <v>0</v>
      </c>
      <c r="UI49" s="15">
        <v>0</v>
      </c>
      <c r="UJ49" s="15">
        <v>0</v>
      </c>
      <c r="UT49" s="15">
        <v>8.33</v>
      </c>
      <c r="UU49" s="15">
        <v>5.52</v>
      </c>
      <c r="UV49" s="15">
        <v>0</v>
      </c>
      <c r="UW49" s="15">
        <v>0</v>
      </c>
      <c r="UX49" s="15">
        <v>0</v>
      </c>
      <c r="UY49" s="15">
        <v>0</v>
      </c>
      <c r="UZ49" s="15">
        <v>0</v>
      </c>
      <c r="VA49" s="15">
        <v>0</v>
      </c>
      <c r="VB49" s="15" t="s">
        <v>388</v>
      </c>
      <c r="VC49" s="15">
        <v>64</v>
      </c>
      <c r="VD49" s="17">
        <v>79.5</v>
      </c>
      <c r="VE49" s="17">
        <v>114</v>
      </c>
      <c r="VF49" s="17">
        <v>15</v>
      </c>
      <c r="VG49" s="17">
        <v>88.29</v>
      </c>
      <c r="VH49" s="17">
        <v>0</v>
      </c>
      <c r="VI49" s="17">
        <v>9.81</v>
      </c>
      <c r="VJ49" s="17">
        <v>1.64</v>
      </c>
      <c r="VK49" s="17">
        <v>0.26</v>
      </c>
      <c r="VL49" s="17">
        <v>0</v>
      </c>
      <c r="VM49" s="17">
        <v>0</v>
      </c>
      <c r="VN49" s="17">
        <v>0</v>
      </c>
      <c r="VO49" s="17">
        <v>0</v>
      </c>
      <c r="VP49" s="17">
        <v>0</v>
      </c>
      <c r="VQ49" s="17">
        <v>0</v>
      </c>
      <c r="VR49" s="17">
        <v>0.55000000000000004</v>
      </c>
      <c r="VS49" s="17">
        <v>24</v>
      </c>
      <c r="VT49" s="17">
        <v>4.3099999999999996</v>
      </c>
      <c r="VU49" s="17">
        <v>0.82</v>
      </c>
      <c r="VV49" s="17">
        <v>0</v>
      </c>
      <c r="VW49" s="17">
        <v>0</v>
      </c>
      <c r="VX49" s="17">
        <v>0</v>
      </c>
      <c r="VY49" s="17"/>
      <c r="WK49" s="15">
        <v>40.4</v>
      </c>
      <c r="WL49" s="15">
        <v>1</v>
      </c>
      <c r="WM49" s="15">
        <v>38</v>
      </c>
      <c r="WN49" s="15">
        <v>9</v>
      </c>
      <c r="WO49" s="15">
        <v>5.52</v>
      </c>
      <c r="WP49" s="15">
        <v>5</v>
      </c>
      <c r="WQ49" s="15">
        <v>23</v>
      </c>
      <c r="WR49" s="15">
        <v>1</v>
      </c>
      <c r="WS49" s="15">
        <v>0.09</v>
      </c>
      <c r="WT49" s="15">
        <v>3</v>
      </c>
      <c r="WW49" s="31"/>
      <c r="XA49" s="31"/>
      <c r="XE49" s="31"/>
      <c r="XI49" s="31"/>
      <c r="XM49" s="31"/>
      <c r="XO49" s="15">
        <v>0</v>
      </c>
      <c r="YZ49" s="15">
        <v>0</v>
      </c>
      <c r="ZA49" s="15">
        <v>0</v>
      </c>
      <c r="ZK49" s="15">
        <v>8.33</v>
      </c>
      <c r="ZL49" s="15">
        <v>5.52</v>
      </c>
      <c r="ZM49" s="15">
        <v>0</v>
      </c>
      <c r="ZN49" s="15">
        <v>0</v>
      </c>
      <c r="ZO49" s="15">
        <v>0</v>
      </c>
      <c r="ZP49" s="15">
        <v>0</v>
      </c>
      <c r="ZQ49" s="15">
        <v>0</v>
      </c>
      <c r="ZR49" s="15">
        <v>0</v>
      </c>
      <c r="ZS49" s="15" t="s">
        <v>196</v>
      </c>
      <c r="ZT49" s="15">
        <v>24.5</v>
      </c>
      <c r="ZU49" s="17">
        <v>58.4</v>
      </c>
      <c r="ZV49" s="17">
        <v>114</v>
      </c>
      <c r="ZW49" s="17">
        <v>12</v>
      </c>
      <c r="ZX49" s="17">
        <v>92.09</v>
      </c>
      <c r="ZY49" s="17">
        <v>0</v>
      </c>
      <c r="ZZ49" s="17">
        <v>0</v>
      </c>
      <c r="AAA49" s="17">
        <v>5.57</v>
      </c>
      <c r="AAB49" s="17">
        <v>2.35</v>
      </c>
      <c r="AAC49" s="17">
        <v>0</v>
      </c>
      <c r="AAD49" s="17">
        <v>0</v>
      </c>
      <c r="AAE49" s="17">
        <v>0</v>
      </c>
      <c r="AAF49" s="17">
        <v>0</v>
      </c>
      <c r="AAG49" s="17">
        <v>0</v>
      </c>
      <c r="AAH49" s="17">
        <v>0</v>
      </c>
      <c r="AAI49" s="17">
        <v>8.58</v>
      </c>
      <c r="AAJ49" s="17">
        <v>3.1</v>
      </c>
      <c r="AAK49" s="17">
        <v>0.55000000000000004</v>
      </c>
      <c r="AAL49" s="17">
        <v>0.71</v>
      </c>
      <c r="AAM49" s="17">
        <v>0</v>
      </c>
      <c r="AAN49" s="17">
        <v>0</v>
      </c>
      <c r="AAO49" s="17">
        <v>0</v>
      </c>
      <c r="ABB49" s="15">
        <v>7.2</v>
      </c>
      <c r="ABC49" s="15">
        <v>1</v>
      </c>
      <c r="ABD49" s="17">
        <v>30</v>
      </c>
      <c r="ABE49" s="17">
        <v>2</v>
      </c>
      <c r="ABF49" s="17">
        <v>1.0900000000000001</v>
      </c>
      <c r="ABG49" s="17">
        <v>4</v>
      </c>
      <c r="ABH49" s="17">
        <v>30</v>
      </c>
      <c r="ABI49" s="17">
        <v>2</v>
      </c>
      <c r="ABJ49" s="17">
        <v>0.27</v>
      </c>
      <c r="ABK49" s="17">
        <v>2</v>
      </c>
      <c r="ABL49" s="17">
        <v>34</v>
      </c>
      <c r="ABM49" s="17">
        <v>1</v>
      </c>
      <c r="ABN49" s="31">
        <v>1.0900000000000001</v>
      </c>
      <c r="ABO49" s="17">
        <v>1</v>
      </c>
      <c r="ABR49" s="31"/>
      <c r="ABV49" s="31"/>
      <c r="ABZ49" s="31"/>
      <c r="ACD49" s="31"/>
      <c r="ACF49" s="15">
        <v>0</v>
      </c>
      <c r="ADQ49" s="15">
        <v>0</v>
      </c>
      <c r="ADR49" s="15">
        <v>0</v>
      </c>
      <c r="AEB49" s="15">
        <v>5.3</v>
      </c>
      <c r="AEC49" s="15">
        <f t="shared" si="31"/>
        <v>9.17</v>
      </c>
      <c r="AED49" s="15">
        <v>0</v>
      </c>
      <c r="AEE49" s="15">
        <v>0</v>
      </c>
      <c r="AEF49" s="15">
        <v>0</v>
      </c>
      <c r="AEG49" s="15">
        <v>8.58</v>
      </c>
      <c r="AEH49" s="15">
        <v>0</v>
      </c>
      <c r="AEI49" s="15">
        <v>0</v>
      </c>
      <c r="AEJ49" s="15" t="s">
        <v>195</v>
      </c>
      <c r="AEK49" s="15">
        <v>22</v>
      </c>
      <c r="AEL49" s="17">
        <v>44.2</v>
      </c>
      <c r="AEM49" s="17">
        <v>114</v>
      </c>
      <c r="AEN49" s="17">
        <v>10.9</v>
      </c>
      <c r="AEO49" s="17">
        <v>92.8</v>
      </c>
      <c r="AEP49" s="17">
        <v>0</v>
      </c>
      <c r="AEQ49" s="17">
        <v>0</v>
      </c>
      <c r="AER49" s="17">
        <v>5.57</v>
      </c>
      <c r="AES49" s="17">
        <v>1.64</v>
      </c>
      <c r="AET49" s="17">
        <v>0</v>
      </c>
      <c r="AEU49" s="17">
        <v>0</v>
      </c>
      <c r="AEV49" s="17">
        <v>0</v>
      </c>
      <c r="AEW49" s="17">
        <v>0</v>
      </c>
      <c r="AEX49" s="17">
        <v>0</v>
      </c>
      <c r="AEY49" s="17">
        <v>0</v>
      </c>
      <c r="AEZ49" s="17">
        <v>8.58</v>
      </c>
      <c r="AFA49" s="17">
        <v>1.57</v>
      </c>
      <c r="AFB49" s="17">
        <v>0.55000000000000004</v>
      </c>
      <c r="AFC49" s="17">
        <v>0</v>
      </c>
      <c r="AFD49" s="17">
        <v>0</v>
      </c>
      <c r="AFE49" s="17">
        <v>0</v>
      </c>
      <c r="AFF49" s="17">
        <v>0</v>
      </c>
      <c r="AFS49" s="15">
        <v>7.15</v>
      </c>
      <c r="AFT49" s="15">
        <v>1</v>
      </c>
      <c r="AFU49" s="17">
        <v>30</v>
      </c>
      <c r="AFV49" s="17">
        <v>2</v>
      </c>
      <c r="AFW49" s="17">
        <v>1.0900000000000001</v>
      </c>
      <c r="AFX49" s="17">
        <v>4</v>
      </c>
      <c r="AFY49" s="17">
        <v>30</v>
      </c>
      <c r="AFZ49" s="17">
        <v>2</v>
      </c>
      <c r="AGA49" s="17">
        <v>0.27</v>
      </c>
      <c r="AGB49" s="17">
        <v>2</v>
      </c>
      <c r="AGC49" s="17">
        <v>34</v>
      </c>
      <c r="AGD49" s="17">
        <v>1</v>
      </c>
      <c r="AGE49" s="31">
        <v>1.0900000000000001</v>
      </c>
      <c r="AGF49" s="17">
        <v>1</v>
      </c>
      <c r="AGI49" s="31"/>
      <c r="AGM49" s="31"/>
      <c r="AGQ49" s="31"/>
      <c r="AGU49" s="31"/>
      <c r="AIH49" s="15">
        <v>0</v>
      </c>
      <c r="AII49" s="15">
        <v>0</v>
      </c>
      <c r="AIS49" s="15">
        <v>2.59</v>
      </c>
      <c r="AIT49" s="15">
        <f t="shared" si="32"/>
        <v>0.59000000000000008</v>
      </c>
      <c r="AIU49" s="15">
        <v>0</v>
      </c>
      <c r="AIV49" s="15">
        <v>0</v>
      </c>
      <c r="AIW49" s="15">
        <v>0</v>
      </c>
      <c r="AIX49" s="15">
        <v>0</v>
      </c>
      <c r="AIY49" s="15">
        <v>1.03</v>
      </c>
      <c r="AIZ49" s="15">
        <v>0</v>
      </c>
      <c r="AJA49" s="15" t="s">
        <v>389</v>
      </c>
      <c r="AJB49" s="15">
        <v>10</v>
      </c>
      <c r="AJC49" s="17">
        <v>46.2</v>
      </c>
      <c r="AJD49" s="17">
        <v>114</v>
      </c>
      <c r="AJE49" s="17">
        <v>6.3</v>
      </c>
      <c r="AJF49" s="17">
        <v>0</v>
      </c>
      <c r="AJG49" s="17">
        <v>0</v>
      </c>
      <c r="AJH49" s="17">
        <v>1.91</v>
      </c>
      <c r="AJI49" s="17">
        <v>0</v>
      </c>
      <c r="AJJ49" s="17">
        <v>1.91</v>
      </c>
      <c r="AJK49" s="17">
        <v>0</v>
      </c>
      <c r="AJL49" s="17">
        <v>0</v>
      </c>
      <c r="AJM49" s="17">
        <v>0</v>
      </c>
      <c r="AJN49" s="17">
        <v>0</v>
      </c>
      <c r="AJO49" s="17">
        <v>0</v>
      </c>
      <c r="AJP49" s="17">
        <v>0</v>
      </c>
      <c r="AJQ49" s="17">
        <v>0</v>
      </c>
      <c r="AJR49" s="17">
        <v>8.85</v>
      </c>
      <c r="AJS49" s="17">
        <v>4.3600000000000003</v>
      </c>
      <c r="AJT49" s="17">
        <v>0</v>
      </c>
      <c r="AJU49" s="17">
        <v>0</v>
      </c>
      <c r="AJV49" s="17">
        <v>0</v>
      </c>
      <c r="AKJ49" s="15">
        <v>0</v>
      </c>
      <c r="AKV49" s="31"/>
      <c r="AKZ49" s="31"/>
      <c r="ALD49" s="31"/>
      <c r="ALH49" s="31"/>
      <c r="ALL49" s="31"/>
      <c r="ALN49" s="15">
        <v>0</v>
      </c>
    </row>
    <row r="50" spans="1:1018" x14ac:dyDescent="0.2">
      <c r="A50" s="1" t="s">
        <v>396</v>
      </c>
      <c r="B50" s="12">
        <v>42900</v>
      </c>
      <c r="C50">
        <v>1</v>
      </c>
      <c r="D50" s="13">
        <v>35604</v>
      </c>
      <c r="E50" s="12">
        <v>23672</v>
      </c>
      <c r="F50" s="14">
        <f t="shared" si="0"/>
        <v>52.643394934976044</v>
      </c>
      <c r="G50" s="14">
        <f t="shared" si="1"/>
        <v>19.975359342915812</v>
      </c>
      <c r="H50" s="15" t="s">
        <v>183</v>
      </c>
      <c r="I50" s="15" t="s">
        <v>383</v>
      </c>
      <c r="J50" s="21" t="s">
        <v>181</v>
      </c>
      <c r="K50" s="21">
        <v>4</v>
      </c>
      <c r="L50" s="19"/>
      <c r="N50" s="16" t="e">
        <f t="shared" si="2"/>
        <v>#DIV/0!</v>
      </c>
      <c r="O50" s="19">
        <v>0</v>
      </c>
      <c r="P50" s="19">
        <v>0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0</v>
      </c>
      <c r="X50" s="19">
        <v>0</v>
      </c>
      <c r="Y50" s="19">
        <v>1</v>
      </c>
      <c r="Z50" s="19">
        <v>1</v>
      </c>
      <c r="AA50" s="19">
        <v>45</v>
      </c>
      <c r="AB50" s="19" t="s">
        <v>397</v>
      </c>
      <c r="AC50" s="19">
        <v>0</v>
      </c>
      <c r="AD50" s="19">
        <v>0</v>
      </c>
      <c r="AE50" s="19">
        <v>1</v>
      </c>
      <c r="AF50" s="19"/>
      <c r="AG50" s="19">
        <v>1</v>
      </c>
      <c r="AH50" s="19"/>
      <c r="AI50" s="19">
        <v>3</v>
      </c>
      <c r="AJ50" s="19">
        <v>3</v>
      </c>
      <c r="AK50" s="19">
        <v>3</v>
      </c>
      <c r="AL50" s="19">
        <v>5</v>
      </c>
      <c r="AM50" s="19">
        <v>5</v>
      </c>
      <c r="AN50" s="19"/>
      <c r="AO50" s="19"/>
      <c r="AP50" s="19"/>
      <c r="AQ50" s="19"/>
      <c r="AR50" s="19"/>
      <c r="AS50" s="19">
        <v>3</v>
      </c>
      <c r="AT50" s="19">
        <v>0</v>
      </c>
      <c r="AU50" s="19">
        <v>0</v>
      </c>
      <c r="AV50" s="19">
        <v>0</v>
      </c>
      <c r="AW50" s="19">
        <v>0</v>
      </c>
      <c r="AX50" s="19">
        <v>1</v>
      </c>
      <c r="AY50" s="19">
        <v>1</v>
      </c>
      <c r="AZ50" s="19"/>
      <c r="BA50" s="19"/>
      <c r="BB50" s="19">
        <v>1</v>
      </c>
      <c r="BC50" s="19">
        <v>0</v>
      </c>
      <c r="BD50" s="19">
        <v>1</v>
      </c>
      <c r="BE50" s="19">
        <v>5</v>
      </c>
      <c r="BF50" s="19">
        <v>1</v>
      </c>
      <c r="BG50" s="19"/>
      <c r="BH50" s="19"/>
      <c r="BI50" s="19"/>
      <c r="BJ50" s="19">
        <v>1</v>
      </c>
      <c r="BK50" s="19"/>
      <c r="BL50" s="19">
        <v>1</v>
      </c>
      <c r="BM50" s="19">
        <v>4</v>
      </c>
      <c r="BN50" s="19">
        <v>1</v>
      </c>
      <c r="BO50" s="19"/>
      <c r="BP50" s="19">
        <v>1</v>
      </c>
      <c r="BQ50" s="19">
        <v>3</v>
      </c>
      <c r="BR50" s="19">
        <v>2</v>
      </c>
      <c r="BS50" s="19">
        <v>1</v>
      </c>
      <c r="BT50" s="19">
        <v>3</v>
      </c>
      <c r="BU50" s="19">
        <v>2</v>
      </c>
      <c r="BV50" s="19">
        <v>1</v>
      </c>
      <c r="BW50" s="19">
        <v>2</v>
      </c>
      <c r="BX50" s="19">
        <v>2</v>
      </c>
      <c r="BY50" s="19">
        <v>2</v>
      </c>
      <c r="BZ50" s="19">
        <v>3</v>
      </c>
      <c r="CA50" s="19">
        <v>2</v>
      </c>
      <c r="CB50" s="19">
        <v>3</v>
      </c>
      <c r="CC50" s="19">
        <v>5</v>
      </c>
      <c r="CD50" s="19">
        <v>4</v>
      </c>
      <c r="CE50" s="19">
        <v>5</v>
      </c>
      <c r="CF50" s="19">
        <v>4</v>
      </c>
      <c r="CG50" s="19">
        <v>4</v>
      </c>
      <c r="CH50" s="19">
        <v>4</v>
      </c>
      <c r="CI50" s="19">
        <v>3</v>
      </c>
      <c r="CJ50" s="19">
        <v>3</v>
      </c>
      <c r="CK50" s="19">
        <v>10</v>
      </c>
      <c r="CL50" s="30" t="s">
        <v>384</v>
      </c>
      <c r="CM50" s="15">
        <v>28.5</v>
      </c>
      <c r="CN50" s="17">
        <v>69.3</v>
      </c>
      <c r="CO50" s="17">
        <v>114</v>
      </c>
      <c r="CP50" s="17">
        <v>19.5</v>
      </c>
      <c r="CQ50" s="17">
        <v>79.150000000000006</v>
      </c>
      <c r="CR50" s="17">
        <v>0</v>
      </c>
      <c r="CS50" s="17">
        <v>3.87</v>
      </c>
      <c r="CT50" s="17">
        <v>2.86</v>
      </c>
      <c r="CU50" s="17">
        <v>14.12</v>
      </c>
      <c r="CV50" s="17">
        <v>0</v>
      </c>
      <c r="CW50" s="17">
        <v>0</v>
      </c>
      <c r="CX50" s="17">
        <v>0</v>
      </c>
      <c r="CY50" s="17">
        <v>0</v>
      </c>
      <c r="CZ50" s="17">
        <v>0</v>
      </c>
      <c r="DA50" s="17">
        <v>0</v>
      </c>
      <c r="DB50" s="17">
        <v>0.82</v>
      </c>
      <c r="DC50" s="17">
        <v>11.71</v>
      </c>
      <c r="DD50" s="17">
        <v>15.43</v>
      </c>
      <c r="DE50" s="17">
        <v>4.91</v>
      </c>
      <c r="DF50" s="17">
        <v>0</v>
      </c>
      <c r="DG50" s="17">
        <v>0</v>
      </c>
      <c r="DH50" s="17">
        <v>0</v>
      </c>
      <c r="DI50" s="17">
        <v>0</v>
      </c>
      <c r="DJ50" s="17">
        <v>0</v>
      </c>
      <c r="DK50" s="17">
        <v>0</v>
      </c>
      <c r="DL50" s="17">
        <v>0</v>
      </c>
      <c r="DM50" s="17">
        <v>0</v>
      </c>
      <c r="DN50" s="17">
        <v>0</v>
      </c>
      <c r="DO50" s="17">
        <v>0</v>
      </c>
      <c r="DP50" s="17">
        <v>0</v>
      </c>
      <c r="DQ50" s="17">
        <v>0</v>
      </c>
      <c r="DR50" s="17">
        <v>0</v>
      </c>
      <c r="DS50" s="17">
        <v>0</v>
      </c>
      <c r="DT50" s="17">
        <v>0</v>
      </c>
      <c r="DU50" s="17">
        <v>0</v>
      </c>
      <c r="DV50" s="17">
        <v>0</v>
      </c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31"/>
      <c r="EH50" s="17"/>
      <c r="EK50" s="31"/>
      <c r="EO50" s="31"/>
      <c r="ES50" s="31"/>
      <c r="EW50" s="31"/>
      <c r="EY50" s="15">
        <v>0</v>
      </c>
      <c r="GJ50" s="15">
        <v>0</v>
      </c>
      <c r="GK50" s="15">
        <v>0</v>
      </c>
      <c r="GU50" s="15">
        <v>8.6999999999999993</v>
      </c>
      <c r="GV50" s="15">
        <f t="shared" si="26"/>
        <v>15.43</v>
      </c>
      <c r="GW50" s="15">
        <v>0</v>
      </c>
      <c r="GX50" s="15">
        <v>0</v>
      </c>
      <c r="GY50" s="15">
        <v>0</v>
      </c>
      <c r="GZ50" s="15">
        <v>0</v>
      </c>
      <c r="HA50" s="15">
        <v>0</v>
      </c>
      <c r="HB50" s="15">
        <v>0</v>
      </c>
      <c r="HC50" s="15" t="s">
        <v>385</v>
      </c>
      <c r="HD50" s="15">
        <v>38.5</v>
      </c>
      <c r="HE50" s="17">
        <v>55</v>
      </c>
      <c r="HF50" s="17">
        <v>114</v>
      </c>
      <c r="HG50" s="17">
        <v>7.8</v>
      </c>
      <c r="HH50" s="17">
        <v>95.15</v>
      </c>
      <c r="HI50" s="17">
        <v>0</v>
      </c>
      <c r="HJ50" s="17">
        <v>3.78</v>
      </c>
      <c r="HK50" s="17">
        <v>0</v>
      </c>
      <c r="HL50" s="17">
        <v>1.07</v>
      </c>
      <c r="HM50" s="17">
        <v>0</v>
      </c>
      <c r="HN50" s="17">
        <v>0</v>
      </c>
      <c r="HO50" s="17">
        <v>0</v>
      </c>
      <c r="HP50" s="17">
        <v>0</v>
      </c>
      <c r="HQ50" s="17">
        <v>0</v>
      </c>
      <c r="HR50" s="17">
        <v>0</v>
      </c>
      <c r="HS50" s="17">
        <v>0</v>
      </c>
      <c r="HT50" s="17">
        <v>15.05</v>
      </c>
      <c r="HU50" s="17">
        <v>4.58</v>
      </c>
      <c r="HV50" s="17">
        <v>0.1</v>
      </c>
      <c r="HW50" s="17">
        <v>0</v>
      </c>
      <c r="HX50" s="17">
        <v>0</v>
      </c>
      <c r="HY50" s="17">
        <v>0</v>
      </c>
      <c r="IL50" s="15">
        <v>22.8</v>
      </c>
      <c r="IM50" s="15">
        <v>1</v>
      </c>
      <c r="IN50" s="15">
        <v>38</v>
      </c>
      <c r="IO50" s="15">
        <v>5</v>
      </c>
      <c r="IP50" s="15">
        <f t="shared" si="27"/>
        <v>3.54</v>
      </c>
      <c r="IQ50" s="15">
        <v>5</v>
      </c>
      <c r="IX50" s="31"/>
      <c r="JB50" s="31"/>
      <c r="JF50" s="31"/>
      <c r="JJ50" s="31"/>
      <c r="JN50" s="31"/>
      <c r="JP50" s="15">
        <v>0</v>
      </c>
      <c r="LA50" s="15">
        <v>0</v>
      </c>
      <c r="LB50" s="15">
        <v>0</v>
      </c>
      <c r="LL50" s="15">
        <v>7.84</v>
      </c>
      <c r="LM50" s="15">
        <f t="shared" si="28"/>
        <v>3.54</v>
      </c>
      <c r="LN50" s="15">
        <v>0</v>
      </c>
      <c r="LO50" s="15">
        <v>0</v>
      </c>
      <c r="LP50" s="15">
        <v>0</v>
      </c>
      <c r="LQ50" s="15">
        <v>0</v>
      </c>
      <c r="LR50" s="15">
        <v>0</v>
      </c>
      <c r="LS50" s="15">
        <v>0</v>
      </c>
      <c r="LT50" s="15" t="s">
        <v>386</v>
      </c>
      <c r="LU50" s="15">
        <v>38</v>
      </c>
      <c r="LV50" s="17">
        <v>48.8</v>
      </c>
      <c r="LW50" s="17">
        <v>114</v>
      </c>
      <c r="LX50" s="17">
        <v>7.2</v>
      </c>
      <c r="LY50" s="17">
        <v>96.13</v>
      </c>
      <c r="LZ50" s="17">
        <v>0</v>
      </c>
      <c r="MA50" s="17">
        <v>3.78</v>
      </c>
      <c r="MB50" s="17">
        <v>0</v>
      </c>
      <c r="MC50" s="17">
        <v>0.1</v>
      </c>
      <c r="MD50" s="17">
        <v>0</v>
      </c>
      <c r="ME50" s="17">
        <v>0</v>
      </c>
      <c r="MF50" s="17">
        <v>0</v>
      </c>
      <c r="MG50" s="17">
        <v>0</v>
      </c>
      <c r="MH50" s="17">
        <v>0</v>
      </c>
      <c r="MI50" s="17">
        <v>0</v>
      </c>
      <c r="MJ50" s="17">
        <v>0</v>
      </c>
      <c r="MK50" s="17">
        <v>12.85</v>
      </c>
      <c r="ML50" s="17">
        <v>4.58</v>
      </c>
      <c r="MM50" s="17">
        <v>0.1</v>
      </c>
      <c r="MN50" s="17">
        <v>0</v>
      </c>
      <c r="MO50" s="17">
        <v>0</v>
      </c>
      <c r="MP50" s="17">
        <v>0</v>
      </c>
      <c r="NC50" s="15">
        <v>22.8</v>
      </c>
      <c r="ND50" s="15">
        <v>1</v>
      </c>
      <c r="NE50" s="15">
        <v>38</v>
      </c>
      <c r="NF50" s="15">
        <v>5</v>
      </c>
      <c r="NG50" s="15">
        <f t="shared" si="29"/>
        <v>3.54</v>
      </c>
      <c r="NH50" s="15">
        <v>5</v>
      </c>
      <c r="NI50" s="15">
        <v>20</v>
      </c>
      <c r="NJ50" s="15">
        <v>4</v>
      </c>
      <c r="NK50" s="15">
        <v>0.28999999999999998</v>
      </c>
      <c r="NL50" s="15">
        <v>2</v>
      </c>
      <c r="NO50" s="31"/>
      <c r="NS50" s="31"/>
      <c r="NW50" s="31"/>
      <c r="OA50" s="31"/>
      <c r="OE50" s="31"/>
      <c r="OG50" s="15">
        <v>0</v>
      </c>
      <c r="PR50" s="15">
        <v>0</v>
      </c>
      <c r="PS50" s="15">
        <v>0</v>
      </c>
      <c r="QC50" s="15">
        <v>7.84</v>
      </c>
      <c r="QD50" s="15">
        <f t="shared" si="30"/>
        <v>3.54</v>
      </c>
      <c r="QE50" s="15">
        <v>0</v>
      </c>
      <c r="QF50" s="15">
        <v>0</v>
      </c>
      <c r="QG50" s="15">
        <v>0</v>
      </c>
      <c r="QH50" s="15">
        <v>0</v>
      </c>
      <c r="QI50" s="15">
        <v>0</v>
      </c>
      <c r="QJ50" s="15">
        <v>0</v>
      </c>
      <c r="QK50" s="15" t="s">
        <v>387</v>
      </c>
      <c r="QL50" s="15">
        <v>64</v>
      </c>
      <c r="QM50" s="17">
        <v>70.599999999999994</v>
      </c>
      <c r="QN50" s="17">
        <v>114</v>
      </c>
      <c r="QO50" s="17">
        <v>14.9</v>
      </c>
      <c r="QP50" s="17">
        <v>88.29</v>
      </c>
      <c r="QQ50" s="17">
        <v>0</v>
      </c>
      <c r="QR50" s="17">
        <v>9.81</v>
      </c>
      <c r="QS50" s="17">
        <v>1.64</v>
      </c>
      <c r="QT50" s="17">
        <v>0.26</v>
      </c>
      <c r="QU50" s="17">
        <v>0</v>
      </c>
      <c r="QV50" s="17">
        <v>0</v>
      </c>
      <c r="QW50" s="17">
        <v>0</v>
      </c>
      <c r="QX50" s="17">
        <v>0</v>
      </c>
      <c r="QY50" s="17">
        <v>0</v>
      </c>
      <c r="QZ50" s="17">
        <v>0</v>
      </c>
      <c r="RA50" s="17">
        <v>0.55000000000000004</v>
      </c>
      <c r="RB50" s="17">
        <v>22.64</v>
      </c>
      <c r="RC50" s="17">
        <v>2.58</v>
      </c>
      <c r="RD50" s="17">
        <v>0.13</v>
      </c>
      <c r="RE50" s="17">
        <v>0</v>
      </c>
      <c r="RF50" s="17">
        <v>0</v>
      </c>
      <c r="RG50" s="17">
        <v>0</v>
      </c>
      <c r="RT50" s="15">
        <v>40.4</v>
      </c>
      <c r="RU50" s="15">
        <v>1</v>
      </c>
      <c r="RV50" s="15">
        <v>38</v>
      </c>
      <c r="RW50" s="15">
        <v>9</v>
      </c>
      <c r="RX50" s="15">
        <v>5.52</v>
      </c>
      <c r="RY50" s="15">
        <v>5</v>
      </c>
      <c r="RZ50" s="15">
        <v>23</v>
      </c>
      <c r="SA50" s="15">
        <v>1</v>
      </c>
      <c r="SB50" s="15">
        <v>0.09</v>
      </c>
      <c r="SC50" s="15">
        <v>3</v>
      </c>
      <c r="SF50" s="31"/>
      <c r="SJ50" s="31"/>
      <c r="SN50" s="31"/>
      <c r="SR50" s="31"/>
      <c r="SV50" s="31"/>
      <c r="SX50" s="15">
        <v>0</v>
      </c>
      <c r="UI50" s="15">
        <v>0</v>
      </c>
      <c r="UJ50" s="15">
        <v>0</v>
      </c>
      <c r="UT50" s="15">
        <v>8.33</v>
      </c>
      <c r="UU50" s="15">
        <v>5.52</v>
      </c>
      <c r="UV50" s="15">
        <v>0</v>
      </c>
      <c r="UW50" s="15">
        <v>0</v>
      </c>
      <c r="UX50" s="15">
        <v>0</v>
      </c>
      <c r="UY50" s="15">
        <v>0</v>
      </c>
      <c r="UZ50" s="15">
        <v>0</v>
      </c>
      <c r="VA50" s="15">
        <v>0</v>
      </c>
      <c r="VB50" s="15" t="s">
        <v>388</v>
      </c>
      <c r="VC50" s="15">
        <v>64</v>
      </c>
      <c r="VD50" s="17">
        <v>79.5</v>
      </c>
      <c r="VE50" s="17">
        <v>114</v>
      </c>
      <c r="VF50" s="17">
        <v>15</v>
      </c>
      <c r="VG50" s="17">
        <v>88.29</v>
      </c>
      <c r="VH50" s="17">
        <v>0</v>
      </c>
      <c r="VI50" s="17">
        <v>9.81</v>
      </c>
      <c r="VJ50" s="17">
        <v>1.64</v>
      </c>
      <c r="VK50" s="17">
        <v>0.26</v>
      </c>
      <c r="VL50" s="17">
        <v>0</v>
      </c>
      <c r="VM50" s="17">
        <v>0</v>
      </c>
      <c r="VN50" s="17">
        <v>0</v>
      </c>
      <c r="VO50" s="17">
        <v>0</v>
      </c>
      <c r="VP50" s="17">
        <v>0</v>
      </c>
      <c r="VQ50" s="17">
        <v>0</v>
      </c>
      <c r="VR50" s="17">
        <v>0.55000000000000004</v>
      </c>
      <c r="VS50" s="17">
        <v>24</v>
      </c>
      <c r="VT50" s="17">
        <v>4.3099999999999996</v>
      </c>
      <c r="VU50" s="17">
        <v>0.82</v>
      </c>
      <c r="VV50" s="17">
        <v>0</v>
      </c>
      <c r="VW50" s="17">
        <v>0</v>
      </c>
      <c r="VX50" s="17">
        <v>0</v>
      </c>
      <c r="VY50" s="17"/>
      <c r="WK50" s="15">
        <v>40.4</v>
      </c>
      <c r="WL50" s="15">
        <v>1</v>
      </c>
      <c r="WM50" s="15">
        <v>38</v>
      </c>
      <c r="WN50" s="15">
        <v>9</v>
      </c>
      <c r="WO50" s="15">
        <v>5.52</v>
      </c>
      <c r="WP50" s="15">
        <v>5</v>
      </c>
      <c r="WQ50" s="15">
        <v>23</v>
      </c>
      <c r="WR50" s="15">
        <v>1</v>
      </c>
      <c r="WS50" s="15">
        <v>0.09</v>
      </c>
      <c r="WT50" s="15">
        <v>3</v>
      </c>
      <c r="WW50" s="31"/>
      <c r="XA50" s="31"/>
      <c r="XE50" s="31"/>
      <c r="XI50" s="31"/>
      <c r="XM50" s="31"/>
      <c r="XO50" s="15">
        <v>0</v>
      </c>
      <c r="YZ50" s="15">
        <v>0</v>
      </c>
      <c r="ZA50" s="15">
        <v>0</v>
      </c>
      <c r="ZK50" s="15">
        <v>8.33</v>
      </c>
      <c r="ZL50" s="15">
        <v>5.52</v>
      </c>
      <c r="ZM50" s="15">
        <v>0</v>
      </c>
      <c r="ZN50" s="15">
        <v>0</v>
      </c>
      <c r="ZO50" s="15">
        <v>0</v>
      </c>
      <c r="ZP50" s="15">
        <v>0</v>
      </c>
      <c r="ZQ50" s="15">
        <v>0</v>
      </c>
      <c r="ZR50" s="15">
        <v>0</v>
      </c>
      <c r="ZS50" s="15" t="s">
        <v>196</v>
      </c>
      <c r="ZT50" s="15">
        <v>24.5</v>
      </c>
      <c r="ZU50" s="17">
        <v>58.4</v>
      </c>
      <c r="ZV50" s="17">
        <v>114</v>
      </c>
      <c r="ZW50" s="17">
        <v>12</v>
      </c>
      <c r="ZX50" s="17">
        <v>92.09</v>
      </c>
      <c r="ZY50" s="17">
        <v>0</v>
      </c>
      <c r="ZZ50" s="17">
        <v>0</v>
      </c>
      <c r="AAA50" s="17">
        <v>5.57</v>
      </c>
      <c r="AAB50" s="17">
        <v>2.35</v>
      </c>
      <c r="AAC50" s="17">
        <v>0</v>
      </c>
      <c r="AAD50" s="17">
        <v>0</v>
      </c>
      <c r="AAE50" s="17">
        <v>0</v>
      </c>
      <c r="AAF50" s="17">
        <v>0</v>
      </c>
      <c r="AAG50" s="17">
        <v>0</v>
      </c>
      <c r="AAH50" s="17">
        <v>0</v>
      </c>
      <c r="AAI50" s="17">
        <v>8.58</v>
      </c>
      <c r="AAJ50" s="17">
        <v>3.1</v>
      </c>
      <c r="AAK50" s="17">
        <v>0.55000000000000004</v>
      </c>
      <c r="AAL50" s="17">
        <v>0.71</v>
      </c>
      <c r="AAM50" s="17">
        <v>0</v>
      </c>
      <c r="AAN50" s="17">
        <v>0</v>
      </c>
      <c r="AAO50" s="17">
        <v>0</v>
      </c>
      <c r="ABB50" s="15">
        <v>7.2</v>
      </c>
      <c r="ABC50" s="15">
        <v>1</v>
      </c>
      <c r="ABD50" s="17">
        <v>30</v>
      </c>
      <c r="ABE50" s="17">
        <v>2</v>
      </c>
      <c r="ABF50" s="17">
        <v>1.0900000000000001</v>
      </c>
      <c r="ABG50" s="17">
        <v>4</v>
      </c>
      <c r="ABH50" s="17">
        <v>30</v>
      </c>
      <c r="ABI50" s="17">
        <v>2</v>
      </c>
      <c r="ABJ50" s="17">
        <v>0.27</v>
      </c>
      <c r="ABK50" s="17">
        <v>2</v>
      </c>
      <c r="ABL50" s="17">
        <v>34</v>
      </c>
      <c r="ABM50" s="17">
        <v>1</v>
      </c>
      <c r="ABN50" s="31">
        <v>1.0900000000000001</v>
      </c>
      <c r="ABO50" s="17">
        <v>1</v>
      </c>
      <c r="ABR50" s="31"/>
      <c r="ABV50" s="31"/>
      <c r="ABZ50" s="31"/>
      <c r="ACD50" s="31"/>
      <c r="ACF50" s="15">
        <v>0</v>
      </c>
      <c r="ADQ50" s="15">
        <v>0</v>
      </c>
      <c r="ADR50" s="15">
        <v>0</v>
      </c>
      <c r="AEB50" s="15">
        <v>5.3</v>
      </c>
      <c r="AEC50" s="15">
        <f t="shared" si="31"/>
        <v>9.17</v>
      </c>
      <c r="AED50" s="15">
        <v>0</v>
      </c>
      <c r="AEE50" s="15">
        <v>0</v>
      </c>
      <c r="AEF50" s="15">
        <v>0</v>
      </c>
      <c r="AEG50" s="15">
        <v>8.58</v>
      </c>
      <c r="AEH50" s="15">
        <v>0</v>
      </c>
      <c r="AEI50" s="15">
        <v>0</v>
      </c>
      <c r="AEJ50" s="15" t="s">
        <v>195</v>
      </c>
      <c r="AEK50" s="15">
        <v>22</v>
      </c>
      <c r="AEL50" s="17">
        <v>44.2</v>
      </c>
      <c r="AEM50" s="17">
        <v>114</v>
      </c>
      <c r="AEN50" s="17">
        <v>10.9</v>
      </c>
      <c r="AEO50" s="17">
        <v>92.8</v>
      </c>
      <c r="AEP50" s="17">
        <v>0</v>
      </c>
      <c r="AEQ50" s="17">
        <v>0</v>
      </c>
      <c r="AER50" s="17">
        <v>5.57</v>
      </c>
      <c r="AES50" s="17">
        <v>1.64</v>
      </c>
      <c r="AET50" s="17">
        <v>0</v>
      </c>
      <c r="AEU50" s="17">
        <v>0</v>
      </c>
      <c r="AEV50" s="17">
        <v>0</v>
      </c>
      <c r="AEW50" s="17">
        <v>0</v>
      </c>
      <c r="AEX50" s="17">
        <v>0</v>
      </c>
      <c r="AEY50" s="17">
        <v>0</v>
      </c>
      <c r="AEZ50" s="17">
        <v>8.58</v>
      </c>
      <c r="AFA50" s="17">
        <v>1.57</v>
      </c>
      <c r="AFB50" s="17">
        <v>0.55000000000000004</v>
      </c>
      <c r="AFC50" s="17">
        <v>0</v>
      </c>
      <c r="AFD50" s="17">
        <v>0</v>
      </c>
      <c r="AFE50" s="17">
        <v>0</v>
      </c>
      <c r="AFF50" s="17">
        <v>0</v>
      </c>
      <c r="AFS50" s="15">
        <v>7.15</v>
      </c>
      <c r="AFT50" s="15">
        <v>1</v>
      </c>
      <c r="AFU50" s="17">
        <v>30</v>
      </c>
      <c r="AFV50" s="17">
        <v>2</v>
      </c>
      <c r="AFW50" s="17">
        <v>1.0900000000000001</v>
      </c>
      <c r="AFX50" s="17">
        <v>4</v>
      </c>
      <c r="AFY50" s="17">
        <v>30</v>
      </c>
      <c r="AFZ50" s="17">
        <v>2</v>
      </c>
      <c r="AGA50" s="17">
        <v>0.27</v>
      </c>
      <c r="AGB50" s="17">
        <v>2</v>
      </c>
      <c r="AGC50" s="17">
        <v>34</v>
      </c>
      <c r="AGD50" s="17">
        <v>1</v>
      </c>
      <c r="AGE50" s="31">
        <v>1.0900000000000001</v>
      </c>
      <c r="AGF50" s="17">
        <v>1</v>
      </c>
      <c r="AGI50" s="31"/>
      <c r="AGM50" s="31"/>
      <c r="AGQ50" s="31"/>
      <c r="AGU50" s="31"/>
      <c r="AIH50" s="15">
        <v>0</v>
      </c>
      <c r="AII50" s="15">
        <v>0</v>
      </c>
      <c r="AIS50" s="15">
        <v>2.59</v>
      </c>
      <c r="AIT50" s="15">
        <f t="shared" si="32"/>
        <v>0.59000000000000008</v>
      </c>
      <c r="AIU50" s="15">
        <v>0</v>
      </c>
      <c r="AIV50" s="15">
        <v>0</v>
      </c>
      <c r="AIW50" s="15">
        <v>0</v>
      </c>
      <c r="AIX50" s="15">
        <v>0</v>
      </c>
      <c r="AIY50" s="15">
        <v>1.03</v>
      </c>
      <c r="AIZ50" s="15">
        <v>0</v>
      </c>
      <c r="AJA50" s="15" t="s">
        <v>389</v>
      </c>
      <c r="AJB50" s="15">
        <v>10</v>
      </c>
      <c r="AJC50" s="17">
        <v>46.2</v>
      </c>
      <c r="AJD50" s="17">
        <v>114</v>
      </c>
      <c r="AJE50" s="17">
        <v>6.3</v>
      </c>
      <c r="AJF50" s="17">
        <v>0</v>
      </c>
      <c r="AJG50" s="17">
        <v>0</v>
      </c>
      <c r="AJH50" s="17">
        <v>1.91</v>
      </c>
      <c r="AJI50" s="17">
        <v>0</v>
      </c>
      <c r="AJJ50" s="17">
        <v>1.91</v>
      </c>
      <c r="AJK50" s="17">
        <v>0</v>
      </c>
      <c r="AJL50" s="17">
        <v>0</v>
      </c>
      <c r="AJM50" s="17">
        <v>0</v>
      </c>
      <c r="AJN50" s="17">
        <v>0</v>
      </c>
      <c r="AJO50" s="17">
        <v>0</v>
      </c>
      <c r="AJP50" s="17">
        <v>0</v>
      </c>
      <c r="AJQ50" s="17">
        <v>0</v>
      </c>
      <c r="AJR50" s="17">
        <v>8.85</v>
      </c>
      <c r="AJS50" s="17">
        <v>4.3600000000000003</v>
      </c>
      <c r="AJT50" s="17">
        <v>0</v>
      </c>
      <c r="AJU50" s="17">
        <v>0</v>
      </c>
      <c r="AJV50" s="17">
        <v>0</v>
      </c>
      <c r="AKJ50" s="15">
        <v>0</v>
      </c>
      <c r="AKV50" s="31"/>
      <c r="AKZ50" s="31"/>
      <c r="ALD50" s="31"/>
      <c r="ALH50" s="31"/>
      <c r="ALL50" s="31"/>
      <c r="ALN50" s="15">
        <v>0</v>
      </c>
    </row>
    <row r="51" spans="1:1018" x14ac:dyDescent="0.2">
      <c r="A51" s="1" t="s">
        <v>398</v>
      </c>
      <c r="B51" s="12">
        <v>42900</v>
      </c>
      <c r="C51">
        <v>2</v>
      </c>
      <c r="D51" s="13">
        <v>35870</v>
      </c>
      <c r="E51" s="12">
        <v>27635</v>
      </c>
      <c r="F51" s="14">
        <f t="shared" si="0"/>
        <v>41.793292265571523</v>
      </c>
      <c r="G51" s="14">
        <f t="shared" si="1"/>
        <v>19.247091033538673</v>
      </c>
      <c r="H51" s="15" t="s">
        <v>183</v>
      </c>
      <c r="I51" s="15" t="s">
        <v>383</v>
      </c>
      <c r="J51" s="21" t="s">
        <v>181</v>
      </c>
      <c r="K51" s="21">
        <v>4</v>
      </c>
      <c r="L51" s="19">
        <v>120</v>
      </c>
      <c r="M51">
        <v>1.8</v>
      </c>
      <c r="N51" s="16">
        <f t="shared" si="2"/>
        <v>37.037037037037038</v>
      </c>
      <c r="O51" s="19">
        <v>1</v>
      </c>
      <c r="P51" s="19"/>
      <c r="Q51" s="19"/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1</v>
      </c>
      <c r="X51" s="19">
        <v>1</v>
      </c>
      <c r="Y51" s="19">
        <v>0</v>
      </c>
      <c r="Z51" s="19">
        <v>0</v>
      </c>
      <c r="AA51" s="19">
        <v>0</v>
      </c>
      <c r="AB51" s="19">
        <v>0</v>
      </c>
      <c r="AC51" s="19">
        <v>1</v>
      </c>
      <c r="AD51" s="19">
        <v>8</v>
      </c>
      <c r="AE51" s="19">
        <v>1</v>
      </c>
      <c r="AF51" s="19">
        <v>1</v>
      </c>
      <c r="AG51" s="19">
        <v>1</v>
      </c>
      <c r="AH51" s="19">
        <v>8</v>
      </c>
      <c r="AI51" s="19">
        <v>3</v>
      </c>
      <c r="AJ51" s="19">
        <v>3</v>
      </c>
      <c r="AK51" s="19">
        <v>3</v>
      </c>
      <c r="AL51" s="19">
        <v>8</v>
      </c>
      <c r="AM51" s="19">
        <v>8</v>
      </c>
      <c r="AN51" s="19">
        <v>3</v>
      </c>
      <c r="AO51" s="19">
        <v>3</v>
      </c>
      <c r="AP51" s="19">
        <v>3</v>
      </c>
      <c r="AQ51" s="19">
        <v>8</v>
      </c>
      <c r="AR51" s="19">
        <v>8</v>
      </c>
      <c r="AS51" s="19">
        <v>3</v>
      </c>
      <c r="AT51" s="19">
        <v>3</v>
      </c>
      <c r="AU51" s="19">
        <v>3</v>
      </c>
      <c r="AV51" s="19">
        <v>8</v>
      </c>
      <c r="AW51" s="19">
        <v>8</v>
      </c>
      <c r="AX51" s="19">
        <v>1</v>
      </c>
      <c r="AY51" s="19">
        <v>1</v>
      </c>
      <c r="AZ51" s="19">
        <v>1</v>
      </c>
      <c r="BA51" s="19">
        <v>8</v>
      </c>
      <c r="BB51" s="19">
        <v>1</v>
      </c>
      <c r="BC51" s="19">
        <v>1</v>
      </c>
      <c r="BD51" s="19">
        <v>1</v>
      </c>
      <c r="BE51" s="19">
        <v>8</v>
      </c>
      <c r="BF51" s="19">
        <v>1</v>
      </c>
      <c r="BG51" s="19">
        <v>1</v>
      </c>
      <c r="BH51" s="19">
        <v>1</v>
      </c>
      <c r="BI51" s="19">
        <v>8</v>
      </c>
      <c r="BJ51" s="19">
        <v>1</v>
      </c>
      <c r="BK51" s="19">
        <v>1</v>
      </c>
      <c r="BL51" s="19">
        <v>1</v>
      </c>
      <c r="BM51" s="19">
        <v>8</v>
      </c>
      <c r="BN51" s="19">
        <v>1</v>
      </c>
      <c r="BO51" s="19">
        <v>1</v>
      </c>
      <c r="BP51" s="19">
        <v>1</v>
      </c>
      <c r="BQ51" s="19">
        <v>8</v>
      </c>
      <c r="BR51" s="19">
        <v>5</v>
      </c>
      <c r="BS51" s="19">
        <v>3</v>
      </c>
      <c r="BT51" s="19">
        <v>5</v>
      </c>
      <c r="BU51" s="19">
        <v>5</v>
      </c>
      <c r="BV51" s="19">
        <v>2</v>
      </c>
      <c r="BW51" s="19">
        <v>5</v>
      </c>
      <c r="BX51" s="19">
        <v>4</v>
      </c>
      <c r="BY51" s="19">
        <v>3</v>
      </c>
      <c r="BZ51" s="19">
        <v>1</v>
      </c>
      <c r="CA51" s="19">
        <v>1</v>
      </c>
      <c r="CB51" s="19">
        <v>2</v>
      </c>
      <c r="CC51" s="19">
        <v>4</v>
      </c>
      <c r="CD51" s="19">
        <v>1</v>
      </c>
      <c r="CE51" s="19">
        <v>2</v>
      </c>
      <c r="CF51" s="19">
        <v>4</v>
      </c>
      <c r="CG51" s="19">
        <v>5</v>
      </c>
      <c r="CH51" s="19">
        <v>5</v>
      </c>
      <c r="CI51" s="19">
        <v>5</v>
      </c>
      <c r="CJ51" s="19">
        <v>1</v>
      </c>
      <c r="CK51" s="19">
        <v>5</v>
      </c>
      <c r="CL51" s="30" t="s">
        <v>384</v>
      </c>
      <c r="CM51" s="15">
        <v>28.5</v>
      </c>
      <c r="CN51" s="17">
        <v>69.3</v>
      </c>
      <c r="CO51" s="17">
        <v>114</v>
      </c>
      <c r="CP51" s="17">
        <v>19.5</v>
      </c>
      <c r="CQ51" s="17">
        <v>79.150000000000006</v>
      </c>
      <c r="CR51" s="17">
        <v>0</v>
      </c>
      <c r="CS51" s="17">
        <v>3.87</v>
      </c>
      <c r="CT51" s="17">
        <v>2.86</v>
      </c>
      <c r="CU51" s="17">
        <v>14.12</v>
      </c>
      <c r="CV51" s="17">
        <v>0</v>
      </c>
      <c r="CW51" s="17">
        <v>0</v>
      </c>
      <c r="CX51" s="17">
        <v>0</v>
      </c>
      <c r="CY51" s="17">
        <v>0</v>
      </c>
      <c r="CZ51" s="17">
        <v>0</v>
      </c>
      <c r="DA51" s="17">
        <v>0</v>
      </c>
      <c r="DB51" s="17">
        <v>0.82</v>
      </c>
      <c r="DC51" s="17">
        <v>11.71</v>
      </c>
      <c r="DD51" s="17">
        <v>15.43</v>
      </c>
      <c r="DE51" s="17">
        <v>4.91</v>
      </c>
      <c r="DF51" s="17">
        <v>0</v>
      </c>
      <c r="DG51" s="17">
        <v>0</v>
      </c>
      <c r="DH51" s="17">
        <v>0</v>
      </c>
      <c r="DI51" s="17">
        <v>0</v>
      </c>
      <c r="DJ51" s="17">
        <v>0</v>
      </c>
      <c r="DK51" s="17">
        <v>0</v>
      </c>
      <c r="DL51" s="17">
        <v>0</v>
      </c>
      <c r="DM51" s="17">
        <v>0</v>
      </c>
      <c r="DN51" s="17">
        <v>0</v>
      </c>
      <c r="DO51" s="17">
        <v>0</v>
      </c>
      <c r="DP51" s="17">
        <v>0</v>
      </c>
      <c r="DQ51" s="17">
        <v>0</v>
      </c>
      <c r="DR51" s="17">
        <v>0</v>
      </c>
      <c r="DS51" s="17">
        <v>0</v>
      </c>
      <c r="DT51" s="17">
        <v>0</v>
      </c>
      <c r="DU51" s="17">
        <v>0</v>
      </c>
      <c r="DV51" s="17">
        <v>0</v>
      </c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31"/>
      <c r="EH51" s="17"/>
      <c r="EK51" s="31"/>
      <c r="EO51" s="31"/>
      <c r="ES51" s="31"/>
      <c r="EW51" s="31"/>
      <c r="EY51" s="15">
        <v>0</v>
      </c>
      <c r="GJ51" s="15">
        <v>0</v>
      </c>
      <c r="GK51" s="15">
        <v>0</v>
      </c>
      <c r="GU51" s="15">
        <v>8.6999999999999993</v>
      </c>
      <c r="GV51" s="15">
        <f t="shared" si="26"/>
        <v>15.43</v>
      </c>
      <c r="GW51" s="15">
        <v>0</v>
      </c>
      <c r="GX51" s="15">
        <v>0</v>
      </c>
      <c r="GY51" s="15">
        <v>0</v>
      </c>
      <c r="GZ51" s="15">
        <v>0</v>
      </c>
      <c r="HA51" s="15">
        <v>0</v>
      </c>
      <c r="HB51" s="15">
        <v>0</v>
      </c>
      <c r="HC51" s="15" t="s">
        <v>385</v>
      </c>
      <c r="HD51" s="15">
        <v>38.5</v>
      </c>
      <c r="HE51" s="17">
        <v>55</v>
      </c>
      <c r="HF51" s="17">
        <v>114</v>
      </c>
      <c r="HG51" s="17">
        <v>7.8</v>
      </c>
      <c r="HH51" s="17">
        <v>95.15</v>
      </c>
      <c r="HI51" s="17">
        <v>0</v>
      </c>
      <c r="HJ51" s="17">
        <v>3.78</v>
      </c>
      <c r="HK51" s="17">
        <v>0</v>
      </c>
      <c r="HL51" s="17">
        <v>1.07</v>
      </c>
      <c r="HM51" s="17">
        <v>0</v>
      </c>
      <c r="HN51" s="17">
        <v>0</v>
      </c>
      <c r="HO51" s="17">
        <v>0</v>
      </c>
      <c r="HP51" s="17">
        <v>0</v>
      </c>
      <c r="HQ51" s="17">
        <v>0</v>
      </c>
      <c r="HR51" s="17">
        <v>0</v>
      </c>
      <c r="HS51" s="17">
        <v>0</v>
      </c>
      <c r="HT51" s="17">
        <v>15.05</v>
      </c>
      <c r="HU51" s="17">
        <v>4.58</v>
      </c>
      <c r="HV51" s="17">
        <v>0.1</v>
      </c>
      <c r="HW51" s="17">
        <v>0</v>
      </c>
      <c r="HX51" s="17">
        <v>0</v>
      </c>
      <c r="HY51" s="17">
        <v>0</v>
      </c>
      <c r="IL51" s="15">
        <v>22.8</v>
      </c>
      <c r="IM51" s="15">
        <v>1</v>
      </c>
      <c r="IN51" s="15">
        <v>38</v>
      </c>
      <c r="IO51" s="15">
        <v>5</v>
      </c>
      <c r="IP51" s="15">
        <f t="shared" si="27"/>
        <v>3.54</v>
      </c>
      <c r="IQ51" s="15">
        <v>5</v>
      </c>
      <c r="IX51" s="31"/>
      <c r="JB51" s="31"/>
      <c r="JF51" s="31"/>
      <c r="JJ51" s="31"/>
      <c r="JN51" s="31"/>
      <c r="JP51" s="15">
        <v>0</v>
      </c>
      <c r="LA51" s="15">
        <v>0</v>
      </c>
      <c r="LB51" s="15">
        <v>0</v>
      </c>
      <c r="LL51" s="15">
        <v>7.84</v>
      </c>
      <c r="LM51" s="15">
        <f t="shared" si="28"/>
        <v>3.54</v>
      </c>
      <c r="LN51" s="15">
        <v>0</v>
      </c>
      <c r="LO51" s="15">
        <v>0</v>
      </c>
      <c r="LP51" s="15">
        <v>0</v>
      </c>
      <c r="LQ51" s="15">
        <v>0</v>
      </c>
      <c r="LR51" s="15">
        <v>0</v>
      </c>
      <c r="LS51" s="15">
        <v>0</v>
      </c>
      <c r="LT51" s="15" t="s">
        <v>386</v>
      </c>
      <c r="LU51" s="15">
        <v>38</v>
      </c>
      <c r="LV51" s="17">
        <v>48.8</v>
      </c>
      <c r="LW51" s="17">
        <v>114</v>
      </c>
      <c r="LX51" s="17">
        <v>7.2</v>
      </c>
      <c r="LY51" s="17">
        <v>96.13</v>
      </c>
      <c r="LZ51" s="17">
        <v>0</v>
      </c>
      <c r="MA51" s="17">
        <v>3.78</v>
      </c>
      <c r="MB51" s="17">
        <v>0</v>
      </c>
      <c r="MC51" s="17">
        <v>0.1</v>
      </c>
      <c r="MD51" s="17">
        <v>0</v>
      </c>
      <c r="ME51" s="17">
        <v>0</v>
      </c>
      <c r="MF51" s="17">
        <v>0</v>
      </c>
      <c r="MG51" s="17">
        <v>0</v>
      </c>
      <c r="MH51" s="17">
        <v>0</v>
      </c>
      <c r="MI51" s="17">
        <v>0</v>
      </c>
      <c r="MJ51" s="17">
        <v>0</v>
      </c>
      <c r="MK51" s="17">
        <v>12.85</v>
      </c>
      <c r="ML51" s="17">
        <v>4.58</v>
      </c>
      <c r="MM51" s="17">
        <v>0.1</v>
      </c>
      <c r="MN51" s="17">
        <v>0</v>
      </c>
      <c r="MO51" s="17">
        <v>0</v>
      </c>
      <c r="MP51" s="17">
        <v>0</v>
      </c>
      <c r="NC51" s="15">
        <v>22.8</v>
      </c>
      <c r="ND51" s="15">
        <v>1</v>
      </c>
      <c r="NE51" s="15">
        <v>38</v>
      </c>
      <c r="NF51" s="15">
        <v>5</v>
      </c>
      <c r="NG51" s="15">
        <f t="shared" si="29"/>
        <v>3.54</v>
      </c>
      <c r="NH51" s="15">
        <v>5</v>
      </c>
      <c r="NI51" s="15">
        <v>20</v>
      </c>
      <c r="NJ51" s="15">
        <v>4</v>
      </c>
      <c r="NK51" s="15">
        <v>0.28999999999999998</v>
      </c>
      <c r="NL51" s="15">
        <v>2</v>
      </c>
      <c r="NO51" s="31"/>
      <c r="NS51" s="31"/>
      <c r="NW51" s="31"/>
      <c r="OA51" s="31"/>
      <c r="OE51" s="31"/>
      <c r="OG51" s="15">
        <v>0</v>
      </c>
      <c r="PR51" s="15">
        <v>0</v>
      </c>
      <c r="PS51" s="15">
        <v>0</v>
      </c>
      <c r="QC51" s="15">
        <v>7.84</v>
      </c>
      <c r="QD51" s="15">
        <f t="shared" si="30"/>
        <v>3.54</v>
      </c>
      <c r="QE51" s="15">
        <v>0</v>
      </c>
      <c r="QF51" s="15">
        <v>0</v>
      </c>
      <c r="QG51" s="15">
        <v>0</v>
      </c>
      <c r="QH51" s="15">
        <v>0</v>
      </c>
      <c r="QI51" s="15">
        <v>0</v>
      </c>
      <c r="QJ51" s="15">
        <v>0</v>
      </c>
      <c r="QK51" s="15" t="s">
        <v>387</v>
      </c>
      <c r="QL51" s="15">
        <v>64</v>
      </c>
      <c r="QM51" s="17">
        <v>70.599999999999994</v>
      </c>
      <c r="QN51" s="17">
        <v>114</v>
      </c>
      <c r="QO51" s="17">
        <v>14.9</v>
      </c>
      <c r="QP51" s="17">
        <v>88.29</v>
      </c>
      <c r="QQ51" s="17">
        <v>0</v>
      </c>
      <c r="QR51" s="17">
        <v>9.81</v>
      </c>
      <c r="QS51" s="17">
        <v>1.64</v>
      </c>
      <c r="QT51" s="17">
        <v>0.26</v>
      </c>
      <c r="QU51" s="17">
        <v>0</v>
      </c>
      <c r="QV51" s="17">
        <v>0</v>
      </c>
      <c r="QW51" s="17">
        <v>0</v>
      </c>
      <c r="QX51" s="17">
        <v>0</v>
      </c>
      <c r="QY51" s="17">
        <v>0</v>
      </c>
      <c r="QZ51" s="17">
        <v>0</v>
      </c>
      <c r="RA51" s="17">
        <v>0.55000000000000004</v>
      </c>
      <c r="RB51" s="17">
        <v>22.64</v>
      </c>
      <c r="RC51" s="17">
        <v>2.58</v>
      </c>
      <c r="RD51" s="17">
        <v>0.13</v>
      </c>
      <c r="RE51" s="17">
        <v>0</v>
      </c>
      <c r="RF51" s="17">
        <v>0</v>
      </c>
      <c r="RG51" s="17">
        <v>0</v>
      </c>
      <c r="RT51" s="15">
        <v>40.4</v>
      </c>
      <c r="RU51" s="15">
        <v>1</v>
      </c>
      <c r="RV51" s="15">
        <v>38</v>
      </c>
      <c r="RW51" s="15">
        <v>9</v>
      </c>
      <c r="RX51" s="15">
        <v>5.52</v>
      </c>
      <c r="RY51" s="15">
        <v>5</v>
      </c>
      <c r="RZ51" s="15">
        <v>23</v>
      </c>
      <c r="SA51" s="15">
        <v>1</v>
      </c>
      <c r="SB51" s="15">
        <v>0.09</v>
      </c>
      <c r="SC51" s="15">
        <v>3</v>
      </c>
      <c r="SF51" s="31"/>
      <c r="SJ51" s="31"/>
      <c r="SN51" s="31"/>
      <c r="SR51" s="31"/>
      <c r="SV51" s="31"/>
      <c r="SX51" s="15">
        <v>0</v>
      </c>
      <c r="UI51" s="15">
        <v>0</v>
      </c>
      <c r="UJ51" s="15">
        <v>0</v>
      </c>
      <c r="UT51" s="15">
        <v>8.33</v>
      </c>
      <c r="UU51" s="15">
        <v>5.52</v>
      </c>
      <c r="UV51" s="15">
        <v>0</v>
      </c>
      <c r="UW51" s="15">
        <v>0</v>
      </c>
      <c r="UX51" s="15">
        <v>0</v>
      </c>
      <c r="UY51" s="15">
        <v>0</v>
      </c>
      <c r="UZ51" s="15">
        <v>0</v>
      </c>
      <c r="VA51" s="15">
        <v>0</v>
      </c>
      <c r="VB51" s="15" t="s">
        <v>388</v>
      </c>
      <c r="VC51" s="15">
        <v>64</v>
      </c>
      <c r="VD51" s="17">
        <v>79.5</v>
      </c>
      <c r="VE51" s="17">
        <v>114</v>
      </c>
      <c r="VF51" s="17">
        <v>15</v>
      </c>
      <c r="VG51" s="17">
        <v>88.29</v>
      </c>
      <c r="VH51" s="17">
        <v>0</v>
      </c>
      <c r="VI51" s="17">
        <v>9.81</v>
      </c>
      <c r="VJ51" s="17">
        <v>1.64</v>
      </c>
      <c r="VK51" s="17">
        <v>0.26</v>
      </c>
      <c r="VL51" s="17">
        <v>0</v>
      </c>
      <c r="VM51" s="17">
        <v>0</v>
      </c>
      <c r="VN51" s="17">
        <v>0</v>
      </c>
      <c r="VO51" s="17">
        <v>0</v>
      </c>
      <c r="VP51" s="17">
        <v>0</v>
      </c>
      <c r="VQ51" s="17">
        <v>0</v>
      </c>
      <c r="VR51" s="17">
        <v>0.55000000000000004</v>
      </c>
      <c r="VS51" s="17">
        <v>24</v>
      </c>
      <c r="VT51" s="17">
        <v>4.3099999999999996</v>
      </c>
      <c r="VU51" s="17">
        <v>0.82</v>
      </c>
      <c r="VV51" s="17">
        <v>0</v>
      </c>
      <c r="VW51" s="17">
        <v>0</v>
      </c>
      <c r="VX51" s="17">
        <v>0</v>
      </c>
      <c r="VY51" s="17"/>
      <c r="WK51" s="15">
        <v>40.4</v>
      </c>
      <c r="WL51" s="15">
        <v>1</v>
      </c>
      <c r="WM51" s="15">
        <v>38</v>
      </c>
      <c r="WN51" s="15">
        <v>9</v>
      </c>
      <c r="WO51" s="15">
        <v>5.52</v>
      </c>
      <c r="WP51" s="15">
        <v>5</v>
      </c>
      <c r="WQ51" s="15">
        <v>23</v>
      </c>
      <c r="WR51" s="15">
        <v>1</v>
      </c>
      <c r="WS51" s="15">
        <v>0.09</v>
      </c>
      <c r="WT51" s="15">
        <v>3</v>
      </c>
      <c r="WW51" s="31"/>
      <c r="XA51" s="31"/>
      <c r="XE51" s="31"/>
      <c r="XI51" s="31"/>
      <c r="XM51" s="31"/>
      <c r="XO51" s="15">
        <v>0</v>
      </c>
      <c r="YZ51" s="15">
        <v>0</v>
      </c>
      <c r="ZA51" s="15">
        <v>0</v>
      </c>
      <c r="ZK51" s="15">
        <v>8.33</v>
      </c>
      <c r="ZL51" s="15">
        <v>5.52</v>
      </c>
      <c r="ZM51" s="15">
        <v>0</v>
      </c>
      <c r="ZN51" s="15">
        <v>0</v>
      </c>
      <c r="ZO51" s="15">
        <v>0</v>
      </c>
      <c r="ZP51" s="15">
        <v>0</v>
      </c>
      <c r="ZQ51" s="15">
        <v>0</v>
      </c>
      <c r="ZR51" s="15">
        <v>0</v>
      </c>
      <c r="ZS51" s="15" t="s">
        <v>196</v>
      </c>
      <c r="ZT51" s="15">
        <v>24.5</v>
      </c>
      <c r="ZU51" s="17">
        <v>58.4</v>
      </c>
      <c r="ZV51" s="17">
        <v>114</v>
      </c>
      <c r="ZW51" s="17">
        <v>12</v>
      </c>
      <c r="ZX51" s="17">
        <v>92.09</v>
      </c>
      <c r="ZY51" s="17">
        <v>0</v>
      </c>
      <c r="ZZ51" s="17">
        <v>0</v>
      </c>
      <c r="AAA51" s="17">
        <v>5.57</v>
      </c>
      <c r="AAB51" s="17">
        <v>2.35</v>
      </c>
      <c r="AAC51" s="17">
        <v>0</v>
      </c>
      <c r="AAD51" s="17">
        <v>0</v>
      </c>
      <c r="AAE51" s="17">
        <v>0</v>
      </c>
      <c r="AAF51" s="17">
        <v>0</v>
      </c>
      <c r="AAG51" s="17">
        <v>0</v>
      </c>
      <c r="AAH51" s="17">
        <v>0</v>
      </c>
      <c r="AAI51" s="17">
        <v>8.58</v>
      </c>
      <c r="AAJ51" s="17">
        <v>3.1</v>
      </c>
      <c r="AAK51" s="17">
        <v>0.55000000000000004</v>
      </c>
      <c r="AAL51" s="17">
        <v>0.71</v>
      </c>
      <c r="AAM51" s="17">
        <v>0</v>
      </c>
      <c r="AAN51" s="17">
        <v>0</v>
      </c>
      <c r="AAO51" s="17">
        <v>0</v>
      </c>
      <c r="ABB51" s="15">
        <v>7.2</v>
      </c>
      <c r="ABC51" s="15">
        <v>1</v>
      </c>
      <c r="ABD51" s="17">
        <v>30</v>
      </c>
      <c r="ABE51" s="17">
        <v>2</v>
      </c>
      <c r="ABF51" s="17">
        <v>1.0900000000000001</v>
      </c>
      <c r="ABG51" s="17">
        <v>4</v>
      </c>
      <c r="ABH51" s="17">
        <v>30</v>
      </c>
      <c r="ABI51" s="17">
        <v>2</v>
      </c>
      <c r="ABJ51" s="17">
        <v>0.27</v>
      </c>
      <c r="ABK51" s="17">
        <v>2</v>
      </c>
      <c r="ABL51" s="17">
        <v>34</v>
      </c>
      <c r="ABM51" s="17">
        <v>1</v>
      </c>
      <c r="ABN51" s="31">
        <v>1.0900000000000001</v>
      </c>
      <c r="ABO51" s="17">
        <v>1</v>
      </c>
      <c r="ABR51" s="31"/>
      <c r="ABV51" s="31"/>
      <c r="ABZ51" s="31"/>
      <c r="ACD51" s="31"/>
      <c r="ACF51" s="15">
        <v>0</v>
      </c>
      <c r="ADQ51" s="15">
        <v>0</v>
      </c>
      <c r="ADR51" s="15">
        <v>0</v>
      </c>
      <c r="AEB51" s="15">
        <v>5.3</v>
      </c>
      <c r="AEC51" s="15">
        <f t="shared" si="31"/>
        <v>9.17</v>
      </c>
      <c r="AED51" s="15">
        <v>0</v>
      </c>
      <c r="AEE51" s="15">
        <v>0</v>
      </c>
      <c r="AEF51" s="15">
        <v>0</v>
      </c>
      <c r="AEG51" s="15">
        <v>8.58</v>
      </c>
      <c r="AEH51" s="15">
        <v>0</v>
      </c>
      <c r="AEI51" s="15">
        <v>0</v>
      </c>
      <c r="AEJ51" s="15" t="s">
        <v>195</v>
      </c>
      <c r="AEK51" s="15">
        <v>22</v>
      </c>
      <c r="AEL51" s="17">
        <v>44.2</v>
      </c>
      <c r="AEM51" s="17">
        <v>114</v>
      </c>
      <c r="AEN51" s="17">
        <v>10.9</v>
      </c>
      <c r="AEO51" s="17">
        <v>92.8</v>
      </c>
      <c r="AEP51" s="17">
        <v>0</v>
      </c>
      <c r="AEQ51" s="17">
        <v>0</v>
      </c>
      <c r="AER51" s="17">
        <v>5.57</v>
      </c>
      <c r="AES51" s="17">
        <v>1.64</v>
      </c>
      <c r="AET51" s="17">
        <v>0</v>
      </c>
      <c r="AEU51" s="17">
        <v>0</v>
      </c>
      <c r="AEV51" s="17">
        <v>0</v>
      </c>
      <c r="AEW51" s="17">
        <v>0</v>
      </c>
      <c r="AEX51" s="17">
        <v>0</v>
      </c>
      <c r="AEY51" s="17">
        <v>0</v>
      </c>
      <c r="AEZ51" s="17">
        <v>8.58</v>
      </c>
      <c r="AFA51" s="17">
        <v>1.57</v>
      </c>
      <c r="AFB51" s="17">
        <v>0.55000000000000004</v>
      </c>
      <c r="AFC51" s="17">
        <v>0</v>
      </c>
      <c r="AFD51" s="17">
        <v>0</v>
      </c>
      <c r="AFE51" s="17">
        <v>0</v>
      </c>
      <c r="AFF51" s="17">
        <v>0</v>
      </c>
      <c r="AFS51" s="15">
        <v>7.15</v>
      </c>
      <c r="AFT51" s="15">
        <v>1</v>
      </c>
      <c r="AFU51" s="17">
        <v>30</v>
      </c>
      <c r="AFV51" s="17">
        <v>2</v>
      </c>
      <c r="AFW51" s="17">
        <v>1.0900000000000001</v>
      </c>
      <c r="AFX51" s="17">
        <v>4</v>
      </c>
      <c r="AFY51" s="17">
        <v>30</v>
      </c>
      <c r="AFZ51" s="17">
        <v>2</v>
      </c>
      <c r="AGA51" s="17">
        <v>0.27</v>
      </c>
      <c r="AGB51" s="17">
        <v>2</v>
      </c>
      <c r="AGC51" s="17">
        <v>34</v>
      </c>
      <c r="AGD51" s="17">
        <v>1</v>
      </c>
      <c r="AGE51" s="31">
        <v>1.0900000000000001</v>
      </c>
      <c r="AGF51" s="17">
        <v>1</v>
      </c>
      <c r="AGI51" s="31"/>
      <c r="AGM51" s="31"/>
      <c r="AGQ51" s="31"/>
      <c r="AGU51" s="31"/>
      <c r="AIH51" s="15">
        <v>0</v>
      </c>
      <c r="AII51" s="15">
        <v>0</v>
      </c>
      <c r="AIS51" s="15">
        <v>2.59</v>
      </c>
      <c r="AIT51" s="15">
        <f t="shared" si="32"/>
        <v>0.59000000000000008</v>
      </c>
      <c r="AIU51" s="15">
        <v>0</v>
      </c>
      <c r="AIV51" s="15">
        <v>0</v>
      </c>
      <c r="AIW51" s="15">
        <v>0</v>
      </c>
      <c r="AIX51" s="15">
        <v>0</v>
      </c>
      <c r="AIY51" s="15">
        <v>1.03</v>
      </c>
      <c r="AIZ51" s="15">
        <v>0</v>
      </c>
      <c r="AJA51" s="15" t="s">
        <v>389</v>
      </c>
      <c r="AJB51" s="15">
        <v>10</v>
      </c>
      <c r="AJC51" s="17">
        <v>46.2</v>
      </c>
      <c r="AJD51" s="17">
        <v>114</v>
      </c>
      <c r="AJE51" s="17">
        <v>6.3</v>
      </c>
      <c r="AJF51" s="17">
        <v>0</v>
      </c>
      <c r="AJG51" s="17">
        <v>0</v>
      </c>
      <c r="AJH51" s="17">
        <v>1.91</v>
      </c>
      <c r="AJI51" s="17">
        <v>0</v>
      </c>
      <c r="AJJ51" s="17">
        <v>1.91</v>
      </c>
      <c r="AJK51" s="17">
        <v>0</v>
      </c>
      <c r="AJL51" s="17">
        <v>0</v>
      </c>
      <c r="AJM51" s="17">
        <v>0</v>
      </c>
      <c r="AJN51" s="17">
        <v>0</v>
      </c>
      <c r="AJO51" s="17">
        <v>0</v>
      </c>
      <c r="AJP51" s="17">
        <v>0</v>
      </c>
      <c r="AJQ51" s="17">
        <v>0</v>
      </c>
      <c r="AJR51" s="17">
        <v>8.85</v>
      </c>
      <c r="AJS51" s="17">
        <v>4.3600000000000003</v>
      </c>
      <c r="AJT51" s="17">
        <v>0</v>
      </c>
      <c r="AJU51" s="17">
        <v>0</v>
      </c>
      <c r="AJV51" s="17">
        <v>0</v>
      </c>
      <c r="AKJ51" s="15">
        <v>0</v>
      </c>
      <c r="AKV51" s="31"/>
      <c r="AKZ51" s="31"/>
      <c r="ALD51" s="31"/>
      <c r="ALH51" s="31"/>
      <c r="ALL51" s="31"/>
      <c r="ALN51" s="15">
        <v>0</v>
      </c>
    </row>
    <row r="52" spans="1:1018" x14ac:dyDescent="0.2">
      <c r="A52" s="1" t="s">
        <v>399</v>
      </c>
      <c r="B52" s="12">
        <v>42900</v>
      </c>
      <c r="C52">
        <v>1</v>
      </c>
      <c r="D52" s="13">
        <v>39622</v>
      </c>
      <c r="E52" s="12">
        <v>29791</v>
      </c>
      <c r="F52" s="14">
        <f t="shared" si="0"/>
        <v>35.890485968514717</v>
      </c>
      <c r="G52" s="14">
        <f t="shared" si="1"/>
        <v>8.9746748802190286</v>
      </c>
      <c r="H52" s="15" t="s">
        <v>183</v>
      </c>
      <c r="I52" s="15" t="s">
        <v>383</v>
      </c>
      <c r="J52" s="21" t="s">
        <v>181</v>
      </c>
      <c r="K52" s="21">
        <v>4</v>
      </c>
      <c r="L52" s="19"/>
      <c r="M52">
        <v>1.69</v>
      </c>
      <c r="N52" s="16">
        <f t="shared" si="2"/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0</v>
      </c>
      <c r="X52" s="19">
        <v>0</v>
      </c>
      <c r="Y52" s="19">
        <v>0</v>
      </c>
      <c r="Z52" s="19">
        <v>0</v>
      </c>
      <c r="AA52" s="19">
        <v>0</v>
      </c>
      <c r="AB52" s="19">
        <v>0</v>
      </c>
      <c r="AC52" s="19">
        <v>0</v>
      </c>
      <c r="AD52" s="19">
        <v>0</v>
      </c>
      <c r="AE52" s="19">
        <v>0</v>
      </c>
      <c r="AF52" s="19">
        <v>0</v>
      </c>
      <c r="AG52" s="19">
        <v>0</v>
      </c>
      <c r="AH52" s="19">
        <v>0</v>
      </c>
      <c r="AI52" s="19">
        <v>0</v>
      </c>
      <c r="AJ52" s="19">
        <v>0</v>
      </c>
      <c r="AK52" s="19">
        <v>0</v>
      </c>
      <c r="AL52" s="19">
        <v>0</v>
      </c>
      <c r="AM52" s="19">
        <v>0</v>
      </c>
      <c r="AN52" s="19">
        <v>1</v>
      </c>
      <c r="AO52" s="19">
        <v>1</v>
      </c>
      <c r="AP52" s="19">
        <v>1</v>
      </c>
      <c r="AQ52" s="19">
        <v>5</v>
      </c>
      <c r="AR52" s="19"/>
      <c r="AS52" s="19">
        <v>1</v>
      </c>
      <c r="AT52" s="19">
        <v>1</v>
      </c>
      <c r="AU52" s="19">
        <v>1</v>
      </c>
      <c r="AV52" s="19">
        <v>2</v>
      </c>
      <c r="AW52" s="19"/>
      <c r="AX52" s="19">
        <v>0</v>
      </c>
      <c r="AY52" s="19">
        <v>0</v>
      </c>
      <c r="AZ52" s="19">
        <v>0</v>
      </c>
      <c r="BA52" s="19">
        <v>0</v>
      </c>
      <c r="BB52" s="19">
        <v>0</v>
      </c>
      <c r="BC52" s="19">
        <v>0</v>
      </c>
      <c r="BD52" s="19">
        <v>0</v>
      </c>
      <c r="BE52" s="19">
        <v>0</v>
      </c>
      <c r="BF52" s="19">
        <v>0</v>
      </c>
      <c r="BG52" s="19">
        <v>0</v>
      </c>
      <c r="BH52" s="19">
        <v>0</v>
      </c>
      <c r="BI52" s="19">
        <v>0</v>
      </c>
      <c r="BJ52" s="19">
        <v>0</v>
      </c>
      <c r="BK52" s="19">
        <v>0</v>
      </c>
      <c r="BL52" s="19">
        <v>0</v>
      </c>
      <c r="BM52" s="19">
        <v>0</v>
      </c>
      <c r="BN52" s="19">
        <v>0</v>
      </c>
      <c r="BO52" s="19">
        <v>0</v>
      </c>
      <c r="BP52" s="19">
        <v>0</v>
      </c>
      <c r="BQ52" s="19">
        <v>0</v>
      </c>
      <c r="BR52" s="19">
        <v>3</v>
      </c>
      <c r="BS52" s="19">
        <v>1</v>
      </c>
      <c r="BT52" s="19">
        <v>3</v>
      </c>
      <c r="BU52" s="19">
        <v>4</v>
      </c>
      <c r="BV52" s="19">
        <v>1</v>
      </c>
      <c r="BW52" s="19">
        <v>2</v>
      </c>
      <c r="BX52" s="19">
        <v>4</v>
      </c>
      <c r="BY52" s="19">
        <v>2</v>
      </c>
      <c r="BZ52" s="19">
        <v>3</v>
      </c>
      <c r="CA52" s="19">
        <v>3</v>
      </c>
      <c r="CB52" s="19">
        <v>3</v>
      </c>
      <c r="CC52" s="19">
        <v>5</v>
      </c>
      <c r="CD52" s="19">
        <v>4</v>
      </c>
      <c r="CE52" s="19">
        <v>5</v>
      </c>
      <c r="CF52" s="19">
        <v>5</v>
      </c>
      <c r="CG52" s="19">
        <v>5</v>
      </c>
      <c r="CH52" s="19">
        <v>4</v>
      </c>
      <c r="CI52" s="19">
        <v>4</v>
      </c>
      <c r="CJ52" s="19">
        <v>4</v>
      </c>
      <c r="CK52" s="19">
        <v>7</v>
      </c>
      <c r="CL52" s="30" t="s">
        <v>384</v>
      </c>
      <c r="CM52" s="15">
        <v>28.5</v>
      </c>
      <c r="CN52" s="17">
        <v>69.3</v>
      </c>
      <c r="CO52" s="17">
        <v>114</v>
      </c>
      <c r="CP52" s="17">
        <v>19.5</v>
      </c>
      <c r="CQ52" s="17">
        <v>79.150000000000006</v>
      </c>
      <c r="CR52" s="17">
        <v>0</v>
      </c>
      <c r="CS52" s="17">
        <v>3.87</v>
      </c>
      <c r="CT52" s="17">
        <v>2.86</v>
      </c>
      <c r="CU52" s="17">
        <v>14.12</v>
      </c>
      <c r="CV52" s="17">
        <v>0</v>
      </c>
      <c r="CW52" s="17">
        <v>0</v>
      </c>
      <c r="CX52" s="17">
        <v>0</v>
      </c>
      <c r="CY52" s="17">
        <v>0</v>
      </c>
      <c r="CZ52" s="17">
        <v>0</v>
      </c>
      <c r="DA52" s="17">
        <v>0</v>
      </c>
      <c r="DB52" s="17">
        <v>0.82</v>
      </c>
      <c r="DC52" s="17">
        <v>11.71</v>
      </c>
      <c r="DD52" s="17">
        <v>15.43</v>
      </c>
      <c r="DE52" s="17">
        <v>4.91</v>
      </c>
      <c r="DF52" s="17">
        <v>0</v>
      </c>
      <c r="DG52" s="17">
        <v>0</v>
      </c>
      <c r="DH52" s="17">
        <v>0</v>
      </c>
      <c r="DI52" s="17">
        <v>0</v>
      </c>
      <c r="DJ52" s="17">
        <v>0</v>
      </c>
      <c r="DK52" s="17">
        <v>0</v>
      </c>
      <c r="DL52" s="17">
        <v>0</v>
      </c>
      <c r="DM52" s="17">
        <v>0</v>
      </c>
      <c r="DN52" s="17">
        <v>0</v>
      </c>
      <c r="DO52" s="17">
        <v>0</v>
      </c>
      <c r="DP52" s="17">
        <v>0</v>
      </c>
      <c r="DQ52" s="17">
        <v>0</v>
      </c>
      <c r="DR52" s="17">
        <v>0</v>
      </c>
      <c r="DS52" s="17">
        <v>0</v>
      </c>
      <c r="DT52" s="17">
        <v>0</v>
      </c>
      <c r="DU52" s="17">
        <v>0</v>
      </c>
      <c r="DV52" s="17">
        <v>0</v>
      </c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31"/>
      <c r="EH52" s="17"/>
      <c r="EK52" s="31"/>
      <c r="EO52" s="31"/>
      <c r="ES52" s="31"/>
      <c r="EW52" s="31"/>
      <c r="EY52" s="15">
        <v>0</v>
      </c>
      <c r="GJ52" s="15">
        <v>0</v>
      </c>
      <c r="GK52" s="15">
        <v>0</v>
      </c>
      <c r="GU52" s="15">
        <v>8.6999999999999993</v>
      </c>
      <c r="GV52" s="15">
        <f t="shared" si="26"/>
        <v>15.43</v>
      </c>
      <c r="GW52" s="15">
        <v>0</v>
      </c>
      <c r="GX52" s="15">
        <v>0</v>
      </c>
      <c r="GY52" s="15">
        <v>0</v>
      </c>
      <c r="GZ52" s="15">
        <v>0</v>
      </c>
      <c r="HA52" s="15">
        <v>0</v>
      </c>
      <c r="HB52" s="15">
        <v>0</v>
      </c>
      <c r="HC52" s="15" t="s">
        <v>385</v>
      </c>
      <c r="HD52" s="15">
        <v>38.5</v>
      </c>
      <c r="HE52" s="17">
        <v>55</v>
      </c>
      <c r="HF52" s="17">
        <v>114</v>
      </c>
      <c r="HG52" s="17">
        <v>7.8</v>
      </c>
      <c r="HH52" s="17">
        <v>95.15</v>
      </c>
      <c r="HI52" s="17">
        <v>0</v>
      </c>
      <c r="HJ52" s="17">
        <v>3.78</v>
      </c>
      <c r="HK52" s="17">
        <v>0</v>
      </c>
      <c r="HL52" s="17">
        <v>1.07</v>
      </c>
      <c r="HM52" s="17">
        <v>0</v>
      </c>
      <c r="HN52" s="17">
        <v>0</v>
      </c>
      <c r="HO52" s="17">
        <v>0</v>
      </c>
      <c r="HP52" s="17">
        <v>0</v>
      </c>
      <c r="HQ52" s="17">
        <v>0</v>
      </c>
      <c r="HR52" s="17">
        <v>0</v>
      </c>
      <c r="HS52" s="17">
        <v>0</v>
      </c>
      <c r="HT52" s="17">
        <v>15.05</v>
      </c>
      <c r="HU52" s="17">
        <v>4.58</v>
      </c>
      <c r="HV52" s="17">
        <v>0.1</v>
      </c>
      <c r="HW52" s="17">
        <v>0</v>
      </c>
      <c r="HX52" s="17">
        <v>0</v>
      </c>
      <c r="HY52" s="17">
        <v>0</v>
      </c>
      <c r="IL52" s="15">
        <v>22.8</v>
      </c>
      <c r="IM52" s="15">
        <v>1</v>
      </c>
      <c r="IN52" s="15">
        <v>38</v>
      </c>
      <c r="IO52" s="15">
        <v>5</v>
      </c>
      <c r="IP52" s="15">
        <f t="shared" si="27"/>
        <v>3.54</v>
      </c>
      <c r="IQ52" s="15">
        <v>5</v>
      </c>
      <c r="IX52" s="31"/>
      <c r="JB52" s="31"/>
      <c r="JF52" s="31"/>
      <c r="JJ52" s="31"/>
      <c r="JN52" s="31"/>
      <c r="JP52" s="15">
        <v>0</v>
      </c>
      <c r="LA52" s="15">
        <v>0</v>
      </c>
      <c r="LB52" s="15">
        <v>0</v>
      </c>
      <c r="LL52" s="15">
        <v>7.84</v>
      </c>
      <c r="LM52" s="15">
        <f t="shared" si="28"/>
        <v>3.54</v>
      </c>
      <c r="LN52" s="15">
        <v>0</v>
      </c>
      <c r="LO52" s="15">
        <v>0</v>
      </c>
      <c r="LP52" s="15">
        <v>0</v>
      </c>
      <c r="LQ52" s="15">
        <v>0</v>
      </c>
      <c r="LR52" s="15">
        <v>0</v>
      </c>
      <c r="LS52" s="15">
        <v>0</v>
      </c>
      <c r="LT52" s="15" t="s">
        <v>386</v>
      </c>
      <c r="LU52" s="15">
        <v>38</v>
      </c>
      <c r="LV52" s="17">
        <v>48.8</v>
      </c>
      <c r="LW52" s="17">
        <v>114</v>
      </c>
      <c r="LX52" s="17">
        <v>7.2</v>
      </c>
      <c r="LY52" s="17">
        <v>96.13</v>
      </c>
      <c r="LZ52" s="17">
        <v>0</v>
      </c>
      <c r="MA52" s="17">
        <v>3.78</v>
      </c>
      <c r="MB52" s="17">
        <v>0</v>
      </c>
      <c r="MC52" s="17">
        <v>0.1</v>
      </c>
      <c r="MD52" s="17">
        <v>0</v>
      </c>
      <c r="ME52" s="17">
        <v>0</v>
      </c>
      <c r="MF52" s="17">
        <v>0</v>
      </c>
      <c r="MG52" s="17">
        <v>0</v>
      </c>
      <c r="MH52" s="17">
        <v>0</v>
      </c>
      <c r="MI52" s="17">
        <v>0</v>
      </c>
      <c r="MJ52" s="17">
        <v>0</v>
      </c>
      <c r="MK52" s="17">
        <v>12.85</v>
      </c>
      <c r="ML52" s="17">
        <v>4.58</v>
      </c>
      <c r="MM52" s="17">
        <v>0.1</v>
      </c>
      <c r="MN52" s="17">
        <v>0</v>
      </c>
      <c r="MO52" s="17">
        <v>0</v>
      </c>
      <c r="MP52" s="17">
        <v>0</v>
      </c>
      <c r="NC52" s="15">
        <v>22.8</v>
      </c>
      <c r="ND52" s="15">
        <v>1</v>
      </c>
      <c r="NE52" s="15">
        <v>38</v>
      </c>
      <c r="NF52" s="15">
        <v>5</v>
      </c>
      <c r="NG52" s="15">
        <f t="shared" si="29"/>
        <v>3.54</v>
      </c>
      <c r="NH52" s="15">
        <v>5</v>
      </c>
      <c r="NI52" s="15">
        <v>20</v>
      </c>
      <c r="NJ52" s="15">
        <v>4</v>
      </c>
      <c r="NK52" s="15">
        <v>0.28999999999999998</v>
      </c>
      <c r="NL52" s="15">
        <v>2</v>
      </c>
      <c r="NO52" s="31"/>
      <c r="NS52" s="31"/>
      <c r="NW52" s="31"/>
      <c r="OA52" s="31"/>
      <c r="OE52" s="31"/>
      <c r="OG52" s="15">
        <v>0</v>
      </c>
      <c r="PR52" s="15">
        <v>0</v>
      </c>
      <c r="PS52" s="15">
        <v>0</v>
      </c>
      <c r="QC52" s="15">
        <v>7.84</v>
      </c>
      <c r="QD52" s="15">
        <f t="shared" si="30"/>
        <v>3.54</v>
      </c>
      <c r="QE52" s="15">
        <v>0</v>
      </c>
      <c r="QF52" s="15">
        <v>0</v>
      </c>
      <c r="QG52" s="15">
        <v>0</v>
      </c>
      <c r="QH52" s="15">
        <v>0</v>
      </c>
      <c r="QI52" s="15">
        <v>0</v>
      </c>
      <c r="QJ52" s="15">
        <v>0</v>
      </c>
      <c r="QK52" s="15" t="s">
        <v>387</v>
      </c>
      <c r="QL52" s="15">
        <v>64</v>
      </c>
      <c r="QM52" s="17">
        <v>70.599999999999994</v>
      </c>
      <c r="QN52" s="17">
        <v>114</v>
      </c>
      <c r="QO52" s="17">
        <v>14.9</v>
      </c>
      <c r="QP52" s="17">
        <v>88.29</v>
      </c>
      <c r="QQ52" s="17">
        <v>0</v>
      </c>
      <c r="QR52" s="17">
        <v>9.81</v>
      </c>
      <c r="QS52" s="17">
        <v>1.64</v>
      </c>
      <c r="QT52" s="17">
        <v>0.26</v>
      </c>
      <c r="QU52" s="17">
        <v>0</v>
      </c>
      <c r="QV52" s="17">
        <v>0</v>
      </c>
      <c r="QW52" s="17">
        <v>0</v>
      </c>
      <c r="QX52" s="17">
        <v>0</v>
      </c>
      <c r="QY52" s="17">
        <v>0</v>
      </c>
      <c r="QZ52" s="17">
        <v>0</v>
      </c>
      <c r="RA52" s="17">
        <v>0.55000000000000004</v>
      </c>
      <c r="RB52" s="17">
        <v>22.64</v>
      </c>
      <c r="RC52" s="17">
        <v>2.58</v>
      </c>
      <c r="RD52" s="17">
        <v>0.13</v>
      </c>
      <c r="RE52" s="17">
        <v>0</v>
      </c>
      <c r="RF52" s="17">
        <v>0</v>
      </c>
      <c r="RG52" s="17">
        <v>0</v>
      </c>
      <c r="RT52" s="15">
        <v>40.4</v>
      </c>
      <c r="RU52" s="15">
        <v>1</v>
      </c>
      <c r="RV52" s="15">
        <v>38</v>
      </c>
      <c r="RW52" s="15">
        <v>9</v>
      </c>
      <c r="RX52" s="15">
        <v>5.52</v>
      </c>
      <c r="RY52" s="15">
        <v>5</v>
      </c>
      <c r="RZ52" s="15">
        <v>23</v>
      </c>
      <c r="SA52" s="15">
        <v>1</v>
      </c>
      <c r="SB52" s="15">
        <v>0.09</v>
      </c>
      <c r="SC52" s="15">
        <v>3</v>
      </c>
      <c r="SF52" s="31"/>
      <c r="SJ52" s="31"/>
      <c r="SN52" s="31"/>
      <c r="SR52" s="31"/>
      <c r="SV52" s="31"/>
      <c r="SX52" s="15">
        <v>0</v>
      </c>
      <c r="UI52" s="15">
        <v>0</v>
      </c>
      <c r="UJ52" s="15">
        <v>0</v>
      </c>
      <c r="UT52" s="15">
        <v>8.33</v>
      </c>
      <c r="UU52" s="15">
        <v>5.52</v>
      </c>
      <c r="UV52" s="15">
        <v>0</v>
      </c>
      <c r="UW52" s="15">
        <v>0</v>
      </c>
      <c r="UX52" s="15">
        <v>0</v>
      </c>
      <c r="UY52" s="15">
        <v>0</v>
      </c>
      <c r="UZ52" s="15">
        <v>0</v>
      </c>
      <c r="VA52" s="15">
        <v>0</v>
      </c>
      <c r="VB52" s="15" t="s">
        <v>388</v>
      </c>
      <c r="VC52" s="15">
        <v>64</v>
      </c>
      <c r="VD52" s="17">
        <v>79.5</v>
      </c>
      <c r="VE52" s="17">
        <v>114</v>
      </c>
      <c r="VF52" s="17">
        <v>15</v>
      </c>
      <c r="VG52" s="17">
        <v>88.29</v>
      </c>
      <c r="VH52" s="17">
        <v>0</v>
      </c>
      <c r="VI52" s="17">
        <v>9.81</v>
      </c>
      <c r="VJ52" s="17">
        <v>1.64</v>
      </c>
      <c r="VK52" s="17">
        <v>0.26</v>
      </c>
      <c r="VL52" s="17">
        <v>0</v>
      </c>
      <c r="VM52" s="17">
        <v>0</v>
      </c>
      <c r="VN52" s="17">
        <v>0</v>
      </c>
      <c r="VO52" s="17">
        <v>0</v>
      </c>
      <c r="VP52" s="17">
        <v>0</v>
      </c>
      <c r="VQ52" s="17">
        <v>0</v>
      </c>
      <c r="VR52" s="17">
        <v>0.55000000000000004</v>
      </c>
      <c r="VS52" s="17">
        <v>24</v>
      </c>
      <c r="VT52" s="17">
        <v>4.3099999999999996</v>
      </c>
      <c r="VU52" s="17">
        <v>0.82</v>
      </c>
      <c r="VV52" s="17">
        <v>0</v>
      </c>
      <c r="VW52" s="17">
        <v>0</v>
      </c>
      <c r="VX52" s="17">
        <v>0</v>
      </c>
      <c r="VY52" s="17"/>
      <c r="WK52" s="15">
        <v>40.4</v>
      </c>
      <c r="WL52" s="15">
        <v>1</v>
      </c>
      <c r="WM52" s="15">
        <v>38</v>
      </c>
      <c r="WN52" s="15">
        <v>9</v>
      </c>
      <c r="WO52" s="15">
        <v>5.52</v>
      </c>
      <c r="WP52" s="15">
        <v>5</v>
      </c>
      <c r="WQ52" s="15">
        <v>23</v>
      </c>
      <c r="WR52" s="15">
        <v>1</v>
      </c>
      <c r="WS52" s="15">
        <v>0.09</v>
      </c>
      <c r="WT52" s="15">
        <v>3</v>
      </c>
      <c r="WW52" s="31"/>
      <c r="XA52" s="31"/>
      <c r="XE52" s="31"/>
      <c r="XI52" s="31"/>
      <c r="XM52" s="31"/>
      <c r="XO52" s="15">
        <v>0</v>
      </c>
      <c r="YZ52" s="15">
        <v>0</v>
      </c>
      <c r="ZA52" s="15">
        <v>0</v>
      </c>
      <c r="ZK52" s="15">
        <v>8.33</v>
      </c>
      <c r="ZL52" s="15">
        <v>5.52</v>
      </c>
      <c r="ZM52" s="15">
        <v>0</v>
      </c>
      <c r="ZN52" s="15">
        <v>0</v>
      </c>
      <c r="ZO52" s="15">
        <v>0</v>
      </c>
      <c r="ZP52" s="15">
        <v>0</v>
      </c>
      <c r="ZQ52" s="15">
        <v>0</v>
      </c>
      <c r="ZR52" s="15">
        <v>0</v>
      </c>
      <c r="ZS52" s="15" t="s">
        <v>196</v>
      </c>
      <c r="ZT52" s="15">
        <v>24.5</v>
      </c>
      <c r="ZU52" s="17">
        <v>58.4</v>
      </c>
      <c r="ZV52" s="17">
        <v>114</v>
      </c>
      <c r="ZW52" s="17">
        <v>12</v>
      </c>
      <c r="ZX52" s="17">
        <v>92.09</v>
      </c>
      <c r="ZY52" s="17">
        <v>0</v>
      </c>
      <c r="ZZ52" s="17">
        <v>0</v>
      </c>
      <c r="AAA52" s="17">
        <v>5.57</v>
      </c>
      <c r="AAB52" s="17">
        <v>2.35</v>
      </c>
      <c r="AAC52" s="17">
        <v>0</v>
      </c>
      <c r="AAD52" s="17">
        <v>0</v>
      </c>
      <c r="AAE52" s="17">
        <v>0</v>
      </c>
      <c r="AAF52" s="17">
        <v>0</v>
      </c>
      <c r="AAG52" s="17">
        <v>0</v>
      </c>
      <c r="AAH52" s="17">
        <v>0</v>
      </c>
      <c r="AAI52" s="17">
        <v>8.58</v>
      </c>
      <c r="AAJ52" s="17">
        <v>3.1</v>
      </c>
      <c r="AAK52" s="17">
        <v>0.55000000000000004</v>
      </c>
      <c r="AAL52" s="17">
        <v>0.71</v>
      </c>
      <c r="AAM52" s="17">
        <v>0</v>
      </c>
      <c r="AAN52" s="17">
        <v>0</v>
      </c>
      <c r="AAO52" s="17">
        <v>0</v>
      </c>
      <c r="ABB52" s="15">
        <v>7.2</v>
      </c>
      <c r="ABC52" s="15">
        <v>1</v>
      </c>
      <c r="ABD52" s="17">
        <v>30</v>
      </c>
      <c r="ABE52" s="17">
        <v>2</v>
      </c>
      <c r="ABF52" s="17">
        <v>1.0900000000000001</v>
      </c>
      <c r="ABG52" s="17">
        <v>4</v>
      </c>
      <c r="ABH52" s="17">
        <v>30</v>
      </c>
      <c r="ABI52" s="17">
        <v>2</v>
      </c>
      <c r="ABJ52" s="17">
        <v>0.27</v>
      </c>
      <c r="ABK52" s="17">
        <v>2</v>
      </c>
      <c r="ABL52" s="17">
        <v>34</v>
      </c>
      <c r="ABM52" s="17">
        <v>1</v>
      </c>
      <c r="ABN52" s="31">
        <v>1.0900000000000001</v>
      </c>
      <c r="ABO52" s="17">
        <v>1</v>
      </c>
      <c r="ABR52" s="31"/>
      <c r="ABV52" s="31"/>
      <c r="ABZ52" s="31"/>
      <c r="ACD52" s="31"/>
      <c r="ACF52" s="15">
        <v>0</v>
      </c>
      <c r="ADQ52" s="15">
        <v>0</v>
      </c>
      <c r="ADR52" s="15">
        <v>0</v>
      </c>
      <c r="AEB52" s="15">
        <v>5.3</v>
      </c>
      <c r="AEC52" s="15">
        <f t="shared" si="31"/>
        <v>9.17</v>
      </c>
      <c r="AED52" s="15">
        <v>0</v>
      </c>
      <c r="AEE52" s="15">
        <v>0</v>
      </c>
      <c r="AEF52" s="15">
        <v>0</v>
      </c>
      <c r="AEG52" s="15">
        <v>8.58</v>
      </c>
      <c r="AEH52" s="15">
        <v>0</v>
      </c>
      <c r="AEI52" s="15">
        <v>0</v>
      </c>
      <c r="AEJ52" s="15" t="s">
        <v>195</v>
      </c>
      <c r="AEK52" s="15">
        <v>22</v>
      </c>
      <c r="AEL52" s="17">
        <v>44.2</v>
      </c>
      <c r="AEM52" s="17">
        <v>114</v>
      </c>
      <c r="AEN52" s="17">
        <v>10.9</v>
      </c>
      <c r="AEO52" s="17">
        <v>92.8</v>
      </c>
      <c r="AEP52" s="17">
        <v>0</v>
      </c>
      <c r="AEQ52" s="17">
        <v>0</v>
      </c>
      <c r="AER52" s="17">
        <v>5.57</v>
      </c>
      <c r="AES52" s="17">
        <v>1.64</v>
      </c>
      <c r="AET52" s="17">
        <v>0</v>
      </c>
      <c r="AEU52" s="17">
        <v>0</v>
      </c>
      <c r="AEV52" s="17">
        <v>0</v>
      </c>
      <c r="AEW52" s="17">
        <v>0</v>
      </c>
      <c r="AEX52" s="17">
        <v>0</v>
      </c>
      <c r="AEY52" s="17">
        <v>0</v>
      </c>
      <c r="AEZ52" s="17">
        <v>8.58</v>
      </c>
      <c r="AFA52" s="17">
        <v>1.57</v>
      </c>
      <c r="AFB52" s="17">
        <v>0.55000000000000004</v>
      </c>
      <c r="AFC52" s="17">
        <v>0</v>
      </c>
      <c r="AFD52" s="17">
        <v>0</v>
      </c>
      <c r="AFE52" s="17">
        <v>0</v>
      </c>
      <c r="AFF52" s="17">
        <v>0</v>
      </c>
      <c r="AFS52" s="15">
        <v>7.15</v>
      </c>
      <c r="AFT52" s="15">
        <v>1</v>
      </c>
      <c r="AFU52" s="17">
        <v>30</v>
      </c>
      <c r="AFV52" s="17">
        <v>2</v>
      </c>
      <c r="AFW52" s="17">
        <v>1.0900000000000001</v>
      </c>
      <c r="AFX52" s="17">
        <v>4</v>
      </c>
      <c r="AFY52" s="17">
        <v>30</v>
      </c>
      <c r="AFZ52" s="17">
        <v>2</v>
      </c>
      <c r="AGA52" s="17">
        <v>0.27</v>
      </c>
      <c r="AGB52" s="17">
        <v>2</v>
      </c>
      <c r="AGC52" s="17">
        <v>34</v>
      </c>
      <c r="AGD52" s="17">
        <v>1</v>
      </c>
      <c r="AGE52" s="31">
        <v>1.0900000000000001</v>
      </c>
      <c r="AGF52" s="17">
        <v>1</v>
      </c>
      <c r="AGI52" s="31"/>
      <c r="AGM52" s="31"/>
      <c r="AGQ52" s="31"/>
      <c r="AGU52" s="31"/>
      <c r="AIH52" s="15">
        <v>0</v>
      </c>
      <c r="AII52" s="15">
        <v>0</v>
      </c>
      <c r="AIS52" s="15">
        <v>2.59</v>
      </c>
      <c r="AIT52" s="15">
        <f t="shared" si="32"/>
        <v>0.59000000000000008</v>
      </c>
      <c r="AIU52" s="15">
        <v>0</v>
      </c>
      <c r="AIV52" s="15">
        <v>0</v>
      </c>
      <c r="AIW52" s="15">
        <v>0</v>
      </c>
      <c r="AIX52" s="15">
        <v>0</v>
      </c>
      <c r="AIY52" s="15">
        <v>1.03</v>
      </c>
      <c r="AIZ52" s="15">
        <v>0</v>
      </c>
      <c r="AJA52" s="15" t="s">
        <v>389</v>
      </c>
      <c r="AJB52" s="15">
        <v>10</v>
      </c>
      <c r="AJC52" s="17">
        <v>46.2</v>
      </c>
      <c r="AJD52" s="17">
        <v>114</v>
      </c>
      <c r="AJE52" s="17">
        <v>6.3</v>
      </c>
      <c r="AJF52" s="17">
        <v>0</v>
      </c>
      <c r="AJG52" s="17">
        <v>0</v>
      </c>
      <c r="AJH52" s="17">
        <v>1.91</v>
      </c>
      <c r="AJI52" s="17">
        <v>0</v>
      </c>
      <c r="AJJ52" s="17">
        <v>1.91</v>
      </c>
      <c r="AJK52" s="17">
        <v>0</v>
      </c>
      <c r="AJL52" s="17">
        <v>0</v>
      </c>
      <c r="AJM52" s="17">
        <v>0</v>
      </c>
      <c r="AJN52" s="17">
        <v>0</v>
      </c>
      <c r="AJO52" s="17">
        <v>0</v>
      </c>
      <c r="AJP52" s="17">
        <v>0</v>
      </c>
      <c r="AJQ52" s="17">
        <v>0</v>
      </c>
      <c r="AJR52" s="17">
        <v>8.85</v>
      </c>
      <c r="AJS52" s="17">
        <v>4.3600000000000003</v>
      </c>
      <c r="AJT52" s="17">
        <v>0</v>
      </c>
      <c r="AJU52" s="17">
        <v>0</v>
      </c>
      <c r="AJV52" s="17">
        <v>0</v>
      </c>
      <c r="AKJ52" s="15">
        <v>0</v>
      </c>
      <c r="AKV52" s="31"/>
      <c r="AKZ52" s="31"/>
      <c r="ALD52" s="31"/>
      <c r="ALH52" s="31"/>
      <c r="ALL52" s="31"/>
      <c r="ALN52" s="15">
        <v>0</v>
      </c>
    </row>
    <row r="53" spans="1:1018" x14ac:dyDescent="0.2">
      <c r="A53" s="1" t="s">
        <v>400</v>
      </c>
      <c r="B53" s="12">
        <v>42900</v>
      </c>
      <c r="C53">
        <v>1</v>
      </c>
      <c r="D53" s="13">
        <v>34736</v>
      </c>
      <c r="E53" s="12">
        <v>23866</v>
      </c>
      <c r="F53" s="14">
        <f t="shared" si="0"/>
        <v>52.112251882272417</v>
      </c>
      <c r="G53" s="14">
        <f t="shared" si="1"/>
        <v>22.351813826146476</v>
      </c>
      <c r="H53" s="15" t="s">
        <v>183</v>
      </c>
      <c r="I53" s="15" t="s">
        <v>383</v>
      </c>
      <c r="J53" s="21" t="s">
        <v>181</v>
      </c>
      <c r="K53" s="21">
        <v>4</v>
      </c>
      <c r="L53" s="19">
        <v>58.7</v>
      </c>
      <c r="M53">
        <v>1.6</v>
      </c>
      <c r="N53" s="16">
        <f t="shared" si="2"/>
        <v>22.929687499999996</v>
      </c>
      <c r="O53" s="19">
        <v>0</v>
      </c>
      <c r="P53" s="19">
        <v>0</v>
      </c>
      <c r="Q53" s="19">
        <v>0</v>
      </c>
      <c r="R53" s="19">
        <v>1</v>
      </c>
      <c r="S53" s="19">
        <v>0</v>
      </c>
      <c r="T53" s="19">
        <v>0</v>
      </c>
      <c r="U53" s="19">
        <v>0</v>
      </c>
      <c r="V53" s="19">
        <v>0</v>
      </c>
      <c r="W53" s="19">
        <v>1</v>
      </c>
      <c r="X53" s="19">
        <v>0</v>
      </c>
      <c r="Y53" s="19">
        <v>0</v>
      </c>
      <c r="Z53" s="19">
        <v>0</v>
      </c>
      <c r="AA53" s="19">
        <v>0</v>
      </c>
      <c r="AB53" s="19">
        <v>0</v>
      </c>
      <c r="AC53" s="19">
        <v>1</v>
      </c>
      <c r="AD53" s="19">
        <v>1</v>
      </c>
      <c r="AE53" s="19">
        <v>1</v>
      </c>
      <c r="AF53" s="19">
        <v>1</v>
      </c>
      <c r="AG53" s="19">
        <v>1</v>
      </c>
      <c r="AH53" s="19">
        <v>3</v>
      </c>
      <c r="AI53" s="19">
        <v>3</v>
      </c>
      <c r="AJ53" s="19">
        <v>3</v>
      </c>
      <c r="AK53" s="19">
        <v>3</v>
      </c>
      <c r="AL53" s="19">
        <v>9</v>
      </c>
      <c r="AM53" s="19">
        <v>3</v>
      </c>
      <c r="AN53" s="19">
        <v>3</v>
      </c>
      <c r="AO53" s="19">
        <v>3</v>
      </c>
      <c r="AP53" s="19">
        <v>3</v>
      </c>
      <c r="AQ53" s="19">
        <v>7</v>
      </c>
      <c r="AR53" s="19">
        <v>3</v>
      </c>
      <c r="AS53" s="19">
        <v>3</v>
      </c>
      <c r="AT53" s="19">
        <v>3</v>
      </c>
      <c r="AU53" s="19">
        <v>3</v>
      </c>
      <c r="AV53" s="19">
        <v>7</v>
      </c>
      <c r="AW53" s="19">
        <v>7</v>
      </c>
      <c r="AX53" s="19"/>
      <c r="AY53" s="19"/>
      <c r="AZ53" s="19"/>
      <c r="BA53" s="19"/>
      <c r="BB53" s="19">
        <v>1</v>
      </c>
      <c r="BC53" s="19">
        <v>1</v>
      </c>
      <c r="BD53" s="19">
        <v>1</v>
      </c>
      <c r="BE53" s="19">
        <v>4</v>
      </c>
      <c r="BF53" s="19">
        <v>0</v>
      </c>
      <c r="BG53" s="19">
        <v>0</v>
      </c>
      <c r="BH53" s="19">
        <v>0</v>
      </c>
      <c r="BI53" s="19">
        <v>0</v>
      </c>
      <c r="BJ53" s="19">
        <v>1</v>
      </c>
      <c r="BK53" s="19">
        <v>1</v>
      </c>
      <c r="BL53" s="19">
        <v>1</v>
      </c>
      <c r="BM53" s="19">
        <v>6</v>
      </c>
      <c r="BN53" s="19">
        <v>1</v>
      </c>
      <c r="BO53" s="19">
        <v>1</v>
      </c>
      <c r="BP53" s="19">
        <v>1</v>
      </c>
      <c r="BQ53" s="19">
        <v>5</v>
      </c>
      <c r="BR53" s="19">
        <v>3</v>
      </c>
      <c r="BS53" s="19">
        <v>1</v>
      </c>
      <c r="BT53" s="19">
        <v>2</v>
      </c>
      <c r="BU53" s="19">
        <v>4</v>
      </c>
      <c r="BV53" s="19">
        <v>2</v>
      </c>
      <c r="BW53" s="19">
        <v>3</v>
      </c>
      <c r="BX53" s="19">
        <v>2</v>
      </c>
      <c r="BY53" s="19">
        <v>3</v>
      </c>
      <c r="BZ53" s="19">
        <v>1</v>
      </c>
      <c r="CA53" s="19">
        <v>1</v>
      </c>
      <c r="CB53" s="19">
        <v>3</v>
      </c>
      <c r="CC53" s="19">
        <v>5</v>
      </c>
      <c r="CD53" s="19">
        <v>3</v>
      </c>
      <c r="CE53" s="19">
        <v>3</v>
      </c>
      <c r="CF53" s="19">
        <v>2</v>
      </c>
      <c r="CG53" s="19">
        <v>3</v>
      </c>
      <c r="CH53" s="19">
        <v>3</v>
      </c>
      <c r="CI53" s="19">
        <v>3</v>
      </c>
      <c r="CJ53" s="19">
        <v>1</v>
      </c>
      <c r="CK53" s="19">
        <v>5</v>
      </c>
      <c r="CL53" s="30" t="s">
        <v>384</v>
      </c>
      <c r="CM53" s="15">
        <v>28.5</v>
      </c>
      <c r="CN53" s="17">
        <v>69.3</v>
      </c>
      <c r="CO53" s="17">
        <v>114</v>
      </c>
      <c r="CP53" s="17">
        <v>19.5</v>
      </c>
      <c r="CQ53" s="17">
        <v>79.150000000000006</v>
      </c>
      <c r="CR53" s="17">
        <v>0</v>
      </c>
      <c r="CS53" s="17">
        <v>3.87</v>
      </c>
      <c r="CT53" s="17">
        <v>2.86</v>
      </c>
      <c r="CU53" s="17">
        <v>14.12</v>
      </c>
      <c r="CV53" s="17">
        <v>0</v>
      </c>
      <c r="CW53" s="17">
        <v>0</v>
      </c>
      <c r="CX53" s="17">
        <v>0</v>
      </c>
      <c r="CY53" s="17">
        <v>0</v>
      </c>
      <c r="CZ53" s="17">
        <v>0</v>
      </c>
      <c r="DA53" s="17">
        <v>0</v>
      </c>
      <c r="DB53" s="17">
        <v>0.82</v>
      </c>
      <c r="DC53" s="17">
        <v>11.71</v>
      </c>
      <c r="DD53" s="17">
        <v>15.43</v>
      </c>
      <c r="DE53" s="17">
        <v>4.91</v>
      </c>
      <c r="DF53" s="17">
        <v>0</v>
      </c>
      <c r="DG53" s="17">
        <v>0</v>
      </c>
      <c r="DH53" s="17">
        <v>0</v>
      </c>
      <c r="DI53" s="17">
        <v>0</v>
      </c>
      <c r="DJ53" s="17">
        <v>0</v>
      </c>
      <c r="DK53" s="17">
        <v>0</v>
      </c>
      <c r="DL53" s="17">
        <v>0</v>
      </c>
      <c r="DM53" s="17">
        <v>0</v>
      </c>
      <c r="DN53" s="17">
        <v>0</v>
      </c>
      <c r="DO53" s="17">
        <v>0</v>
      </c>
      <c r="DP53" s="17">
        <v>0</v>
      </c>
      <c r="DQ53" s="17">
        <v>0</v>
      </c>
      <c r="DR53" s="17">
        <v>0</v>
      </c>
      <c r="DS53" s="17">
        <v>0</v>
      </c>
      <c r="DT53" s="17">
        <v>0</v>
      </c>
      <c r="DU53" s="17">
        <v>0</v>
      </c>
      <c r="DV53" s="17">
        <v>0</v>
      </c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31"/>
      <c r="EH53" s="17"/>
      <c r="EK53" s="31"/>
      <c r="EO53" s="31"/>
      <c r="ES53" s="31"/>
      <c r="EW53" s="31"/>
      <c r="EY53" s="15">
        <v>0</v>
      </c>
      <c r="GJ53" s="15">
        <v>0</v>
      </c>
      <c r="GK53" s="15">
        <v>0</v>
      </c>
      <c r="GU53" s="15">
        <v>8.6999999999999993</v>
      </c>
      <c r="GV53" s="15">
        <f t="shared" si="26"/>
        <v>15.43</v>
      </c>
      <c r="GW53" s="15">
        <v>0</v>
      </c>
      <c r="GX53" s="15">
        <v>0</v>
      </c>
      <c r="GY53" s="15">
        <v>0</v>
      </c>
      <c r="GZ53" s="15">
        <v>0</v>
      </c>
      <c r="HA53" s="15">
        <v>0</v>
      </c>
      <c r="HB53" s="15">
        <v>0</v>
      </c>
      <c r="HC53" s="15" t="s">
        <v>385</v>
      </c>
      <c r="HD53" s="15">
        <v>38.5</v>
      </c>
      <c r="HE53" s="17">
        <v>55</v>
      </c>
      <c r="HF53" s="17">
        <v>114</v>
      </c>
      <c r="HG53" s="17">
        <v>7.8</v>
      </c>
      <c r="HH53" s="17">
        <v>95.15</v>
      </c>
      <c r="HI53" s="17">
        <v>0</v>
      </c>
      <c r="HJ53" s="17">
        <v>3.78</v>
      </c>
      <c r="HK53" s="17">
        <v>0</v>
      </c>
      <c r="HL53" s="17">
        <v>1.07</v>
      </c>
      <c r="HM53" s="17">
        <v>0</v>
      </c>
      <c r="HN53" s="17">
        <v>0</v>
      </c>
      <c r="HO53" s="17">
        <v>0</v>
      </c>
      <c r="HP53" s="17">
        <v>0</v>
      </c>
      <c r="HQ53" s="17">
        <v>0</v>
      </c>
      <c r="HR53" s="17">
        <v>0</v>
      </c>
      <c r="HS53" s="17">
        <v>0</v>
      </c>
      <c r="HT53" s="17">
        <v>15.05</v>
      </c>
      <c r="HU53" s="17">
        <v>4.58</v>
      </c>
      <c r="HV53" s="17">
        <v>0.1</v>
      </c>
      <c r="HW53" s="17">
        <v>0</v>
      </c>
      <c r="HX53" s="17">
        <v>0</v>
      </c>
      <c r="HY53" s="17">
        <v>0</v>
      </c>
      <c r="IL53" s="15">
        <v>22.8</v>
      </c>
      <c r="IM53" s="15">
        <v>1</v>
      </c>
      <c r="IN53" s="15">
        <v>38</v>
      </c>
      <c r="IO53" s="15">
        <v>5</v>
      </c>
      <c r="IP53" s="15">
        <f t="shared" si="27"/>
        <v>3.54</v>
      </c>
      <c r="IQ53" s="15">
        <v>5</v>
      </c>
      <c r="IX53" s="31"/>
      <c r="JB53" s="31"/>
      <c r="JF53" s="31"/>
      <c r="JJ53" s="31"/>
      <c r="JN53" s="31"/>
      <c r="JP53" s="15">
        <v>0</v>
      </c>
      <c r="LA53" s="15">
        <v>0</v>
      </c>
      <c r="LB53" s="15">
        <v>0</v>
      </c>
      <c r="LL53" s="15">
        <v>7.84</v>
      </c>
      <c r="LM53" s="15">
        <f t="shared" si="28"/>
        <v>3.54</v>
      </c>
      <c r="LN53" s="15">
        <v>0</v>
      </c>
      <c r="LO53" s="15">
        <v>0</v>
      </c>
      <c r="LP53" s="15">
        <v>0</v>
      </c>
      <c r="LQ53" s="15">
        <v>0</v>
      </c>
      <c r="LR53" s="15">
        <v>0</v>
      </c>
      <c r="LS53" s="15">
        <v>0</v>
      </c>
      <c r="LT53" s="15" t="s">
        <v>386</v>
      </c>
      <c r="LU53" s="15">
        <v>38</v>
      </c>
      <c r="LV53" s="17">
        <v>48.8</v>
      </c>
      <c r="LW53" s="17">
        <v>114</v>
      </c>
      <c r="LX53" s="17">
        <v>7.2</v>
      </c>
      <c r="LY53" s="17">
        <v>96.13</v>
      </c>
      <c r="LZ53" s="17">
        <v>0</v>
      </c>
      <c r="MA53" s="17">
        <v>3.78</v>
      </c>
      <c r="MB53" s="17">
        <v>0</v>
      </c>
      <c r="MC53" s="17">
        <v>0.1</v>
      </c>
      <c r="MD53" s="17">
        <v>0</v>
      </c>
      <c r="ME53" s="17">
        <v>0</v>
      </c>
      <c r="MF53" s="17">
        <v>0</v>
      </c>
      <c r="MG53" s="17">
        <v>0</v>
      </c>
      <c r="MH53" s="17">
        <v>0</v>
      </c>
      <c r="MI53" s="17">
        <v>0</v>
      </c>
      <c r="MJ53" s="17">
        <v>0</v>
      </c>
      <c r="MK53" s="17">
        <v>12.85</v>
      </c>
      <c r="ML53" s="17">
        <v>4.58</v>
      </c>
      <c r="MM53" s="17">
        <v>0.1</v>
      </c>
      <c r="MN53" s="17">
        <v>0</v>
      </c>
      <c r="MO53" s="17">
        <v>0</v>
      </c>
      <c r="MP53" s="17">
        <v>0</v>
      </c>
      <c r="NC53" s="15">
        <v>22.8</v>
      </c>
      <c r="ND53" s="15">
        <v>1</v>
      </c>
      <c r="NE53" s="15">
        <v>38</v>
      </c>
      <c r="NF53" s="15">
        <v>5</v>
      </c>
      <c r="NG53" s="15">
        <f t="shared" si="29"/>
        <v>3.54</v>
      </c>
      <c r="NH53" s="15">
        <v>5</v>
      </c>
      <c r="NI53" s="15">
        <v>20</v>
      </c>
      <c r="NJ53" s="15">
        <v>4</v>
      </c>
      <c r="NK53" s="15">
        <v>0.28999999999999998</v>
      </c>
      <c r="NL53" s="15">
        <v>2</v>
      </c>
      <c r="NO53" s="31"/>
      <c r="NS53" s="31"/>
      <c r="NW53" s="31"/>
      <c r="OA53" s="31"/>
      <c r="OE53" s="31"/>
      <c r="OG53" s="15">
        <v>0</v>
      </c>
      <c r="PR53" s="15">
        <v>0</v>
      </c>
      <c r="PS53" s="15">
        <v>0</v>
      </c>
      <c r="QC53" s="15">
        <v>7.84</v>
      </c>
      <c r="QD53" s="15">
        <f t="shared" si="30"/>
        <v>3.54</v>
      </c>
      <c r="QE53" s="15">
        <v>0</v>
      </c>
      <c r="QF53" s="15">
        <v>0</v>
      </c>
      <c r="QG53" s="15">
        <v>0</v>
      </c>
      <c r="QH53" s="15">
        <v>0</v>
      </c>
      <c r="QI53" s="15">
        <v>0</v>
      </c>
      <c r="QJ53" s="15">
        <v>0</v>
      </c>
      <c r="QK53" s="15" t="s">
        <v>387</v>
      </c>
      <c r="QL53" s="15">
        <v>64</v>
      </c>
      <c r="QM53" s="17">
        <v>70.599999999999994</v>
      </c>
      <c r="QN53" s="17">
        <v>114</v>
      </c>
      <c r="QO53" s="17">
        <v>14.9</v>
      </c>
      <c r="QP53" s="17">
        <v>88.29</v>
      </c>
      <c r="QQ53" s="17">
        <v>0</v>
      </c>
      <c r="QR53" s="17">
        <v>9.81</v>
      </c>
      <c r="QS53" s="17">
        <v>1.64</v>
      </c>
      <c r="QT53" s="17">
        <v>0.26</v>
      </c>
      <c r="QU53" s="17">
        <v>0</v>
      </c>
      <c r="QV53" s="17">
        <v>0</v>
      </c>
      <c r="QW53" s="17">
        <v>0</v>
      </c>
      <c r="QX53" s="17">
        <v>0</v>
      </c>
      <c r="QY53" s="17">
        <v>0</v>
      </c>
      <c r="QZ53" s="17">
        <v>0</v>
      </c>
      <c r="RA53" s="17">
        <v>0.55000000000000004</v>
      </c>
      <c r="RB53" s="17">
        <v>22.64</v>
      </c>
      <c r="RC53" s="17">
        <v>2.58</v>
      </c>
      <c r="RD53" s="17">
        <v>0.13</v>
      </c>
      <c r="RE53" s="17">
        <v>0</v>
      </c>
      <c r="RF53" s="17">
        <v>0</v>
      </c>
      <c r="RG53" s="17">
        <v>0</v>
      </c>
      <c r="RT53" s="15">
        <v>40.4</v>
      </c>
      <c r="RU53" s="15">
        <v>1</v>
      </c>
      <c r="RV53" s="15">
        <v>38</v>
      </c>
      <c r="RW53" s="15">
        <v>9</v>
      </c>
      <c r="RX53" s="15">
        <v>5.52</v>
      </c>
      <c r="RY53" s="15">
        <v>5</v>
      </c>
      <c r="RZ53" s="15">
        <v>23</v>
      </c>
      <c r="SA53" s="15">
        <v>1</v>
      </c>
      <c r="SB53" s="15">
        <v>0.09</v>
      </c>
      <c r="SC53" s="15">
        <v>3</v>
      </c>
      <c r="SF53" s="31"/>
      <c r="SJ53" s="31"/>
      <c r="SN53" s="31"/>
      <c r="SR53" s="31"/>
      <c r="SV53" s="31"/>
      <c r="SX53" s="15">
        <v>0</v>
      </c>
      <c r="UI53" s="15">
        <v>0</v>
      </c>
      <c r="UJ53" s="15">
        <v>0</v>
      </c>
      <c r="UT53" s="15">
        <v>8.33</v>
      </c>
      <c r="UU53" s="15">
        <v>5.52</v>
      </c>
      <c r="UV53" s="15">
        <v>0</v>
      </c>
      <c r="UW53" s="15">
        <v>0</v>
      </c>
      <c r="UX53" s="15">
        <v>0</v>
      </c>
      <c r="UY53" s="15">
        <v>0</v>
      </c>
      <c r="UZ53" s="15">
        <v>0</v>
      </c>
      <c r="VA53" s="15">
        <v>0</v>
      </c>
      <c r="VB53" s="15" t="s">
        <v>388</v>
      </c>
      <c r="VC53" s="15">
        <v>64</v>
      </c>
      <c r="VD53" s="17">
        <v>79.5</v>
      </c>
      <c r="VE53" s="17">
        <v>114</v>
      </c>
      <c r="VF53" s="17">
        <v>15</v>
      </c>
      <c r="VG53" s="17">
        <v>88.29</v>
      </c>
      <c r="VH53" s="17">
        <v>0</v>
      </c>
      <c r="VI53" s="17">
        <v>9.81</v>
      </c>
      <c r="VJ53" s="17">
        <v>1.64</v>
      </c>
      <c r="VK53" s="17">
        <v>0.26</v>
      </c>
      <c r="VL53" s="17">
        <v>0</v>
      </c>
      <c r="VM53" s="17">
        <v>0</v>
      </c>
      <c r="VN53" s="17">
        <v>0</v>
      </c>
      <c r="VO53" s="17">
        <v>0</v>
      </c>
      <c r="VP53" s="17">
        <v>0</v>
      </c>
      <c r="VQ53" s="17">
        <v>0</v>
      </c>
      <c r="VR53" s="17">
        <v>0.55000000000000004</v>
      </c>
      <c r="VS53" s="17">
        <v>24</v>
      </c>
      <c r="VT53" s="17">
        <v>4.3099999999999996</v>
      </c>
      <c r="VU53" s="17">
        <v>0.82</v>
      </c>
      <c r="VV53" s="17">
        <v>0</v>
      </c>
      <c r="VW53" s="17">
        <v>0</v>
      </c>
      <c r="VX53" s="17">
        <v>0</v>
      </c>
      <c r="VY53" s="17"/>
      <c r="WK53" s="15">
        <v>40.4</v>
      </c>
      <c r="WL53" s="15">
        <v>1</v>
      </c>
      <c r="WM53" s="15">
        <v>38</v>
      </c>
      <c r="WN53" s="15">
        <v>9</v>
      </c>
      <c r="WO53" s="15">
        <v>5.52</v>
      </c>
      <c r="WP53" s="15">
        <v>5</v>
      </c>
      <c r="WQ53" s="15">
        <v>23</v>
      </c>
      <c r="WR53" s="15">
        <v>1</v>
      </c>
      <c r="WS53" s="15">
        <v>0.09</v>
      </c>
      <c r="WT53" s="15">
        <v>3</v>
      </c>
      <c r="WW53" s="31"/>
      <c r="XA53" s="31"/>
      <c r="XE53" s="31"/>
      <c r="XI53" s="31"/>
      <c r="XM53" s="31"/>
      <c r="XO53" s="15">
        <v>0</v>
      </c>
      <c r="YZ53" s="15">
        <v>0</v>
      </c>
      <c r="ZA53" s="15">
        <v>0</v>
      </c>
      <c r="ZK53" s="15">
        <v>8.33</v>
      </c>
      <c r="ZL53" s="15">
        <v>5.52</v>
      </c>
      <c r="ZM53" s="15">
        <v>0</v>
      </c>
      <c r="ZN53" s="15">
        <v>0</v>
      </c>
      <c r="ZO53" s="15">
        <v>0</v>
      </c>
      <c r="ZP53" s="15">
        <v>0</v>
      </c>
      <c r="ZQ53" s="15">
        <v>0</v>
      </c>
      <c r="ZR53" s="15">
        <v>0</v>
      </c>
      <c r="ZS53" s="15" t="s">
        <v>196</v>
      </c>
      <c r="ZT53" s="15">
        <v>24.5</v>
      </c>
      <c r="ZU53" s="17">
        <v>58.4</v>
      </c>
      <c r="ZV53" s="17">
        <v>114</v>
      </c>
      <c r="ZW53" s="17">
        <v>12</v>
      </c>
      <c r="ZX53" s="17">
        <v>92.09</v>
      </c>
      <c r="ZY53" s="17">
        <v>0</v>
      </c>
      <c r="ZZ53" s="17">
        <v>0</v>
      </c>
      <c r="AAA53" s="17">
        <v>5.57</v>
      </c>
      <c r="AAB53" s="17">
        <v>2.35</v>
      </c>
      <c r="AAC53" s="17">
        <v>0</v>
      </c>
      <c r="AAD53" s="17">
        <v>0</v>
      </c>
      <c r="AAE53" s="17">
        <v>0</v>
      </c>
      <c r="AAF53" s="17">
        <v>0</v>
      </c>
      <c r="AAG53" s="17">
        <v>0</v>
      </c>
      <c r="AAH53" s="17">
        <v>0</v>
      </c>
      <c r="AAI53" s="17">
        <v>8.58</v>
      </c>
      <c r="AAJ53" s="17">
        <v>3.1</v>
      </c>
      <c r="AAK53" s="17">
        <v>0.55000000000000004</v>
      </c>
      <c r="AAL53" s="17">
        <v>0.71</v>
      </c>
      <c r="AAM53" s="17">
        <v>0</v>
      </c>
      <c r="AAN53" s="17">
        <v>0</v>
      </c>
      <c r="AAO53" s="17">
        <v>0</v>
      </c>
      <c r="ABB53" s="15">
        <v>7.2</v>
      </c>
      <c r="ABC53" s="15">
        <v>1</v>
      </c>
      <c r="ABD53" s="17">
        <v>30</v>
      </c>
      <c r="ABE53" s="17">
        <v>2</v>
      </c>
      <c r="ABF53" s="17">
        <v>1.0900000000000001</v>
      </c>
      <c r="ABG53" s="17">
        <v>4</v>
      </c>
      <c r="ABH53" s="17">
        <v>30</v>
      </c>
      <c r="ABI53" s="17">
        <v>2</v>
      </c>
      <c r="ABJ53" s="17">
        <v>0.27</v>
      </c>
      <c r="ABK53" s="17">
        <v>2</v>
      </c>
      <c r="ABL53" s="17">
        <v>34</v>
      </c>
      <c r="ABM53" s="17">
        <v>1</v>
      </c>
      <c r="ABN53" s="31">
        <v>1.0900000000000001</v>
      </c>
      <c r="ABO53" s="17">
        <v>1</v>
      </c>
      <c r="ABR53" s="31"/>
      <c r="ABV53" s="31"/>
      <c r="ABZ53" s="31"/>
      <c r="ACD53" s="31"/>
      <c r="ACF53" s="15">
        <v>0</v>
      </c>
      <c r="ADQ53" s="15">
        <v>0</v>
      </c>
      <c r="ADR53" s="15">
        <v>0</v>
      </c>
      <c r="AEB53" s="15">
        <v>5.3</v>
      </c>
      <c r="AEC53" s="15">
        <f t="shared" si="31"/>
        <v>9.17</v>
      </c>
      <c r="AED53" s="15">
        <v>0</v>
      </c>
      <c r="AEE53" s="15">
        <v>0</v>
      </c>
      <c r="AEF53" s="15">
        <v>0</v>
      </c>
      <c r="AEG53" s="15">
        <v>8.58</v>
      </c>
      <c r="AEH53" s="15">
        <v>0</v>
      </c>
      <c r="AEI53" s="15">
        <v>0</v>
      </c>
      <c r="AEJ53" s="15" t="s">
        <v>195</v>
      </c>
      <c r="AEK53" s="15">
        <v>22</v>
      </c>
      <c r="AEL53" s="17">
        <v>44.2</v>
      </c>
      <c r="AEM53" s="17">
        <v>114</v>
      </c>
      <c r="AEN53" s="17">
        <v>10.9</v>
      </c>
      <c r="AEO53" s="17">
        <v>92.8</v>
      </c>
      <c r="AEP53" s="17">
        <v>0</v>
      </c>
      <c r="AEQ53" s="17">
        <v>0</v>
      </c>
      <c r="AER53" s="17">
        <v>5.57</v>
      </c>
      <c r="AES53" s="17">
        <v>1.64</v>
      </c>
      <c r="AET53" s="17">
        <v>0</v>
      </c>
      <c r="AEU53" s="17">
        <v>0</v>
      </c>
      <c r="AEV53" s="17">
        <v>0</v>
      </c>
      <c r="AEW53" s="17">
        <v>0</v>
      </c>
      <c r="AEX53" s="17">
        <v>0</v>
      </c>
      <c r="AEY53" s="17">
        <v>0</v>
      </c>
      <c r="AEZ53" s="17">
        <v>8.58</v>
      </c>
      <c r="AFA53" s="17">
        <v>1.57</v>
      </c>
      <c r="AFB53" s="17">
        <v>0.55000000000000004</v>
      </c>
      <c r="AFC53" s="17">
        <v>0</v>
      </c>
      <c r="AFD53" s="17">
        <v>0</v>
      </c>
      <c r="AFE53" s="17">
        <v>0</v>
      </c>
      <c r="AFF53" s="17">
        <v>0</v>
      </c>
      <c r="AFS53" s="15">
        <v>7.15</v>
      </c>
      <c r="AFT53" s="15">
        <v>1</v>
      </c>
      <c r="AFU53" s="17">
        <v>30</v>
      </c>
      <c r="AFV53" s="17">
        <v>2</v>
      </c>
      <c r="AFW53" s="17">
        <v>1.0900000000000001</v>
      </c>
      <c r="AFX53" s="17">
        <v>4</v>
      </c>
      <c r="AFY53" s="17">
        <v>30</v>
      </c>
      <c r="AFZ53" s="17">
        <v>2</v>
      </c>
      <c r="AGA53" s="17">
        <v>0.27</v>
      </c>
      <c r="AGB53" s="17">
        <v>2</v>
      </c>
      <c r="AGC53" s="17">
        <v>34</v>
      </c>
      <c r="AGD53" s="17">
        <v>1</v>
      </c>
      <c r="AGE53" s="31">
        <v>1.0900000000000001</v>
      </c>
      <c r="AGF53" s="17">
        <v>1</v>
      </c>
      <c r="AGI53" s="31"/>
      <c r="AGM53" s="31"/>
      <c r="AGQ53" s="31"/>
      <c r="AGU53" s="31"/>
      <c r="AIH53" s="15">
        <v>0</v>
      </c>
      <c r="AII53" s="15">
        <v>0</v>
      </c>
      <c r="AIS53" s="15">
        <v>2.59</v>
      </c>
      <c r="AIT53" s="15">
        <f t="shared" si="32"/>
        <v>0.59000000000000008</v>
      </c>
      <c r="AIU53" s="15">
        <v>0</v>
      </c>
      <c r="AIV53" s="15">
        <v>0</v>
      </c>
      <c r="AIW53" s="15">
        <v>0</v>
      </c>
      <c r="AIX53" s="15">
        <v>0</v>
      </c>
      <c r="AIY53" s="15">
        <v>1.03</v>
      </c>
      <c r="AIZ53" s="15">
        <v>0</v>
      </c>
      <c r="AJA53" s="15" t="s">
        <v>389</v>
      </c>
      <c r="AJB53" s="15">
        <v>10</v>
      </c>
      <c r="AJC53" s="17">
        <v>46.2</v>
      </c>
      <c r="AJD53" s="17">
        <v>114</v>
      </c>
      <c r="AJE53" s="17">
        <v>6.3</v>
      </c>
      <c r="AJF53" s="17">
        <v>0</v>
      </c>
      <c r="AJG53" s="17">
        <v>0</v>
      </c>
      <c r="AJH53" s="17">
        <v>1.91</v>
      </c>
      <c r="AJI53" s="17">
        <v>0</v>
      </c>
      <c r="AJJ53" s="17">
        <v>1.91</v>
      </c>
      <c r="AJK53" s="17">
        <v>0</v>
      </c>
      <c r="AJL53" s="17">
        <v>0</v>
      </c>
      <c r="AJM53" s="17">
        <v>0</v>
      </c>
      <c r="AJN53" s="17">
        <v>0</v>
      </c>
      <c r="AJO53" s="17">
        <v>0</v>
      </c>
      <c r="AJP53" s="17">
        <v>0</v>
      </c>
      <c r="AJQ53" s="17">
        <v>0</v>
      </c>
      <c r="AJR53" s="17">
        <v>8.85</v>
      </c>
      <c r="AJS53" s="17">
        <v>4.3600000000000003</v>
      </c>
      <c r="AJT53" s="17">
        <v>0</v>
      </c>
      <c r="AJU53" s="17">
        <v>0</v>
      </c>
      <c r="AJV53" s="17">
        <v>0</v>
      </c>
      <c r="AKJ53" s="15">
        <v>0</v>
      </c>
      <c r="AKV53" s="31"/>
      <c r="AKZ53" s="31"/>
      <c r="ALD53" s="31"/>
      <c r="ALH53" s="31"/>
      <c r="ALL53" s="31"/>
      <c r="ALN53" s="15">
        <v>0</v>
      </c>
    </row>
    <row r="54" spans="1:1018" x14ac:dyDescent="0.2">
      <c r="A54" s="1" t="s">
        <v>401</v>
      </c>
      <c r="B54" s="12">
        <v>42900</v>
      </c>
      <c r="C54">
        <v>2</v>
      </c>
      <c r="D54" s="13">
        <v>42818</v>
      </c>
      <c r="E54" s="12">
        <v>27981</v>
      </c>
      <c r="F54" s="14">
        <f t="shared" si="0"/>
        <v>40.845995893223822</v>
      </c>
      <c r="G54" s="14">
        <f t="shared" si="1"/>
        <v>0.22450376454483231</v>
      </c>
      <c r="H54" s="15" t="s">
        <v>217</v>
      </c>
      <c r="I54" s="15" t="s">
        <v>402</v>
      </c>
      <c r="J54" s="21" t="s">
        <v>181</v>
      </c>
      <c r="K54" s="21">
        <v>4</v>
      </c>
      <c r="L54" s="19">
        <v>97</v>
      </c>
      <c r="M54">
        <v>1.72</v>
      </c>
      <c r="N54" s="16">
        <f t="shared" si="2"/>
        <v>32.787993510005414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1</v>
      </c>
      <c r="Z54" s="19">
        <v>1</v>
      </c>
      <c r="AA54" s="19">
        <v>60</v>
      </c>
      <c r="AB54" s="19" t="s">
        <v>273</v>
      </c>
      <c r="AC54" s="19">
        <v>0</v>
      </c>
      <c r="AD54" s="19">
        <v>0</v>
      </c>
      <c r="AE54" s="19">
        <v>0</v>
      </c>
      <c r="AF54" s="19">
        <v>0</v>
      </c>
      <c r="AG54" s="19">
        <v>0</v>
      </c>
      <c r="AH54" s="19">
        <v>0</v>
      </c>
      <c r="AI54" s="19">
        <v>0</v>
      </c>
      <c r="AJ54" s="19">
        <v>0</v>
      </c>
      <c r="AK54" s="19">
        <v>0</v>
      </c>
      <c r="AL54" s="19">
        <v>0</v>
      </c>
      <c r="AM54" s="19">
        <v>0</v>
      </c>
      <c r="AN54" s="19">
        <v>0</v>
      </c>
      <c r="AO54" s="19">
        <v>0</v>
      </c>
      <c r="AP54" s="19">
        <v>0</v>
      </c>
      <c r="AQ54" s="19">
        <v>0</v>
      </c>
      <c r="AR54" s="19">
        <v>0</v>
      </c>
      <c r="AS54" s="19">
        <v>0</v>
      </c>
      <c r="AT54" s="19">
        <v>0</v>
      </c>
      <c r="AU54" s="19">
        <v>0</v>
      </c>
      <c r="AV54" s="19">
        <v>0</v>
      </c>
      <c r="AW54" s="19">
        <v>0</v>
      </c>
      <c r="AX54" s="19">
        <v>0</v>
      </c>
      <c r="AY54" s="19">
        <v>0</v>
      </c>
      <c r="AZ54" s="19">
        <v>0</v>
      </c>
      <c r="BA54" s="19">
        <v>0</v>
      </c>
      <c r="BB54" s="19">
        <v>0</v>
      </c>
      <c r="BC54" s="19">
        <v>0</v>
      </c>
      <c r="BD54" s="19">
        <v>0</v>
      </c>
      <c r="BE54" s="19">
        <v>0</v>
      </c>
      <c r="BF54" s="19">
        <v>0</v>
      </c>
      <c r="BG54" s="19">
        <v>0</v>
      </c>
      <c r="BH54" s="19">
        <v>0</v>
      </c>
      <c r="BI54" s="19">
        <v>0</v>
      </c>
      <c r="BJ54" s="19">
        <v>0</v>
      </c>
      <c r="BK54" s="19">
        <v>0</v>
      </c>
      <c r="BL54" s="19">
        <v>0</v>
      </c>
      <c r="BM54" s="19">
        <v>0</v>
      </c>
      <c r="BN54" s="19">
        <v>0</v>
      </c>
      <c r="BO54" s="19">
        <v>0</v>
      </c>
      <c r="BP54" s="19">
        <v>0</v>
      </c>
      <c r="BQ54" s="19">
        <v>0</v>
      </c>
      <c r="BR54" s="19">
        <v>2</v>
      </c>
      <c r="BS54" s="19">
        <v>2</v>
      </c>
      <c r="BT54" s="19">
        <v>3</v>
      </c>
      <c r="BU54" s="19">
        <v>4</v>
      </c>
      <c r="BV54" s="19">
        <v>3</v>
      </c>
      <c r="BW54" s="19">
        <v>2</v>
      </c>
      <c r="BX54" s="19">
        <v>3</v>
      </c>
      <c r="BY54" s="19">
        <v>3</v>
      </c>
      <c r="BZ54" s="19">
        <v>3</v>
      </c>
      <c r="CA54" s="19">
        <v>4</v>
      </c>
      <c r="CB54" s="19">
        <v>4</v>
      </c>
      <c r="CC54" s="19">
        <v>5</v>
      </c>
      <c r="CD54" s="19">
        <v>4</v>
      </c>
      <c r="CE54" s="19">
        <v>5</v>
      </c>
      <c r="CF54" s="19">
        <v>5</v>
      </c>
      <c r="CG54" s="19">
        <v>4</v>
      </c>
      <c r="CH54" s="19">
        <v>5</v>
      </c>
      <c r="CI54" s="19">
        <v>5</v>
      </c>
      <c r="CJ54" s="19">
        <v>4</v>
      </c>
      <c r="CK54" s="19">
        <v>10</v>
      </c>
      <c r="CL54" t="s">
        <v>403</v>
      </c>
      <c r="CM54">
        <v>21.5</v>
      </c>
      <c r="CN54" s="16">
        <v>78.400000000000006</v>
      </c>
      <c r="CO54" s="16">
        <v>80.400000000000006</v>
      </c>
      <c r="CP54" s="16">
        <v>9.6</v>
      </c>
      <c r="CQ54">
        <v>84.68</v>
      </c>
      <c r="CR54">
        <v>14.18</v>
      </c>
      <c r="CS54">
        <v>1.1200000000000001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9.51</v>
      </c>
      <c r="DD54">
        <v>25.42</v>
      </c>
      <c r="DE54">
        <v>0</v>
      </c>
      <c r="DF54">
        <v>0</v>
      </c>
      <c r="DG54">
        <v>0</v>
      </c>
      <c r="DH54">
        <v>2</v>
      </c>
      <c r="DI54">
        <v>5</v>
      </c>
      <c r="DO54">
        <v>5</v>
      </c>
      <c r="DU54">
        <v>3.2</v>
      </c>
      <c r="DV54">
        <v>1</v>
      </c>
      <c r="DW54">
        <v>52</v>
      </c>
      <c r="DX54">
        <v>3</v>
      </c>
      <c r="DY54">
        <f t="shared" ref="DY54:DY60" si="33">0.07+0.76</f>
        <v>0.83000000000000007</v>
      </c>
      <c r="DZ54">
        <v>2</v>
      </c>
      <c r="EA54">
        <v>103</v>
      </c>
      <c r="EB54">
        <v>3</v>
      </c>
      <c r="EC54">
        <f t="shared" ref="EC54:EC60" si="34">0.36+0.34</f>
        <v>0.7</v>
      </c>
      <c r="ED54">
        <v>1</v>
      </c>
      <c r="EE54">
        <v>68</v>
      </c>
      <c r="EF54">
        <v>2</v>
      </c>
      <c r="EG54" s="18">
        <f t="shared" ref="EG54:EG60" si="35">0.24</f>
        <v>0.24</v>
      </c>
      <c r="EH54">
        <v>1</v>
      </c>
      <c r="EI54">
        <v>34</v>
      </c>
      <c r="EJ54">
        <v>2</v>
      </c>
      <c r="EK54">
        <f t="shared" ref="EK54:EK60" si="36">0.24</f>
        <v>0.24</v>
      </c>
      <c r="EL54">
        <v>1</v>
      </c>
      <c r="EY54">
        <v>0</v>
      </c>
      <c r="GJ54" s="16">
        <v>0.36</v>
      </c>
      <c r="GK54" s="16">
        <v>1</v>
      </c>
      <c r="GL54" s="16">
        <v>1</v>
      </c>
      <c r="GM54" s="16"/>
      <c r="GN54" s="16">
        <v>1.52</v>
      </c>
      <c r="GO54" s="16"/>
      <c r="GP54" s="16"/>
      <c r="GQ54" s="16"/>
      <c r="GR54" s="16"/>
      <c r="GS54" s="16"/>
      <c r="GT54" s="16"/>
      <c r="GU54" s="16">
        <v>8.32</v>
      </c>
      <c r="GV54" s="16">
        <v>8.31</v>
      </c>
      <c r="GW54" s="16"/>
      <c r="GX54" s="16"/>
      <c r="GY54" s="16">
        <v>0</v>
      </c>
      <c r="GZ54" s="16">
        <v>0</v>
      </c>
      <c r="HA54" s="16">
        <v>0</v>
      </c>
      <c r="HB54">
        <v>0</v>
      </c>
      <c r="HC54" t="s">
        <v>404</v>
      </c>
      <c r="HD54">
        <v>50.5</v>
      </c>
      <c r="HE54" s="16">
        <v>95.8</v>
      </c>
      <c r="HF54" s="16">
        <v>80.400000000000006</v>
      </c>
      <c r="HG54" s="16">
        <v>22.6</v>
      </c>
      <c r="HH54">
        <v>70.650000000000006</v>
      </c>
      <c r="HI54">
        <v>13.02</v>
      </c>
      <c r="HJ54">
        <v>16.329999999999998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3.81</v>
      </c>
      <c r="HU54">
        <v>53.36</v>
      </c>
      <c r="HV54">
        <v>0</v>
      </c>
      <c r="HW54">
        <v>0</v>
      </c>
      <c r="HX54">
        <v>7.8</v>
      </c>
      <c r="HY54">
        <v>2</v>
      </c>
      <c r="HZ54">
        <v>10</v>
      </c>
      <c r="IA54">
        <v>2.69</v>
      </c>
      <c r="IF54">
        <v>10</v>
      </c>
      <c r="IG54">
        <v>2.69</v>
      </c>
      <c r="IL54">
        <v>0</v>
      </c>
      <c r="IM54">
        <v>0</v>
      </c>
      <c r="IX54" s="18"/>
      <c r="JP54">
        <v>0</v>
      </c>
      <c r="LA54" s="16">
        <v>10.02</v>
      </c>
      <c r="LB54" s="16">
        <v>1</v>
      </c>
      <c r="LC54" s="16">
        <v>2</v>
      </c>
      <c r="LD54" s="16"/>
      <c r="LE54" s="16">
        <f t="shared" ref="LE54:LE60" si="37">0.05*4+0.33*4+1.5*4+0.76*4+1.14*4</f>
        <v>15.119999999999997</v>
      </c>
      <c r="LF54" s="16"/>
      <c r="LG54" s="16"/>
      <c r="LH54" s="16"/>
      <c r="LI54" s="16"/>
      <c r="LJ54" s="16"/>
      <c r="LK54" s="16"/>
      <c r="LL54" s="16">
        <v>9.92</v>
      </c>
      <c r="LM54" s="16">
        <v>20.94</v>
      </c>
      <c r="LN54" s="16"/>
      <c r="LO54" s="16"/>
      <c r="LP54" s="16">
        <v>0</v>
      </c>
      <c r="LQ54" s="16">
        <v>0</v>
      </c>
      <c r="LR54" s="16">
        <v>0</v>
      </c>
      <c r="LS54">
        <v>0</v>
      </c>
      <c r="LT54" t="s">
        <v>405</v>
      </c>
      <c r="LU54">
        <v>57.5</v>
      </c>
      <c r="LV54" s="16">
        <v>93.3</v>
      </c>
      <c r="LW54" s="16">
        <v>80.400000000000006</v>
      </c>
      <c r="LX54" s="16">
        <v>37.200000000000003</v>
      </c>
      <c r="LY54">
        <v>37.4</v>
      </c>
      <c r="LZ54">
        <v>31.73</v>
      </c>
      <c r="MA54">
        <v>29.89</v>
      </c>
      <c r="MB54">
        <v>0</v>
      </c>
      <c r="MC54">
        <v>0.98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21.26</v>
      </c>
      <c r="ML54">
        <v>57.4</v>
      </c>
      <c r="MM54">
        <v>0</v>
      </c>
      <c r="MN54">
        <v>0</v>
      </c>
      <c r="MO54">
        <v>0</v>
      </c>
      <c r="MP54">
        <v>0</v>
      </c>
      <c r="NC54">
        <v>2.2999999999999998</v>
      </c>
      <c r="ND54">
        <v>1</v>
      </c>
      <c r="NE54">
        <v>35</v>
      </c>
      <c r="NF54">
        <v>1</v>
      </c>
      <c r="NG54">
        <v>0.49</v>
      </c>
      <c r="NH54">
        <v>3</v>
      </c>
      <c r="NO54" s="18"/>
      <c r="OG54">
        <v>0</v>
      </c>
      <c r="PR54" s="16">
        <v>2.91</v>
      </c>
      <c r="PS54" s="16">
        <v>1</v>
      </c>
      <c r="PT54" s="16">
        <v>1</v>
      </c>
      <c r="PU54" s="16"/>
      <c r="PV54" s="16">
        <f t="shared" ref="PV54:PV60" si="38">2.49+0.21+0.47*2+2.49+0.26+0.53+0.01+4.77+14.32+1.53+3.06+0.13</f>
        <v>30.74</v>
      </c>
      <c r="PW54" s="16"/>
      <c r="PX54" s="16"/>
      <c r="PY54" s="16"/>
      <c r="PZ54" s="16"/>
      <c r="QA54" s="16"/>
      <c r="QB54" s="16"/>
      <c r="QC54" s="16">
        <v>14.81</v>
      </c>
      <c r="QD54" s="16">
        <v>52.45</v>
      </c>
      <c r="QE54" s="16"/>
      <c r="QF54" s="16"/>
      <c r="QG54" s="16">
        <v>0</v>
      </c>
      <c r="QH54" s="16">
        <v>0</v>
      </c>
      <c r="QI54" s="16">
        <v>0</v>
      </c>
      <c r="QJ54">
        <v>0</v>
      </c>
      <c r="QK54" t="s">
        <v>406</v>
      </c>
      <c r="QL54">
        <v>12.5</v>
      </c>
      <c r="QM54" s="16">
        <v>69.900000000000006</v>
      </c>
      <c r="QN54" s="16">
        <v>80.400000000000006</v>
      </c>
      <c r="QO54" s="16">
        <v>9</v>
      </c>
      <c r="QP54">
        <v>90.9</v>
      </c>
      <c r="QQ54">
        <v>7.98</v>
      </c>
      <c r="QR54">
        <v>1.1200000000000001</v>
      </c>
      <c r="QS54">
        <v>4.5599999999999996</v>
      </c>
      <c r="QT54">
        <v>17.670000000000002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4.5599999999999996</v>
      </c>
      <c r="RC54">
        <v>17.670000000000002</v>
      </c>
      <c r="RD54">
        <v>0</v>
      </c>
      <c r="RE54">
        <v>0</v>
      </c>
      <c r="RF54">
        <v>0</v>
      </c>
      <c r="RG54">
        <v>0</v>
      </c>
      <c r="RT54">
        <v>0</v>
      </c>
      <c r="RU54">
        <v>0</v>
      </c>
      <c r="SF54" s="18"/>
      <c r="SX54">
        <v>0</v>
      </c>
      <c r="UI54" s="16">
        <v>0</v>
      </c>
      <c r="UJ54" s="16">
        <v>0</v>
      </c>
      <c r="UK54" s="16"/>
      <c r="UL54" s="16"/>
      <c r="UM54" s="16"/>
      <c r="UN54" s="16"/>
      <c r="UO54" s="16"/>
      <c r="UP54" s="16"/>
      <c r="UQ54" s="16"/>
      <c r="UR54" s="16"/>
      <c r="US54" s="16"/>
      <c r="UT54" s="16">
        <v>3.41</v>
      </c>
      <c r="UU54" s="16">
        <v>3.41</v>
      </c>
      <c r="UV54" s="16"/>
      <c r="UW54" s="16"/>
      <c r="UX54" s="16">
        <v>0</v>
      </c>
      <c r="UY54" s="16">
        <v>0</v>
      </c>
      <c r="UZ54" s="16">
        <v>0</v>
      </c>
      <c r="VA54">
        <v>0</v>
      </c>
      <c r="VB54" t="s">
        <v>407</v>
      </c>
      <c r="VC54">
        <v>17</v>
      </c>
      <c r="VD54" s="16">
        <v>84.3</v>
      </c>
      <c r="VE54" s="16">
        <v>80.400000000000006</v>
      </c>
      <c r="VF54" s="16">
        <v>9.8000000000000007</v>
      </c>
      <c r="VG54">
        <v>84.81</v>
      </c>
      <c r="VH54">
        <v>14.07</v>
      </c>
      <c r="VI54">
        <v>1.1200000000000001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7.34</v>
      </c>
      <c r="VT54">
        <v>26.23</v>
      </c>
      <c r="VU54">
        <v>0</v>
      </c>
      <c r="VV54">
        <v>0</v>
      </c>
      <c r="VW54">
        <v>0</v>
      </c>
      <c r="VX54">
        <v>0</v>
      </c>
      <c r="WK54">
        <v>0</v>
      </c>
      <c r="WL54">
        <v>0</v>
      </c>
      <c r="WW54" s="18"/>
      <c r="XO54">
        <v>0</v>
      </c>
      <c r="YZ54" s="16">
        <v>1.51</v>
      </c>
      <c r="ZA54" s="16">
        <v>1</v>
      </c>
      <c r="ZB54" s="16">
        <v>2</v>
      </c>
      <c r="ZC54" s="16"/>
      <c r="ZD54" s="16">
        <f t="shared" ref="ZD54:ZD60" si="39">0.99+4.04</f>
        <v>5.03</v>
      </c>
      <c r="ZE54" s="16"/>
      <c r="ZF54" s="16"/>
      <c r="ZG54" s="16"/>
      <c r="ZH54" s="16"/>
      <c r="ZI54" s="16"/>
      <c r="ZJ54" s="16"/>
      <c r="ZK54" s="16">
        <v>5.5</v>
      </c>
      <c r="ZL54" s="16">
        <v>9.84</v>
      </c>
      <c r="ZM54" s="16"/>
      <c r="ZN54" s="16"/>
      <c r="ZO54" s="16">
        <v>0</v>
      </c>
      <c r="ZP54" s="16">
        <v>0</v>
      </c>
      <c r="ZQ54" s="16">
        <v>0</v>
      </c>
      <c r="ZR54">
        <v>0</v>
      </c>
      <c r="ZS54" t="s">
        <v>408</v>
      </c>
      <c r="ZT54">
        <v>26</v>
      </c>
      <c r="ZU54" s="16">
        <v>75.099999999999994</v>
      </c>
      <c r="ZV54" s="16">
        <v>80.400000000000006</v>
      </c>
      <c r="ZW54" s="16">
        <v>10.7</v>
      </c>
      <c r="ZX54">
        <v>76.38</v>
      </c>
      <c r="ZY54">
        <v>22.5</v>
      </c>
      <c r="ZZ54">
        <v>1.1200000000000001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10.84</v>
      </c>
      <c r="AAK54">
        <v>26.14</v>
      </c>
      <c r="AAL54">
        <v>0</v>
      </c>
      <c r="AAM54">
        <v>0</v>
      </c>
      <c r="AAN54">
        <v>0</v>
      </c>
      <c r="AAO54">
        <v>0</v>
      </c>
      <c r="ABB54">
        <v>2.5</v>
      </c>
      <c r="ABC54">
        <v>1</v>
      </c>
      <c r="ABD54">
        <v>68</v>
      </c>
      <c r="ABE54">
        <v>1</v>
      </c>
      <c r="ABF54">
        <f t="shared" ref="ABF54:ABF60" si="40">1.34</f>
        <v>1.34</v>
      </c>
      <c r="ABG54">
        <v>1</v>
      </c>
      <c r="ABH54">
        <v>52</v>
      </c>
      <c r="ABI54">
        <v>2</v>
      </c>
      <c r="ABJ54">
        <v>0.45</v>
      </c>
      <c r="ABK54">
        <v>2</v>
      </c>
      <c r="ABN54" s="18"/>
      <c r="ACF54">
        <v>0</v>
      </c>
      <c r="ADQ54" s="16">
        <v>1.21</v>
      </c>
      <c r="ADR54" s="16">
        <v>1</v>
      </c>
      <c r="ADS54" s="16">
        <v>2</v>
      </c>
      <c r="ADT54" s="16"/>
      <c r="ADU54" s="16">
        <v>4.04</v>
      </c>
      <c r="ADV54" s="16"/>
      <c r="ADW54" s="16"/>
      <c r="ADX54" s="16"/>
      <c r="ADY54" s="16"/>
      <c r="ADZ54" s="16"/>
      <c r="AEA54" s="16"/>
      <c r="AEB54" s="16">
        <v>11.17</v>
      </c>
      <c r="AEC54" s="16">
        <v>19.84</v>
      </c>
      <c r="AED54" s="16"/>
      <c r="AEE54" s="16"/>
      <c r="AEF54" s="16">
        <v>0</v>
      </c>
      <c r="AEG54" s="16">
        <v>0</v>
      </c>
      <c r="AEH54" s="16">
        <v>0</v>
      </c>
      <c r="AEI54">
        <v>0</v>
      </c>
      <c r="AEJ54" t="s">
        <v>409</v>
      </c>
      <c r="AEK54">
        <v>23</v>
      </c>
      <c r="AEL54" s="16">
        <v>90.8</v>
      </c>
      <c r="AEM54" s="16">
        <v>80.400000000000006</v>
      </c>
      <c r="AEN54" s="16">
        <v>11.6</v>
      </c>
      <c r="AEO54">
        <v>71.459999999999994</v>
      </c>
      <c r="AEP54">
        <v>27.42</v>
      </c>
      <c r="AEQ54">
        <v>1.1200000000000001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11.58</v>
      </c>
      <c r="AFB54">
        <v>41.25</v>
      </c>
      <c r="AFC54">
        <v>0</v>
      </c>
      <c r="AFD54">
        <v>0</v>
      </c>
      <c r="AFE54">
        <v>0</v>
      </c>
      <c r="AFF54">
        <v>0</v>
      </c>
      <c r="AFS54">
        <v>1.7</v>
      </c>
      <c r="AFT54">
        <v>1</v>
      </c>
      <c r="AFU54">
        <v>35</v>
      </c>
      <c r="AFV54">
        <v>1</v>
      </c>
      <c r="AFW54">
        <v>0.05</v>
      </c>
      <c r="AFX54">
        <v>3</v>
      </c>
      <c r="AFY54">
        <v>103</v>
      </c>
      <c r="AFZ54">
        <v>5</v>
      </c>
      <c r="AGA54">
        <v>0.25</v>
      </c>
      <c r="AGB54">
        <v>1</v>
      </c>
      <c r="AGC54">
        <v>68</v>
      </c>
      <c r="AGD54">
        <v>4</v>
      </c>
      <c r="AGE54" s="18">
        <v>0.26</v>
      </c>
      <c r="AGF54">
        <v>1</v>
      </c>
      <c r="AGG54">
        <v>52</v>
      </c>
      <c r="AGH54">
        <v>4</v>
      </c>
      <c r="AGI54">
        <f t="shared" ref="AGI54:AGI60" si="41">0.09+0.05+0.04</f>
        <v>0.18000000000000002</v>
      </c>
      <c r="AGJ54">
        <v>2</v>
      </c>
      <c r="AGW54">
        <v>0</v>
      </c>
      <c r="AIH54" s="16">
        <v>0.04</v>
      </c>
      <c r="AII54" s="16">
        <v>1</v>
      </c>
      <c r="AIJ54" s="16">
        <v>1</v>
      </c>
      <c r="AIK54" s="16"/>
      <c r="AIL54" s="16">
        <v>0.13</v>
      </c>
      <c r="AIM54" s="16"/>
      <c r="AIN54" s="16"/>
      <c r="AIO54" s="16"/>
      <c r="AIP54" s="16"/>
      <c r="AIQ54" s="16"/>
      <c r="AIR54" s="16"/>
      <c r="AIS54" s="16">
        <v>9.52</v>
      </c>
      <c r="AIT54" s="16">
        <v>21.65</v>
      </c>
      <c r="AIU54" s="16"/>
      <c r="AIV54" s="16"/>
      <c r="AIW54" s="16">
        <v>0</v>
      </c>
      <c r="AIX54" s="16">
        <v>0</v>
      </c>
      <c r="AIY54" s="16">
        <v>0</v>
      </c>
      <c r="AIZ54">
        <v>0</v>
      </c>
      <c r="AJA54" t="s">
        <v>410</v>
      </c>
      <c r="AJB54">
        <v>24</v>
      </c>
      <c r="AJC54" s="16">
        <v>82.9</v>
      </c>
      <c r="AJD54" s="16">
        <v>80.400000000000006</v>
      </c>
      <c r="AJE54" s="16">
        <v>9.6</v>
      </c>
      <c r="AJF54">
        <v>86.23</v>
      </c>
      <c r="AJG54">
        <v>11.76</v>
      </c>
      <c r="AJH54">
        <v>0</v>
      </c>
      <c r="AJI54">
        <v>0</v>
      </c>
      <c r="AJJ54">
        <v>1.01</v>
      </c>
      <c r="AJK54">
        <v>1.01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8.84</v>
      </c>
      <c r="AJS54">
        <v>23.37</v>
      </c>
      <c r="AJT54">
        <v>0</v>
      </c>
      <c r="AJU54">
        <v>0</v>
      </c>
      <c r="AJV54">
        <v>0</v>
      </c>
      <c r="AJW54">
        <v>0</v>
      </c>
      <c r="AKJ54">
        <v>0</v>
      </c>
      <c r="AKK54">
        <v>1</v>
      </c>
      <c r="AKL54">
        <v>52</v>
      </c>
      <c r="AKM54">
        <v>1</v>
      </c>
      <c r="AKN54">
        <v>0.02</v>
      </c>
      <c r="AKO54">
        <v>2</v>
      </c>
      <c r="AKV54" s="18"/>
      <c r="ALN54">
        <v>0</v>
      </c>
    </row>
    <row r="55" spans="1:1018" x14ac:dyDescent="0.2">
      <c r="A55" s="1" t="s">
        <v>411</v>
      </c>
      <c r="B55" s="12">
        <v>42902</v>
      </c>
      <c r="C55">
        <v>2</v>
      </c>
      <c r="D55" s="13">
        <v>42797</v>
      </c>
      <c r="E55" s="12">
        <v>30608</v>
      </c>
      <c r="F55" s="14">
        <f t="shared" si="0"/>
        <v>33.659137577002056</v>
      </c>
      <c r="G55" s="14">
        <f t="shared" si="1"/>
        <v>0.28747433264887062</v>
      </c>
      <c r="H55" s="15" t="s">
        <v>217</v>
      </c>
      <c r="I55" s="15" t="s">
        <v>402</v>
      </c>
      <c r="J55" s="21" t="s">
        <v>181</v>
      </c>
      <c r="K55" s="21">
        <v>8</v>
      </c>
      <c r="L55" s="19">
        <v>95</v>
      </c>
      <c r="M55">
        <v>1.7</v>
      </c>
      <c r="N55" s="16">
        <f t="shared" si="2"/>
        <v>32.871972318339104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0</v>
      </c>
      <c r="X55" s="19">
        <v>0</v>
      </c>
      <c r="Y55" s="19">
        <v>1</v>
      </c>
      <c r="Z55" s="19">
        <v>1</v>
      </c>
      <c r="AA55" s="19">
        <v>180</v>
      </c>
      <c r="AB55" s="19" t="s">
        <v>368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9">
        <v>0</v>
      </c>
      <c r="AJ55" s="19">
        <v>0</v>
      </c>
      <c r="AK55" s="19">
        <v>0</v>
      </c>
      <c r="AL55" s="19">
        <v>0</v>
      </c>
      <c r="AM55" s="19">
        <v>0</v>
      </c>
      <c r="AN55" s="19">
        <v>0</v>
      </c>
      <c r="AO55" s="19">
        <v>0</v>
      </c>
      <c r="AP55" s="19">
        <v>0</v>
      </c>
      <c r="AQ55" s="19">
        <v>0</v>
      </c>
      <c r="AR55" s="19">
        <v>0</v>
      </c>
      <c r="AS55" s="19">
        <v>0</v>
      </c>
      <c r="AT55" s="19">
        <v>0</v>
      </c>
      <c r="AU55" s="19">
        <v>0</v>
      </c>
      <c r="AV55" s="19">
        <v>0</v>
      </c>
      <c r="AW55" s="19">
        <v>0</v>
      </c>
      <c r="AX55" s="19">
        <v>0</v>
      </c>
      <c r="AY55" s="19">
        <v>0</v>
      </c>
      <c r="AZ55" s="19">
        <v>0</v>
      </c>
      <c r="BA55" s="19">
        <v>0</v>
      </c>
      <c r="BB55" s="19">
        <v>0</v>
      </c>
      <c r="BC55" s="19">
        <v>0</v>
      </c>
      <c r="BD55" s="19">
        <v>0</v>
      </c>
      <c r="BE55" s="19">
        <v>0</v>
      </c>
      <c r="BF55" s="19">
        <v>0</v>
      </c>
      <c r="BG55" s="19">
        <v>0</v>
      </c>
      <c r="BH55" s="19">
        <v>0</v>
      </c>
      <c r="BI55" s="19">
        <v>0</v>
      </c>
      <c r="BJ55" s="19">
        <v>0</v>
      </c>
      <c r="BK55" s="19">
        <v>0</v>
      </c>
      <c r="BL55" s="19">
        <v>0</v>
      </c>
      <c r="BM55" s="19">
        <v>0</v>
      </c>
      <c r="BN55" s="19">
        <v>0</v>
      </c>
      <c r="BO55" s="19">
        <v>0</v>
      </c>
      <c r="BP55" s="19">
        <v>0</v>
      </c>
      <c r="BQ55" s="19">
        <v>0</v>
      </c>
      <c r="BR55" s="19">
        <v>1</v>
      </c>
      <c r="BS55" s="19">
        <v>2</v>
      </c>
      <c r="BT55" s="19">
        <v>2</v>
      </c>
      <c r="BU55" s="19">
        <v>2</v>
      </c>
      <c r="BV55" s="19">
        <v>2</v>
      </c>
      <c r="BW55" s="19">
        <v>1</v>
      </c>
      <c r="BX55" s="19">
        <v>2</v>
      </c>
      <c r="BY55" s="19">
        <v>1</v>
      </c>
      <c r="BZ55" s="19">
        <v>4</v>
      </c>
      <c r="CA55" s="19">
        <v>4</v>
      </c>
      <c r="CB55" s="19">
        <v>4</v>
      </c>
      <c r="CC55" s="19">
        <v>4</v>
      </c>
      <c r="CD55" s="19">
        <v>4</v>
      </c>
      <c r="CE55" s="19">
        <v>4</v>
      </c>
      <c r="CF55" s="19">
        <v>4</v>
      </c>
      <c r="CG55" s="19">
        <v>4</v>
      </c>
      <c r="CH55" s="19">
        <v>4</v>
      </c>
      <c r="CI55" s="19">
        <v>4</v>
      </c>
      <c r="CJ55" s="19">
        <v>4</v>
      </c>
      <c r="CK55" s="19">
        <v>10</v>
      </c>
      <c r="CL55" t="s">
        <v>403</v>
      </c>
      <c r="CM55">
        <v>21.5</v>
      </c>
      <c r="CN55" s="16">
        <v>78.400000000000006</v>
      </c>
      <c r="CO55" s="16">
        <v>80.400000000000006</v>
      </c>
      <c r="CP55" s="16">
        <v>9.6</v>
      </c>
      <c r="CQ55">
        <v>84.68</v>
      </c>
      <c r="CR55">
        <v>14.18</v>
      </c>
      <c r="CS55">
        <v>1.1200000000000001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9.51</v>
      </c>
      <c r="DD55">
        <v>25.42</v>
      </c>
      <c r="DE55">
        <v>0</v>
      </c>
      <c r="DF55">
        <v>0</v>
      </c>
      <c r="DG55">
        <v>0</v>
      </c>
      <c r="DH55">
        <v>2</v>
      </c>
      <c r="DI55">
        <v>5</v>
      </c>
      <c r="DO55">
        <v>5</v>
      </c>
      <c r="DU55">
        <v>3.2</v>
      </c>
      <c r="DV55">
        <v>1</v>
      </c>
      <c r="DW55">
        <v>52</v>
      </c>
      <c r="DX55">
        <v>3</v>
      </c>
      <c r="DY55">
        <f t="shared" si="33"/>
        <v>0.83000000000000007</v>
      </c>
      <c r="DZ55">
        <v>2</v>
      </c>
      <c r="EA55">
        <v>103</v>
      </c>
      <c r="EB55">
        <v>3</v>
      </c>
      <c r="EC55">
        <f t="shared" si="34"/>
        <v>0.7</v>
      </c>
      <c r="ED55">
        <v>1</v>
      </c>
      <c r="EE55">
        <v>68</v>
      </c>
      <c r="EF55">
        <v>2</v>
      </c>
      <c r="EG55" s="18">
        <f t="shared" si="35"/>
        <v>0.24</v>
      </c>
      <c r="EH55">
        <v>1</v>
      </c>
      <c r="EI55">
        <v>34</v>
      </c>
      <c r="EJ55">
        <v>2</v>
      </c>
      <c r="EK55">
        <f t="shared" si="36"/>
        <v>0.24</v>
      </c>
      <c r="EL55">
        <v>1</v>
      </c>
      <c r="EY55">
        <v>0</v>
      </c>
      <c r="GJ55" s="16">
        <v>0.36</v>
      </c>
      <c r="GK55" s="16">
        <v>1</v>
      </c>
      <c r="GL55" s="16">
        <v>1</v>
      </c>
      <c r="GM55" s="16"/>
      <c r="GN55" s="16">
        <v>1.52</v>
      </c>
      <c r="GO55" s="16"/>
      <c r="GP55" s="16"/>
      <c r="GQ55" s="16"/>
      <c r="GR55" s="16"/>
      <c r="GS55" s="16"/>
      <c r="GT55" s="16"/>
      <c r="GU55" s="16">
        <v>8.32</v>
      </c>
      <c r="GV55" s="16">
        <v>8.31</v>
      </c>
      <c r="GW55" s="16"/>
      <c r="GX55" s="16"/>
      <c r="GY55" s="16">
        <v>0</v>
      </c>
      <c r="GZ55" s="16">
        <v>0</v>
      </c>
      <c r="HA55" s="16">
        <v>0</v>
      </c>
      <c r="HB55">
        <v>0</v>
      </c>
      <c r="HC55" t="s">
        <v>404</v>
      </c>
      <c r="HD55">
        <v>50.5</v>
      </c>
      <c r="HE55" s="16">
        <v>95.8</v>
      </c>
      <c r="HF55" s="16">
        <v>80.400000000000006</v>
      </c>
      <c r="HG55" s="16">
        <v>22.6</v>
      </c>
      <c r="HH55">
        <v>70.650000000000006</v>
      </c>
      <c r="HI55">
        <v>13.02</v>
      </c>
      <c r="HJ55">
        <v>16.329999999999998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3.81</v>
      </c>
      <c r="HU55">
        <v>53.36</v>
      </c>
      <c r="HV55">
        <v>0</v>
      </c>
      <c r="HW55">
        <v>0</v>
      </c>
      <c r="HX55">
        <v>7.8</v>
      </c>
      <c r="HY55">
        <v>2</v>
      </c>
      <c r="HZ55">
        <v>10</v>
      </c>
      <c r="IA55">
        <v>2.69</v>
      </c>
      <c r="IF55">
        <v>10</v>
      </c>
      <c r="IG55">
        <v>2.69</v>
      </c>
      <c r="IL55">
        <v>0</v>
      </c>
      <c r="IM55">
        <v>0</v>
      </c>
      <c r="IX55" s="18"/>
      <c r="JP55">
        <v>0</v>
      </c>
      <c r="LA55" s="16">
        <v>10.02</v>
      </c>
      <c r="LB55" s="16">
        <v>1</v>
      </c>
      <c r="LC55" s="16">
        <v>2</v>
      </c>
      <c r="LD55" s="16"/>
      <c r="LE55" s="16">
        <f t="shared" si="37"/>
        <v>15.119999999999997</v>
      </c>
      <c r="LF55" s="16"/>
      <c r="LG55" s="16"/>
      <c r="LH55" s="16"/>
      <c r="LI55" s="16"/>
      <c r="LJ55" s="16"/>
      <c r="LK55" s="16"/>
      <c r="LL55" s="16">
        <v>9.92</v>
      </c>
      <c r="LM55" s="16">
        <v>20.94</v>
      </c>
      <c r="LN55" s="16"/>
      <c r="LO55" s="16"/>
      <c r="LP55" s="16">
        <v>0</v>
      </c>
      <c r="LQ55" s="16">
        <v>0</v>
      </c>
      <c r="LR55" s="16">
        <v>0</v>
      </c>
      <c r="LS55">
        <v>0</v>
      </c>
      <c r="LT55" t="s">
        <v>405</v>
      </c>
      <c r="LU55">
        <v>57.5</v>
      </c>
      <c r="LV55" s="16">
        <v>93.3</v>
      </c>
      <c r="LW55" s="16">
        <v>80.400000000000006</v>
      </c>
      <c r="LX55" s="16">
        <v>37.200000000000003</v>
      </c>
      <c r="LY55">
        <v>37.4</v>
      </c>
      <c r="LZ55">
        <v>31.73</v>
      </c>
      <c r="MA55">
        <v>29.89</v>
      </c>
      <c r="MB55">
        <v>0</v>
      </c>
      <c r="MC55">
        <v>0.98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21.26</v>
      </c>
      <c r="ML55">
        <v>57.4</v>
      </c>
      <c r="MM55">
        <v>0</v>
      </c>
      <c r="MN55">
        <v>0</v>
      </c>
      <c r="MO55">
        <v>0</v>
      </c>
      <c r="MP55">
        <v>0</v>
      </c>
      <c r="NC55">
        <v>2.2999999999999998</v>
      </c>
      <c r="ND55">
        <v>1</v>
      </c>
      <c r="NE55">
        <v>35</v>
      </c>
      <c r="NF55">
        <v>1</v>
      </c>
      <c r="NG55">
        <v>0.49</v>
      </c>
      <c r="NH55">
        <v>3</v>
      </c>
      <c r="NO55" s="18"/>
      <c r="OG55">
        <v>0</v>
      </c>
      <c r="PR55" s="16">
        <v>2.91</v>
      </c>
      <c r="PS55" s="16">
        <v>1</v>
      </c>
      <c r="PT55" s="16">
        <v>1</v>
      </c>
      <c r="PU55" s="16"/>
      <c r="PV55" s="16">
        <f t="shared" si="38"/>
        <v>30.74</v>
      </c>
      <c r="PW55" s="16"/>
      <c r="PX55" s="16"/>
      <c r="PY55" s="16"/>
      <c r="PZ55" s="16"/>
      <c r="QA55" s="16"/>
      <c r="QB55" s="16"/>
      <c r="QC55" s="16">
        <v>14.81</v>
      </c>
      <c r="QD55" s="16">
        <v>52.45</v>
      </c>
      <c r="QE55" s="16"/>
      <c r="QF55" s="16"/>
      <c r="QG55" s="16">
        <v>0</v>
      </c>
      <c r="QH55" s="16">
        <v>0</v>
      </c>
      <c r="QI55" s="16">
        <v>0</v>
      </c>
      <c r="QJ55">
        <v>0</v>
      </c>
      <c r="QK55" t="s">
        <v>406</v>
      </c>
      <c r="QL55">
        <v>12.5</v>
      </c>
      <c r="QM55" s="16">
        <v>69.900000000000006</v>
      </c>
      <c r="QN55" s="16">
        <v>80.400000000000006</v>
      </c>
      <c r="QO55" s="16">
        <v>9</v>
      </c>
      <c r="QP55">
        <v>90.9</v>
      </c>
      <c r="QQ55">
        <v>7.98</v>
      </c>
      <c r="QR55">
        <v>1.1200000000000001</v>
      </c>
      <c r="QS55">
        <v>4.5599999999999996</v>
      </c>
      <c r="QT55">
        <v>17.670000000000002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4.5599999999999996</v>
      </c>
      <c r="RC55">
        <v>17.670000000000002</v>
      </c>
      <c r="RD55">
        <v>0</v>
      </c>
      <c r="RE55">
        <v>0</v>
      </c>
      <c r="RF55">
        <v>0</v>
      </c>
      <c r="RG55">
        <v>0</v>
      </c>
      <c r="RT55">
        <v>0</v>
      </c>
      <c r="RU55">
        <v>0</v>
      </c>
      <c r="SF55" s="18"/>
      <c r="SX55">
        <v>0</v>
      </c>
      <c r="UI55" s="16">
        <v>0</v>
      </c>
      <c r="UJ55" s="16">
        <v>0</v>
      </c>
      <c r="UK55" s="16"/>
      <c r="UL55" s="16"/>
      <c r="UM55" s="16"/>
      <c r="UN55" s="16"/>
      <c r="UO55" s="16"/>
      <c r="UP55" s="16"/>
      <c r="UQ55" s="16"/>
      <c r="UR55" s="16"/>
      <c r="US55" s="16"/>
      <c r="UT55" s="16">
        <v>3.41</v>
      </c>
      <c r="UU55" s="16">
        <v>3.41</v>
      </c>
      <c r="UV55" s="16"/>
      <c r="UW55" s="16"/>
      <c r="UX55" s="16">
        <v>0</v>
      </c>
      <c r="UY55" s="16">
        <v>0</v>
      </c>
      <c r="UZ55" s="16">
        <v>0</v>
      </c>
      <c r="VA55">
        <v>0</v>
      </c>
      <c r="VB55" t="s">
        <v>407</v>
      </c>
      <c r="VC55">
        <v>17</v>
      </c>
      <c r="VD55" s="16">
        <v>84.3</v>
      </c>
      <c r="VE55" s="16">
        <v>80.400000000000006</v>
      </c>
      <c r="VF55" s="16">
        <v>9.8000000000000007</v>
      </c>
      <c r="VG55">
        <v>84.81</v>
      </c>
      <c r="VH55">
        <v>14.07</v>
      </c>
      <c r="VI55">
        <v>1.1200000000000001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7.34</v>
      </c>
      <c r="VT55">
        <v>26.23</v>
      </c>
      <c r="VU55">
        <v>0</v>
      </c>
      <c r="VV55">
        <v>0</v>
      </c>
      <c r="VW55">
        <v>0</v>
      </c>
      <c r="VX55">
        <v>0</v>
      </c>
      <c r="WK55">
        <v>0</v>
      </c>
      <c r="WL55">
        <v>0</v>
      </c>
      <c r="WW55" s="18"/>
      <c r="XO55">
        <v>0</v>
      </c>
      <c r="YZ55" s="16">
        <v>1.51</v>
      </c>
      <c r="ZA55" s="16">
        <v>1</v>
      </c>
      <c r="ZB55" s="16">
        <v>2</v>
      </c>
      <c r="ZC55" s="16"/>
      <c r="ZD55" s="16">
        <f t="shared" si="39"/>
        <v>5.03</v>
      </c>
      <c r="ZE55" s="16"/>
      <c r="ZF55" s="16"/>
      <c r="ZG55" s="16"/>
      <c r="ZH55" s="16"/>
      <c r="ZI55" s="16"/>
      <c r="ZJ55" s="16"/>
      <c r="ZK55" s="16">
        <v>5.5</v>
      </c>
      <c r="ZL55" s="16">
        <v>9.84</v>
      </c>
      <c r="ZM55" s="16"/>
      <c r="ZN55" s="16"/>
      <c r="ZO55" s="16">
        <v>0</v>
      </c>
      <c r="ZP55" s="16">
        <v>0</v>
      </c>
      <c r="ZQ55" s="16">
        <v>0</v>
      </c>
      <c r="ZR55">
        <v>0</v>
      </c>
      <c r="ZS55" t="s">
        <v>408</v>
      </c>
      <c r="ZT55">
        <v>26</v>
      </c>
      <c r="ZU55" s="16">
        <v>75.099999999999994</v>
      </c>
      <c r="ZV55" s="16">
        <v>80.400000000000006</v>
      </c>
      <c r="ZW55" s="16">
        <v>10.7</v>
      </c>
      <c r="ZX55">
        <v>76.38</v>
      </c>
      <c r="ZY55">
        <v>22.5</v>
      </c>
      <c r="ZZ55">
        <v>1.1200000000000001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10.84</v>
      </c>
      <c r="AAK55">
        <v>26.14</v>
      </c>
      <c r="AAL55">
        <v>0</v>
      </c>
      <c r="AAM55">
        <v>0</v>
      </c>
      <c r="AAN55">
        <v>0</v>
      </c>
      <c r="AAO55">
        <v>0</v>
      </c>
      <c r="ABB55">
        <v>2.5</v>
      </c>
      <c r="ABC55">
        <v>1</v>
      </c>
      <c r="ABD55">
        <v>68</v>
      </c>
      <c r="ABE55">
        <v>1</v>
      </c>
      <c r="ABF55">
        <f t="shared" si="40"/>
        <v>1.34</v>
      </c>
      <c r="ABG55">
        <v>1</v>
      </c>
      <c r="ABH55">
        <v>52</v>
      </c>
      <c r="ABI55">
        <v>2</v>
      </c>
      <c r="ABJ55">
        <v>0.45</v>
      </c>
      <c r="ABK55">
        <v>2</v>
      </c>
      <c r="ABN55" s="18"/>
      <c r="ACF55">
        <v>0</v>
      </c>
      <c r="ADQ55" s="16">
        <v>1.21</v>
      </c>
      <c r="ADR55" s="16">
        <v>1</v>
      </c>
      <c r="ADS55" s="16">
        <v>2</v>
      </c>
      <c r="ADT55" s="16"/>
      <c r="ADU55" s="16">
        <v>4.04</v>
      </c>
      <c r="ADV55" s="16"/>
      <c r="ADW55" s="16"/>
      <c r="ADX55" s="16"/>
      <c r="ADY55" s="16"/>
      <c r="ADZ55" s="16"/>
      <c r="AEA55" s="16"/>
      <c r="AEB55" s="16">
        <v>11.17</v>
      </c>
      <c r="AEC55" s="16">
        <v>19.84</v>
      </c>
      <c r="AED55" s="16"/>
      <c r="AEE55" s="16"/>
      <c r="AEF55" s="16">
        <v>0</v>
      </c>
      <c r="AEG55" s="16">
        <v>0</v>
      </c>
      <c r="AEH55" s="16">
        <v>0</v>
      </c>
      <c r="AEI55">
        <v>0</v>
      </c>
      <c r="AEJ55" t="s">
        <v>409</v>
      </c>
      <c r="AEK55">
        <v>23</v>
      </c>
      <c r="AEL55" s="16">
        <v>90.8</v>
      </c>
      <c r="AEM55" s="16">
        <v>80.400000000000006</v>
      </c>
      <c r="AEN55" s="16">
        <v>11.6</v>
      </c>
      <c r="AEO55">
        <v>71.459999999999994</v>
      </c>
      <c r="AEP55">
        <v>27.42</v>
      </c>
      <c r="AEQ55">
        <v>1.1200000000000001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11.58</v>
      </c>
      <c r="AFB55">
        <v>41.25</v>
      </c>
      <c r="AFC55">
        <v>0</v>
      </c>
      <c r="AFD55">
        <v>0</v>
      </c>
      <c r="AFE55">
        <v>0</v>
      </c>
      <c r="AFF55">
        <v>0</v>
      </c>
      <c r="AFS55">
        <v>1.7</v>
      </c>
      <c r="AFT55">
        <v>1</v>
      </c>
      <c r="AFU55">
        <v>35</v>
      </c>
      <c r="AFV55">
        <v>1</v>
      </c>
      <c r="AFW55">
        <v>0.05</v>
      </c>
      <c r="AFX55">
        <v>3</v>
      </c>
      <c r="AFY55">
        <v>103</v>
      </c>
      <c r="AFZ55">
        <v>5</v>
      </c>
      <c r="AGA55">
        <v>0.25</v>
      </c>
      <c r="AGB55">
        <v>1</v>
      </c>
      <c r="AGC55">
        <v>68</v>
      </c>
      <c r="AGD55">
        <v>4</v>
      </c>
      <c r="AGE55" s="18">
        <v>0.26</v>
      </c>
      <c r="AGF55">
        <v>1</v>
      </c>
      <c r="AGG55">
        <v>52</v>
      </c>
      <c r="AGH55">
        <v>4</v>
      </c>
      <c r="AGI55">
        <f t="shared" si="41"/>
        <v>0.18000000000000002</v>
      </c>
      <c r="AGJ55">
        <v>2</v>
      </c>
      <c r="AGW55">
        <v>0</v>
      </c>
      <c r="AIH55" s="16">
        <v>0.04</v>
      </c>
      <c r="AII55" s="16">
        <v>1</v>
      </c>
      <c r="AIJ55" s="16">
        <v>1</v>
      </c>
      <c r="AIK55" s="16"/>
      <c r="AIL55" s="16">
        <v>0.13</v>
      </c>
      <c r="AIM55" s="16"/>
      <c r="AIN55" s="16"/>
      <c r="AIO55" s="16"/>
      <c r="AIP55" s="16"/>
      <c r="AIQ55" s="16"/>
      <c r="AIR55" s="16"/>
      <c r="AIS55" s="16">
        <v>9.52</v>
      </c>
      <c r="AIT55" s="16">
        <v>21.65</v>
      </c>
      <c r="AIU55" s="16"/>
      <c r="AIV55" s="16"/>
      <c r="AIW55" s="16">
        <v>0</v>
      </c>
      <c r="AIX55" s="16">
        <v>0</v>
      </c>
      <c r="AIY55" s="16">
        <v>0</v>
      </c>
      <c r="AIZ55">
        <v>0</v>
      </c>
      <c r="AJA55" t="s">
        <v>410</v>
      </c>
      <c r="AJB55">
        <v>24</v>
      </c>
      <c r="AJC55" s="16">
        <v>82.9</v>
      </c>
      <c r="AJD55" s="16">
        <v>80.400000000000006</v>
      </c>
      <c r="AJE55" s="16">
        <v>9.6</v>
      </c>
      <c r="AJF55">
        <v>86.23</v>
      </c>
      <c r="AJG55">
        <v>11.76</v>
      </c>
      <c r="AJH55">
        <v>0</v>
      </c>
      <c r="AJI55">
        <v>0</v>
      </c>
      <c r="AJJ55">
        <v>1.01</v>
      </c>
      <c r="AJK55">
        <v>1.01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8.84</v>
      </c>
      <c r="AJS55">
        <v>23.37</v>
      </c>
      <c r="AJT55">
        <v>0</v>
      </c>
      <c r="AJU55">
        <v>0</v>
      </c>
      <c r="AJV55">
        <v>0</v>
      </c>
      <c r="AJW55">
        <v>0</v>
      </c>
      <c r="AKJ55">
        <v>0</v>
      </c>
      <c r="AKK55">
        <v>1</v>
      </c>
      <c r="AKL55">
        <v>52</v>
      </c>
      <c r="AKM55">
        <v>1</v>
      </c>
      <c r="AKN55">
        <v>0.02</v>
      </c>
      <c r="AKO55">
        <v>2</v>
      </c>
      <c r="AKV55" s="18"/>
      <c r="ALN55">
        <v>0</v>
      </c>
    </row>
    <row r="56" spans="1:1018" x14ac:dyDescent="0.2">
      <c r="A56" s="1" t="s">
        <v>412</v>
      </c>
      <c r="B56" s="12">
        <v>42900</v>
      </c>
      <c r="C56">
        <v>2</v>
      </c>
      <c r="D56" s="13">
        <v>42811</v>
      </c>
      <c r="E56" s="12">
        <v>34190</v>
      </c>
      <c r="F56" s="14">
        <f t="shared" si="0"/>
        <v>23.846680355920601</v>
      </c>
      <c r="G56" s="14">
        <f t="shared" si="1"/>
        <v>0.24366872005475701</v>
      </c>
      <c r="H56" s="15" t="s">
        <v>217</v>
      </c>
      <c r="I56" s="15" t="s">
        <v>402</v>
      </c>
      <c r="J56" s="21" t="s">
        <v>181</v>
      </c>
      <c r="K56" s="21">
        <v>4</v>
      </c>
      <c r="L56" s="19">
        <v>95</v>
      </c>
      <c r="M56">
        <v>1.72</v>
      </c>
      <c r="N56" s="16">
        <f t="shared" si="2"/>
        <v>32.11195240670633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0</v>
      </c>
      <c r="X56" s="19">
        <v>0</v>
      </c>
      <c r="Y56" s="19">
        <v>1</v>
      </c>
      <c r="Z56" s="19">
        <v>1</v>
      </c>
      <c r="AA56" s="19">
        <v>60</v>
      </c>
      <c r="AB56" s="19" t="s">
        <v>368</v>
      </c>
      <c r="AC56" s="19"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9">
        <v>0</v>
      </c>
      <c r="AJ56" s="19">
        <v>0</v>
      </c>
      <c r="AK56" s="19">
        <v>0</v>
      </c>
      <c r="AL56" s="19">
        <v>0</v>
      </c>
      <c r="AM56" s="19">
        <v>0</v>
      </c>
      <c r="AN56" s="19">
        <v>0</v>
      </c>
      <c r="AO56" s="19">
        <v>0</v>
      </c>
      <c r="AP56" s="19">
        <v>0</v>
      </c>
      <c r="AQ56" s="19">
        <v>0</v>
      </c>
      <c r="AR56" s="19">
        <v>0</v>
      </c>
      <c r="AS56" s="19">
        <v>0</v>
      </c>
      <c r="AT56" s="19">
        <v>0</v>
      </c>
      <c r="AU56" s="19">
        <v>0</v>
      </c>
      <c r="AV56" s="19">
        <v>0</v>
      </c>
      <c r="AW56" s="19">
        <v>0</v>
      </c>
      <c r="AX56" s="19">
        <v>0</v>
      </c>
      <c r="AY56" s="19">
        <v>0</v>
      </c>
      <c r="AZ56" s="19">
        <v>0</v>
      </c>
      <c r="BA56" s="19">
        <v>0</v>
      </c>
      <c r="BB56" s="19">
        <v>0</v>
      </c>
      <c r="BC56" s="19">
        <v>0</v>
      </c>
      <c r="BD56" s="19">
        <v>0</v>
      </c>
      <c r="BE56" s="19">
        <v>0</v>
      </c>
      <c r="BF56" s="19">
        <v>0</v>
      </c>
      <c r="BG56" s="19">
        <v>0</v>
      </c>
      <c r="BH56" s="19">
        <v>0</v>
      </c>
      <c r="BI56" s="19">
        <v>0</v>
      </c>
      <c r="BJ56" s="19">
        <v>0</v>
      </c>
      <c r="BK56" s="19">
        <v>0</v>
      </c>
      <c r="BL56" s="19">
        <v>0</v>
      </c>
      <c r="BM56" s="19">
        <v>0</v>
      </c>
      <c r="BN56" s="19">
        <v>0</v>
      </c>
      <c r="BO56" s="19">
        <v>0</v>
      </c>
      <c r="BP56" s="19">
        <v>0</v>
      </c>
      <c r="BQ56" s="19">
        <v>0</v>
      </c>
      <c r="BR56" s="19">
        <v>2</v>
      </c>
      <c r="BS56" s="19">
        <v>2</v>
      </c>
      <c r="BT56" s="19">
        <v>2</v>
      </c>
      <c r="BU56" s="19">
        <v>5</v>
      </c>
      <c r="BV56" s="19">
        <v>2</v>
      </c>
      <c r="BW56" s="19">
        <v>2</v>
      </c>
      <c r="BX56" s="19">
        <v>2</v>
      </c>
      <c r="BY56" s="19">
        <v>4</v>
      </c>
      <c r="BZ56" s="19">
        <v>4</v>
      </c>
      <c r="CA56" s="19">
        <v>4</v>
      </c>
      <c r="CB56" s="19">
        <v>5</v>
      </c>
      <c r="CC56" s="19">
        <v>5</v>
      </c>
      <c r="CD56" s="19">
        <v>3</v>
      </c>
      <c r="CE56" s="19">
        <v>5</v>
      </c>
      <c r="CF56" s="19">
        <v>5</v>
      </c>
      <c r="CG56" s="19">
        <v>4</v>
      </c>
      <c r="CH56" s="19">
        <v>5</v>
      </c>
      <c r="CI56" s="19">
        <v>5</v>
      </c>
      <c r="CJ56" s="19">
        <v>5</v>
      </c>
      <c r="CK56" s="19">
        <v>10</v>
      </c>
      <c r="CL56" t="s">
        <v>403</v>
      </c>
      <c r="CM56">
        <v>21.5</v>
      </c>
      <c r="CN56" s="16">
        <v>78.400000000000006</v>
      </c>
      <c r="CO56" s="16">
        <v>80.400000000000006</v>
      </c>
      <c r="CP56" s="16">
        <v>9.6</v>
      </c>
      <c r="CQ56">
        <v>84.68</v>
      </c>
      <c r="CR56">
        <v>14.18</v>
      </c>
      <c r="CS56">
        <v>1.1200000000000001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9.51</v>
      </c>
      <c r="DD56">
        <v>25.42</v>
      </c>
      <c r="DE56">
        <v>0</v>
      </c>
      <c r="DF56">
        <v>0</v>
      </c>
      <c r="DG56">
        <v>0</v>
      </c>
      <c r="DH56">
        <v>2</v>
      </c>
      <c r="DI56">
        <v>5</v>
      </c>
      <c r="DO56">
        <v>5</v>
      </c>
      <c r="DU56">
        <v>3.2</v>
      </c>
      <c r="DV56">
        <v>1</v>
      </c>
      <c r="DW56">
        <v>52</v>
      </c>
      <c r="DX56">
        <v>3</v>
      </c>
      <c r="DY56">
        <f t="shared" si="33"/>
        <v>0.83000000000000007</v>
      </c>
      <c r="DZ56">
        <v>2</v>
      </c>
      <c r="EA56">
        <v>103</v>
      </c>
      <c r="EB56">
        <v>3</v>
      </c>
      <c r="EC56">
        <f t="shared" si="34"/>
        <v>0.7</v>
      </c>
      <c r="ED56">
        <v>1</v>
      </c>
      <c r="EE56">
        <v>68</v>
      </c>
      <c r="EF56">
        <v>2</v>
      </c>
      <c r="EG56" s="18">
        <f t="shared" si="35"/>
        <v>0.24</v>
      </c>
      <c r="EH56">
        <v>1</v>
      </c>
      <c r="EI56">
        <v>34</v>
      </c>
      <c r="EJ56">
        <v>2</v>
      </c>
      <c r="EK56">
        <f t="shared" si="36"/>
        <v>0.24</v>
      </c>
      <c r="EL56">
        <v>1</v>
      </c>
      <c r="EY56">
        <v>0</v>
      </c>
      <c r="GJ56" s="16">
        <v>0.36</v>
      </c>
      <c r="GK56" s="16">
        <v>1</v>
      </c>
      <c r="GL56" s="16">
        <v>1</v>
      </c>
      <c r="GM56" s="16"/>
      <c r="GN56" s="16">
        <v>1.52</v>
      </c>
      <c r="GO56" s="16"/>
      <c r="GP56" s="16"/>
      <c r="GQ56" s="16"/>
      <c r="GR56" s="16"/>
      <c r="GS56" s="16"/>
      <c r="GT56" s="16"/>
      <c r="GU56" s="16">
        <v>8.32</v>
      </c>
      <c r="GV56" s="16">
        <v>8.31</v>
      </c>
      <c r="GW56" s="16"/>
      <c r="GX56" s="16"/>
      <c r="GY56" s="16">
        <v>0</v>
      </c>
      <c r="GZ56" s="16">
        <v>0</v>
      </c>
      <c r="HA56" s="16">
        <v>0</v>
      </c>
      <c r="HB56">
        <v>0</v>
      </c>
      <c r="HC56" t="s">
        <v>404</v>
      </c>
      <c r="HD56">
        <v>50.5</v>
      </c>
      <c r="HE56" s="16">
        <v>95.8</v>
      </c>
      <c r="HF56" s="16">
        <v>80.400000000000006</v>
      </c>
      <c r="HG56" s="16">
        <v>22.6</v>
      </c>
      <c r="HH56">
        <v>70.650000000000006</v>
      </c>
      <c r="HI56">
        <v>13.02</v>
      </c>
      <c r="HJ56">
        <v>16.329999999999998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3.81</v>
      </c>
      <c r="HU56">
        <v>53.36</v>
      </c>
      <c r="HV56">
        <v>0</v>
      </c>
      <c r="HW56">
        <v>0</v>
      </c>
      <c r="HX56">
        <v>7.8</v>
      </c>
      <c r="HY56">
        <v>2</v>
      </c>
      <c r="HZ56">
        <v>10</v>
      </c>
      <c r="IA56">
        <v>2.69</v>
      </c>
      <c r="IF56">
        <v>10</v>
      </c>
      <c r="IG56">
        <v>2.69</v>
      </c>
      <c r="IL56">
        <v>0</v>
      </c>
      <c r="IM56">
        <v>0</v>
      </c>
      <c r="IX56" s="18"/>
      <c r="JP56">
        <v>0</v>
      </c>
      <c r="LA56" s="16">
        <v>10.02</v>
      </c>
      <c r="LB56" s="16">
        <v>1</v>
      </c>
      <c r="LC56" s="16">
        <v>2</v>
      </c>
      <c r="LD56" s="16"/>
      <c r="LE56" s="16">
        <f t="shared" si="37"/>
        <v>15.119999999999997</v>
      </c>
      <c r="LF56" s="16"/>
      <c r="LG56" s="16"/>
      <c r="LH56" s="16"/>
      <c r="LI56" s="16"/>
      <c r="LJ56" s="16"/>
      <c r="LK56" s="16"/>
      <c r="LL56" s="16">
        <v>9.92</v>
      </c>
      <c r="LM56" s="16">
        <v>20.94</v>
      </c>
      <c r="LN56" s="16"/>
      <c r="LO56" s="16"/>
      <c r="LP56" s="16">
        <v>0</v>
      </c>
      <c r="LQ56" s="16">
        <v>0</v>
      </c>
      <c r="LR56" s="16">
        <v>0</v>
      </c>
      <c r="LS56">
        <v>0</v>
      </c>
      <c r="LT56" t="s">
        <v>405</v>
      </c>
      <c r="LU56">
        <v>57.5</v>
      </c>
      <c r="LV56" s="16">
        <v>93.3</v>
      </c>
      <c r="LW56" s="16">
        <v>80.400000000000006</v>
      </c>
      <c r="LX56" s="16">
        <v>37.200000000000003</v>
      </c>
      <c r="LY56">
        <v>37.4</v>
      </c>
      <c r="LZ56">
        <v>31.73</v>
      </c>
      <c r="MA56">
        <v>29.89</v>
      </c>
      <c r="MB56">
        <v>0</v>
      </c>
      <c r="MC56">
        <v>0.98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21.26</v>
      </c>
      <c r="ML56">
        <v>57.4</v>
      </c>
      <c r="MM56">
        <v>0</v>
      </c>
      <c r="MN56">
        <v>0</v>
      </c>
      <c r="MO56">
        <v>0</v>
      </c>
      <c r="MP56">
        <v>0</v>
      </c>
      <c r="NC56">
        <v>2.2999999999999998</v>
      </c>
      <c r="ND56">
        <v>1</v>
      </c>
      <c r="NE56">
        <v>35</v>
      </c>
      <c r="NF56">
        <v>1</v>
      </c>
      <c r="NG56">
        <v>0.49</v>
      </c>
      <c r="NH56">
        <v>3</v>
      </c>
      <c r="NO56" s="18"/>
      <c r="OG56">
        <v>0</v>
      </c>
      <c r="PR56" s="16">
        <v>2.91</v>
      </c>
      <c r="PS56" s="16">
        <v>1</v>
      </c>
      <c r="PT56" s="16">
        <v>1</v>
      </c>
      <c r="PU56" s="16"/>
      <c r="PV56" s="16">
        <f t="shared" si="38"/>
        <v>30.74</v>
      </c>
      <c r="PW56" s="16"/>
      <c r="PX56" s="16"/>
      <c r="PY56" s="16"/>
      <c r="PZ56" s="16"/>
      <c r="QA56" s="16"/>
      <c r="QB56" s="16"/>
      <c r="QC56" s="16">
        <v>14.81</v>
      </c>
      <c r="QD56" s="16">
        <v>52.45</v>
      </c>
      <c r="QE56" s="16"/>
      <c r="QF56" s="16"/>
      <c r="QG56" s="16">
        <v>0</v>
      </c>
      <c r="QH56" s="16">
        <v>0</v>
      </c>
      <c r="QI56" s="16">
        <v>0</v>
      </c>
      <c r="QJ56">
        <v>0</v>
      </c>
      <c r="QK56" t="s">
        <v>406</v>
      </c>
      <c r="QL56">
        <v>12.5</v>
      </c>
      <c r="QM56" s="16">
        <v>69.900000000000006</v>
      </c>
      <c r="QN56" s="16">
        <v>80.400000000000006</v>
      </c>
      <c r="QO56" s="16">
        <v>9</v>
      </c>
      <c r="QP56">
        <v>90.9</v>
      </c>
      <c r="QQ56">
        <v>7.98</v>
      </c>
      <c r="QR56">
        <v>1.1200000000000001</v>
      </c>
      <c r="QS56">
        <v>4.5599999999999996</v>
      </c>
      <c r="QT56">
        <v>17.670000000000002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4.5599999999999996</v>
      </c>
      <c r="RC56">
        <v>17.670000000000002</v>
      </c>
      <c r="RD56">
        <v>0</v>
      </c>
      <c r="RE56">
        <v>0</v>
      </c>
      <c r="RF56">
        <v>0</v>
      </c>
      <c r="RG56">
        <v>0</v>
      </c>
      <c r="RT56">
        <v>0</v>
      </c>
      <c r="RU56">
        <v>0</v>
      </c>
      <c r="SF56" s="18"/>
      <c r="SX56">
        <v>0</v>
      </c>
      <c r="UI56" s="16">
        <v>0</v>
      </c>
      <c r="UJ56" s="16">
        <v>0</v>
      </c>
      <c r="UK56" s="16"/>
      <c r="UL56" s="16"/>
      <c r="UM56" s="16"/>
      <c r="UN56" s="16"/>
      <c r="UO56" s="16"/>
      <c r="UP56" s="16"/>
      <c r="UQ56" s="16"/>
      <c r="UR56" s="16"/>
      <c r="US56" s="16"/>
      <c r="UT56" s="16">
        <v>3.41</v>
      </c>
      <c r="UU56" s="16">
        <v>3.41</v>
      </c>
      <c r="UV56" s="16"/>
      <c r="UW56" s="16"/>
      <c r="UX56" s="16">
        <v>0</v>
      </c>
      <c r="UY56" s="16">
        <v>0</v>
      </c>
      <c r="UZ56" s="16">
        <v>0</v>
      </c>
      <c r="VA56">
        <v>0</v>
      </c>
      <c r="VB56" t="s">
        <v>407</v>
      </c>
      <c r="VC56">
        <v>17</v>
      </c>
      <c r="VD56" s="16">
        <v>84.3</v>
      </c>
      <c r="VE56" s="16">
        <v>80.400000000000006</v>
      </c>
      <c r="VF56" s="16">
        <v>9.8000000000000007</v>
      </c>
      <c r="VG56">
        <v>84.81</v>
      </c>
      <c r="VH56">
        <v>14.07</v>
      </c>
      <c r="VI56">
        <v>1.1200000000000001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7.34</v>
      </c>
      <c r="VT56">
        <v>26.23</v>
      </c>
      <c r="VU56">
        <v>0</v>
      </c>
      <c r="VV56">
        <v>0</v>
      </c>
      <c r="VW56">
        <v>0</v>
      </c>
      <c r="VX56">
        <v>0</v>
      </c>
      <c r="WK56">
        <v>0</v>
      </c>
      <c r="WL56">
        <v>0</v>
      </c>
      <c r="WW56" s="18"/>
      <c r="XO56">
        <v>0</v>
      </c>
      <c r="YZ56" s="16">
        <v>1.51</v>
      </c>
      <c r="ZA56" s="16">
        <v>1</v>
      </c>
      <c r="ZB56" s="16">
        <v>2</v>
      </c>
      <c r="ZC56" s="16"/>
      <c r="ZD56" s="16">
        <f t="shared" si="39"/>
        <v>5.03</v>
      </c>
      <c r="ZE56" s="16"/>
      <c r="ZF56" s="16"/>
      <c r="ZG56" s="16"/>
      <c r="ZH56" s="16"/>
      <c r="ZI56" s="16"/>
      <c r="ZJ56" s="16"/>
      <c r="ZK56" s="16">
        <v>5.5</v>
      </c>
      <c r="ZL56" s="16">
        <v>9.84</v>
      </c>
      <c r="ZM56" s="16"/>
      <c r="ZN56" s="16"/>
      <c r="ZO56" s="16">
        <v>0</v>
      </c>
      <c r="ZP56" s="16">
        <v>0</v>
      </c>
      <c r="ZQ56" s="16">
        <v>0</v>
      </c>
      <c r="ZR56">
        <v>0</v>
      </c>
      <c r="ZS56" t="s">
        <v>408</v>
      </c>
      <c r="ZT56">
        <v>26</v>
      </c>
      <c r="ZU56" s="16">
        <v>75.099999999999994</v>
      </c>
      <c r="ZV56" s="16">
        <v>80.400000000000006</v>
      </c>
      <c r="ZW56" s="16">
        <v>10.7</v>
      </c>
      <c r="ZX56">
        <v>76.38</v>
      </c>
      <c r="ZY56">
        <v>22.5</v>
      </c>
      <c r="ZZ56">
        <v>1.1200000000000001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10.84</v>
      </c>
      <c r="AAK56">
        <v>26.14</v>
      </c>
      <c r="AAL56">
        <v>0</v>
      </c>
      <c r="AAM56">
        <v>0</v>
      </c>
      <c r="AAN56">
        <v>0</v>
      </c>
      <c r="AAO56">
        <v>0</v>
      </c>
      <c r="ABB56">
        <v>2.5</v>
      </c>
      <c r="ABC56">
        <v>1</v>
      </c>
      <c r="ABD56">
        <v>68</v>
      </c>
      <c r="ABE56">
        <v>1</v>
      </c>
      <c r="ABF56">
        <f t="shared" si="40"/>
        <v>1.34</v>
      </c>
      <c r="ABG56">
        <v>1</v>
      </c>
      <c r="ABH56">
        <v>52</v>
      </c>
      <c r="ABI56">
        <v>2</v>
      </c>
      <c r="ABJ56">
        <v>0.45</v>
      </c>
      <c r="ABK56">
        <v>2</v>
      </c>
      <c r="ABN56" s="18"/>
      <c r="ACF56">
        <v>0</v>
      </c>
      <c r="ADQ56" s="16">
        <v>1.21</v>
      </c>
      <c r="ADR56" s="16">
        <v>1</v>
      </c>
      <c r="ADS56" s="16">
        <v>2</v>
      </c>
      <c r="ADT56" s="16"/>
      <c r="ADU56" s="16">
        <v>4.04</v>
      </c>
      <c r="ADV56" s="16"/>
      <c r="ADW56" s="16"/>
      <c r="ADX56" s="16"/>
      <c r="ADY56" s="16"/>
      <c r="ADZ56" s="16"/>
      <c r="AEA56" s="16"/>
      <c r="AEB56" s="16">
        <v>11.17</v>
      </c>
      <c r="AEC56" s="16">
        <v>19.84</v>
      </c>
      <c r="AED56" s="16"/>
      <c r="AEE56" s="16"/>
      <c r="AEF56" s="16">
        <v>0</v>
      </c>
      <c r="AEG56" s="16">
        <v>0</v>
      </c>
      <c r="AEH56" s="16">
        <v>0</v>
      </c>
      <c r="AEI56">
        <v>0</v>
      </c>
      <c r="AEJ56" t="s">
        <v>409</v>
      </c>
      <c r="AEK56">
        <v>23</v>
      </c>
      <c r="AEL56" s="16">
        <v>90.8</v>
      </c>
      <c r="AEM56" s="16">
        <v>80.400000000000006</v>
      </c>
      <c r="AEN56" s="16">
        <v>11.6</v>
      </c>
      <c r="AEO56">
        <v>71.459999999999994</v>
      </c>
      <c r="AEP56">
        <v>27.42</v>
      </c>
      <c r="AEQ56">
        <v>1.1200000000000001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11.58</v>
      </c>
      <c r="AFB56">
        <v>41.25</v>
      </c>
      <c r="AFC56">
        <v>0</v>
      </c>
      <c r="AFD56">
        <v>0</v>
      </c>
      <c r="AFE56">
        <v>0</v>
      </c>
      <c r="AFF56">
        <v>0</v>
      </c>
      <c r="AFS56">
        <v>1.7</v>
      </c>
      <c r="AFT56">
        <v>1</v>
      </c>
      <c r="AFU56">
        <v>35</v>
      </c>
      <c r="AFV56">
        <v>1</v>
      </c>
      <c r="AFW56">
        <v>0.05</v>
      </c>
      <c r="AFX56">
        <v>3</v>
      </c>
      <c r="AFY56">
        <v>103</v>
      </c>
      <c r="AFZ56">
        <v>5</v>
      </c>
      <c r="AGA56">
        <v>0.25</v>
      </c>
      <c r="AGB56">
        <v>1</v>
      </c>
      <c r="AGC56">
        <v>68</v>
      </c>
      <c r="AGD56">
        <v>4</v>
      </c>
      <c r="AGE56" s="18">
        <v>0.26</v>
      </c>
      <c r="AGF56">
        <v>1</v>
      </c>
      <c r="AGG56">
        <v>52</v>
      </c>
      <c r="AGH56">
        <v>4</v>
      </c>
      <c r="AGI56">
        <f t="shared" si="41"/>
        <v>0.18000000000000002</v>
      </c>
      <c r="AGJ56">
        <v>2</v>
      </c>
      <c r="AGW56">
        <v>0</v>
      </c>
      <c r="AIH56" s="16">
        <v>0.04</v>
      </c>
      <c r="AII56" s="16">
        <v>1</v>
      </c>
      <c r="AIJ56" s="16">
        <v>1</v>
      </c>
      <c r="AIK56" s="16"/>
      <c r="AIL56" s="16">
        <v>0.13</v>
      </c>
      <c r="AIM56" s="16"/>
      <c r="AIN56" s="16"/>
      <c r="AIO56" s="16"/>
      <c r="AIP56" s="16"/>
      <c r="AIQ56" s="16"/>
      <c r="AIR56" s="16"/>
      <c r="AIS56" s="16">
        <v>9.52</v>
      </c>
      <c r="AIT56" s="16">
        <v>21.65</v>
      </c>
      <c r="AIU56" s="16"/>
      <c r="AIV56" s="16"/>
      <c r="AIW56" s="16">
        <v>0</v>
      </c>
      <c r="AIX56" s="16">
        <v>0</v>
      </c>
      <c r="AIY56" s="16">
        <v>0</v>
      </c>
      <c r="AIZ56">
        <v>0</v>
      </c>
      <c r="AJA56" s="15"/>
      <c r="AJB56" s="15"/>
      <c r="AJI56" s="15"/>
      <c r="AJJ56" s="15"/>
      <c r="AJQ56" s="15"/>
      <c r="AJR56" s="15"/>
      <c r="AJY56" s="15"/>
      <c r="AJZ56" s="15"/>
      <c r="AKG56" s="15"/>
      <c r="AKH56" s="15"/>
      <c r="AKO56" s="15"/>
      <c r="AKP56" s="15"/>
      <c r="AKW56" s="15"/>
      <c r="AKX56" s="15"/>
      <c r="ALE56" s="15"/>
      <c r="ALF56" s="15"/>
      <c r="ALM56" s="15"/>
      <c r="ALN56" s="15"/>
      <c r="ALU56" s="15"/>
      <c r="ALV56" s="15"/>
      <c r="AMC56" s="15"/>
      <c r="AMD56" s="15"/>
    </row>
    <row r="57" spans="1:1018" x14ac:dyDescent="0.2">
      <c r="A57" s="1" t="s">
        <v>413</v>
      </c>
      <c r="B57" s="12">
        <v>42902</v>
      </c>
      <c r="C57">
        <v>1</v>
      </c>
      <c r="D57" s="13">
        <v>40513</v>
      </c>
      <c r="E57" s="12">
        <v>25531</v>
      </c>
      <c r="F57" s="14">
        <f t="shared" si="0"/>
        <v>47.559206023271734</v>
      </c>
      <c r="G57" s="14">
        <f t="shared" si="1"/>
        <v>6.5407255304585901</v>
      </c>
      <c r="H57" s="15" t="s">
        <v>217</v>
      </c>
      <c r="I57" s="15" t="s">
        <v>402</v>
      </c>
      <c r="J57" s="21" t="s">
        <v>181</v>
      </c>
      <c r="K57" s="21">
        <v>8</v>
      </c>
      <c r="L57" s="19">
        <v>75</v>
      </c>
      <c r="M57">
        <v>1.68</v>
      </c>
      <c r="N57" s="16">
        <f t="shared" si="2"/>
        <v>26.573129251700685</v>
      </c>
      <c r="O57" s="19">
        <v>0</v>
      </c>
      <c r="P57" s="19">
        <v>0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1</v>
      </c>
      <c r="X57" s="19">
        <v>0</v>
      </c>
      <c r="Y57" s="19">
        <v>1</v>
      </c>
      <c r="Z57" s="19">
        <v>2</v>
      </c>
      <c r="AA57" s="19">
        <v>120</v>
      </c>
      <c r="AB57" s="19" t="s">
        <v>308</v>
      </c>
      <c r="AC57" s="19">
        <v>0</v>
      </c>
      <c r="AD57" s="19">
        <v>0</v>
      </c>
      <c r="AE57" s="19">
        <v>0</v>
      </c>
      <c r="AF57" s="19">
        <v>0</v>
      </c>
      <c r="AG57" s="19">
        <v>0</v>
      </c>
      <c r="AH57" s="19">
        <v>0</v>
      </c>
      <c r="AI57" s="19">
        <v>0</v>
      </c>
      <c r="AJ57" s="19">
        <v>0</v>
      </c>
      <c r="AK57" s="19">
        <v>0</v>
      </c>
      <c r="AL57" s="19">
        <v>0</v>
      </c>
      <c r="AM57" s="19">
        <v>0</v>
      </c>
      <c r="AN57" s="19">
        <v>3</v>
      </c>
      <c r="AO57" s="19">
        <v>3</v>
      </c>
      <c r="AP57" s="19">
        <v>3</v>
      </c>
      <c r="AQ57" s="19">
        <v>10</v>
      </c>
      <c r="AR57" s="19">
        <v>7</v>
      </c>
      <c r="AS57" s="19">
        <v>0</v>
      </c>
      <c r="AT57" s="19">
        <v>0</v>
      </c>
      <c r="AU57" s="19">
        <v>0</v>
      </c>
      <c r="AV57" s="19">
        <v>0</v>
      </c>
      <c r="AW57" s="19">
        <v>0</v>
      </c>
      <c r="AX57" s="19">
        <v>0</v>
      </c>
      <c r="AY57" s="19">
        <v>0</v>
      </c>
      <c r="AZ57" s="19">
        <v>0</v>
      </c>
      <c r="BA57" s="19">
        <v>0</v>
      </c>
      <c r="BB57" s="19">
        <v>1</v>
      </c>
      <c r="BC57" s="19">
        <v>1</v>
      </c>
      <c r="BD57" s="19">
        <v>0</v>
      </c>
      <c r="BE57" s="19">
        <v>0</v>
      </c>
      <c r="BF57" s="19">
        <v>1</v>
      </c>
      <c r="BG57" s="19">
        <v>1</v>
      </c>
      <c r="BH57" s="19">
        <v>0</v>
      </c>
      <c r="BI57" s="19">
        <v>0</v>
      </c>
      <c r="BJ57" s="19">
        <v>1</v>
      </c>
      <c r="BK57" s="19">
        <v>1</v>
      </c>
      <c r="BL57" s="19">
        <v>1</v>
      </c>
      <c r="BM57" s="19">
        <v>5</v>
      </c>
      <c r="BN57" s="19">
        <v>0</v>
      </c>
      <c r="BO57" s="19">
        <v>0</v>
      </c>
      <c r="BP57" s="19">
        <v>0</v>
      </c>
      <c r="BQ57" s="19">
        <v>0</v>
      </c>
      <c r="BR57" s="19">
        <v>2</v>
      </c>
      <c r="BS57" s="19">
        <v>1</v>
      </c>
      <c r="BT57" s="19">
        <v>5</v>
      </c>
      <c r="BU57" s="19">
        <v>5</v>
      </c>
      <c r="BV57" s="19">
        <v>3</v>
      </c>
      <c r="BW57" s="19">
        <v>4</v>
      </c>
      <c r="BX57" s="19">
        <v>4</v>
      </c>
      <c r="BY57" s="19">
        <v>3</v>
      </c>
      <c r="BZ57" s="19">
        <v>3</v>
      </c>
      <c r="CA57" s="19">
        <v>3</v>
      </c>
      <c r="CB57" s="19">
        <v>4</v>
      </c>
      <c r="CC57" s="19">
        <v>5</v>
      </c>
      <c r="CD57" s="19">
        <v>3</v>
      </c>
      <c r="CE57" s="19">
        <v>4</v>
      </c>
      <c r="CF57" s="19">
        <v>3</v>
      </c>
      <c r="CG57" s="19">
        <v>5</v>
      </c>
      <c r="CH57" s="19">
        <v>3</v>
      </c>
      <c r="CI57" s="19">
        <v>4</v>
      </c>
      <c r="CJ57" s="19">
        <v>4</v>
      </c>
      <c r="CK57" s="19">
        <v>10</v>
      </c>
      <c r="CL57" t="s">
        <v>414</v>
      </c>
      <c r="CM57">
        <v>21.5</v>
      </c>
      <c r="CN57" s="16">
        <v>78.400000000000006</v>
      </c>
      <c r="CO57" s="16">
        <v>80.400000000000006</v>
      </c>
      <c r="CP57" s="16">
        <v>9.6</v>
      </c>
      <c r="CQ57">
        <v>84.68</v>
      </c>
      <c r="CR57">
        <v>14.18</v>
      </c>
      <c r="CS57">
        <v>1.1200000000000001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9.51</v>
      </c>
      <c r="DD57">
        <v>25.42</v>
      </c>
      <c r="DE57">
        <v>0</v>
      </c>
      <c r="DF57">
        <v>0</v>
      </c>
      <c r="DG57">
        <v>0</v>
      </c>
      <c r="DH57">
        <v>2</v>
      </c>
      <c r="DI57">
        <v>5</v>
      </c>
      <c r="DO57">
        <v>5</v>
      </c>
      <c r="DU57">
        <v>3.2</v>
      </c>
      <c r="DV57">
        <v>1</v>
      </c>
      <c r="DW57">
        <v>52</v>
      </c>
      <c r="DX57">
        <v>3</v>
      </c>
      <c r="DY57">
        <f t="shared" si="33"/>
        <v>0.83000000000000007</v>
      </c>
      <c r="DZ57">
        <v>2</v>
      </c>
      <c r="EA57">
        <v>103</v>
      </c>
      <c r="EB57">
        <v>3</v>
      </c>
      <c r="EC57">
        <f t="shared" si="34"/>
        <v>0.7</v>
      </c>
      <c r="ED57">
        <v>1</v>
      </c>
      <c r="EE57">
        <v>68</v>
      </c>
      <c r="EF57">
        <v>2</v>
      </c>
      <c r="EG57" s="18">
        <f t="shared" si="35"/>
        <v>0.24</v>
      </c>
      <c r="EH57">
        <v>1</v>
      </c>
      <c r="EI57">
        <v>34</v>
      </c>
      <c r="EJ57">
        <v>2</v>
      </c>
      <c r="EK57">
        <f t="shared" si="36"/>
        <v>0.24</v>
      </c>
      <c r="EL57">
        <v>1</v>
      </c>
      <c r="EY57">
        <v>0</v>
      </c>
      <c r="GJ57" s="16">
        <v>0.36</v>
      </c>
      <c r="GK57" s="16">
        <v>1</v>
      </c>
      <c r="GL57" s="16">
        <v>1</v>
      </c>
      <c r="GM57" s="16"/>
      <c r="GN57" s="16">
        <v>1.52</v>
      </c>
      <c r="GO57" s="16"/>
      <c r="GP57" s="16"/>
      <c r="GQ57" s="16"/>
      <c r="GR57" s="16"/>
      <c r="GS57" s="16"/>
      <c r="GT57" s="16"/>
      <c r="GU57" s="16">
        <v>8.32</v>
      </c>
      <c r="GV57" s="16">
        <v>8.31</v>
      </c>
      <c r="GW57" s="16"/>
      <c r="GX57" s="16"/>
      <c r="GY57" s="16">
        <v>0</v>
      </c>
      <c r="GZ57" s="16">
        <v>0</v>
      </c>
      <c r="HA57" s="16">
        <v>0</v>
      </c>
      <c r="HB57">
        <v>0</v>
      </c>
      <c r="HC57" t="s">
        <v>404</v>
      </c>
      <c r="HD57">
        <v>50.5</v>
      </c>
      <c r="HE57" s="16">
        <v>95.8</v>
      </c>
      <c r="HF57" s="16">
        <v>80.400000000000006</v>
      </c>
      <c r="HG57" s="16">
        <v>22.6</v>
      </c>
      <c r="HH57">
        <v>70.650000000000006</v>
      </c>
      <c r="HI57">
        <v>13.02</v>
      </c>
      <c r="HJ57">
        <v>16.329999999999998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3.81</v>
      </c>
      <c r="HU57">
        <v>53.36</v>
      </c>
      <c r="HV57">
        <v>0</v>
      </c>
      <c r="HW57">
        <v>0</v>
      </c>
      <c r="HX57">
        <v>7.8</v>
      </c>
      <c r="HY57">
        <v>2</v>
      </c>
      <c r="HZ57">
        <v>10</v>
      </c>
      <c r="IA57">
        <v>2.69</v>
      </c>
      <c r="IF57">
        <v>10</v>
      </c>
      <c r="IG57">
        <v>2.69</v>
      </c>
      <c r="IL57">
        <v>0</v>
      </c>
      <c r="IM57">
        <v>0</v>
      </c>
      <c r="IX57" s="18"/>
      <c r="JP57">
        <v>0</v>
      </c>
      <c r="LA57" s="16">
        <v>10.02</v>
      </c>
      <c r="LB57" s="16">
        <v>1</v>
      </c>
      <c r="LC57" s="16">
        <v>2</v>
      </c>
      <c r="LD57" s="16"/>
      <c r="LE57" s="16">
        <f t="shared" si="37"/>
        <v>15.119999999999997</v>
      </c>
      <c r="LF57" s="16"/>
      <c r="LG57" s="16"/>
      <c r="LH57" s="16"/>
      <c r="LI57" s="16"/>
      <c r="LJ57" s="16"/>
      <c r="LK57" s="16"/>
      <c r="LL57" s="16">
        <v>9.92</v>
      </c>
      <c r="LM57" s="16">
        <v>20.94</v>
      </c>
      <c r="LN57" s="16"/>
      <c r="LO57" s="16"/>
      <c r="LP57" s="16">
        <v>0</v>
      </c>
      <c r="LQ57" s="16">
        <v>0</v>
      </c>
      <c r="LR57" s="16">
        <v>0</v>
      </c>
      <c r="LS57">
        <v>0</v>
      </c>
      <c r="LT57" t="s">
        <v>415</v>
      </c>
      <c r="LU57">
        <v>57.5</v>
      </c>
      <c r="LV57" s="16">
        <v>93.3</v>
      </c>
      <c r="LW57" s="16">
        <v>80.400000000000006</v>
      </c>
      <c r="LX57" s="16">
        <v>37.200000000000003</v>
      </c>
      <c r="LY57">
        <v>37.4</v>
      </c>
      <c r="LZ57">
        <v>31.73</v>
      </c>
      <c r="MA57">
        <v>29.89</v>
      </c>
      <c r="MB57">
        <v>0</v>
      </c>
      <c r="MC57">
        <v>0.98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21.26</v>
      </c>
      <c r="ML57">
        <v>57.4</v>
      </c>
      <c r="MM57">
        <v>0</v>
      </c>
      <c r="MN57">
        <v>0</v>
      </c>
      <c r="MO57">
        <v>0</v>
      </c>
      <c r="MP57">
        <v>0</v>
      </c>
      <c r="NC57">
        <v>2.2999999999999998</v>
      </c>
      <c r="ND57">
        <v>1</v>
      </c>
      <c r="NE57">
        <v>35</v>
      </c>
      <c r="NF57">
        <v>1</v>
      </c>
      <c r="NG57">
        <v>0.49</v>
      </c>
      <c r="NH57">
        <v>3</v>
      </c>
      <c r="NO57" s="18"/>
      <c r="OG57">
        <v>0</v>
      </c>
      <c r="PR57" s="16">
        <v>2.91</v>
      </c>
      <c r="PS57" s="16">
        <v>1</v>
      </c>
      <c r="PT57" s="16">
        <v>1</v>
      </c>
      <c r="PU57" s="16"/>
      <c r="PV57" s="16">
        <f t="shared" si="38"/>
        <v>30.74</v>
      </c>
      <c r="PW57" s="16"/>
      <c r="PX57" s="16"/>
      <c r="PY57" s="16"/>
      <c r="PZ57" s="16"/>
      <c r="QA57" s="16"/>
      <c r="QB57" s="16"/>
      <c r="QC57" s="16">
        <v>14.81</v>
      </c>
      <c r="QD57" s="16">
        <v>52.45</v>
      </c>
      <c r="QE57" s="16"/>
      <c r="QF57" s="16"/>
      <c r="QG57" s="16">
        <v>0</v>
      </c>
      <c r="QH57" s="16">
        <v>0</v>
      </c>
      <c r="QI57" s="16">
        <v>0</v>
      </c>
      <c r="QJ57">
        <v>0</v>
      </c>
      <c r="QK57" t="s">
        <v>406</v>
      </c>
      <c r="QL57">
        <v>12.5</v>
      </c>
      <c r="QM57" s="16">
        <v>69.900000000000006</v>
      </c>
      <c r="QN57" s="16">
        <v>80.400000000000006</v>
      </c>
      <c r="QO57" s="16">
        <v>9</v>
      </c>
      <c r="QP57">
        <v>90.9</v>
      </c>
      <c r="QQ57">
        <v>7.98</v>
      </c>
      <c r="QR57">
        <v>1.1200000000000001</v>
      </c>
      <c r="QS57">
        <v>4.5599999999999996</v>
      </c>
      <c r="QT57">
        <v>17.670000000000002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4.5599999999999996</v>
      </c>
      <c r="RC57">
        <v>17.670000000000002</v>
      </c>
      <c r="RD57">
        <v>0</v>
      </c>
      <c r="RE57">
        <v>0</v>
      </c>
      <c r="RF57">
        <v>0</v>
      </c>
      <c r="RG57">
        <v>0</v>
      </c>
      <c r="RT57">
        <v>0</v>
      </c>
      <c r="RU57">
        <v>0</v>
      </c>
      <c r="SF57" s="18"/>
      <c r="SX57">
        <v>0</v>
      </c>
      <c r="UI57" s="16">
        <v>0</v>
      </c>
      <c r="UJ57" s="16">
        <v>0</v>
      </c>
      <c r="UK57" s="16"/>
      <c r="UL57" s="16"/>
      <c r="UM57" s="16"/>
      <c r="UN57" s="16"/>
      <c r="UO57" s="16"/>
      <c r="UP57" s="16"/>
      <c r="UQ57" s="16"/>
      <c r="UR57" s="16"/>
      <c r="US57" s="16"/>
      <c r="UT57" s="16">
        <v>3.41</v>
      </c>
      <c r="UU57" s="16">
        <v>3.41</v>
      </c>
      <c r="UV57" s="16"/>
      <c r="UW57" s="16"/>
      <c r="UX57" s="16">
        <v>0</v>
      </c>
      <c r="UY57" s="16">
        <v>0</v>
      </c>
      <c r="UZ57" s="16">
        <v>0</v>
      </c>
      <c r="VA57">
        <v>0</v>
      </c>
      <c r="VB57" t="s">
        <v>407</v>
      </c>
      <c r="VC57">
        <v>17</v>
      </c>
      <c r="VD57" s="16">
        <v>84.3</v>
      </c>
      <c r="VE57" s="16">
        <v>80.400000000000006</v>
      </c>
      <c r="VF57" s="16">
        <v>9.8000000000000007</v>
      </c>
      <c r="VG57">
        <v>84.81</v>
      </c>
      <c r="VH57">
        <v>14.07</v>
      </c>
      <c r="VI57">
        <v>1.1200000000000001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7.34</v>
      </c>
      <c r="VT57">
        <v>26.23</v>
      </c>
      <c r="VU57">
        <v>0</v>
      </c>
      <c r="VV57">
        <v>0</v>
      </c>
      <c r="VW57">
        <v>0</v>
      </c>
      <c r="VX57">
        <v>0</v>
      </c>
      <c r="WK57">
        <v>0</v>
      </c>
      <c r="WL57">
        <v>0</v>
      </c>
      <c r="WW57" s="18"/>
      <c r="XO57">
        <v>0</v>
      </c>
      <c r="YZ57" s="16">
        <v>1.51</v>
      </c>
      <c r="ZA57" s="16">
        <v>1</v>
      </c>
      <c r="ZB57" s="16">
        <v>2</v>
      </c>
      <c r="ZC57" s="16"/>
      <c r="ZD57" s="16">
        <f t="shared" si="39"/>
        <v>5.03</v>
      </c>
      <c r="ZE57" s="16"/>
      <c r="ZF57" s="16"/>
      <c r="ZG57" s="16"/>
      <c r="ZH57" s="16"/>
      <c r="ZI57" s="16"/>
      <c r="ZJ57" s="16"/>
      <c r="ZK57" s="16">
        <v>5.5</v>
      </c>
      <c r="ZL57" s="16">
        <v>9.84</v>
      </c>
      <c r="ZM57" s="16"/>
      <c r="ZN57" s="16"/>
      <c r="ZO57" s="16">
        <v>0</v>
      </c>
      <c r="ZP57" s="16">
        <v>0</v>
      </c>
      <c r="ZQ57" s="16">
        <v>0</v>
      </c>
      <c r="ZR57">
        <v>0</v>
      </c>
      <c r="ZS57" t="s">
        <v>416</v>
      </c>
      <c r="ZT57">
        <v>26</v>
      </c>
      <c r="ZU57" s="16">
        <v>75.099999999999994</v>
      </c>
      <c r="ZV57" s="16">
        <v>80.400000000000006</v>
      </c>
      <c r="ZW57" s="16">
        <v>10.7</v>
      </c>
      <c r="ZX57">
        <v>76.38</v>
      </c>
      <c r="ZY57">
        <v>22.5</v>
      </c>
      <c r="ZZ57">
        <v>1.1200000000000001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10.84</v>
      </c>
      <c r="AAK57">
        <v>26.14</v>
      </c>
      <c r="AAL57">
        <v>0</v>
      </c>
      <c r="AAM57">
        <v>0</v>
      </c>
      <c r="AAN57">
        <v>0</v>
      </c>
      <c r="AAO57">
        <v>0</v>
      </c>
      <c r="ABB57">
        <v>2.5</v>
      </c>
      <c r="ABC57">
        <v>1</v>
      </c>
      <c r="ABD57">
        <v>68</v>
      </c>
      <c r="ABE57">
        <v>1</v>
      </c>
      <c r="ABF57">
        <f t="shared" si="40"/>
        <v>1.34</v>
      </c>
      <c r="ABG57">
        <v>1</v>
      </c>
      <c r="ABH57">
        <v>52</v>
      </c>
      <c r="ABI57">
        <v>2</v>
      </c>
      <c r="ABJ57">
        <v>0.45</v>
      </c>
      <c r="ABK57">
        <v>2</v>
      </c>
      <c r="ABN57" s="18"/>
      <c r="ACF57">
        <v>0</v>
      </c>
      <c r="ADQ57" s="16">
        <v>1.21</v>
      </c>
      <c r="ADR57" s="16">
        <v>1</v>
      </c>
      <c r="ADS57" s="16">
        <v>2</v>
      </c>
      <c r="ADT57" s="16"/>
      <c r="ADU57" s="16">
        <v>4.04</v>
      </c>
      <c r="ADV57" s="16"/>
      <c r="ADW57" s="16"/>
      <c r="ADX57" s="16"/>
      <c r="ADY57" s="16"/>
      <c r="ADZ57" s="16"/>
      <c r="AEA57" s="16"/>
      <c r="AEB57" s="16">
        <v>11.17</v>
      </c>
      <c r="AEC57" s="16">
        <v>19.84</v>
      </c>
      <c r="AED57" s="16"/>
      <c r="AEE57" s="16"/>
      <c r="AEF57" s="16">
        <v>0</v>
      </c>
      <c r="AEG57" s="16">
        <v>0</v>
      </c>
      <c r="AEH57" s="16">
        <v>0</v>
      </c>
      <c r="AEI57">
        <v>0</v>
      </c>
      <c r="AEJ57" t="s">
        <v>409</v>
      </c>
      <c r="AEK57">
        <v>23</v>
      </c>
      <c r="AEL57" s="16">
        <v>90.8</v>
      </c>
      <c r="AEM57" s="16">
        <v>80.400000000000006</v>
      </c>
      <c r="AEN57" s="16">
        <v>11.6</v>
      </c>
      <c r="AEO57">
        <v>71.459999999999994</v>
      </c>
      <c r="AEP57">
        <v>27.42</v>
      </c>
      <c r="AEQ57">
        <v>1.1200000000000001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11.58</v>
      </c>
      <c r="AFB57">
        <v>41.25</v>
      </c>
      <c r="AFC57">
        <v>0</v>
      </c>
      <c r="AFD57">
        <v>0</v>
      </c>
      <c r="AFE57">
        <v>0</v>
      </c>
      <c r="AFF57">
        <v>0</v>
      </c>
      <c r="AFS57">
        <v>1.7</v>
      </c>
      <c r="AFT57">
        <v>1</v>
      </c>
      <c r="AFU57">
        <v>35</v>
      </c>
      <c r="AFV57">
        <v>1</v>
      </c>
      <c r="AFW57">
        <v>0.05</v>
      </c>
      <c r="AFX57">
        <v>3</v>
      </c>
      <c r="AFY57">
        <v>103</v>
      </c>
      <c r="AFZ57">
        <v>5</v>
      </c>
      <c r="AGA57">
        <v>0.25</v>
      </c>
      <c r="AGB57">
        <v>1</v>
      </c>
      <c r="AGC57">
        <v>68</v>
      </c>
      <c r="AGD57">
        <v>4</v>
      </c>
      <c r="AGE57" s="18">
        <v>0.26</v>
      </c>
      <c r="AGF57">
        <v>1</v>
      </c>
      <c r="AGG57">
        <v>52</v>
      </c>
      <c r="AGH57">
        <v>4</v>
      </c>
      <c r="AGI57">
        <f t="shared" si="41"/>
        <v>0.18000000000000002</v>
      </c>
      <c r="AGJ57">
        <v>2</v>
      </c>
      <c r="AGW57">
        <v>0</v>
      </c>
      <c r="AIH57" s="16">
        <v>0.04</v>
      </c>
      <c r="AII57" s="16">
        <v>1</v>
      </c>
      <c r="AIJ57" s="16">
        <v>1</v>
      </c>
      <c r="AIK57" s="16"/>
      <c r="AIL57" s="16">
        <v>0.13</v>
      </c>
      <c r="AIM57" s="16"/>
      <c r="AIN57" s="16"/>
      <c r="AIO57" s="16"/>
      <c r="AIP57" s="16"/>
      <c r="AIQ57" s="16"/>
      <c r="AIR57" s="16"/>
      <c r="AIS57" s="16">
        <v>9.52</v>
      </c>
      <c r="AIT57" s="16">
        <v>21.65</v>
      </c>
      <c r="AIU57" s="16"/>
      <c r="AIV57" s="16"/>
      <c r="AIW57" s="16">
        <v>0</v>
      </c>
      <c r="AIX57" s="16">
        <v>0</v>
      </c>
      <c r="AIY57" s="16">
        <v>0</v>
      </c>
      <c r="AIZ57">
        <v>0</v>
      </c>
      <c r="AJA57" t="s">
        <v>410</v>
      </c>
      <c r="AJB57">
        <v>24</v>
      </c>
      <c r="AJC57" s="16">
        <v>82.9</v>
      </c>
      <c r="AJD57" s="16">
        <v>80.400000000000006</v>
      </c>
      <c r="AJE57" s="16">
        <v>9.6</v>
      </c>
      <c r="AJF57">
        <v>86.23</v>
      </c>
      <c r="AJG57">
        <v>11.76</v>
      </c>
      <c r="AJH57">
        <v>0</v>
      </c>
      <c r="AJI57">
        <v>0</v>
      </c>
      <c r="AJJ57">
        <v>1.01</v>
      </c>
      <c r="AJK57">
        <v>1.01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8.84</v>
      </c>
      <c r="AJS57">
        <v>23.37</v>
      </c>
      <c r="AJT57">
        <v>0</v>
      </c>
      <c r="AJU57">
        <v>0</v>
      </c>
      <c r="AJV57">
        <v>0</v>
      </c>
      <c r="AJW57">
        <v>0</v>
      </c>
      <c r="AKJ57">
        <v>0</v>
      </c>
      <c r="AKK57">
        <v>1</v>
      </c>
      <c r="AKL57">
        <v>52</v>
      </c>
      <c r="AKM57">
        <v>1</v>
      </c>
      <c r="AKN57">
        <v>0.02</v>
      </c>
      <c r="AKO57">
        <v>2</v>
      </c>
      <c r="AKV57" s="18"/>
      <c r="ALN57">
        <v>0</v>
      </c>
    </row>
    <row r="58" spans="1:1018" x14ac:dyDescent="0.2">
      <c r="A58" s="1" t="s">
        <v>417</v>
      </c>
      <c r="B58" s="12">
        <v>42902</v>
      </c>
      <c r="C58">
        <v>2</v>
      </c>
      <c r="D58" s="13">
        <v>35009</v>
      </c>
      <c r="E58" s="12">
        <v>27524</v>
      </c>
      <c r="F58" s="14">
        <f t="shared" si="0"/>
        <v>42.102669404517457</v>
      </c>
      <c r="G58" s="14">
        <f t="shared" si="1"/>
        <v>21.609856262833677</v>
      </c>
      <c r="H58" s="15" t="s">
        <v>217</v>
      </c>
      <c r="I58" s="15" t="s">
        <v>402</v>
      </c>
      <c r="J58" s="21" t="s">
        <v>181</v>
      </c>
      <c r="K58" s="21">
        <v>8</v>
      </c>
      <c r="L58" s="19">
        <v>64</v>
      </c>
      <c r="M58">
        <v>1.8</v>
      </c>
      <c r="N58" s="16">
        <f t="shared" si="2"/>
        <v>19.753086419753085</v>
      </c>
      <c r="O58" s="19">
        <v>0</v>
      </c>
      <c r="P58" s="19">
        <v>0</v>
      </c>
      <c r="Q58" s="19">
        <v>0</v>
      </c>
      <c r="R58" s="19">
        <v>0</v>
      </c>
      <c r="S58" s="19">
        <v>0</v>
      </c>
      <c r="T58" s="19">
        <v>0</v>
      </c>
      <c r="U58" s="19">
        <v>0</v>
      </c>
      <c r="V58" s="19">
        <v>0</v>
      </c>
      <c r="W58" s="19">
        <v>1</v>
      </c>
      <c r="X58" s="19">
        <v>1</v>
      </c>
      <c r="Y58" s="19">
        <v>0</v>
      </c>
      <c r="Z58" s="19">
        <v>0</v>
      </c>
      <c r="AA58" s="19">
        <v>0</v>
      </c>
      <c r="AB58" s="19">
        <v>0</v>
      </c>
      <c r="AC58" s="19">
        <v>0</v>
      </c>
      <c r="AD58" s="19">
        <v>0</v>
      </c>
      <c r="AE58" s="19">
        <v>1</v>
      </c>
      <c r="AF58" s="19">
        <v>0</v>
      </c>
      <c r="AG58" s="19">
        <v>1</v>
      </c>
      <c r="AH58" s="19">
        <v>4</v>
      </c>
      <c r="AI58" s="19">
        <v>3</v>
      </c>
      <c r="AJ58" s="19">
        <v>0</v>
      </c>
      <c r="AK58" s="19">
        <v>3</v>
      </c>
      <c r="AL58" s="19">
        <v>4</v>
      </c>
      <c r="AM58" s="19">
        <v>4</v>
      </c>
      <c r="AN58" s="19">
        <v>0</v>
      </c>
      <c r="AO58" s="19">
        <v>0</v>
      </c>
      <c r="AP58" s="19">
        <v>0</v>
      </c>
      <c r="AQ58" s="19">
        <v>0</v>
      </c>
      <c r="AR58" s="19">
        <v>0</v>
      </c>
      <c r="AS58" s="19">
        <v>3</v>
      </c>
      <c r="AT58" s="19">
        <v>3</v>
      </c>
      <c r="AU58" s="19">
        <v>1</v>
      </c>
      <c r="AV58" s="19">
        <v>6</v>
      </c>
      <c r="AW58" s="19"/>
      <c r="AX58" s="19">
        <v>0</v>
      </c>
      <c r="AY58" s="19">
        <v>0</v>
      </c>
      <c r="AZ58" s="19">
        <v>0</v>
      </c>
      <c r="BA58" s="19">
        <v>0</v>
      </c>
      <c r="BB58" s="19">
        <v>1</v>
      </c>
      <c r="BC58" s="19">
        <v>1</v>
      </c>
      <c r="BD58" s="19">
        <v>1</v>
      </c>
      <c r="BE58" s="19">
        <v>9</v>
      </c>
      <c r="BF58" s="19">
        <v>0</v>
      </c>
      <c r="BG58" s="19">
        <v>0</v>
      </c>
      <c r="BH58" s="19">
        <v>0</v>
      </c>
      <c r="BI58" s="19">
        <v>0</v>
      </c>
      <c r="BJ58" s="19">
        <v>1</v>
      </c>
      <c r="BK58" s="19">
        <v>1</v>
      </c>
      <c r="BL58" s="19">
        <v>1</v>
      </c>
      <c r="BM58" s="19">
        <v>7</v>
      </c>
      <c r="BN58" s="19">
        <v>1</v>
      </c>
      <c r="BO58" s="19">
        <v>0</v>
      </c>
      <c r="BP58" s="19">
        <v>0</v>
      </c>
      <c r="BQ58" s="19">
        <v>0</v>
      </c>
      <c r="BR58" s="19">
        <v>3</v>
      </c>
      <c r="BS58" s="19">
        <v>3</v>
      </c>
      <c r="BT58" s="19">
        <v>4</v>
      </c>
      <c r="BU58" s="19">
        <v>5</v>
      </c>
      <c r="BV58" s="19">
        <v>3</v>
      </c>
      <c r="BW58" s="19">
        <v>2</v>
      </c>
      <c r="BX58" s="19">
        <v>2</v>
      </c>
      <c r="BY58" s="19">
        <v>2</v>
      </c>
      <c r="BZ58" s="19">
        <v>3</v>
      </c>
      <c r="CA58" s="19">
        <v>3</v>
      </c>
      <c r="CB58" s="19">
        <v>4</v>
      </c>
      <c r="CC58" s="19">
        <v>4</v>
      </c>
      <c r="CD58" s="19">
        <v>3</v>
      </c>
      <c r="CE58" s="19">
        <v>3</v>
      </c>
      <c r="CF58" s="19">
        <v>4</v>
      </c>
      <c r="CG58" s="19">
        <v>4</v>
      </c>
      <c r="CH58" s="19">
        <v>4</v>
      </c>
      <c r="CI58" s="19">
        <v>4</v>
      </c>
      <c r="CJ58" s="19">
        <v>2</v>
      </c>
      <c r="CK58" s="19">
        <v>8</v>
      </c>
      <c r="CL58" t="s">
        <v>403</v>
      </c>
      <c r="CM58">
        <v>21.5</v>
      </c>
      <c r="CN58" s="16">
        <v>78.400000000000006</v>
      </c>
      <c r="CO58" s="16">
        <v>80.400000000000006</v>
      </c>
      <c r="CP58" s="16">
        <v>9.6</v>
      </c>
      <c r="CQ58">
        <v>84.68</v>
      </c>
      <c r="CR58">
        <v>14.18</v>
      </c>
      <c r="CS58">
        <v>1.1200000000000001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9.51</v>
      </c>
      <c r="DD58">
        <v>25.42</v>
      </c>
      <c r="DE58">
        <v>0</v>
      </c>
      <c r="DF58">
        <v>0</v>
      </c>
      <c r="DG58">
        <v>0</v>
      </c>
      <c r="DH58">
        <v>2</v>
      </c>
      <c r="DI58">
        <v>5</v>
      </c>
      <c r="DO58">
        <v>5</v>
      </c>
      <c r="DU58">
        <v>3.2</v>
      </c>
      <c r="DV58">
        <v>1</v>
      </c>
      <c r="DW58">
        <v>52</v>
      </c>
      <c r="DX58">
        <v>3</v>
      </c>
      <c r="DY58">
        <f t="shared" si="33"/>
        <v>0.83000000000000007</v>
      </c>
      <c r="DZ58">
        <v>2</v>
      </c>
      <c r="EA58">
        <v>103</v>
      </c>
      <c r="EB58">
        <v>3</v>
      </c>
      <c r="EC58">
        <f t="shared" si="34"/>
        <v>0.7</v>
      </c>
      <c r="ED58">
        <v>1</v>
      </c>
      <c r="EE58">
        <v>68</v>
      </c>
      <c r="EF58">
        <v>2</v>
      </c>
      <c r="EG58" s="18">
        <f t="shared" si="35"/>
        <v>0.24</v>
      </c>
      <c r="EH58">
        <v>1</v>
      </c>
      <c r="EI58">
        <v>34</v>
      </c>
      <c r="EJ58">
        <v>2</v>
      </c>
      <c r="EK58">
        <f t="shared" si="36"/>
        <v>0.24</v>
      </c>
      <c r="EL58">
        <v>1</v>
      </c>
      <c r="EY58">
        <v>0</v>
      </c>
      <c r="GJ58" s="16">
        <v>0.36</v>
      </c>
      <c r="GK58" s="16">
        <v>1</v>
      </c>
      <c r="GL58" s="16">
        <v>1</v>
      </c>
      <c r="GM58" s="16"/>
      <c r="GN58" s="16">
        <v>1.52</v>
      </c>
      <c r="GO58" s="16"/>
      <c r="GP58" s="16"/>
      <c r="GQ58" s="16"/>
      <c r="GR58" s="16"/>
      <c r="GS58" s="16"/>
      <c r="GT58" s="16"/>
      <c r="GU58" s="16">
        <v>8.32</v>
      </c>
      <c r="GV58" s="16">
        <v>8.31</v>
      </c>
      <c r="GW58" s="16"/>
      <c r="GX58" s="16"/>
      <c r="GY58" s="16">
        <v>0</v>
      </c>
      <c r="GZ58" s="16">
        <v>0</v>
      </c>
      <c r="HA58" s="16">
        <v>0</v>
      </c>
      <c r="HB58">
        <v>0</v>
      </c>
      <c r="HC58" t="s">
        <v>404</v>
      </c>
      <c r="HD58">
        <v>50.5</v>
      </c>
      <c r="HE58" s="16">
        <v>95.8</v>
      </c>
      <c r="HF58" s="16">
        <v>80.400000000000006</v>
      </c>
      <c r="HG58" s="16">
        <v>22.6</v>
      </c>
      <c r="HH58">
        <v>70.650000000000006</v>
      </c>
      <c r="HI58">
        <v>13.02</v>
      </c>
      <c r="HJ58">
        <v>16.329999999999998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3.81</v>
      </c>
      <c r="HU58">
        <v>53.36</v>
      </c>
      <c r="HV58">
        <v>0</v>
      </c>
      <c r="HW58">
        <v>0</v>
      </c>
      <c r="HX58">
        <v>7.8</v>
      </c>
      <c r="HY58">
        <v>2</v>
      </c>
      <c r="HZ58">
        <v>10</v>
      </c>
      <c r="IA58">
        <v>2.69</v>
      </c>
      <c r="IF58">
        <v>10</v>
      </c>
      <c r="IG58">
        <v>2.69</v>
      </c>
      <c r="IL58">
        <v>0</v>
      </c>
      <c r="IM58">
        <v>0</v>
      </c>
      <c r="IX58" s="18"/>
      <c r="JP58">
        <v>0</v>
      </c>
      <c r="LA58" s="16">
        <v>10.02</v>
      </c>
      <c r="LB58" s="16">
        <v>1</v>
      </c>
      <c r="LC58" s="16">
        <v>2</v>
      </c>
      <c r="LD58" s="16"/>
      <c r="LE58" s="16">
        <f t="shared" si="37"/>
        <v>15.119999999999997</v>
      </c>
      <c r="LF58" s="16"/>
      <c r="LG58" s="16"/>
      <c r="LH58" s="16"/>
      <c r="LI58" s="16"/>
      <c r="LJ58" s="16"/>
      <c r="LK58" s="16"/>
      <c r="LL58" s="16">
        <v>9.92</v>
      </c>
      <c r="LM58" s="16">
        <v>20.94</v>
      </c>
      <c r="LN58" s="16"/>
      <c r="LO58" s="16"/>
      <c r="LP58" s="16">
        <v>0</v>
      </c>
      <c r="LQ58" s="16">
        <v>0</v>
      </c>
      <c r="LR58" s="16">
        <v>0</v>
      </c>
      <c r="LS58">
        <v>0</v>
      </c>
      <c r="LT58" t="s">
        <v>405</v>
      </c>
      <c r="LU58">
        <v>57.5</v>
      </c>
      <c r="LV58" s="16">
        <v>93.3</v>
      </c>
      <c r="LW58" s="16">
        <v>80.400000000000006</v>
      </c>
      <c r="LX58" s="16">
        <v>37.200000000000003</v>
      </c>
      <c r="LY58">
        <v>37.4</v>
      </c>
      <c r="LZ58">
        <v>31.73</v>
      </c>
      <c r="MA58">
        <v>29.89</v>
      </c>
      <c r="MB58">
        <v>0</v>
      </c>
      <c r="MC58">
        <v>0.98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21.26</v>
      </c>
      <c r="ML58">
        <v>57.4</v>
      </c>
      <c r="MM58">
        <v>0</v>
      </c>
      <c r="MN58">
        <v>0</v>
      </c>
      <c r="MO58">
        <v>0</v>
      </c>
      <c r="MP58">
        <v>0</v>
      </c>
      <c r="NC58">
        <v>2.2999999999999998</v>
      </c>
      <c r="ND58">
        <v>1</v>
      </c>
      <c r="NE58">
        <v>35</v>
      </c>
      <c r="NF58">
        <v>1</v>
      </c>
      <c r="NG58">
        <v>0.49</v>
      </c>
      <c r="NH58">
        <v>3</v>
      </c>
      <c r="NO58" s="18"/>
      <c r="OG58">
        <v>0</v>
      </c>
      <c r="PR58" s="16">
        <v>2.91</v>
      </c>
      <c r="PS58" s="16">
        <v>1</v>
      </c>
      <c r="PT58" s="16">
        <v>1</v>
      </c>
      <c r="PU58" s="16"/>
      <c r="PV58" s="16">
        <f t="shared" si="38"/>
        <v>30.74</v>
      </c>
      <c r="PW58" s="16"/>
      <c r="PX58" s="16"/>
      <c r="PY58" s="16"/>
      <c r="PZ58" s="16"/>
      <c r="QA58" s="16"/>
      <c r="QB58" s="16"/>
      <c r="QC58" s="16">
        <v>14.81</v>
      </c>
      <c r="QD58" s="16">
        <v>52.45</v>
      </c>
      <c r="QE58" s="16"/>
      <c r="QF58" s="16"/>
      <c r="QG58" s="16">
        <v>0</v>
      </c>
      <c r="QH58" s="16">
        <v>0</v>
      </c>
      <c r="QI58" s="16">
        <v>0</v>
      </c>
      <c r="QJ58">
        <v>0</v>
      </c>
      <c r="QK58" t="s">
        <v>406</v>
      </c>
      <c r="QL58">
        <v>12.5</v>
      </c>
      <c r="QM58" s="16">
        <v>69.900000000000006</v>
      </c>
      <c r="QN58" s="16">
        <v>80.400000000000006</v>
      </c>
      <c r="QO58" s="16">
        <v>9</v>
      </c>
      <c r="QP58">
        <v>90.9</v>
      </c>
      <c r="QQ58">
        <v>7.98</v>
      </c>
      <c r="QR58">
        <v>1.1200000000000001</v>
      </c>
      <c r="QS58">
        <v>4.5599999999999996</v>
      </c>
      <c r="QT58">
        <v>17.670000000000002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4.5599999999999996</v>
      </c>
      <c r="RC58">
        <v>17.670000000000002</v>
      </c>
      <c r="RD58">
        <v>0</v>
      </c>
      <c r="RE58">
        <v>0</v>
      </c>
      <c r="RF58">
        <v>0</v>
      </c>
      <c r="RG58">
        <v>0</v>
      </c>
      <c r="RT58">
        <v>0</v>
      </c>
      <c r="RU58">
        <v>0</v>
      </c>
      <c r="SF58" s="18"/>
      <c r="SX58">
        <v>0</v>
      </c>
      <c r="UI58" s="16">
        <v>0</v>
      </c>
      <c r="UJ58" s="16">
        <v>0</v>
      </c>
      <c r="UK58" s="16"/>
      <c r="UL58" s="16"/>
      <c r="UM58" s="16"/>
      <c r="UN58" s="16"/>
      <c r="UO58" s="16"/>
      <c r="UP58" s="16"/>
      <c r="UQ58" s="16"/>
      <c r="UR58" s="16"/>
      <c r="US58" s="16"/>
      <c r="UT58" s="16">
        <v>3.41</v>
      </c>
      <c r="UU58" s="16">
        <v>3.41</v>
      </c>
      <c r="UV58" s="16"/>
      <c r="UW58" s="16"/>
      <c r="UX58" s="16">
        <v>0</v>
      </c>
      <c r="UY58" s="16">
        <v>0</v>
      </c>
      <c r="UZ58" s="16">
        <v>0</v>
      </c>
      <c r="VA58">
        <v>0</v>
      </c>
      <c r="VB58" t="s">
        <v>407</v>
      </c>
      <c r="VC58">
        <v>17</v>
      </c>
      <c r="VD58" s="16">
        <v>84.3</v>
      </c>
      <c r="VE58" s="16">
        <v>80.400000000000006</v>
      </c>
      <c r="VF58" s="16">
        <v>9.8000000000000007</v>
      </c>
      <c r="VG58">
        <v>84.81</v>
      </c>
      <c r="VH58">
        <v>14.07</v>
      </c>
      <c r="VI58">
        <v>1.1200000000000001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7.34</v>
      </c>
      <c r="VT58">
        <v>26.23</v>
      </c>
      <c r="VU58">
        <v>0</v>
      </c>
      <c r="VV58">
        <v>0</v>
      </c>
      <c r="VW58">
        <v>0</v>
      </c>
      <c r="VX58">
        <v>0</v>
      </c>
      <c r="WK58">
        <v>0</v>
      </c>
      <c r="WL58">
        <v>0</v>
      </c>
      <c r="WW58" s="18"/>
      <c r="XO58">
        <v>0</v>
      </c>
      <c r="YZ58" s="16">
        <v>1.51</v>
      </c>
      <c r="ZA58" s="16">
        <v>1</v>
      </c>
      <c r="ZB58" s="16">
        <v>2</v>
      </c>
      <c r="ZC58" s="16"/>
      <c r="ZD58" s="16">
        <f t="shared" si="39"/>
        <v>5.03</v>
      </c>
      <c r="ZE58" s="16"/>
      <c r="ZF58" s="16"/>
      <c r="ZG58" s="16"/>
      <c r="ZH58" s="16"/>
      <c r="ZI58" s="16"/>
      <c r="ZJ58" s="16"/>
      <c r="ZK58" s="16">
        <v>5.5</v>
      </c>
      <c r="ZL58" s="16">
        <v>9.84</v>
      </c>
      <c r="ZM58" s="16"/>
      <c r="ZN58" s="16"/>
      <c r="ZO58" s="16">
        <v>0</v>
      </c>
      <c r="ZP58" s="16">
        <v>0</v>
      </c>
      <c r="ZQ58" s="16">
        <v>0</v>
      </c>
      <c r="ZR58">
        <v>0</v>
      </c>
      <c r="ZS58" t="s">
        <v>408</v>
      </c>
      <c r="ZT58">
        <v>26</v>
      </c>
      <c r="ZU58" s="16">
        <v>75.099999999999994</v>
      </c>
      <c r="ZV58" s="16">
        <v>80.400000000000006</v>
      </c>
      <c r="ZW58" s="16">
        <v>10.7</v>
      </c>
      <c r="ZX58">
        <v>76.38</v>
      </c>
      <c r="ZY58">
        <v>22.5</v>
      </c>
      <c r="ZZ58">
        <v>1.1200000000000001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10.84</v>
      </c>
      <c r="AAK58">
        <v>26.14</v>
      </c>
      <c r="AAL58">
        <v>0</v>
      </c>
      <c r="AAM58">
        <v>0</v>
      </c>
      <c r="AAN58">
        <v>0</v>
      </c>
      <c r="AAO58">
        <v>0</v>
      </c>
      <c r="ABB58">
        <v>2.5</v>
      </c>
      <c r="ABC58">
        <v>1</v>
      </c>
      <c r="ABD58">
        <v>68</v>
      </c>
      <c r="ABE58">
        <v>1</v>
      </c>
      <c r="ABF58">
        <f t="shared" si="40"/>
        <v>1.34</v>
      </c>
      <c r="ABG58">
        <v>1</v>
      </c>
      <c r="ABH58">
        <v>52</v>
      </c>
      <c r="ABI58">
        <v>2</v>
      </c>
      <c r="ABJ58">
        <v>0.45</v>
      </c>
      <c r="ABK58">
        <v>2</v>
      </c>
      <c r="ABN58" s="18"/>
      <c r="ACF58">
        <v>0</v>
      </c>
      <c r="ADQ58" s="16">
        <v>1.21</v>
      </c>
      <c r="ADR58" s="16">
        <v>1</v>
      </c>
      <c r="ADS58" s="16">
        <v>2</v>
      </c>
      <c r="ADT58" s="16"/>
      <c r="ADU58" s="16">
        <v>4.04</v>
      </c>
      <c r="ADV58" s="16"/>
      <c r="ADW58" s="16"/>
      <c r="ADX58" s="16"/>
      <c r="ADY58" s="16"/>
      <c r="ADZ58" s="16"/>
      <c r="AEA58" s="16"/>
      <c r="AEB58" s="16">
        <v>11.17</v>
      </c>
      <c r="AEC58" s="16">
        <v>19.84</v>
      </c>
      <c r="AED58" s="16"/>
      <c r="AEE58" s="16"/>
      <c r="AEF58" s="16">
        <v>0</v>
      </c>
      <c r="AEG58" s="16">
        <v>0</v>
      </c>
      <c r="AEH58" s="16">
        <v>0</v>
      </c>
      <c r="AEI58">
        <v>0</v>
      </c>
      <c r="AEJ58" t="s">
        <v>409</v>
      </c>
      <c r="AEK58">
        <v>23</v>
      </c>
      <c r="AEL58" s="16">
        <v>90.8</v>
      </c>
      <c r="AEM58" s="16">
        <v>80.400000000000006</v>
      </c>
      <c r="AEN58" s="16">
        <v>11.6</v>
      </c>
      <c r="AEO58">
        <v>71.459999999999994</v>
      </c>
      <c r="AEP58">
        <v>27.42</v>
      </c>
      <c r="AEQ58">
        <v>1.1200000000000001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11.58</v>
      </c>
      <c r="AFB58">
        <v>41.25</v>
      </c>
      <c r="AFC58">
        <v>0</v>
      </c>
      <c r="AFD58">
        <v>0</v>
      </c>
      <c r="AFE58">
        <v>0</v>
      </c>
      <c r="AFF58">
        <v>0</v>
      </c>
      <c r="AFS58">
        <v>1.7</v>
      </c>
      <c r="AFT58">
        <v>1</v>
      </c>
      <c r="AFU58">
        <v>35</v>
      </c>
      <c r="AFV58">
        <v>1</v>
      </c>
      <c r="AFW58">
        <v>0.05</v>
      </c>
      <c r="AFX58">
        <v>3</v>
      </c>
      <c r="AFY58">
        <v>103</v>
      </c>
      <c r="AFZ58">
        <v>5</v>
      </c>
      <c r="AGA58">
        <v>0.25</v>
      </c>
      <c r="AGB58">
        <v>1</v>
      </c>
      <c r="AGC58">
        <v>68</v>
      </c>
      <c r="AGD58">
        <v>4</v>
      </c>
      <c r="AGE58" s="18">
        <v>0.26</v>
      </c>
      <c r="AGF58">
        <v>1</v>
      </c>
      <c r="AGG58">
        <v>52</v>
      </c>
      <c r="AGH58">
        <v>4</v>
      </c>
      <c r="AGI58">
        <f t="shared" si="41"/>
        <v>0.18000000000000002</v>
      </c>
      <c r="AGJ58">
        <v>2</v>
      </c>
      <c r="AGW58">
        <v>0</v>
      </c>
      <c r="AIH58" s="16">
        <v>0.04</v>
      </c>
      <c r="AII58" s="16">
        <v>1</v>
      </c>
      <c r="AIJ58" s="16">
        <v>1</v>
      </c>
      <c r="AIK58" s="16"/>
      <c r="AIL58" s="16">
        <v>0.13</v>
      </c>
      <c r="AIM58" s="16"/>
      <c r="AIN58" s="16"/>
      <c r="AIO58" s="16"/>
      <c r="AIP58" s="16"/>
      <c r="AIQ58" s="16"/>
      <c r="AIR58" s="16"/>
      <c r="AIS58" s="16">
        <v>9.52</v>
      </c>
      <c r="AIT58" s="16">
        <v>21.65</v>
      </c>
      <c r="AIU58" s="16"/>
      <c r="AIV58" s="16"/>
      <c r="AIW58" s="16">
        <v>0</v>
      </c>
      <c r="AIX58" s="16">
        <v>0</v>
      </c>
      <c r="AIY58" s="16">
        <v>0</v>
      </c>
      <c r="AIZ58">
        <v>0</v>
      </c>
      <c r="AJA58" t="s">
        <v>410</v>
      </c>
      <c r="AJB58">
        <v>24</v>
      </c>
      <c r="AJC58" s="16">
        <v>82.9</v>
      </c>
      <c r="AJD58" s="16">
        <v>80.400000000000006</v>
      </c>
      <c r="AJE58" s="16">
        <v>9.6</v>
      </c>
      <c r="AJF58">
        <v>86.23</v>
      </c>
      <c r="AJG58">
        <v>11.76</v>
      </c>
      <c r="AJH58">
        <v>0</v>
      </c>
      <c r="AJI58">
        <v>0</v>
      </c>
      <c r="AJJ58">
        <v>1.01</v>
      </c>
      <c r="AJK58">
        <v>1.01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8.84</v>
      </c>
      <c r="AJS58">
        <v>23.37</v>
      </c>
      <c r="AJT58">
        <v>0</v>
      </c>
      <c r="AJU58">
        <v>0</v>
      </c>
      <c r="AJV58">
        <v>0</v>
      </c>
      <c r="AJW58">
        <v>0</v>
      </c>
      <c r="AKJ58">
        <v>0</v>
      </c>
      <c r="AKK58">
        <v>1</v>
      </c>
      <c r="AKL58">
        <v>52</v>
      </c>
      <c r="AKM58">
        <v>1</v>
      </c>
      <c r="AKN58">
        <v>0.02</v>
      </c>
      <c r="AKO58">
        <v>2</v>
      </c>
      <c r="AKV58" s="18"/>
      <c r="ALN58">
        <v>0</v>
      </c>
    </row>
    <row r="59" spans="1:1018" x14ac:dyDescent="0.2">
      <c r="A59" s="1" t="s">
        <v>418</v>
      </c>
      <c r="B59" s="12">
        <v>42900</v>
      </c>
      <c r="C59">
        <v>2</v>
      </c>
      <c r="D59" s="13">
        <v>42807</v>
      </c>
      <c r="E59" s="12">
        <v>34938</v>
      </c>
      <c r="F59" s="14">
        <f t="shared" si="0"/>
        <v>21.798767967145789</v>
      </c>
      <c r="G59" s="14">
        <f t="shared" si="1"/>
        <v>0.25462012320328542</v>
      </c>
      <c r="H59" s="15" t="s">
        <v>217</v>
      </c>
      <c r="I59" s="15" t="s">
        <v>402</v>
      </c>
      <c r="J59" s="15" t="s">
        <v>181</v>
      </c>
      <c r="K59" s="21">
        <v>4</v>
      </c>
      <c r="L59" s="19">
        <v>70</v>
      </c>
      <c r="M59">
        <v>1.7</v>
      </c>
      <c r="N59" s="16">
        <f t="shared" si="2"/>
        <v>24.221453287197235</v>
      </c>
      <c r="O59" s="19">
        <v>0</v>
      </c>
      <c r="P59" s="19">
        <v>0</v>
      </c>
      <c r="Q59" s="19">
        <v>0</v>
      </c>
      <c r="R59" s="19">
        <v>0</v>
      </c>
      <c r="S59" s="19">
        <v>0</v>
      </c>
      <c r="T59" s="19">
        <v>0</v>
      </c>
      <c r="U59" s="19">
        <v>0</v>
      </c>
      <c r="V59" s="19">
        <v>0</v>
      </c>
      <c r="W59" s="19">
        <v>0</v>
      </c>
      <c r="X59" s="19">
        <v>0</v>
      </c>
      <c r="Y59" s="19">
        <v>1</v>
      </c>
      <c r="Z59" s="19">
        <v>1</v>
      </c>
      <c r="AA59" s="19">
        <v>120</v>
      </c>
      <c r="AB59" s="19" t="s">
        <v>308</v>
      </c>
      <c r="AC59" s="19">
        <v>0</v>
      </c>
      <c r="AD59" s="19">
        <v>0</v>
      </c>
      <c r="AE59" s="19">
        <v>0</v>
      </c>
      <c r="AF59" s="19">
        <v>0</v>
      </c>
      <c r="AG59" s="19">
        <v>0</v>
      </c>
      <c r="AH59" s="19">
        <v>0</v>
      </c>
      <c r="AI59" s="19">
        <v>0</v>
      </c>
      <c r="AJ59" s="19">
        <v>0</v>
      </c>
      <c r="AK59" s="19">
        <v>0</v>
      </c>
      <c r="AL59" s="19">
        <v>0</v>
      </c>
      <c r="AM59" s="19">
        <v>0</v>
      </c>
      <c r="AN59" s="19">
        <v>0</v>
      </c>
      <c r="AO59" s="19">
        <v>0</v>
      </c>
      <c r="AP59" s="19">
        <v>0</v>
      </c>
      <c r="AQ59" s="19">
        <v>0</v>
      </c>
      <c r="AR59" s="19">
        <v>0</v>
      </c>
      <c r="AS59" s="19">
        <v>0</v>
      </c>
      <c r="AT59" s="19">
        <v>0</v>
      </c>
      <c r="AU59" s="19">
        <v>0</v>
      </c>
      <c r="AV59" s="19">
        <v>0</v>
      </c>
      <c r="AW59" s="19">
        <v>0</v>
      </c>
      <c r="AX59" s="19">
        <v>0</v>
      </c>
      <c r="AY59" s="19">
        <v>0</v>
      </c>
      <c r="AZ59" s="19">
        <v>0</v>
      </c>
      <c r="BA59" s="19">
        <v>0</v>
      </c>
      <c r="BB59" s="19">
        <v>0</v>
      </c>
      <c r="BC59" s="19">
        <v>0</v>
      </c>
      <c r="BD59" s="19">
        <v>0</v>
      </c>
      <c r="BE59" s="19">
        <v>0</v>
      </c>
      <c r="BF59" s="19">
        <v>0</v>
      </c>
      <c r="BG59" s="19">
        <v>0</v>
      </c>
      <c r="BH59" s="19">
        <v>0</v>
      </c>
      <c r="BI59" s="19">
        <v>0</v>
      </c>
      <c r="BJ59" s="19">
        <v>0</v>
      </c>
      <c r="BK59" s="19">
        <v>0</v>
      </c>
      <c r="BL59" s="19">
        <v>0</v>
      </c>
      <c r="BM59" s="19">
        <v>0</v>
      </c>
      <c r="BN59" s="19">
        <v>0</v>
      </c>
      <c r="BO59" s="19">
        <v>0</v>
      </c>
      <c r="BP59" s="19">
        <v>0</v>
      </c>
      <c r="BQ59" s="19">
        <v>0</v>
      </c>
      <c r="BR59" s="19">
        <v>2</v>
      </c>
      <c r="BS59" s="19">
        <v>1</v>
      </c>
      <c r="BT59" s="19">
        <v>4</v>
      </c>
      <c r="BU59" s="19">
        <v>5</v>
      </c>
      <c r="BV59" s="19">
        <v>2</v>
      </c>
      <c r="BW59" s="19">
        <v>3</v>
      </c>
      <c r="BX59" s="19">
        <v>3</v>
      </c>
      <c r="BY59" s="19">
        <v>3</v>
      </c>
      <c r="BZ59" s="19">
        <v>3</v>
      </c>
      <c r="CA59" s="19">
        <v>4</v>
      </c>
      <c r="CB59" s="19">
        <v>4</v>
      </c>
      <c r="CC59" s="19">
        <v>5</v>
      </c>
      <c r="CD59" s="19">
        <v>3</v>
      </c>
      <c r="CE59" s="19">
        <v>3</v>
      </c>
      <c r="CF59" s="19">
        <v>4</v>
      </c>
      <c r="CG59" s="19">
        <v>3</v>
      </c>
      <c r="CH59" s="19">
        <v>2</v>
      </c>
      <c r="CI59" s="19">
        <v>3</v>
      </c>
      <c r="CJ59" s="19">
        <v>4</v>
      </c>
      <c r="CK59" s="19">
        <v>8</v>
      </c>
      <c r="CL59" t="s">
        <v>403</v>
      </c>
      <c r="CM59">
        <v>21.5</v>
      </c>
      <c r="CN59" s="16">
        <v>78.400000000000006</v>
      </c>
      <c r="CO59" s="16">
        <v>80.400000000000006</v>
      </c>
      <c r="CP59" s="16">
        <v>9.6</v>
      </c>
      <c r="CQ59">
        <v>84.68</v>
      </c>
      <c r="CR59">
        <v>14.18</v>
      </c>
      <c r="CS59">
        <v>1.1200000000000001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9.51</v>
      </c>
      <c r="DD59">
        <v>25.42</v>
      </c>
      <c r="DE59">
        <v>0</v>
      </c>
      <c r="DF59">
        <v>0</v>
      </c>
      <c r="DG59">
        <v>0</v>
      </c>
      <c r="DH59">
        <v>2</v>
      </c>
      <c r="DI59">
        <v>5</v>
      </c>
      <c r="DO59">
        <v>5</v>
      </c>
      <c r="DU59">
        <v>3.2</v>
      </c>
      <c r="DV59">
        <v>1</v>
      </c>
      <c r="DW59">
        <v>52</v>
      </c>
      <c r="DX59">
        <v>3</v>
      </c>
      <c r="DY59">
        <f t="shared" si="33"/>
        <v>0.83000000000000007</v>
      </c>
      <c r="DZ59">
        <v>2</v>
      </c>
      <c r="EA59">
        <v>103</v>
      </c>
      <c r="EB59">
        <v>3</v>
      </c>
      <c r="EC59">
        <f t="shared" si="34"/>
        <v>0.7</v>
      </c>
      <c r="ED59">
        <v>1</v>
      </c>
      <c r="EE59">
        <v>68</v>
      </c>
      <c r="EF59">
        <v>2</v>
      </c>
      <c r="EG59" s="18">
        <f t="shared" si="35"/>
        <v>0.24</v>
      </c>
      <c r="EH59">
        <v>1</v>
      </c>
      <c r="EI59">
        <v>34</v>
      </c>
      <c r="EJ59">
        <v>2</v>
      </c>
      <c r="EK59">
        <f t="shared" si="36"/>
        <v>0.24</v>
      </c>
      <c r="EL59">
        <v>1</v>
      </c>
      <c r="EY59">
        <v>0</v>
      </c>
      <c r="GJ59" s="16">
        <v>0.36</v>
      </c>
      <c r="GK59" s="16">
        <v>1</v>
      </c>
      <c r="GL59" s="16">
        <v>1</v>
      </c>
      <c r="GM59" s="16"/>
      <c r="GN59" s="16">
        <v>1.52</v>
      </c>
      <c r="GO59" s="16"/>
      <c r="GP59" s="16"/>
      <c r="GQ59" s="16"/>
      <c r="GR59" s="16"/>
      <c r="GS59" s="16"/>
      <c r="GT59" s="16"/>
      <c r="GU59" s="16">
        <v>8.32</v>
      </c>
      <c r="GV59" s="16">
        <v>8.31</v>
      </c>
      <c r="GW59" s="16"/>
      <c r="GX59" s="16"/>
      <c r="GY59" s="16">
        <v>0</v>
      </c>
      <c r="GZ59" s="16">
        <v>0</v>
      </c>
      <c r="HA59" s="16">
        <v>0</v>
      </c>
      <c r="HB59">
        <v>0</v>
      </c>
      <c r="HC59" t="s">
        <v>404</v>
      </c>
      <c r="HD59">
        <v>50.5</v>
      </c>
      <c r="HE59" s="16">
        <v>95.8</v>
      </c>
      <c r="HF59" s="16">
        <v>80.400000000000006</v>
      </c>
      <c r="HG59" s="16">
        <v>22.6</v>
      </c>
      <c r="HH59">
        <v>70.650000000000006</v>
      </c>
      <c r="HI59">
        <v>13.02</v>
      </c>
      <c r="HJ59">
        <v>16.329999999999998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3.81</v>
      </c>
      <c r="HU59">
        <v>53.36</v>
      </c>
      <c r="HV59">
        <v>0</v>
      </c>
      <c r="HW59">
        <v>0</v>
      </c>
      <c r="HX59">
        <v>7.8</v>
      </c>
      <c r="HY59">
        <v>2</v>
      </c>
      <c r="HZ59">
        <v>10</v>
      </c>
      <c r="IA59">
        <v>2.69</v>
      </c>
      <c r="IF59">
        <v>10</v>
      </c>
      <c r="IG59">
        <v>2.69</v>
      </c>
      <c r="IL59">
        <v>0</v>
      </c>
      <c r="IM59">
        <v>0</v>
      </c>
      <c r="IX59" s="18"/>
      <c r="JP59">
        <v>0</v>
      </c>
      <c r="LA59" s="16">
        <v>10.02</v>
      </c>
      <c r="LB59" s="16">
        <v>1</v>
      </c>
      <c r="LC59" s="16">
        <v>2</v>
      </c>
      <c r="LD59" s="16"/>
      <c r="LE59" s="16">
        <f t="shared" si="37"/>
        <v>15.119999999999997</v>
      </c>
      <c r="LF59" s="16"/>
      <c r="LG59" s="16"/>
      <c r="LH59" s="16"/>
      <c r="LI59" s="16"/>
      <c r="LJ59" s="16"/>
      <c r="LK59" s="16"/>
      <c r="LL59" s="16">
        <v>9.92</v>
      </c>
      <c r="LM59" s="16">
        <v>20.94</v>
      </c>
      <c r="LN59" s="16"/>
      <c r="LO59" s="16"/>
      <c r="LP59" s="16">
        <v>0</v>
      </c>
      <c r="LQ59" s="16">
        <v>0</v>
      </c>
      <c r="LR59" s="16">
        <v>0</v>
      </c>
      <c r="LS59">
        <v>0</v>
      </c>
      <c r="LT59" t="s">
        <v>405</v>
      </c>
      <c r="LU59">
        <v>57.5</v>
      </c>
      <c r="LV59" s="16">
        <v>93.3</v>
      </c>
      <c r="LW59" s="16">
        <v>80.400000000000006</v>
      </c>
      <c r="LX59" s="16">
        <v>37.200000000000003</v>
      </c>
      <c r="LY59">
        <v>37.4</v>
      </c>
      <c r="LZ59">
        <v>31.73</v>
      </c>
      <c r="MA59">
        <v>29.89</v>
      </c>
      <c r="MB59">
        <v>0</v>
      </c>
      <c r="MC59">
        <v>0.98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21.26</v>
      </c>
      <c r="ML59">
        <v>57.4</v>
      </c>
      <c r="MM59">
        <v>0</v>
      </c>
      <c r="MN59">
        <v>0</v>
      </c>
      <c r="MO59">
        <v>0</v>
      </c>
      <c r="MP59">
        <v>0</v>
      </c>
      <c r="NC59">
        <v>2.2999999999999998</v>
      </c>
      <c r="ND59">
        <v>1</v>
      </c>
      <c r="NE59">
        <v>35</v>
      </c>
      <c r="NF59">
        <v>1</v>
      </c>
      <c r="NG59">
        <v>0.49</v>
      </c>
      <c r="NH59">
        <v>3</v>
      </c>
      <c r="NO59" s="18"/>
      <c r="OG59">
        <v>0</v>
      </c>
      <c r="PR59" s="16">
        <v>2.91</v>
      </c>
      <c r="PS59" s="16">
        <v>1</v>
      </c>
      <c r="PT59" s="16">
        <v>1</v>
      </c>
      <c r="PU59" s="16"/>
      <c r="PV59" s="16">
        <f t="shared" si="38"/>
        <v>30.74</v>
      </c>
      <c r="PW59" s="16"/>
      <c r="PX59" s="16"/>
      <c r="PY59" s="16"/>
      <c r="PZ59" s="16"/>
      <c r="QA59" s="16"/>
      <c r="QB59" s="16"/>
      <c r="QC59" s="16">
        <v>14.81</v>
      </c>
      <c r="QD59" s="16">
        <v>52.45</v>
      </c>
      <c r="QE59" s="16"/>
      <c r="QF59" s="16"/>
      <c r="QG59" s="16">
        <v>0</v>
      </c>
      <c r="QH59" s="16">
        <v>0</v>
      </c>
      <c r="QI59" s="16">
        <v>0</v>
      </c>
      <c r="QJ59">
        <v>0</v>
      </c>
      <c r="QK59" t="s">
        <v>406</v>
      </c>
      <c r="QL59">
        <v>12.5</v>
      </c>
      <c r="QM59" s="16">
        <v>69.900000000000006</v>
      </c>
      <c r="QN59" s="16">
        <v>80.400000000000006</v>
      </c>
      <c r="QO59" s="16">
        <v>9</v>
      </c>
      <c r="QP59">
        <v>90.9</v>
      </c>
      <c r="QQ59">
        <v>7.98</v>
      </c>
      <c r="QR59">
        <v>1.1200000000000001</v>
      </c>
      <c r="QS59">
        <v>4.5599999999999996</v>
      </c>
      <c r="QT59">
        <v>17.670000000000002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4.5599999999999996</v>
      </c>
      <c r="RC59">
        <v>17.670000000000002</v>
      </c>
      <c r="RD59">
        <v>0</v>
      </c>
      <c r="RE59">
        <v>0</v>
      </c>
      <c r="RF59">
        <v>0</v>
      </c>
      <c r="RG59">
        <v>0</v>
      </c>
      <c r="RT59">
        <v>0</v>
      </c>
      <c r="RU59">
        <v>0</v>
      </c>
      <c r="SF59" s="18"/>
      <c r="SX59">
        <v>0</v>
      </c>
      <c r="UI59" s="16">
        <v>0</v>
      </c>
      <c r="UJ59" s="16">
        <v>0</v>
      </c>
      <c r="UK59" s="16"/>
      <c r="UL59" s="16"/>
      <c r="UM59" s="16"/>
      <c r="UN59" s="16"/>
      <c r="UO59" s="16"/>
      <c r="UP59" s="16"/>
      <c r="UQ59" s="16"/>
      <c r="UR59" s="16"/>
      <c r="US59" s="16"/>
      <c r="UT59" s="16">
        <v>3.41</v>
      </c>
      <c r="UU59" s="16">
        <v>3.41</v>
      </c>
      <c r="UV59" s="16"/>
      <c r="UW59" s="16"/>
      <c r="UX59" s="16">
        <v>0</v>
      </c>
      <c r="UY59" s="16">
        <v>0</v>
      </c>
      <c r="UZ59" s="16">
        <v>0</v>
      </c>
      <c r="VA59">
        <v>0</v>
      </c>
      <c r="VB59" t="s">
        <v>407</v>
      </c>
      <c r="VC59">
        <v>17</v>
      </c>
      <c r="VD59" s="16">
        <v>84.3</v>
      </c>
      <c r="VE59" s="16">
        <v>80.400000000000006</v>
      </c>
      <c r="VF59" s="16">
        <v>9.8000000000000007</v>
      </c>
      <c r="VG59">
        <v>84.81</v>
      </c>
      <c r="VH59">
        <v>14.07</v>
      </c>
      <c r="VI59">
        <v>1.1200000000000001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7.34</v>
      </c>
      <c r="VT59">
        <v>26.23</v>
      </c>
      <c r="VU59">
        <v>0</v>
      </c>
      <c r="VV59">
        <v>0</v>
      </c>
      <c r="VW59">
        <v>0</v>
      </c>
      <c r="VX59">
        <v>0</v>
      </c>
      <c r="WK59">
        <v>0</v>
      </c>
      <c r="WL59">
        <v>0</v>
      </c>
      <c r="WW59" s="18"/>
      <c r="XO59">
        <v>0</v>
      </c>
      <c r="YZ59" s="16">
        <v>1.51</v>
      </c>
      <c r="ZA59" s="16">
        <v>1</v>
      </c>
      <c r="ZB59" s="16">
        <v>2</v>
      </c>
      <c r="ZC59" s="16"/>
      <c r="ZD59" s="16">
        <f t="shared" si="39"/>
        <v>5.03</v>
      </c>
      <c r="ZE59" s="16"/>
      <c r="ZF59" s="16"/>
      <c r="ZG59" s="16"/>
      <c r="ZH59" s="16"/>
      <c r="ZI59" s="16"/>
      <c r="ZJ59" s="16"/>
      <c r="ZK59" s="16">
        <v>5.5</v>
      </c>
      <c r="ZL59" s="16">
        <v>9.84</v>
      </c>
      <c r="ZM59" s="16"/>
      <c r="ZN59" s="16"/>
      <c r="ZO59" s="16">
        <v>0</v>
      </c>
      <c r="ZP59" s="16">
        <v>0</v>
      </c>
      <c r="ZQ59" s="16">
        <v>0</v>
      </c>
      <c r="ZR59">
        <v>0</v>
      </c>
      <c r="ZS59" t="s">
        <v>408</v>
      </c>
      <c r="ZT59">
        <v>26</v>
      </c>
      <c r="ZU59" s="16">
        <v>75.099999999999994</v>
      </c>
      <c r="ZV59" s="16">
        <v>80.400000000000006</v>
      </c>
      <c r="ZW59" s="16">
        <v>10.7</v>
      </c>
      <c r="ZX59">
        <v>76.38</v>
      </c>
      <c r="ZY59">
        <v>22.5</v>
      </c>
      <c r="ZZ59">
        <v>1.1200000000000001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10.84</v>
      </c>
      <c r="AAK59">
        <v>26.14</v>
      </c>
      <c r="AAL59">
        <v>0</v>
      </c>
      <c r="AAM59">
        <v>0</v>
      </c>
      <c r="AAN59">
        <v>0</v>
      </c>
      <c r="AAO59">
        <v>0</v>
      </c>
      <c r="ABB59">
        <v>2.5</v>
      </c>
      <c r="ABC59">
        <v>1</v>
      </c>
      <c r="ABD59">
        <v>68</v>
      </c>
      <c r="ABE59">
        <v>1</v>
      </c>
      <c r="ABF59">
        <f t="shared" si="40"/>
        <v>1.34</v>
      </c>
      <c r="ABG59">
        <v>1</v>
      </c>
      <c r="ABH59">
        <v>52</v>
      </c>
      <c r="ABI59">
        <v>2</v>
      </c>
      <c r="ABJ59">
        <v>0.45</v>
      </c>
      <c r="ABK59">
        <v>2</v>
      </c>
      <c r="ABN59" s="18"/>
      <c r="ACF59">
        <v>0</v>
      </c>
      <c r="ADQ59" s="16">
        <v>1.21</v>
      </c>
      <c r="ADR59" s="16">
        <v>1</v>
      </c>
      <c r="ADS59" s="16">
        <v>2</v>
      </c>
      <c r="ADT59" s="16"/>
      <c r="ADU59" s="16">
        <v>4.04</v>
      </c>
      <c r="ADV59" s="16"/>
      <c r="ADW59" s="16"/>
      <c r="ADX59" s="16"/>
      <c r="ADY59" s="16"/>
      <c r="ADZ59" s="16"/>
      <c r="AEA59" s="16"/>
      <c r="AEB59" s="16">
        <v>11.17</v>
      </c>
      <c r="AEC59" s="16">
        <v>19.84</v>
      </c>
      <c r="AED59" s="16"/>
      <c r="AEE59" s="16"/>
      <c r="AEF59" s="16">
        <v>0</v>
      </c>
      <c r="AEG59" s="16">
        <v>0</v>
      </c>
      <c r="AEH59" s="16">
        <v>0</v>
      </c>
      <c r="AEI59">
        <v>0</v>
      </c>
      <c r="AEJ59" t="s">
        <v>409</v>
      </c>
      <c r="AEK59">
        <v>23</v>
      </c>
      <c r="AEL59" s="16">
        <v>90.8</v>
      </c>
      <c r="AEM59" s="16">
        <v>80.400000000000006</v>
      </c>
      <c r="AEN59" s="16">
        <v>11.6</v>
      </c>
      <c r="AEO59">
        <v>71.459999999999994</v>
      </c>
      <c r="AEP59">
        <v>27.42</v>
      </c>
      <c r="AEQ59">
        <v>1.1200000000000001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11.58</v>
      </c>
      <c r="AFB59">
        <v>41.25</v>
      </c>
      <c r="AFC59">
        <v>0</v>
      </c>
      <c r="AFD59">
        <v>0</v>
      </c>
      <c r="AFE59">
        <v>0</v>
      </c>
      <c r="AFF59">
        <v>0</v>
      </c>
      <c r="AFS59">
        <v>1.7</v>
      </c>
      <c r="AFT59">
        <v>1</v>
      </c>
      <c r="AFU59">
        <v>35</v>
      </c>
      <c r="AFV59">
        <v>1</v>
      </c>
      <c r="AFW59">
        <v>0.05</v>
      </c>
      <c r="AFX59">
        <v>3</v>
      </c>
      <c r="AFY59">
        <v>103</v>
      </c>
      <c r="AFZ59">
        <v>5</v>
      </c>
      <c r="AGA59">
        <v>0.25</v>
      </c>
      <c r="AGB59">
        <v>1</v>
      </c>
      <c r="AGC59">
        <v>68</v>
      </c>
      <c r="AGD59">
        <v>4</v>
      </c>
      <c r="AGE59" s="18">
        <v>0.26</v>
      </c>
      <c r="AGF59">
        <v>1</v>
      </c>
      <c r="AGG59">
        <v>52</v>
      </c>
      <c r="AGH59">
        <v>4</v>
      </c>
      <c r="AGI59">
        <f t="shared" si="41"/>
        <v>0.18000000000000002</v>
      </c>
      <c r="AGJ59">
        <v>2</v>
      </c>
      <c r="AGW59">
        <v>0</v>
      </c>
      <c r="AIH59" s="16">
        <v>0.04</v>
      </c>
      <c r="AII59" s="16">
        <v>1</v>
      </c>
      <c r="AIJ59" s="16">
        <v>1</v>
      </c>
      <c r="AIK59" s="16"/>
      <c r="AIL59" s="16">
        <v>0.13</v>
      </c>
      <c r="AIM59" s="16"/>
      <c r="AIN59" s="16"/>
      <c r="AIO59" s="16"/>
      <c r="AIP59" s="16"/>
      <c r="AIQ59" s="16"/>
      <c r="AIR59" s="16"/>
      <c r="AIS59" s="16">
        <v>9.52</v>
      </c>
      <c r="AIT59" s="16">
        <v>21.65</v>
      </c>
      <c r="AIU59" s="16"/>
      <c r="AIV59" s="16"/>
      <c r="AIW59" s="16">
        <v>0</v>
      </c>
      <c r="AIX59" s="16">
        <v>0</v>
      </c>
      <c r="AIY59" s="16">
        <v>0</v>
      </c>
      <c r="AIZ59">
        <v>0</v>
      </c>
      <c r="AJA59" t="s">
        <v>410</v>
      </c>
      <c r="AJB59">
        <v>24</v>
      </c>
      <c r="AJC59" s="16">
        <v>82.9</v>
      </c>
      <c r="AJD59" s="16">
        <v>80.400000000000006</v>
      </c>
      <c r="AJE59" s="16">
        <v>9.6</v>
      </c>
      <c r="AJF59">
        <v>86.23</v>
      </c>
      <c r="AJG59">
        <v>11.76</v>
      </c>
      <c r="AJH59">
        <v>0</v>
      </c>
      <c r="AJI59">
        <v>0</v>
      </c>
      <c r="AJJ59">
        <v>1.01</v>
      </c>
      <c r="AJK59">
        <v>1.01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8.84</v>
      </c>
      <c r="AJS59">
        <v>23.37</v>
      </c>
      <c r="AJT59">
        <v>0</v>
      </c>
      <c r="AJU59">
        <v>0</v>
      </c>
      <c r="AJV59">
        <v>0</v>
      </c>
      <c r="AJW59">
        <v>0</v>
      </c>
      <c r="AKJ59">
        <v>0</v>
      </c>
      <c r="AKK59">
        <v>1</v>
      </c>
      <c r="AKL59">
        <v>52</v>
      </c>
      <c r="AKM59">
        <v>1</v>
      </c>
      <c r="AKN59">
        <v>0.02</v>
      </c>
      <c r="AKO59">
        <v>2</v>
      </c>
      <c r="AKV59" s="18"/>
      <c r="ALN59">
        <v>0</v>
      </c>
    </row>
    <row r="60" spans="1:1018" x14ac:dyDescent="0.2">
      <c r="A60" s="1" t="s">
        <v>419</v>
      </c>
      <c r="B60" s="12">
        <v>42900</v>
      </c>
      <c r="C60">
        <v>2</v>
      </c>
      <c r="D60" s="13">
        <v>37147</v>
      </c>
      <c r="E60" s="12">
        <v>26227</v>
      </c>
      <c r="F60" s="14">
        <f t="shared" si="0"/>
        <v>45.648186173853524</v>
      </c>
      <c r="G60" s="14">
        <f t="shared" si="1"/>
        <v>15.750855578370979</v>
      </c>
      <c r="H60" s="15" t="s">
        <v>217</v>
      </c>
      <c r="I60" s="15" t="s">
        <v>402</v>
      </c>
      <c r="J60" s="15" t="s">
        <v>181</v>
      </c>
      <c r="K60" s="21">
        <v>4</v>
      </c>
      <c r="L60" s="19">
        <v>77</v>
      </c>
      <c r="M60">
        <v>1.7</v>
      </c>
      <c r="N60" s="16">
        <f t="shared" si="2"/>
        <v>26.643598615916957</v>
      </c>
      <c r="O60" s="19">
        <v>0</v>
      </c>
      <c r="P60" s="19">
        <v>0</v>
      </c>
      <c r="Q60" s="19">
        <v>0</v>
      </c>
      <c r="R60" s="19">
        <v>0</v>
      </c>
      <c r="S60" s="19">
        <v>0</v>
      </c>
      <c r="T60" s="19">
        <v>0</v>
      </c>
      <c r="U60" s="19">
        <v>0</v>
      </c>
      <c r="V60" s="19">
        <v>0</v>
      </c>
      <c r="W60" s="19">
        <v>1</v>
      </c>
      <c r="X60" s="19">
        <v>0</v>
      </c>
      <c r="Y60" s="19">
        <v>1</v>
      </c>
      <c r="Z60" s="19">
        <v>2</v>
      </c>
      <c r="AA60" s="19">
        <v>60</v>
      </c>
      <c r="AB60" s="19" t="s">
        <v>420</v>
      </c>
      <c r="AC60" s="19">
        <v>0</v>
      </c>
      <c r="AD60" s="19">
        <v>0</v>
      </c>
      <c r="AE60" s="19">
        <v>0</v>
      </c>
      <c r="AF60" s="19">
        <v>0</v>
      </c>
      <c r="AG60" s="19">
        <v>0</v>
      </c>
      <c r="AH60" s="19">
        <v>0</v>
      </c>
      <c r="AI60" s="19">
        <v>3</v>
      </c>
      <c r="AJ60" s="19">
        <v>3</v>
      </c>
      <c r="AK60" s="19">
        <v>3</v>
      </c>
      <c r="AL60" s="19">
        <v>9</v>
      </c>
      <c r="AM60" s="19">
        <v>9</v>
      </c>
      <c r="AN60" s="19">
        <v>0</v>
      </c>
      <c r="AO60" s="19">
        <v>0</v>
      </c>
      <c r="AP60" s="19">
        <v>0</v>
      </c>
      <c r="AQ60" s="19">
        <v>0</v>
      </c>
      <c r="AR60" s="19">
        <v>0</v>
      </c>
      <c r="AS60" s="19">
        <v>3</v>
      </c>
      <c r="AT60" s="19">
        <v>3</v>
      </c>
      <c r="AU60" s="19">
        <v>3</v>
      </c>
      <c r="AV60" s="19">
        <v>9</v>
      </c>
      <c r="AW60" s="19">
        <v>5</v>
      </c>
      <c r="AX60" s="19">
        <v>0</v>
      </c>
      <c r="AY60" s="19">
        <v>0</v>
      </c>
      <c r="AZ60" s="19">
        <v>0</v>
      </c>
      <c r="BA60" s="19">
        <v>0</v>
      </c>
      <c r="BB60" s="19">
        <v>1</v>
      </c>
      <c r="BC60" s="19">
        <v>1</v>
      </c>
      <c r="BD60" s="19">
        <v>0</v>
      </c>
      <c r="BE60" s="19">
        <v>0</v>
      </c>
      <c r="BF60" s="19">
        <v>0</v>
      </c>
      <c r="BG60" s="19">
        <v>0</v>
      </c>
      <c r="BH60" s="19">
        <v>0</v>
      </c>
      <c r="BI60" s="19">
        <v>0</v>
      </c>
      <c r="BJ60" s="19">
        <v>0</v>
      </c>
      <c r="BK60" s="19">
        <v>0</v>
      </c>
      <c r="BL60" s="19">
        <v>0</v>
      </c>
      <c r="BM60" s="19">
        <v>0</v>
      </c>
      <c r="BN60" s="19">
        <v>0</v>
      </c>
      <c r="BO60" s="19">
        <v>0</v>
      </c>
      <c r="BP60" s="19">
        <v>0</v>
      </c>
      <c r="BQ60" s="19">
        <v>0</v>
      </c>
      <c r="BR60" s="19">
        <v>5</v>
      </c>
      <c r="BS60" s="19">
        <v>3</v>
      </c>
      <c r="BT60" s="19">
        <v>5</v>
      </c>
      <c r="BU60" s="19">
        <v>5</v>
      </c>
      <c r="BV60" s="19">
        <v>3</v>
      </c>
      <c r="BW60" s="19">
        <v>2</v>
      </c>
      <c r="BX60" s="19">
        <v>3</v>
      </c>
      <c r="BY60" s="19">
        <v>4</v>
      </c>
      <c r="BZ60" s="19">
        <v>5</v>
      </c>
      <c r="CA60" s="19">
        <v>2</v>
      </c>
      <c r="CB60" s="19">
        <v>1</v>
      </c>
      <c r="CC60" s="19">
        <v>5</v>
      </c>
      <c r="CD60" s="19">
        <v>3</v>
      </c>
      <c r="CE60" s="19">
        <v>3</v>
      </c>
      <c r="CF60" s="19">
        <v>4</v>
      </c>
      <c r="CG60" s="19">
        <v>4</v>
      </c>
      <c r="CH60" s="19">
        <v>4</v>
      </c>
      <c r="CI60" s="19">
        <v>3</v>
      </c>
      <c r="CJ60" s="19">
        <v>3</v>
      </c>
      <c r="CK60" s="19">
        <v>7</v>
      </c>
      <c r="CL60" t="s">
        <v>414</v>
      </c>
      <c r="CM60">
        <v>21.5</v>
      </c>
      <c r="CN60" s="16">
        <v>78.400000000000006</v>
      </c>
      <c r="CO60" s="16">
        <v>80.400000000000006</v>
      </c>
      <c r="CP60" s="16">
        <v>9.6</v>
      </c>
      <c r="CQ60">
        <v>84.68</v>
      </c>
      <c r="CR60">
        <v>14.18</v>
      </c>
      <c r="CS60">
        <v>1.1200000000000001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9.51</v>
      </c>
      <c r="DD60">
        <v>25.42</v>
      </c>
      <c r="DE60">
        <v>0</v>
      </c>
      <c r="DF60">
        <v>0</v>
      </c>
      <c r="DG60">
        <v>0</v>
      </c>
      <c r="DH60">
        <v>2</v>
      </c>
      <c r="DI60">
        <v>5</v>
      </c>
      <c r="DO60">
        <v>5</v>
      </c>
      <c r="DU60">
        <v>3.2</v>
      </c>
      <c r="DV60">
        <v>1</v>
      </c>
      <c r="DW60">
        <v>52</v>
      </c>
      <c r="DX60">
        <v>3</v>
      </c>
      <c r="DY60">
        <f t="shared" si="33"/>
        <v>0.83000000000000007</v>
      </c>
      <c r="DZ60">
        <v>2</v>
      </c>
      <c r="EA60">
        <v>103</v>
      </c>
      <c r="EB60">
        <v>3</v>
      </c>
      <c r="EC60">
        <f t="shared" si="34"/>
        <v>0.7</v>
      </c>
      <c r="ED60">
        <v>1</v>
      </c>
      <c r="EE60">
        <v>68</v>
      </c>
      <c r="EF60">
        <v>2</v>
      </c>
      <c r="EG60" s="18">
        <f t="shared" si="35"/>
        <v>0.24</v>
      </c>
      <c r="EH60">
        <v>1</v>
      </c>
      <c r="EI60">
        <v>34</v>
      </c>
      <c r="EJ60">
        <v>2</v>
      </c>
      <c r="EK60">
        <f t="shared" si="36"/>
        <v>0.24</v>
      </c>
      <c r="EL60">
        <v>1</v>
      </c>
      <c r="EY60">
        <v>0</v>
      </c>
      <c r="GJ60" s="16">
        <v>0.36</v>
      </c>
      <c r="GK60" s="16">
        <v>1</v>
      </c>
      <c r="GL60" s="16">
        <v>1</v>
      </c>
      <c r="GM60" s="16"/>
      <c r="GN60" s="16">
        <v>1.52</v>
      </c>
      <c r="GO60" s="16"/>
      <c r="GP60" s="16"/>
      <c r="GQ60" s="16"/>
      <c r="GR60" s="16"/>
      <c r="GS60" s="16"/>
      <c r="GT60" s="16"/>
      <c r="GU60" s="16">
        <v>8.32</v>
      </c>
      <c r="GV60" s="16">
        <v>8.31</v>
      </c>
      <c r="GW60" s="16"/>
      <c r="GX60" s="16"/>
      <c r="GY60" s="16">
        <v>0</v>
      </c>
      <c r="GZ60" s="16">
        <v>0</v>
      </c>
      <c r="HA60" s="16">
        <v>0</v>
      </c>
      <c r="HB60">
        <v>0</v>
      </c>
      <c r="HC60" t="s">
        <v>404</v>
      </c>
      <c r="HD60">
        <v>50.5</v>
      </c>
      <c r="HE60" s="16">
        <v>95.8</v>
      </c>
      <c r="HF60" s="16">
        <v>80.400000000000006</v>
      </c>
      <c r="HG60" s="16">
        <v>22.6</v>
      </c>
      <c r="HH60">
        <v>70.650000000000006</v>
      </c>
      <c r="HI60">
        <v>13.02</v>
      </c>
      <c r="HJ60">
        <v>16.329999999999998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3.81</v>
      </c>
      <c r="HU60">
        <v>53.36</v>
      </c>
      <c r="HV60">
        <v>0</v>
      </c>
      <c r="HW60">
        <v>0</v>
      </c>
      <c r="HX60">
        <v>7.8</v>
      </c>
      <c r="HY60">
        <v>2</v>
      </c>
      <c r="HZ60">
        <v>10</v>
      </c>
      <c r="IA60">
        <v>2.69</v>
      </c>
      <c r="IF60">
        <v>10</v>
      </c>
      <c r="IG60">
        <v>2.69</v>
      </c>
      <c r="IL60">
        <v>0</v>
      </c>
      <c r="IM60">
        <v>0</v>
      </c>
      <c r="IX60" s="18"/>
      <c r="JP60">
        <v>0</v>
      </c>
      <c r="LA60" s="16">
        <v>10.02</v>
      </c>
      <c r="LB60" s="16">
        <v>1</v>
      </c>
      <c r="LC60" s="16">
        <v>2</v>
      </c>
      <c r="LD60" s="16"/>
      <c r="LE60" s="16">
        <f t="shared" si="37"/>
        <v>15.119999999999997</v>
      </c>
      <c r="LF60" s="16"/>
      <c r="LG60" s="16"/>
      <c r="LH60" s="16"/>
      <c r="LI60" s="16"/>
      <c r="LJ60" s="16"/>
      <c r="LK60" s="16"/>
      <c r="LL60" s="16">
        <v>9.92</v>
      </c>
      <c r="LM60" s="16">
        <v>20.94</v>
      </c>
      <c r="LN60" s="16"/>
      <c r="LO60" s="16"/>
      <c r="LP60" s="16">
        <v>0</v>
      </c>
      <c r="LQ60" s="16">
        <v>0</v>
      </c>
      <c r="LR60" s="16">
        <v>0</v>
      </c>
      <c r="LS60">
        <v>0</v>
      </c>
      <c r="LT60" t="s">
        <v>415</v>
      </c>
      <c r="LU60">
        <v>57.5</v>
      </c>
      <c r="LV60" s="16">
        <v>93.3</v>
      </c>
      <c r="LW60" s="16">
        <v>80.400000000000006</v>
      </c>
      <c r="LX60" s="16">
        <v>37.200000000000003</v>
      </c>
      <c r="LY60">
        <v>37.4</v>
      </c>
      <c r="LZ60">
        <v>31.73</v>
      </c>
      <c r="MA60">
        <v>29.89</v>
      </c>
      <c r="MB60">
        <v>0</v>
      </c>
      <c r="MC60">
        <v>0.98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21.26</v>
      </c>
      <c r="ML60">
        <v>57.4</v>
      </c>
      <c r="MM60">
        <v>0</v>
      </c>
      <c r="MN60">
        <v>0</v>
      </c>
      <c r="MO60">
        <v>0</v>
      </c>
      <c r="MP60">
        <v>0</v>
      </c>
      <c r="NC60">
        <v>2.2999999999999998</v>
      </c>
      <c r="ND60">
        <v>1</v>
      </c>
      <c r="NE60">
        <v>35</v>
      </c>
      <c r="NF60">
        <v>1</v>
      </c>
      <c r="NG60">
        <v>0.49</v>
      </c>
      <c r="NH60">
        <v>3</v>
      </c>
      <c r="NO60" s="18"/>
      <c r="OG60">
        <v>0</v>
      </c>
      <c r="PR60" s="16">
        <v>2.91</v>
      </c>
      <c r="PS60" s="16">
        <v>1</v>
      </c>
      <c r="PT60" s="16">
        <v>1</v>
      </c>
      <c r="PU60" s="16"/>
      <c r="PV60" s="16">
        <f t="shared" si="38"/>
        <v>30.74</v>
      </c>
      <c r="PW60" s="16"/>
      <c r="PX60" s="16"/>
      <c r="PY60" s="16"/>
      <c r="PZ60" s="16"/>
      <c r="QA60" s="16"/>
      <c r="QB60" s="16"/>
      <c r="QC60" s="16">
        <v>14.81</v>
      </c>
      <c r="QD60" s="16">
        <v>52.45</v>
      </c>
      <c r="QE60" s="16"/>
      <c r="QF60" s="16"/>
      <c r="QG60" s="16">
        <v>0</v>
      </c>
      <c r="QH60" s="16">
        <v>0</v>
      </c>
      <c r="QI60" s="16">
        <v>0</v>
      </c>
      <c r="QJ60">
        <v>0</v>
      </c>
      <c r="QK60" t="s">
        <v>406</v>
      </c>
      <c r="QL60">
        <v>12.5</v>
      </c>
      <c r="QM60" s="16">
        <v>69.900000000000006</v>
      </c>
      <c r="QN60" s="16">
        <v>80.400000000000006</v>
      </c>
      <c r="QO60" s="16">
        <v>9</v>
      </c>
      <c r="QP60">
        <v>90.9</v>
      </c>
      <c r="QQ60">
        <v>7.98</v>
      </c>
      <c r="QR60">
        <v>1.1200000000000001</v>
      </c>
      <c r="QS60">
        <v>4.5599999999999996</v>
      </c>
      <c r="QT60">
        <v>17.670000000000002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4.5599999999999996</v>
      </c>
      <c r="RC60">
        <v>17.670000000000002</v>
      </c>
      <c r="RD60">
        <v>0</v>
      </c>
      <c r="RE60">
        <v>0</v>
      </c>
      <c r="RF60">
        <v>0</v>
      </c>
      <c r="RG60">
        <v>0</v>
      </c>
      <c r="RT60">
        <v>0</v>
      </c>
      <c r="RU60">
        <v>0</v>
      </c>
      <c r="SF60" s="18"/>
      <c r="SX60">
        <v>0</v>
      </c>
      <c r="UI60" s="16">
        <v>0</v>
      </c>
      <c r="UJ60" s="16">
        <v>0</v>
      </c>
      <c r="UK60" s="16"/>
      <c r="UL60" s="16"/>
      <c r="UM60" s="16"/>
      <c r="UN60" s="16"/>
      <c r="UO60" s="16"/>
      <c r="UP60" s="16"/>
      <c r="UQ60" s="16"/>
      <c r="UR60" s="16"/>
      <c r="US60" s="16"/>
      <c r="UT60" s="16">
        <v>3.41</v>
      </c>
      <c r="UU60" s="16">
        <v>3.41</v>
      </c>
      <c r="UV60" s="16"/>
      <c r="UW60" s="16"/>
      <c r="UX60" s="16">
        <v>0</v>
      </c>
      <c r="UY60" s="16">
        <v>0</v>
      </c>
      <c r="UZ60" s="16">
        <v>0</v>
      </c>
      <c r="VA60">
        <v>0</v>
      </c>
      <c r="VB60" t="s">
        <v>407</v>
      </c>
      <c r="VC60">
        <v>17</v>
      </c>
      <c r="VD60" s="16">
        <v>84.3</v>
      </c>
      <c r="VE60" s="16">
        <v>80.400000000000006</v>
      </c>
      <c r="VF60" s="16">
        <v>9.8000000000000007</v>
      </c>
      <c r="VG60">
        <v>84.81</v>
      </c>
      <c r="VH60">
        <v>14.07</v>
      </c>
      <c r="VI60">
        <v>1.1200000000000001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7.34</v>
      </c>
      <c r="VT60">
        <v>26.23</v>
      </c>
      <c r="VU60">
        <v>0</v>
      </c>
      <c r="VV60">
        <v>0</v>
      </c>
      <c r="VW60">
        <v>0</v>
      </c>
      <c r="VX60">
        <v>0</v>
      </c>
      <c r="WK60">
        <v>0</v>
      </c>
      <c r="WL60">
        <v>0</v>
      </c>
      <c r="WW60" s="18"/>
      <c r="XO60">
        <v>0</v>
      </c>
      <c r="YZ60" s="16">
        <v>1.51</v>
      </c>
      <c r="ZA60" s="16">
        <v>1</v>
      </c>
      <c r="ZB60" s="16">
        <v>2</v>
      </c>
      <c r="ZC60" s="16"/>
      <c r="ZD60" s="16">
        <f t="shared" si="39"/>
        <v>5.03</v>
      </c>
      <c r="ZE60" s="16"/>
      <c r="ZF60" s="16"/>
      <c r="ZG60" s="16"/>
      <c r="ZH60" s="16"/>
      <c r="ZI60" s="16"/>
      <c r="ZJ60" s="16"/>
      <c r="ZK60" s="16">
        <v>5.5</v>
      </c>
      <c r="ZL60" s="16">
        <v>9.84</v>
      </c>
      <c r="ZM60" s="16"/>
      <c r="ZN60" s="16"/>
      <c r="ZO60" s="16">
        <v>0</v>
      </c>
      <c r="ZP60" s="16">
        <v>0</v>
      </c>
      <c r="ZQ60" s="16">
        <v>0</v>
      </c>
      <c r="ZR60">
        <v>0</v>
      </c>
      <c r="ZS60" t="s">
        <v>416</v>
      </c>
      <c r="ZT60">
        <v>26</v>
      </c>
      <c r="ZU60" s="16">
        <v>75.099999999999994</v>
      </c>
      <c r="ZV60" s="16">
        <v>80.400000000000006</v>
      </c>
      <c r="ZW60" s="16">
        <v>10.7</v>
      </c>
      <c r="ZX60">
        <v>76.38</v>
      </c>
      <c r="ZY60">
        <v>22.5</v>
      </c>
      <c r="ZZ60">
        <v>1.1200000000000001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10.84</v>
      </c>
      <c r="AAK60">
        <v>26.14</v>
      </c>
      <c r="AAL60">
        <v>0</v>
      </c>
      <c r="AAM60">
        <v>0</v>
      </c>
      <c r="AAN60">
        <v>0</v>
      </c>
      <c r="AAO60">
        <v>0</v>
      </c>
      <c r="ABB60">
        <v>2.5</v>
      </c>
      <c r="ABC60">
        <v>1</v>
      </c>
      <c r="ABD60">
        <v>68</v>
      </c>
      <c r="ABE60">
        <v>1</v>
      </c>
      <c r="ABF60">
        <f t="shared" si="40"/>
        <v>1.34</v>
      </c>
      <c r="ABG60">
        <v>1</v>
      </c>
      <c r="ABH60">
        <v>52</v>
      </c>
      <c r="ABI60">
        <v>2</v>
      </c>
      <c r="ABJ60">
        <v>0.45</v>
      </c>
      <c r="ABK60">
        <v>2</v>
      </c>
      <c r="ABN60" s="18"/>
      <c r="ACF60">
        <v>0</v>
      </c>
      <c r="ADQ60" s="16">
        <v>1.21</v>
      </c>
      <c r="ADR60" s="16">
        <v>1</v>
      </c>
      <c r="ADS60" s="16">
        <v>2</v>
      </c>
      <c r="ADT60" s="16"/>
      <c r="ADU60" s="16">
        <v>4.04</v>
      </c>
      <c r="ADV60" s="16"/>
      <c r="ADW60" s="16"/>
      <c r="ADX60" s="16"/>
      <c r="ADY60" s="16"/>
      <c r="ADZ60" s="16"/>
      <c r="AEA60" s="16"/>
      <c r="AEB60" s="16">
        <v>11.17</v>
      </c>
      <c r="AEC60" s="16">
        <v>19.84</v>
      </c>
      <c r="AED60" s="16"/>
      <c r="AEE60" s="16"/>
      <c r="AEF60" s="16">
        <v>0</v>
      </c>
      <c r="AEG60" s="16">
        <v>0</v>
      </c>
      <c r="AEH60" s="16">
        <v>0</v>
      </c>
      <c r="AEI60">
        <v>0</v>
      </c>
      <c r="AEJ60" t="s">
        <v>409</v>
      </c>
      <c r="AEK60">
        <v>23</v>
      </c>
      <c r="AEL60" s="16">
        <v>90.8</v>
      </c>
      <c r="AEM60" s="16">
        <v>80.400000000000006</v>
      </c>
      <c r="AEN60" s="16">
        <v>11.6</v>
      </c>
      <c r="AEO60">
        <v>71.459999999999994</v>
      </c>
      <c r="AEP60">
        <v>27.42</v>
      </c>
      <c r="AEQ60">
        <v>1.1200000000000001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11.58</v>
      </c>
      <c r="AFB60">
        <v>41.25</v>
      </c>
      <c r="AFC60">
        <v>0</v>
      </c>
      <c r="AFD60">
        <v>0</v>
      </c>
      <c r="AFE60">
        <v>0</v>
      </c>
      <c r="AFF60">
        <v>0</v>
      </c>
      <c r="AFS60">
        <v>1.7</v>
      </c>
      <c r="AFT60">
        <v>1</v>
      </c>
      <c r="AFU60">
        <v>35</v>
      </c>
      <c r="AFV60">
        <v>1</v>
      </c>
      <c r="AFW60">
        <v>0.05</v>
      </c>
      <c r="AFX60">
        <v>3</v>
      </c>
      <c r="AFY60">
        <v>103</v>
      </c>
      <c r="AFZ60">
        <v>5</v>
      </c>
      <c r="AGA60">
        <v>0.25</v>
      </c>
      <c r="AGB60">
        <v>1</v>
      </c>
      <c r="AGC60">
        <v>68</v>
      </c>
      <c r="AGD60">
        <v>4</v>
      </c>
      <c r="AGE60" s="18">
        <v>0.26</v>
      </c>
      <c r="AGF60">
        <v>1</v>
      </c>
      <c r="AGG60">
        <v>52</v>
      </c>
      <c r="AGH60">
        <v>4</v>
      </c>
      <c r="AGI60">
        <f t="shared" si="41"/>
        <v>0.18000000000000002</v>
      </c>
      <c r="AGJ60">
        <v>2</v>
      </c>
      <c r="AGW60">
        <v>0</v>
      </c>
      <c r="AIH60" s="16">
        <v>0.04</v>
      </c>
      <c r="AII60" s="16">
        <v>1</v>
      </c>
      <c r="AIJ60" s="16">
        <v>1</v>
      </c>
      <c r="AIK60" s="16"/>
      <c r="AIL60" s="16">
        <v>0.13</v>
      </c>
      <c r="AIM60" s="16"/>
      <c r="AIN60" s="16"/>
      <c r="AIO60" s="16"/>
      <c r="AIP60" s="16"/>
      <c r="AIQ60" s="16"/>
      <c r="AIR60" s="16"/>
      <c r="AIS60" s="16">
        <v>9.52</v>
      </c>
      <c r="AIT60" s="16">
        <v>21.65</v>
      </c>
      <c r="AIU60" s="16"/>
      <c r="AIV60" s="16"/>
      <c r="AIW60" s="16">
        <v>0</v>
      </c>
      <c r="AIX60" s="16">
        <v>0</v>
      </c>
      <c r="AIY60" s="16">
        <v>0</v>
      </c>
      <c r="AIZ60">
        <v>0</v>
      </c>
      <c r="AJA60" t="s">
        <v>410</v>
      </c>
      <c r="AJB60">
        <v>24</v>
      </c>
      <c r="AJC60" s="16">
        <v>82.9</v>
      </c>
      <c r="AJD60" s="16">
        <v>80.400000000000006</v>
      </c>
      <c r="AJE60" s="16">
        <v>9.6</v>
      </c>
      <c r="AJF60">
        <v>86.23</v>
      </c>
      <c r="AJG60">
        <v>11.76</v>
      </c>
      <c r="AJH60">
        <v>0</v>
      </c>
      <c r="AJI60">
        <v>0</v>
      </c>
      <c r="AJJ60">
        <v>1.01</v>
      </c>
      <c r="AJK60">
        <v>1.01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8.84</v>
      </c>
      <c r="AJS60">
        <v>23.37</v>
      </c>
      <c r="AJT60">
        <v>0</v>
      </c>
      <c r="AJU60">
        <v>0</v>
      </c>
      <c r="AJV60">
        <v>0</v>
      </c>
      <c r="AJW60">
        <v>0</v>
      </c>
      <c r="AKJ60">
        <v>0</v>
      </c>
      <c r="AKK60">
        <v>1</v>
      </c>
      <c r="AKL60">
        <v>52</v>
      </c>
      <c r="AKM60">
        <v>1</v>
      </c>
      <c r="AKN60">
        <v>0.02</v>
      </c>
      <c r="AKO60">
        <v>2</v>
      </c>
      <c r="AKV60" s="18"/>
      <c r="ALN60">
        <v>0</v>
      </c>
    </row>
    <row r="61" spans="1:1018" s="24" customFormat="1" x14ac:dyDescent="0.2">
      <c r="A61" s="22" t="s">
        <v>421</v>
      </c>
      <c r="B61" s="23">
        <v>42888</v>
      </c>
      <c r="C61" s="24">
        <v>2</v>
      </c>
      <c r="D61" s="25">
        <v>42821</v>
      </c>
      <c r="E61" s="23">
        <v>32207</v>
      </c>
      <c r="F61" s="14">
        <f t="shared" si="0"/>
        <v>29.242984257357975</v>
      </c>
      <c r="G61" s="14">
        <f t="shared" si="1"/>
        <v>0.1834360027378508</v>
      </c>
      <c r="H61" s="21" t="s">
        <v>228</v>
      </c>
      <c r="I61" s="21" t="s">
        <v>240</v>
      </c>
      <c r="J61" s="21" t="s">
        <v>181</v>
      </c>
      <c r="K61" s="21">
        <v>8</v>
      </c>
      <c r="L61" s="26">
        <v>68</v>
      </c>
      <c r="M61" s="24">
        <v>1.72</v>
      </c>
      <c r="N61" s="27">
        <f t="shared" si="2"/>
        <v>22.985397512168742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6">
        <v>0</v>
      </c>
      <c r="V61" s="26">
        <v>0</v>
      </c>
      <c r="W61" s="26">
        <v>0</v>
      </c>
      <c r="X61" s="26">
        <v>0</v>
      </c>
      <c r="Y61" s="26">
        <v>1</v>
      </c>
      <c r="Z61" s="26">
        <v>1</v>
      </c>
      <c r="AA61" s="26">
        <v>30</v>
      </c>
      <c r="AB61" s="26" t="s">
        <v>284</v>
      </c>
      <c r="AC61" s="26">
        <v>0</v>
      </c>
      <c r="AD61" s="26">
        <v>0</v>
      </c>
      <c r="AE61" s="26">
        <v>1</v>
      </c>
      <c r="AF61" s="26">
        <v>0</v>
      </c>
      <c r="AG61" s="26">
        <v>0</v>
      </c>
      <c r="AH61" s="26">
        <v>0</v>
      </c>
      <c r="AI61" s="26">
        <v>0</v>
      </c>
      <c r="AJ61" s="26">
        <v>0</v>
      </c>
      <c r="AK61" s="26">
        <v>0</v>
      </c>
      <c r="AL61" s="19">
        <v>0</v>
      </c>
      <c r="AM61" s="19">
        <v>0</v>
      </c>
      <c r="AN61" s="26">
        <v>1</v>
      </c>
      <c r="AO61" s="26">
        <v>0</v>
      </c>
      <c r="AP61" s="26">
        <v>1</v>
      </c>
      <c r="AQ61" s="26">
        <v>4</v>
      </c>
      <c r="AR61" s="26">
        <v>0</v>
      </c>
      <c r="AS61" s="26">
        <v>3</v>
      </c>
      <c r="AT61" s="26">
        <v>0</v>
      </c>
      <c r="AU61" s="26">
        <v>2</v>
      </c>
      <c r="AV61" s="26">
        <v>0</v>
      </c>
      <c r="AW61" s="26">
        <v>3</v>
      </c>
      <c r="AX61" s="26">
        <v>0</v>
      </c>
      <c r="AY61" s="26">
        <v>0</v>
      </c>
      <c r="AZ61" s="26">
        <v>0</v>
      </c>
      <c r="BA61" s="26">
        <v>0</v>
      </c>
      <c r="BB61" s="26">
        <v>0</v>
      </c>
      <c r="BC61" s="26">
        <v>0</v>
      </c>
      <c r="BD61" s="26">
        <v>0</v>
      </c>
      <c r="BE61" s="26">
        <v>0</v>
      </c>
      <c r="BF61" s="26">
        <v>0</v>
      </c>
      <c r="BG61" s="26">
        <v>0</v>
      </c>
      <c r="BH61" s="26">
        <v>0</v>
      </c>
      <c r="BI61" s="26">
        <v>0</v>
      </c>
      <c r="BJ61" s="26">
        <v>0</v>
      </c>
      <c r="BK61" s="26">
        <v>0</v>
      </c>
      <c r="BL61" s="26">
        <v>0</v>
      </c>
      <c r="BM61" s="26">
        <v>0</v>
      </c>
      <c r="BN61" s="26">
        <v>0</v>
      </c>
      <c r="BO61" s="26">
        <v>0</v>
      </c>
      <c r="BP61" s="26">
        <v>0</v>
      </c>
      <c r="BQ61" s="26">
        <v>0</v>
      </c>
      <c r="BR61" s="26">
        <v>3</v>
      </c>
      <c r="BS61" s="26">
        <v>2</v>
      </c>
      <c r="BT61" s="26">
        <v>3</v>
      </c>
      <c r="BU61" s="26">
        <v>5</v>
      </c>
      <c r="BV61" s="26">
        <v>3</v>
      </c>
      <c r="BW61" s="26">
        <v>1</v>
      </c>
      <c r="BX61" s="26">
        <v>4</v>
      </c>
      <c r="BY61" s="26">
        <v>5</v>
      </c>
      <c r="BZ61" s="26">
        <v>5</v>
      </c>
      <c r="CA61" s="26">
        <v>5</v>
      </c>
      <c r="CB61" s="26">
        <v>3</v>
      </c>
      <c r="CC61" s="26">
        <v>4</v>
      </c>
      <c r="CD61" s="26">
        <v>2</v>
      </c>
      <c r="CE61" s="26">
        <v>5</v>
      </c>
      <c r="CF61" s="26">
        <v>5</v>
      </c>
      <c r="CG61" s="26">
        <v>5</v>
      </c>
      <c r="CH61" s="26">
        <v>4</v>
      </c>
      <c r="CI61" s="26">
        <v>5</v>
      </c>
      <c r="CJ61" s="26">
        <v>5</v>
      </c>
      <c r="CK61" s="26">
        <v>10</v>
      </c>
      <c r="CL61" s="24" t="s">
        <v>242</v>
      </c>
      <c r="CM61" s="24">
        <v>36.5</v>
      </c>
      <c r="CN61" s="27">
        <v>88.3</v>
      </c>
      <c r="CO61" s="27">
        <v>80.400000000000006</v>
      </c>
      <c r="CP61" s="27">
        <v>28.2</v>
      </c>
      <c r="CQ61" s="24">
        <v>73.819999999999993</v>
      </c>
      <c r="CR61" s="24">
        <v>0</v>
      </c>
      <c r="CS61" s="24">
        <v>25.61</v>
      </c>
      <c r="CT61" s="24">
        <v>0</v>
      </c>
      <c r="CU61" s="24">
        <v>0.56999999999999995</v>
      </c>
      <c r="CV61" s="24">
        <v>0</v>
      </c>
      <c r="CW61" s="24">
        <v>0</v>
      </c>
      <c r="CX61" s="24">
        <v>0</v>
      </c>
      <c r="CY61" s="24">
        <v>0</v>
      </c>
      <c r="CZ61" s="24">
        <v>0</v>
      </c>
      <c r="DA61" s="24">
        <v>0</v>
      </c>
      <c r="DB61" s="24">
        <v>1.17</v>
      </c>
      <c r="DC61" s="24">
        <v>31.76</v>
      </c>
      <c r="DD61" s="24">
        <v>23.3</v>
      </c>
      <c r="DE61" s="24">
        <v>26.08</v>
      </c>
      <c r="DF61" s="24">
        <v>0</v>
      </c>
      <c r="DG61" s="24">
        <v>0</v>
      </c>
      <c r="DH61" s="24">
        <v>0</v>
      </c>
      <c r="DU61" s="24">
        <v>2.1</v>
      </c>
      <c r="DV61" s="24">
        <v>1</v>
      </c>
      <c r="DW61" s="24">
        <v>47</v>
      </c>
      <c r="DX61" s="24">
        <v>2</v>
      </c>
      <c r="DY61" s="24">
        <v>0.27</v>
      </c>
      <c r="DZ61" s="24">
        <v>3</v>
      </c>
      <c r="EG61" s="28"/>
      <c r="EY61" s="24">
        <v>0</v>
      </c>
      <c r="GJ61" s="27">
        <v>1.9</v>
      </c>
      <c r="GK61" s="27">
        <v>1</v>
      </c>
      <c r="GL61" s="27">
        <v>1</v>
      </c>
      <c r="GM61" s="27"/>
      <c r="GN61" s="27">
        <f>5.29*3</f>
        <v>15.870000000000001</v>
      </c>
      <c r="GO61" s="27"/>
      <c r="GP61" s="27"/>
      <c r="GQ61" s="27"/>
      <c r="GR61" s="27"/>
      <c r="GS61" s="27"/>
      <c r="GT61" s="27"/>
      <c r="GU61" s="27">
        <v>0.56999999999999995</v>
      </c>
      <c r="GV61" s="27">
        <v>0.56000000000000005</v>
      </c>
      <c r="GW61" s="27"/>
      <c r="GX61" s="27"/>
      <c r="GY61" s="27">
        <v>0</v>
      </c>
      <c r="GZ61" s="27">
        <v>0</v>
      </c>
      <c r="HA61" s="27">
        <v>0</v>
      </c>
      <c r="HB61" s="24">
        <v>0</v>
      </c>
      <c r="HC61" s="24" t="s">
        <v>243</v>
      </c>
      <c r="HD61" s="24">
        <v>38</v>
      </c>
      <c r="HE61" s="27">
        <v>87.8</v>
      </c>
      <c r="HF61" s="27">
        <v>80.400000000000006</v>
      </c>
      <c r="HG61" s="27">
        <v>29.1</v>
      </c>
      <c r="HH61" s="24">
        <v>71.17</v>
      </c>
      <c r="HI61" s="24">
        <v>0</v>
      </c>
      <c r="HJ61" s="24">
        <v>25.61</v>
      </c>
      <c r="HK61" s="24">
        <v>0</v>
      </c>
      <c r="HL61" s="24">
        <v>3.22</v>
      </c>
      <c r="HM61" s="24">
        <v>0</v>
      </c>
      <c r="HN61" s="24">
        <v>0</v>
      </c>
      <c r="HO61" s="24">
        <v>0</v>
      </c>
      <c r="HP61" s="24">
        <v>0</v>
      </c>
      <c r="HQ61" s="24">
        <v>0</v>
      </c>
      <c r="HR61" s="24">
        <v>0</v>
      </c>
      <c r="HS61" s="24">
        <v>1.08</v>
      </c>
      <c r="HT61" s="24">
        <v>31.76</v>
      </c>
      <c r="HU61" s="24">
        <v>22.19</v>
      </c>
      <c r="HV61" s="24">
        <v>26.38</v>
      </c>
      <c r="HW61" s="24">
        <v>0</v>
      </c>
      <c r="HX61" s="24">
        <v>0</v>
      </c>
      <c r="HY61" s="24">
        <v>0</v>
      </c>
      <c r="IL61" s="24">
        <v>2.1</v>
      </c>
      <c r="IM61" s="24">
        <v>1</v>
      </c>
      <c r="IN61" s="24">
        <v>47</v>
      </c>
      <c r="IO61" s="24">
        <v>2</v>
      </c>
      <c r="IP61" s="24">
        <v>0.27</v>
      </c>
      <c r="IQ61" s="24">
        <v>3</v>
      </c>
      <c r="IX61" s="28"/>
      <c r="JP61" s="24">
        <v>0</v>
      </c>
      <c r="LA61" s="27">
        <v>1.9</v>
      </c>
      <c r="LB61" s="27">
        <v>1</v>
      </c>
      <c r="LC61" s="27">
        <v>1</v>
      </c>
      <c r="LD61" s="27"/>
      <c r="LE61" s="27">
        <f>5.29*3</f>
        <v>15.870000000000001</v>
      </c>
      <c r="LF61" s="27"/>
      <c r="LG61" s="27"/>
      <c r="LH61" s="27"/>
      <c r="LI61" s="27"/>
      <c r="LJ61" s="27"/>
      <c r="LK61" s="27"/>
      <c r="LL61" s="27">
        <v>1.1200000000000001</v>
      </c>
      <c r="LM61" s="27">
        <v>0.27</v>
      </c>
      <c r="LN61" s="27"/>
      <c r="LO61" s="27"/>
      <c r="LP61" s="27">
        <v>0</v>
      </c>
      <c r="LQ61" s="27">
        <v>0</v>
      </c>
      <c r="LR61" s="27">
        <v>0</v>
      </c>
      <c r="LS61" s="24">
        <v>0</v>
      </c>
      <c r="LT61" s="24" t="s">
        <v>244</v>
      </c>
      <c r="LU61" s="24">
        <v>24.5</v>
      </c>
      <c r="LV61" s="27">
        <v>84.2</v>
      </c>
      <c r="LW61" s="27">
        <v>80.400000000000006</v>
      </c>
      <c r="LX61" s="27">
        <v>11.9</v>
      </c>
      <c r="LY61" s="24">
        <v>97.51</v>
      </c>
      <c r="LZ61" s="24">
        <v>0</v>
      </c>
      <c r="MA61" s="24">
        <v>2.4900000000000002</v>
      </c>
      <c r="MB61" s="24">
        <v>0</v>
      </c>
      <c r="MC61" s="24">
        <v>0</v>
      </c>
      <c r="MD61" s="24">
        <v>0</v>
      </c>
      <c r="ME61" s="24">
        <v>0</v>
      </c>
      <c r="MF61" s="24">
        <v>0</v>
      </c>
      <c r="MG61" s="24">
        <v>0</v>
      </c>
      <c r="MH61" s="24">
        <v>0</v>
      </c>
      <c r="MI61" s="24">
        <v>0</v>
      </c>
      <c r="MJ61" s="24">
        <v>0</v>
      </c>
      <c r="MK61" s="24">
        <v>3.13</v>
      </c>
      <c r="ML61" s="24">
        <v>26.34</v>
      </c>
      <c r="MM61" s="24">
        <v>45.74</v>
      </c>
      <c r="MN61" s="24">
        <v>0</v>
      </c>
      <c r="MO61" s="24">
        <v>0</v>
      </c>
      <c r="MP61" s="24">
        <v>0</v>
      </c>
      <c r="NC61" s="24">
        <v>0</v>
      </c>
      <c r="ND61" s="24">
        <v>0</v>
      </c>
      <c r="NO61" s="28"/>
      <c r="OG61" s="24">
        <v>0</v>
      </c>
      <c r="PR61" s="27">
        <v>6.4</v>
      </c>
      <c r="PS61" s="27">
        <v>1</v>
      </c>
      <c r="PT61" s="27">
        <v>2</v>
      </c>
      <c r="PU61" s="27"/>
      <c r="PV61" s="27">
        <f>1.24*2</f>
        <v>2.48</v>
      </c>
      <c r="PW61" s="27">
        <v>1</v>
      </c>
      <c r="PX61" s="27"/>
      <c r="PY61" s="27">
        <f>1.24*3+0.62+0.93+3.18+1.59+3.73+7.46</f>
        <v>21.23</v>
      </c>
      <c r="PZ61" s="27"/>
      <c r="QA61" s="27"/>
      <c r="QB61" s="27"/>
      <c r="QC61" s="27">
        <v>1.61</v>
      </c>
      <c r="QD61" s="27">
        <v>1.46</v>
      </c>
      <c r="QE61" s="27"/>
      <c r="QF61" s="27"/>
      <c r="QG61" s="27">
        <v>0</v>
      </c>
      <c r="QH61" s="27">
        <v>0</v>
      </c>
      <c r="QI61" s="27">
        <v>0</v>
      </c>
      <c r="QJ61" s="24">
        <v>0</v>
      </c>
      <c r="QK61" s="24" t="s">
        <v>245</v>
      </c>
      <c r="QL61" s="24">
        <v>19.5</v>
      </c>
      <c r="QM61" s="27">
        <v>76</v>
      </c>
      <c r="QN61" s="27">
        <v>80.400000000000006</v>
      </c>
      <c r="QO61" s="27">
        <v>10.9</v>
      </c>
      <c r="QP61" s="24">
        <v>99.87</v>
      </c>
      <c r="QQ61" s="24">
        <v>0</v>
      </c>
      <c r="QR61" s="24">
        <v>0</v>
      </c>
      <c r="QS61" s="24">
        <v>0</v>
      </c>
      <c r="QT61" s="24">
        <v>0.13</v>
      </c>
      <c r="QU61" s="24">
        <v>0</v>
      </c>
      <c r="QV61" s="24">
        <v>0</v>
      </c>
      <c r="QW61" s="24">
        <v>0</v>
      </c>
      <c r="QX61" s="24">
        <v>0</v>
      </c>
      <c r="QY61" s="24">
        <v>0</v>
      </c>
      <c r="QZ61" s="24">
        <v>0</v>
      </c>
      <c r="RA61" s="24">
        <v>0.1</v>
      </c>
      <c r="RB61" s="24">
        <v>0</v>
      </c>
      <c r="RC61" s="24">
        <v>17.25</v>
      </c>
      <c r="RD61" s="24">
        <v>40.01</v>
      </c>
      <c r="RE61" s="24">
        <v>0</v>
      </c>
      <c r="RF61" s="24">
        <v>0</v>
      </c>
      <c r="RG61" s="24">
        <v>0</v>
      </c>
      <c r="RT61" s="24">
        <v>4.5</v>
      </c>
      <c r="RU61" s="24">
        <v>1</v>
      </c>
      <c r="RV61" s="24">
        <v>34</v>
      </c>
      <c r="RW61" s="24">
        <v>2</v>
      </c>
      <c r="RX61" s="24">
        <v>0.13</v>
      </c>
      <c r="RY61" s="24">
        <v>1</v>
      </c>
      <c r="RZ61" s="24">
        <v>52</v>
      </c>
      <c r="SA61" s="24">
        <v>2</v>
      </c>
      <c r="SB61" s="24">
        <v>1.52</v>
      </c>
      <c r="SC61" s="24">
        <v>2</v>
      </c>
      <c r="SF61" s="28"/>
      <c r="SX61" s="24">
        <v>1</v>
      </c>
      <c r="SY61" s="24">
        <v>70</v>
      </c>
      <c r="SZ61" s="24">
        <v>7</v>
      </c>
      <c r="TA61" s="24">
        <v>0.7</v>
      </c>
      <c r="TB61" s="24">
        <v>3</v>
      </c>
      <c r="UI61" s="27">
        <v>0.72</v>
      </c>
      <c r="UJ61" s="27">
        <v>1</v>
      </c>
      <c r="UK61" s="27">
        <v>1</v>
      </c>
      <c r="UL61" s="27"/>
      <c r="UM61" s="27">
        <f>1.15+0.56+0.29</f>
        <v>2</v>
      </c>
      <c r="UN61" s="27"/>
      <c r="UO61" s="27"/>
      <c r="UP61" s="27"/>
      <c r="UQ61" s="27"/>
      <c r="UR61" s="27"/>
      <c r="US61" s="27"/>
      <c r="UT61" s="27">
        <v>0.17</v>
      </c>
      <c r="UU61" s="27">
        <v>0.17</v>
      </c>
      <c r="UV61" s="27"/>
      <c r="UW61" s="27"/>
      <c r="UX61" s="27">
        <v>0</v>
      </c>
      <c r="UY61" s="27">
        <v>0</v>
      </c>
      <c r="UZ61" s="27">
        <v>0</v>
      </c>
      <c r="VA61" s="24">
        <v>0</v>
      </c>
      <c r="VB61" s="24" t="s">
        <v>246</v>
      </c>
      <c r="VC61" s="24">
        <v>27</v>
      </c>
      <c r="VD61" s="27">
        <v>72</v>
      </c>
      <c r="VE61" s="27">
        <v>80.400000000000006</v>
      </c>
      <c r="VF61" s="27">
        <v>19.2</v>
      </c>
      <c r="VG61" s="24">
        <v>86.83</v>
      </c>
      <c r="VH61" s="24">
        <v>0</v>
      </c>
      <c r="VI61" s="24">
        <v>0</v>
      </c>
      <c r="VJ61" s="24">
        <v>0</v>
      </c>
      <c r="VK61" s="24">
        <v>13.17</v>
      </c>
      <c r="VL61" s="24">
        <v>0</v>
      </c>
      <c r="VM61" s="24">
        <v>0</v>
      </c>
      <c r="VN61" s="24">
        <v>0</v>
      </c>
      <c r="VO61" s="24">
        <v>0</v>
      </c>
      <c r="VP61" s="24">
        <v>0</v>
      </c>
      <c r="VQ61" s="24">
        <v>0</v>
      </c>
      <c r="VR61" s="24">
        <v>18.28</v>
      </c>
      <c r="VS61" s="24">
        <v>16.809999999999999</v>
      </c>
      <c r="VT61" s="24">
        <v>9.64</v>
      </c>
      <c r="VU61" s="24">
        <v>19.739999999999998</v>
      </c>
      <c r="VV61" s="24">
        <v>0</v>
      </c>
      <c r="VW61" s="24">
        <v>0</v>
      </c>
      <c r="VX61" s="24">
        <v>0</v>
      </c>
      <c r="WK61" s="24">
        <v>0</v>
      </c>
      <c r="WL61" s="24">
        <v>0</v>
      </c>
      <c r="WW61" s="28"/>
      <c r="XO61" s="24">
        <v>0</v>
      </c>
      <c r="YZ61" s="27">
        <v>1.43</v>
      </c>
      <c r="ZA61" s="27">
        <v>1</v>
      </c>
      <c r="ZB61" s="27">
        <v>1</v>
      </c>
      <c r="ZC61" s="27"/>
      <c r="ZD61" s="27">
        <f>6.34+2.11+0.08+0.37</f>
        <v>8.8999999999999986</v>
      </c>
      <c r="ZE61" s="27"/>
      <c r="ZF61" s="27"/>
      <c r="ZG61" s="27"/>
      <c r="ZH61" s="27"/>
      <c r="ZI61" s="27"/>
      <c r="ZJ61" s="27"/>
      <c r="ZK61" s="27">
        <v>3.5</v>
      </c>
      <c r="ZL61" s="27">
        <v>3.5</v>
      </c>
      <c r="ZM61" s="27"/>
      <c r="ZN61" s="27"/>
      <c r="ZO61" s="27">
        <v>0</v>
      </c>
      <c r="ZP61" s="27">
        <v>0</v>
      </c>
      <c r="ZQ61" s="27">
        <v>0</v>
      </c>
      <c r="ZR61" s="24">
        <v>0</v>
      </c>
      <c r="ZS61" s="24" t="s">
        <v>247</v>
      </c>
      <c r="ZT61" s="24">
        <v>37</v>
      </c>
      <c r="ZU61" s="27">
        <v>79.2</v>
      </c>
      <c r="ZV61" s="27">
        <v>80.400000000000006</v>
      </c>
      <c r="ZW61" s="27">
        <v>12.1</v>
      </c>
      <c r="ZX61" s="24">
        <v>96.75</v>
      </c>
      <c r="ZY61" s="24">
        <v>0</v>
      </c>
      <c r="ZZ61" s="24">
        <v>0</v>
      </c>
      <c r="AAA61" s="24">
        <v>0</v>
      </c>
      <c r="AAB61" s="24">
        <v>3.25</v>
      </c>
      <c r="AAC61" s="24">
        <v>0</v>
      </c>
      <c r="AAD61" s="24">
        <v>0</v>
      </c>
      <c r="AAE61" s="24">
        <v>0</v>
      </c>
      <c r="AAF61" s="24">
        <v>0</v>
      </c>
      <c r="AAG61" s="24">
        <v>0</v>
      </c>
      <c r="AAH61" s="24">
        <v>0</v>
      </c>
      <c r="AAI61" s="24">
        <v>9.06</v>
      </c>
      <c r="AAJ61" s="24">
        <v>18.149999999999999</v>
      </c>
      <c r="AAK61" s="24">
        <v>25.66</v>
      </c>
      <c r="AAL61" s="24">
        <v>15.61</v>
      </c>
      <c r="AAM61" s="24">
        <v>0</v>
      </c>
      <c r="AAN61" s="24">
        <v>0</v>
      </c>
      <c r="AAO61" s="24">
        <v>0</v>
      </c>
      <c r="ABB61" s="24">
        <v>17.8</v>
      </c>
      <c r="ABC61" s="24">
        <v>1</v>
      </c>
      <c r="ABD61" s="24">
        <v>47</v>
      </c>
      <c r="ABE61" s="24">
        <v>3</v>
      </c>
      <c r="ABF61" s="24">
        <v>2.2799999999999998</v>
      </c>
      <c r="ABG61" s="24">
        <v>3</v>
      </c>
      <c r="ABH61" s="24">
        <v>26</v>
      </c>
      <c r="ABI61" s="24">
        <v>1</v>
      </c>
      <c r="ABJ61" s="24">
        <v>0.76</v>
      </c>
      <c r="ABK61" s="24">
        <v>2</v>
      </c>
      <c r="ABN61" s="28"/>
      <c r="ACF61" s="24">
        <v>0</v>
      </c>
      <c r="ADQ61" s="27">
        <v>1.27</v>
      </c>
      <c r="ADR61" s="27">
        <v>1</v>
      </c>
      <c r="ADS61" s="27">
        <v>1</v>
      </c>
      <c r="ADT61" s="27"/>
      <c r="ADU61" s="27">
        <f>6.34+1.06</f>
        <v>7.4</v>
      </c>
      <c r="ADV61" s="27"/>
      <c r="ADW61" s="27"/>
      <c r="ADX61" s="27"/>
      <c r="ADY61" s="27"/>
      <c r="ADZ61" s="27"/>
      <c r="AEA61" s="27"/>
      <c r="AEB61" s="27">
        <v>2.86</v>
      </c>
      <c r="AEC61" s="27">
        <v>2.86</v>
      </c>
      <c r="AED61" s="27"/>
      <c r="AEE61" s="27"/>
      <c r="AEF61" s="27">
        <v>0</v>
      </c>
      <c r="AEG61" s="27">
        <v>0</v>
      </c>
      <c r="AEH61" s="27">
        <v>0</v>
      </c>
      <c r="AEI61" s="24">
        <v>0</v>
      </c>
      <c r="AEJ61" s="24" t="s">
        <v>248</v>
      </c>
      <c r="AEK61" s="24">
        <v>33</v>
      </c>
      <c r="AEL61" s="27">
        <v>122.1</v>
      </c>
      <c r="AEM61" s="27">
        <v>80.400000000000006</v>
      </c>
      <c r="AEN61" s="27">
        <v>14.1</v>
      </c>
      <c r="AEO61" s="24">
        <v>91.87</v>
      </c>
      <c r="AEP61" s="24">
        <v>0</v>
      </c>
      <c r="AEQ61" s="24">
        <v>5.85</v>
      </c>
      <c r="AER61" s="24">
        <v>0</v>
      </c>
      <c r="AES61" s="24">
        <v>2.2799999999999998</v>
      </c>
      <c r="AET61" s="24">
        <v>0</v>
      </c>
      <c r="AEU61" s="24">
        <v>0</v>
      </c>
      <c r="AEV61" s="24">
        <v>0</v>
      </c>
      <c r="AEW61" s="24">
        <v>0</v>
      </c>
      <c r="AEX61" s="24">
        <v>0</v>
      </c>
      <c r="AEY61" s="24">
        <v>0</v>
      </c>
      <c r="AEZ61" s="24">
        <v>0</v>
      </c>
      <c r="AFA61" s="24">
        <v>23.39</v>
      </c>
      <c r="AFB61" s="24">
        <v>10.3</v>
      </c>
      <c r="AFC61" s="24">
        <v>49.9</v>
      </c>
      <c r="AFD61" s="24">
        <v>0</v>
      </c>
      <c r="AFE61" s="24">
        <v>0</v>
      </c>
      <c r="AFF61" s="24">
        <v>0</v>
      </c>
      <c r="AFS61" s="24">
        <v>0</v>
      </c>
      <c r="AFT61" s="24">
        <v>1</v>
      </c>
      <c r="AFU61" s="24">
        <v>34</v>
      </c>
      <c r="AFV61" s="24">
        <v>1</v>
      </c>
      <c r="AFW61" s="24">
        <v>1.1399999999999999</v>
      </c>
      <c r="AFX61" s="24">
        <v>1</v>
      </c>
      <c r="AGE61" s="28"/>
      <c r="AGW61" s="24">
        <v>0</v>
      </c>
      <c r="AIH61" s="27">
        <v>4.78</v>
      </c>
      <c r="AII61" s="27">
        <v>1</v>
      </c>
      <c r="AIJ61" s="27">
        <v>1</v>
      </c>
      <c r="AIK61" s="27"/>
      <c r="AIL61" s="27">
        <v>4.2300000000000004</v>
      </c>
      <c r="AIM61" s="27">
        <v>2</v>
      </c>
      <c r="AIN61" s="27"/>
      <c r="AIO61" s="27">
        <f>1.14+9.52+1.68</f>
        <v>12.34</v>
      </c>
      <c r="AIP61" s="27"/>
      <c r="AIQ61" s="27"/>
      <c r="AIR61" s="27"/>
      <c r="AIS61" s="27">
        <v>10.43</v>
      </c>
      <c r="AIT61" s="27">
        <v>22.43</v>
      </c>
      <c r="AIU61" s="27"/>
      <c r="AIV61" s="27"/>
      <c r="AIW61" s="27">
        <v>0</v>
      </c>
      <c r="AIX61" s="27">
        <v>0</v>
      </c>
      <c r="AIY61" s="27">
        <v>0</v>
      </c>
      <c r="AIZ61" s="24">
        <v>0</v>
      </c>
      <c r="AJA61" s="24" t="s">
        <v>249</v>
      </c>
      <c r="AJB61" s="24">
        <v>25</v>
      </c>
      <c r="AJC61" s="27">
        <v>87.3</v>
      </c>
      <c r="AJD61" s="27">
        <v>80.400000000000006</v>
      </c>
      <c r="AJE61" s="27">
        <v>8.8000000000000007</v>
      </c>
      <c r="AJF61" s="24">
        <v>100</v>
      </c>
      <c r="AJG61" s="24">
        <v>0</v>
      </c>
      <c r="AJH61" s="24">
        <v>0</v>
      </c>
      <c r="AJI61" s="24">
        <v>0</v>
      </c>
      <c r="AJJ61" s="24">
        <v>0</v>
      </c>
      <c r="AJK61" s="24">
        <v>0</v>
      </c>
      <c r="AJL61" s="24">
        <v>0</v>
      </c>
      <c r="AJM61" s="24">
        <v>0</v>
      </c>
      <c r="AJN61" s="24">
        <v>0</v>
      </c>
      <c r="AJO61" s="24">
        <v>0</v>
      </c>
      <c r="AJP61" s="24">
        <v>0</v>
      </c>
      <c r="AJQ61" s="24">
        <v>0</v>
      </c>
      <c r="AJR61" s="24">
        <v>11.94</v>
      </c>
      <c r="AJS61" s="24">
        <v>34.17</v>
      </c>
      <c r="AJT61" s="24">
        <v>24.72</v>
      </c>
      <c r="AJU61" s="24">
        <v>0</v>
      </c>
      <c r="AJV61" s="24">
        <v>6.9</v>
      </c>
      <c r="AJW61" s="24">
        <v>3</v>
      </c>
      <c r="AJX61" s="24">
        <v>50</v>
      </c>
      <c r="AJZ61" s="24">
        <v>2</v>
      </c>
      <c r="AKD61" s="24">
        <v>50</v>
      </c>
      <c r="AKF61" s="24">
        <v>2</v>
      </c>
      <c r="AKJ61" s="24">
        <v>0</v>
      </c>
      <c r="AKK61" s="24">
        <v>0</v>
      </c>
      <c r="AKV61" s="28"/>
      <c r="ALN61" s="24">
        <v>1</v>
      </c>
      <c r="ALO61" s="24">
        <v>50</v>
      </c>
      <c r="ALP61" s="24">
        <v>1</v>
      </c>
      <c r="ALQ61" s="24">
        <v>1.86</v>
      </c>
      <c r="ALR61" s="24">
        <v>3</v>
      </c>
    </row>
    <row r="62" spans="1:1018" x14ac:dyDescent="0.2">
      <c r="A62" s="1" t="s">
        <v>422</v>
      </c>
      <c r="B62" s="12">
        <v>42887</v>
      </c>
      <c r="C62">
        <v>2</v>
      </c>
      <c r="D62" s="13">
        <v>42786</v>
      </c>
      <c r="E62" s="12">
        <v>27671</v>
      </c>
      <c r="F62" s="14">
        <f t="shared" si="0"/>
        <v>41.659137577002056</v>
      </c>
      <c r="G62" s="14">
        <f t="shared" si="1"/>
        <v>0.27652292950034224</v>
      </c>
      <c r="H62" s="15" t="s">
        <v>228</v>
      </c>
      <c r="I62" s="15" t="s">
        <v>240</v>
      </c>
      <c r="J62" s="15" t="s">
        <v>181</v>
      </c>
      <c r="K62" s="21">
        <v>8</v>
      </c>
      <c r="L62" s="19">
        <v>90</v>
      </c>
      <c r="M62">
        <v>1.73</v>
      </c>
      <c r="N62" s="16">
        <f t="shared" si="2"/>
        <v>30.071168431955627</v>
      </c>
      <c r="O62" s="19">
        <v>0</v>
      </c>
      <c r="P62" s="19">
        <v>0</v>
      </c>
      <c r="Q62" s="19">
        <v>0</v>
      </c>
      <c r="R62" s="19">
        <v>0</v>
      </c>
      <c r="S62" s="19">
        <v>0</v>
      </c>
      <c r="T62" s="19">
        <v>0</v>
      </c>
      <c r="U62" s="19">
        <v>0</v>
      </c>
      <c r="V62" s="19">
        <v>0</v>
      </c>
      <c r="W62" s="19">
        <v>0</v>
      </c>
      <c r="X62" s="19">
        <v>0</v>
      </c>
      <c r="Y62" s="19">
        <v>1</v>
      </c>
      <c r="Z62" s="19">
        <v>2</v>
      </c>
      <c r="AA62" s="19">
        <v>75</v>
      </c>
      <c r="AB62" s="19" t="s">
        <v>308</v>
      </c>
      <c r="AC62" s="19">
        <v>1</v>
      </c>
      <c r="AD62" s="19">
        <v>20</v>
      </c>
      <c r="AE62" s="19">
        <v>0</v>
      </c>
      <c r="AF62" s="19">
        <v>0</v>
      </c>
      <c r="AG62" s="19">
        <v>0</v>
      </c>
      <c r="AH62" s="19">
        <v>0</v>
      </c>
      <c r="AI62" s="19">
        <v>0</v>
      </c>
      <c r="AJ62" s="19">
        <v>0</v>
      </c>
      <c r="AK62" s="19">
        <v>0</v>
      </c>
      <c r="AL62" s="19">
        <v>0</v>
      </c>
      <c r="AM62" s="19">
        <v>0</v>
      </c>
      <c r="AN62" s="19">
        <v>0</v>
      </c>
      <c r="AO62" s="19">
        <v>0</v>
      </c>
      <c r="AP62" s="19">
        <v>0</v>
      </c>
      <c r="AQ62" s="19">
        <v>0</v>
      </c>
      <c r="AR62" s="19">
        <v>0</v>
      </c>
      <c r="AS62" s="19">
        <v>0</v>
      </c>
      <c r="AT62" s="19">
        <v>0</v>
      </c>
      <c r="AU62" s="19">
        <v>0</v>
      </c>
      <c r="AV62" s="19">
        <v>0</v>
      </c>
      <c r="AW62" s="19">
        <v>0</v>
      </c>
      <c r="AX62" s="19">
        <v>0</v>
      </c>
      <c r="AY62" s="19">
        <v>0</v>
      </c>
      <c r="AZ62" s="19">
        <v>0</v>
      </c>
      <c r="BA62" s="19">
        <v>0</v>
      </c>
      <c r="BB62" s="19">
        <v>0</v>
      </c>
      <c r="BC62" s="19">
        <v>0</v>
      </c>
      <c r="BD62" s="19">
        <v>0</v>
      </c>
      <c r="BE62" s="19">
        <v>0</v>
      </c>
      <c r="BF62" s="19">
        <v>0</v>
      </c>
      <c r="BG62" s="19">
        <v>0</v>
      </c>
      <c r="BH62" s="19">
        <v>0</v>
      </c>
      <c r="BI62" s="19">
        <v>0</v>
      </c>
      <c r="BJ62" s="19">
        <v>0</v>
      </c>
      <c r="BK62" s="19">
        <v>0</v>
      </c>
      <c r="BL62" s="19">
        <v>0</v>
      </c>
      <c r="BM62" s="19">
        <v>0</v>
      </c>
      <c r="BN62" s="19">
        <v>0</v>
      </c>
      <c r="BO62" s="19">
        <v>0</v>
      </c>
      <c r="BP62" s="19">
        <v>0</v>
      </c>
      <c r="BQ62" s="19">
        <v>0</v>
      </c>
      <c r="BR62" s="19">
        <v>4</v>
      </c>
      <c r="BS62" s="19">
        <v>1</v>
      </c>
      <c r="BT62" s="19">
        <v>3</v>
      </c>
      <c r="BU62" s="19">
        <v>4</v>
      </c>
      <c r="BV62" s="19">
        <v>3</v>
      </c>
      <c r="BW62" s="19">
        <v>2</v>
      </c>
      <c r="BX62" s="19">
        <v>2</v>
      </c>
      <c r="BY62" s="19">
        <v>3</v>
      </c>
      <c r="BZ62" s="19">
        <v>3</v>
      </c>
      <c r="CA62" s="19">
        <v>3</v>
      </c>
      <c r="CB62" s="19">
        <v>4</v>
      </c>
      <c r="CC62" s="19">
        <v>4</v>
      </c>
      <c r="CD62" s="19">
        <v>2</v>
      </c>
      <c r="CE62" s="19">
        <v>4</v>
      </c>
      <c r="CF62" s="19">
        <v>2</v>
      </c>
      <c r="CG62" s="19">
        <v>5</v>
      </c>
      <c r="CH62" s="19">
        <v>3</v>
      </c>
      <c r="CI62" s="19">
        <v>4</v>
      </c>
      <c r="CJ62" s="19">
        <v>4</v>
      </c>
      <c r="CK62" s="19">
        <v>8</v>
      </c>
      <c r="CL62" s="24" t="s">
        <v>242</v>
      </c>
      <c r="CM62" s="24">
        <v>36.5</v>
      </c>
      <c r="CN62" s="27">
        <v>88.3</v>
      </c>
      <c r="CO62" s="27">
        <v>80.400000000000006</v>
      </c>
      <c r="CP62" s="27">
        <v>28.2</v>
      </c>
      <c r="CQ62" s="24">
        <v>73.819999999999993</v>
      </c>
      <c r="CR62" s="24">
        <v>0</v>
      </c>
      <c r="CS62" s="24">
        <v>25.61</v>
      </c>
      <c r="CT62" s="24">
        <v>0</v>
      </c>
      <c r="CU62" s="24">
        <v>0.56999999999999995</v>
      </c>
      <c r="CV62" s="24">
        <v>0</v>
      </c>
      <c r="CW62" s="24">
        <v>0</v>
      </c>
      <c r="CX62" s="24">
        <v>0</v>
      </c>
      <c r="CY62" s="24">
        <v>0</v>
      </c>
      <c r="CZ62" s="24">
        <v>0</v>
      </c>
      <c r="DA62" s="24">
        <v>0</v>
      </c>
      <c r="DB62" s="24">
        <v>1.17</v>
      </c>
      <c r="DC62" s="24">
        <v>31.76</v>
      </c>
      <c r="DD62" s="24">
        <v>23.3</v>
      </c>
      <c r="DE62" s="24">
        <v>26.08</v>
      </c>
      <c r="DF62" s="24">
        <v>0</v>
      </c>
      <c r="DG62" s="24">
        <v>0</v>
      </c>
      <c r="DH62" s="24">
        <v>0</v>
      </c>
      <c r="DU62" s="24">
        <v>2.1</v>
      </c>
      <c r="DV62" s="24">
        <v>1</v>
      </c>
      <c r="DW62" s="24">
        <v>47</v>
      </c>
      <c r="DX62" s="24">
        <v>2</v>
      </c>
      <c r="DY62" s="24">
        <v>0.27</v>
      </c>
      <c r="DZ62" s="24">
        <v>3</v>
      </c>
      <c r="EG62" s="28"/>
      <c r="EY62" s="24">
        <v>0</v>
      </c>
      <c r="GJ62" s="27">
        <v>1.9</v>
      </c>
      <c r="GK62" s="27">
        <v>1</v>
      </c>
      <c r="GL62" s="27">
        <v>1</v>
      </c>
      <c r="GM62" s="27"/>
      <c r="GN62" s="27">
        <f>5.29*3</f>
        <v>15.870000000000001</v>
      </c>
      <c r="GO62" s="27"/>
      <c r="GP62" s="27"/>
      <c r="GQ62" s="27"/>
      <c r="GR62" s="27"/>
      <c r="GS62" s="27"/>
      <c r="GT62" s="27"/>
      <c r="GU62" s="27">
        <v>0.56999999999999995</v>
      </c>
      <c r="GV62" s="27">
        <v>0.56000000000000005</v>
      </c>
      <c r="GW62" s="27"/>
      <c r="GX62" s="27"/>
      <c r="GY62" s="27">
        <v>0</v>
      </c>
      <c r="GZ62" s="27">
        <v>0</v>
      </c>
      <c r="HA62" s="27">
        <v>0</v>
      </c>
      <c r="HB62" s="24">
        <v>0</v>
      </c>
      <c r="HC62" s="24" t="s">
        <v>243</v>
      </c>
      <c r="HD62" s="24">
        <v>38</v>
      </c>
      <c r="HE62" s="27">
        <v>87.8</v>
      </c>
      <c r="HF62" s="27">
        <v>80.400000000000006</v>
      </c>
      <c r="HG62" s="27">
        <v>29.1</v>
      </c>
      <c r="HH62" s="24">
        <v>71.17</v>
      </c>
      <c r="HI62" s="24">
        <v>0</v>
      </c>
      <c r="HJ62" s="24">
        <v>25.61</v>
      </c>
      <c r="HK62" s="24">
        <v>0</v>
      </c>
      <c r="HL62" s="24">
        <v>3.22</v>
      </c>
      <c r="HM62" s="24">
        <v>0</v>
      </c>
      <c r="HN62" s="24">
        <v>0</v>
      </c>
      <c r="HO62" s="24">
        <v>0</v>
      </c>
      <c r="HP62" s="24">
        <v>0</v>
      </c>
      <c r="HQ62" s="24">
        <v>0</v>
      </c>
      <c r="HR62" s="24">
        <v>0</v>
      </c>
      <c r="HS62" s="24">
        <v>1.08</v>
      </c>
      <c r="HT62" s="24">
        <v>31.76</v>
      </c>
      <c r="HU62" s="24">
        <v>22.19</v>
      </c>
      <c r="HV62" s="24">
        <v>26.38</v>
      </c>
      <c r="HW62" s="24">
        <v>0</v>
      </c>
      <c r="HX62" s="24">
        <v>0</v>
      </c>
      <c r="HY62" s="24">
        <v>0</v>
      </c>
      <c r="IL62" s="24">
        <v>2.1</v>
      </c>
      <c r="IM62" s="24">
        <v>1</v>
      </c>
      <c r="IN62" s="24">
        <v>47</v>
      </c>
      <c r="IO62" s="24">
        <v>2</v>
      </c>
      <c r="IP62" s="24">
        <v>0.27</v>
      </c>
      <c r="IQ62" s="24">
        <v>3</v>
      </c>
      <c r="IX62" s="28"/>
      <c r="JP62" s="24">
        <v>0</v>
      </c>
      <c r="LA62" s="27">
        <v>1.9</v>
      </c>
      <c r="LB62" s="27">
        <v>1</v>
      </c>
      <c r="LC62" s="27">
        <v>1</v>
      </c>
      <c r="LD62" s="27"/>
      <c r="LE62" s="27">
        <f>5.29*3</f>
        <v>15.870000000000001</v>
      </c>
      <c r="LF62" s="27"/>
      <c r="LG62" s="27"/>
      <c r="LH62" s="27"/>
      <c r="LI62" s="27"/>
      <c r="LJ62" s="27"/>
      <c r="LK62" s="27"/>
      <c r="LL62" s="27">
        <v>1.1200000000000001</v>
      </c>
      <c r="LM62" s="27">
        <v>0.27</v>
      </c>
      <c r="LN62" s="27"/>
      <c r="LO62" s="27"/>
      <c r="LP62" s="27">
        <v>0</v>
      </c>
      <c r="LQ62" s="27">
        <v>0</v>
      </c>
      <c r="LR62" s="27">
        <v>0</v>
      </c>
      <c r="LS62" s="24">
        <v>0</v>
      </c>
      <c r="LT62" s="24" t="s">
        <v>244</v>
      </c>
      <c r="LU62" s="24">
        <v>24.5</v>
      </c>
      <c r="LV62" s="27">
        <v>84.2</v>
      </c>
      <c r="LW62" s="27">
        <v>80.400000000000006</v>
      </c>
      <c r="LX62" s="27">
        <v>11.9</v>
      </c>
      <c r="LY62" s="24">
        <v>97.51</v>
      </c>
      <c r="LZ62" s="24">
        <v>0</v>
      </c>
      <c r="MA62" s="24">
        <v>2.4900000000000002</v>
      </c>
      <c r="MB62" s="24">
        <v>0</v>
      </c>
      <c r="MC62" s="24">
        <v>0</v>
      </c>
      <c r="MD62" s="24">
        <v>0</v>
      </c>
      <c r="ME62" s="24">
        <v>0</v>
      </c>
      <c r="MF62" s="24">
        <v>0</v>
      </c>
      <c r="MG62" s="24">
        <v>0</v>
      </c>
      <c r="MH62" s="24">
        <v>0</v>
      </c>
      <c r="MI62" s="24">
        <v>0</v>
      </c>
      <c r="MJ62" s="24">
        <v>0</v>
      </c>
      <c r="MK62" s="24">
        <v>3.13</v>
      </c>
      <c r="ML62" s="24">
        <v>26.34</v>
      </c>
      <c r="MM62" s="24">
        <v>45.74</v>
      </c>
      <c r="MN62" s="24">
        <v>0</v>
      </c>
      <c r="MO62" s="24">
        <v>0</v>
      </c>
      <c r="MP62" s="24">
        <v>0</v>
      </c>
      <c r="NC62" s="24">
        <v>0</v>
      </c>
      <c r="ND62" s="24">
        <v>0</v>
      </c>
      <c r="NO62" s="28"/>
      <c r="OG62" s="24">
        <v>0</v>
      </c>
      <c r="PR62" s="27">
        <v>6.4</v>
      </c>
      <c r="PS62" s="27">
        <v>1</v>
      </c>
      <c r="PT62" s="27">
        <v>2</v>
      </c>
      <c r="PU62" s="27"/>
      <c r="PV62" s="27">
        <f>1.24*2</f>
        <v>2.48</v>
      </c>
      <c r="PW62" s="27">
        <v>1</v>
      </c>
      <c r="PX62" s="27"/>
      <c r="PY62" s="27">
        <f>1.24*3+0.62+0.93+3.18+1.59+3.73+7.46</f>
        <v>21.23</v>
      </c>
      <c r="PZ62" s="27"/>
      <c r="QA62" s="27"/>
      <c r="QB62" s="27"/>
      <c r="QC62" s="27">
        <v>1.61</v>
      </c>
      <c r="QD62" s="27">
        <v>1.46</v>
      </c>
      <c r="QE62" s="27"/>
      <c r="QF62" s="27"/>
      <c r="QG62" s="27">
        <v>0</v>
      </c>
      <c r="QH62" s="27">
        <v>0</v>
      </c>
      <c r="QI62" s="27">
        <v>0</v>
      </c>
      <c r="QJ62" s="24">
        <v>0</v>
      </c>
      <c r="QK62" s="24" t="s">
        <v>245</v>
      </c>
      <c r="QL62" s="24">
        <v>19.5</v>
      </c>
      <c r="QM62" s="27">
        <v>76</v>
      </c>
      <c r="QN62" s="27">
        <v>80.400000000000006</v>
      </c>
      <c r="QO62" s="27">
        <v>10.9</v>
      </c>
      <c r="QP62" s="24">
        <v>99.87</v>
      </c>
      <c r="QQ62" s="24">
        <v>0</v>
      </c>
      <c r="QR62" s="24">
        <v>0</v>
      </c>
      <c r="QS62" s="24">
        <v>0</v>
      </c>
      <c r="QT62" s="24">
        <v>0.13</v>
      </c>
      <c r="QU62" s="24">
        <v>0</v>
      </c>
      <c r="QV62" s="24">
        <v>0</v>
      </c>
      <c r="QW62" s="24">
        <v>0</v>
      </c>
      <c r="QX62" s="24">
        <v>0</v>
      </c>
      <c r="QY62" s="24">
        <v>0</v>
      </c>
      <c r="QZ62" s="24">
        <v>0</v>
      </c>
      <c r="RA62" s="24">
        <v>0.1</v>
      </c>
      <c r="RB62" s="24">
        <v>0</v>
      </c>
      <c r="RC62" s="24">
        <v>17.25</v>
      </c>
      <c r="RD62" s="24">
        <v>40.01</v>
      </c>
      <c r="RE62" s="24">
        <v>0</v>
      </c>
      <c r="RF62" s="24">
        <v>0</v>
      </c>
      <c r="RG62" s="24">
        <v>0</v>
      </c>
      <c r="RT62" s="24">
        <v>4.5</v>
      </c>
      <c r="RU62" s="24">
        <v>1</v>
      </c>
      <c r="RV62" s="24">
        <v>34</v>
      </c>
      <c r="RW62" s="24">
        <v>2</v>
      </c>
      <c r="RX62" s="24">
        <v>0.13</v>
      </c>
      <c r="RY62" s="24">
        <v>1</v>
      </c>
      <c r="RZ62" s="24">
        <v>52</v>
      </c>
      <c r="SA62" s="24">
        <v>2</v>
      </c>
      <c r="SB62" s="24">
        <v>1.52</v>
      </c>
      <c r="SC62" s="24">
        <v>2</v>
      </c>
      <c r="SF62" s="28"/>
      <c r="SX62" s="24">
        <v>1</v>
      </c>
      <c r="SY62" s="24">
        <v>70</v>
      </c>
      <c r="SZ62" s="24">
        <v>7</v>
      </c>
      <c r="TA62" s="24">
        <v>0.7</v>
      </c>
      <c r="TB62" s="24">
        <v>3</v>
      </c>
      <c r="UI62" s="27">
        <v>0.72</v>
      </c>
      <c r="UJ62" s="27">
        <v>1</v>
      </c>
      <c r="UK62" s="27">
        <v>1</v>
      </c>
      <c r="UL62" s="27"/>
      <c r="UM62" s="27">
        <f>1.15+0.56+0.29</f>
        <v>2</v>
      </c>
      <c r="UN62" s="27"/>
      <c r="UO62" s="27"/>
      <c r="UP62" s="27"/>
      <c r="UQ62" s="27"/>
      <c r="UR62" s="27"/>
      <c r="US62" s="27"/>
      <c r="UT62" s="27">
        <v>0.17</v>
      </c>
      <c r="UU62" s="27">
        <v>0.17</v>
      </c>
      <c r="UV62" s="27"/>
      <c r="UW62" s="27"/>
      <c r="UX62" s="27">
        <v>0</v>
      </c>
      <c r="UY62" s="27">
        <v>0</v>
      </c>
      <c r="UZ62" s="27">
        <v>0</v>
      </c>
      <c r="VA62" s="24">
        <v>0</v>
      </c>
      <c r="VB62" s="24" t="s">
        <v>246</v>
      </c>
      <c r="VC62" s="24">
        <v>27</v>
      </c>
      <c r="VD62" s="27">
        <v>72</v>
      </c>
      <c r="VE62" s="27">
        <v>80.400000000000006</v>
      </c>
      <c r="VF62" s="27">
        <v>19.2</v>
      </c>
      <c r="VG62" s="24">
        <v>86.83</v>
      </c>
      <c r="VH62" s="24">
        <v>0</v>
      </c>
      <c r="VI62" s="24">
        <v>0</v>
      </c>
      <c r="VJ62" s="24">
        <v>0</v>
      </c>
      <c r="VK62" s="24">
        <v>13.17</v>
      </c>
      <c r="VL62" s="24">
        <v>0</v>
      </c>
      <c r="VM62" s="24">
        <v>0</v>
      </c>
      <c r="VN62" s="24">
        <v>0</v>
      </c>
      <c r="VO62" s="24">
        <v>0</v>
      </c>
      <c r="VP62" s="24">
        <v>0</v>
      </c>
      <c r="VQ62" s="24">
        <v>0</v>
      </c>
      <c r="VR62" s="24">
        <v>18.28</v>
      </c>
      <c r="VS62" s="24">
        <v>16.809999999999999</v>
      </c>
      <c r="VT62" s="24">
        <v>9.64</v>
      </c>
      <c r="VU62" s="24">
        <v>19.739999999999998</v>
      </c>
      <c r="VV62" s="24">
        <v>0</v>
      </c>
      <c r="VW62" s="24">
        <v>0</v>
      </c>
      <c r="VX62" s="24">
        <v>0</v>
      </c>
      <c r="WK62" s="24">
        <v>0</v>
      </c>
      <c r="WL62" s="24">
        <v>0</v>
      </c>
      <c r="WW62" s="28"/>
      <c r="XO62" s="24">
        <v>0</v>
      </c>
      <c r="YZ62" s="27">
        <v>1.43</v>
      </c>
      <c r="ZA62" s="27">
        <v>1</v>
      </c>
      <c r="ZB62" s="27">
        <v>1</v>
      </c>
      <c r="ZC62" s="27"/>
      <c r="ZD62" s="27">
        <f>6.34+2.11+0.08+0.37</f>
        <v>8.8999999999999986</v>
      </c>
      <c r="ZE62" s="27"/>
      <c r="ZF62" s="27"/>
      <c r="ZG62" s="27"/>
      <c r="ZH62" s="27"/>
      <c r="ZI62" s="27"/>
      <c r="ZJ62" s="27"/>
      <c r="ZK62" s="27">
        <v>3.5</v>
      </c>
      <c r="ZL62" s="27">
        <v>3.5</v>
      </c>
      <c r="ZM62" s="27"/>
      <c r="ZN62" s="27"/>
      <c r="ZO62" s="27">
        <v>0</v>
      </c>
      <c r="ZP62" s="27">
        <v>0</v>
      </c>
      <c r="ZQ62" s="27">
        <v>0</v>
      </c>
      <c r="ZR62" s="24">
        <v>0</v>
      </c>
      <c r="ZS62" s="24" t="s">
        <v>247</v>
      </c>
      <c r="ZT62" s="24">
        <v>37</v>
      </c>
      <c r="ZU62" s="27">
        <v>79.2</v>
      </c>
      <c r="ZV62" s="27">
        <v>80.400000000000006</v>
      </c>
      <c r="ZW62" s="27">
        <v>12.1</v>
      </c>
      <c r="ZX62" s="24">
        <v>96.75</v>
      </c>
      <c r="ZY62" s="24">
        <v>0</v>
      </c>
      <c r="ZZ62" s="24">
        <v>0</v>
      </c>
      <c r="AAA62" s="24">
        <v>0</v>
      </c>
      <c r="AAB62" s="24">
        <v>3.25</v>
      </c>
      <c r="AAC62" s="24">
        <v>0</v>
      </c>
      <c r="AAD62" s="24">
        <v>0</v>
      </c>
      <c r="AAE62" s="24">
        <v>0</v>
      </c>
      <c r="AAF62" s="24">
        <v>0</v>
      </c>
      <c r="AAG62" s="24">
        <v>0</v>
      </c>
      <c r="AAH62" s="24">
        <v>0</v>
      </c>
      <c r="AAI62" s="24">
        <v>9.06</v>
      </c>
      <c r="AAJ62" s="24">
        <v>18.149999999999999</v>
      </c>
      <c r="AAK62" s="24">
        <v>25.66</v>
      </c>
      <c r="AAL62" s="24">
        <v>15.61</v>
      </c>
      <c r="AAM62" s="24">
        <v>0</v>
      </c>
      <c r="AAN62" s="24">
        <v>0</v>
      </c>
      <c r="AAO62" s="24">
        <v>0</v>
      </c>
      <c r="ABB62" s="24">
        <v>17.8</v>
      </c>
      <c r="ABC62" s="24">
        <v>1</v>
      </c>
      <c r="ABD62" s="24">
        <v>47</v>
      </c>
      <c r="ABE62" s="24">
        <v>3</v>
      </c>
      <c r="ABF62" s="24">
        <v>2.2799999999999998</v>
      </c>
      <c r="ABG62" s="24">
        <v>3</v>
      </c>
      <c r="ABH62" s="24">
        <v>26</v>
      </c>
      <c r="ABI62" s="24">
        <v>1</v>
      </c>
      <c r="ABJ62" s="24">
        <v>0.76</v>
      </c>
      <c r="ABK62" s="24">
        <v>2</v>
      </c>
      <c r="ABN62" s="28"/>
      <c r="ACF62" s="24">
        <v>0</v>
      </c>
      <c r="ADQ62" s="27">
        <v>1.27</v>
      </c>
      <c r="ADR62" s="27">
        <v>1</v>
      </c>
      <c r="ADS62" s="27">
        <v>1</v>
      </c>
      <c r="ADT62" s="27"/>
      <c r="ADU62" s="27">
        <f>6.34+1.06</f>
        <v>7.4</v>
      </c>
      <c r="ADV62" s="27"/>
      <c r="ADW62" s="27"/>
      <c r="ADX62" s="27"/>
      <c r="ADY62" s="27"/>
      <c r="ADZ62" s="27"/>
      <c r="AEA62" s="27"/>
      <c r="AEB62" s="27">
        <v>2.86</v>
      </c>
      <c r="AEC62" s="27">
        <v>2.86</v>
      </c>
      <c r="AED62" s="27"/>
      <c r="AEE62" s="27"/>
      <c r="AEF62" s="27">
        <v>0</v>
      </c>
      <c r="AEG62" s="27">
        <v>0</v>
      </c>
      <c r="AEH62" s="27">
        <v>0</v>
      </c>
      <c r="AEI62" s="24">
        <v>0</v>
      </c>
      <c r="AEJ62" s="24" t="s">
        <v>248</v>
      </c>
      <c r="AEK62" s="24">
        <v>33</v>
      </c>
      <c r="AEL62" s="27">
        <v>122.1</v>
      </c>
      <c r="AEM62" s="27">
        <v>80.400000000000006</v>
      </c>
      <c r="AEN62" s="27">
        <v>14.1</v>
      </c>
      <c r="AEO62" s="24">
        <v>91.87</v>
      </c>
      <c r="AEP62" s="24">
        <v>0</v>
      </c>
      <c r="AEQ62" s="24">
        <v>5.85</v>
      </c>
      <c r="AER62" s="24">
        <v>0</v>
      </c>
      <c r="AES62" s="24">
        <v>2.2799999999999998</v>
      </c>
      <c r="AET62" s="24">
        <v>0</v>
      </c>
      <c r="AEU62" s="24">
        <v>0</v>
      </c>
      <c r="AEV62" s="24">
        <v>0</v>
      </c>
      <c r="AEW62" s="24">
        <v>0</v>
      </c>
      <c r="AEX62" s="24">
        <v>0</v>
      </c>
      <c r="AEY62" s="24">
        <v>0</v>
      </c>
      <c r="AEZ62" s="24">
        <v>0</v>
      </c>
      <c r="AFA62" s="24">
        <v>23.39</v>
      </c>
      <c r="AFB62" s="24">
        <v>10.3</v>
      </c>
      <c r="AFC62" s="24">
        <v>49.9</v>
      </c>
      <c r="AFD62" s="24">
        <v>0</v>
      </c>
      <c r="AFE62" s="24">
        <v>0</v>
      </c>
      <c r="AFF62" s="24">
        <v>0</v>
      </c>
      <c r="AFS62" s="24">
        <v>0</v>
      </c>
      <c r="AFT62" s="24">
        <v>1</v>
      </c>
      <c r="AFU62" s="24">
        <v>34</v>
      </c>
      <c r="AFV62" s="24">
        <v>1</v>
      </c>
      <c r="AFW62" s="24">
        <v>1.1399999999999999</v>
      </c>
      <c r="AFX62" s="24">
        <v>1</v>
      </c>
      <c r="AGE62" s="28"/>
      <c r="AGW62" s="24">
        <v>0</v>
      </c>
      <c r="AIH62" s="27">
        <v>4.78</v>
      </c>
      <c r="AII62" s="27">
        <v>1</v>
      </c>
      <c r="AIJ62" s="27">
        <v>1</v>
      </c>
      <c r="AIK62" s="27"/>
      <c r="AIL62" s="27">
        <v>4.2300000000000004</v>
      </c>
      <c r="AIM62" s="27">
        <v>2</v>
      </c>
      <c r="AIN62" s="27"/>
      <c r="AIO62" s="27">
        <f>1.14+9.52+1.68</f>
        <v>12.34</v>
      </c>
      <c r="AIP62" s="27"/>
      <c r="AIQ62" s="27"/>
      <c r="AIR62" s="27"/>
      <c r="AIS62" s="27">
        <v>10.43</v>
      </c>
      <c r="AIT62" s="27">
        <v>22.43</v>
      </c>
      <c r="AIU62" s="27"/>
      <c r="AIV62" s="27"/>
      <c r="AIW62" s="27">
        <v>0</v>
      </c>
      <c r="AIX62" s="27">
        <v>0</v>
      </c>
      <c r="AIY62" s="27">
        <v>0</v>
      </c>
      <c r="AIZ62" s="24">
        <v>0</v>
      </c>
      <c r="AJA62" s="24" t="s">
        <v>249</v>
      </c>
      <c r="AJB62" s="24">
        <v>25</v>
      </c>
      <c r="AJC62" s="27">
        <v>87.3</v>
      </c>
      <c r="AJD62" s="27">
        <v>80.400000000000006</v>
      </c>
      <c r="AJE62" s="27">
        <v>8.8000000000000007</v>
      </c>
      <c r="AJF62" s="24">
        <v>100</v>
      </c>
      <c r="AJG62" s="24">
        <v>0</v>
      </c>
      <c r="AJH62" s="24">
        <v>0</v>
      </c>
      <c r="AJI62" s="24">
        <v>0</v>
      </c>
      <c r="AJJ62" s="24">
        <v>0</v>
      </c>
      <c r="AJK62" s="24">
        <v>0</v>
      </c>
      <c r="AJL62" s="24">
        <v>0</v>
      </c>
      <c r="AJM62" s="24">
        <v>0</v>
      </c>
      <c r="AJN62" s="24">
        <v>0</v>
      </c>
      <c r="AJO62" s="24">
        <v>0</v>
      </c>
      <c r="AJP62" s="24">
        <v>0</v>
      </c>
      <c r="AJQ62" s="24">
        <v>0</v>
      </c>
      <c r="AJR62" s="24">
        <v>11.94</v>
      </c>
      <c r="AJS62" s="24">
        <v>34.17</v>
      </c>
      <c r="AJT62" s="24">
        <v>24.72</v>
      </c>
      <c r="AJU62" s="24">
        <v>0</v>
      </c>
      <c r="AJV62" s="24">
        <v>6.9</v>
      </c>
      <c r="AJW62" s="24">
        <v>3</v>
      </c>
      <c r="AJX62" s="24">
        <v>50</v>
      </c>
      <c r="AJZ62" s="24">
        <v>2</v>
      </c>
      <c r="AKD62" s="24">
        <v>50</v>
      </c>
      <c r="AKF62" s="24">
        <v>2</v>
      </c>
      <c r="AKJ62" s="24">
        <v>0</v>
      </c>
      <c r="AKK62" s="24">
        <v>0</v>
      </c>
      <c r="AKV62" s="28"/>
      <c r="ALN62" s="24">
        <v>1</v>
      </c>
      <c r="ALO62" s="24">
        <v>50</v>
      </c>
      <c r="ALP62" s="24">
        <v>1</v>
      </c>
      <c r="ALQ62" s="24">
        <v>1.86</v>
      </c>
      <c r="ALR62" s="24">
        <v>3</v>
      </c>
    </row>
    <row r="63" spans="1:1018" x14ac:dyDescent="0.2">
      <c r="A63" s="1" t="s">
        <v>423</v>
      </c>
      <c r="B63" s="12">
        <v>42892</v>
      </c>
      <c r="C63">
        <v>2</v>
      </c>
      <c r="D63" s="13">
        <v>40513</v>
      </c>
      <c r="E63" s="12">
        <v>33116</v>
      </c>
      <c r="F63" s="14">
        <f t="shared" si="0"/>
        <v>26.765229295003422</v>
      </c>
      <c r="G63" s="14">
        <f t="shared" si="1"/>
        <v>6.5133470225872694</v>
      </c>
      <c r="H63" s="15" t="s">
        <v>228</v>
      </c>
      <c r="I63" s="15" t="s">
        <v>229</v>
      </c>
      <c r="J63" s="15" t="s">
        <v>181</v>
      </c>
      <c r="K63" s="21">
        <v>8</v>
      </c>
      <c r="L63" s="19">
        <v>95</v>
      </c>
      <c r="M63">
        <v>1.82</v>
      </c>
      <c r="N63" s="16">
        <f t="shared" si="2"/>
        <v>28.680111097693512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1</v>
      </c>
      <c r="AD63" s="19">
        <v>10</v>
      </c>
      <c r="AE63" s="19">
        <v>0</v>
      </c>
      <c r="AF63" s="19">
        <v>0</v>
      </c>
      <c r="AG63" s="19">
        <v>0</v>
      </c>
      <c r="AH63" s="19">
        <v>0</v>
      </c>
      <c r="AI63" s="19">
        <v>2</v>
      </c>
      <c r="AJ63" s="19">
        <v>2</v>
      </c>
      <c r="AK63" s="19">
        <v>2</v>
      </c>
      <c r="AL63" s="19">
        <v>0</v>
      </c>
      <c r="AM63" s="19">
        <v>7</v>
      </c>
      <c r="AN63" s="19">
        <v>0</v>
      </c>
      <c r="AO63" s="19">
        <v>0</v>
      </c>
      <c r="AP63" s="19">
        <v>0</v>
      </c>
      <c r="AQ63" s="19">
        <v>0</v>
      </c>
      <c r="AR63" s="19">
        <v>0</v>
      </c>
      <c r="AS63" s="19">
        <v>3</v>
      </c>
      <c r="AT63" s="19">
        <v>3</v>
      </c>
      <c r="AU63" s="19">
        <v>3</v>
      </c>
      <c r="AV63" s="19">
        <v>9</v>
      </c>
      <c r="AW63" s="19">
        <v>9</v>
      </c>
      <c r="AX63" s="19">
        <v>0</v>
      </c>
      <c r="AY63" s="19">
        <v>0</v>
      </c>
      <c r="AZ63" s="19">
        <v>0</v>
      </c>
      <c r="BA63" s="19">
        <v>0</v>
      </c>
      <c r="BB63" s="19">
        <v>1</v>
      </c>
      <c r="BC63" s="19">
        <v>1</v>
      </c>
      <c r="BD63" s="19">
        <v>1</v>
      </c>
      <c r="BE63" s="19">
        <v>3</v>
      </c>
      <c r="BF63" s="19">
        <v>0</v>
      </c>
      <c r="BG63" s="19">
        <v>0</v>
      </c>
      <c r="BH63" s="19">
        <v>0</v>
      </c>
      <c r="BI63" s="19">
        <v>0</v>
      </c>
      <c r="BJ63" s="19">
        <v>0</v>
      </c>
      <c r="BK63" s="19">
        <v>0</v>
      </c>
      <c r="BL63" s="19">
        <v>0</v>
      </c>
      <c r="BM63" s="19">
        <v>0</v>
      </c>
      <c r="BN63" s="19">
        <v>0</v>
      </c>
      <c r="BO63" s="19">
        <v>0</v>
      </c>
      <c r="BP63" s="19">
        <v>0</v>
      </c>
      <c r="BQ63" s="19">
        <v>0</v>
      </c>
      <c r="BR63" s="19">
        <v>3</v>
      </c>
      <c r="BS63" s="19">
        <v>2</v>
      </c>
      <c r="BT63" s="19">
        <v>4</v>
      </c>
      <c r="BU63" s="19">
        <v>4</v>
      </c>
      <c r="BV63" s="19">
        <v>3</v>
      </c>
      <c r="BW63" s="19">
        <v>3</v>
      </c>
      <c r="BX63" s="19">
        <v>2</v>
      </c>
      <c r="BY63" s="19">
        <v>3</v>
      </c>
      <c r="BZ63" s="19">
        <v>3</v>
      </c>
      <c r="CA63" s="19">
        <v>3</v>
      </c>
      <c r="CB63" s="19">
        <v>3</v>
      </c>
      <c r="CC63" s="19">
        <v>5</v>
      </c>
      <c r="CD63" s="19">
        <v>3</v>
      </c>
      <c r="CE63" s="19">
        <v>5</v>
      </c>
      <c r="CF63" s="19">
        <v>3</v>
      </c>
      <c r="CG63" s="19">
        <v>4</v>
      </c>
      <c r="CH63" s="19">
        <v>3</v>
      </c>
      <c r="CI63" s="19">
        <v>3</v>
      </c>
      <c r="CJ63" s="19">
        <v>4</v>
      </c>
      <c r="CK63" s="19">
        <v>10</v>
      </c>
      <c r="CL63" t="s">
        <v>230</v>
      </c>
      <c r="CM63">
        <v>64</v>
      </c>
      <c r="CN63" s="16">
        <v>74.3</v>
      </c>
      <c r="CO63" s="16">
        <v>81</v>
      </c>
      <c r="CP63" s="16">
        <v>58.5</v>
      </c>
      <c r="CQ63">
        <v>49.17</v>
      </c>
      <c r="CR63">
        <v>0</v>
      </c>
      <c r="CS63">
        <v>34.450000000000003</v>
      </c>
      <c r="CT63">
        <v>16.22</v>
      </c>
      <c r="CU63">
        <v>0.16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2.52</v>
      </c>
      <c r="DE63">
        <v>9.18</v>
      </c>
      <c r="DF63">
        <v>0</v>
      </c>
      <c r="DG63">
        <v>0</v>
      </c>
      <c r="DH63">
        <v>0</v>
      </c>
      <c r="DU63">
        <v>0.3</v>
      </c>
      <c r="DV63">
        <v>1</v>
      </c>
      <c r="DW63">
        <v>34</v>
      </c>
      <c r="DX63">
        <v>8</v>
      </c>
      <c r="DY63">
        <v>0.43</v>
      </c>
      <c r="DZ63">
        <v>1</v>
      </c>
      <c r="EA63">
        <v>47</v>
      </c>
      <c r="EB63">
        <v>1</v>
      </c>
      <c r="EC63">
        <v>0.04</v>
      </c>
      <c r="ED63">
        <v>3</v>
      </c>
      <c r="EG63" s="18"/>
      <c r="EY63">
        <v>0</v>
      </c>
      <c r="GJ63" s="16">
        <v>2.89</v>
      </c>
      <c r="GK63" s="16">
        <v>1</v>
      </c>
      <c r="GL63" s="16">
        <v>1</v>
      </c>
      <c r="GM63" s="16"/>
      <c r="GN63" s="16">
        <v>7.35</v>
      </c>
      <c r="GO63" s="16"/>
      <c r="GP63" s="16"/>
      <c r="GQ63" s="16"/>
      <c r="GR63" s="16"/>
      <c r="GS63" s="16"/>
      <c r="GT63" s="16"/>
      <c r="GU63" s="16">
        <v>0</v>
      </c>
      <c r="GV63" s="16">
        <v>0</v>
      </c>
      <c r="GW63" s="16"/>
      <c r="GX63" s="16"/>
      <c r="GY63" s="16">
        <v>0</v>
      </c>
      <c r="GZ63" s="16">
        <v>0</v>
      </c>
      <c r="HA63" s="16">
        <v>0</v>
      </c>
      <c r="HB63">
        <v>0</v>
      </c>
      <c r="HC63" t="s">
        <v>231</v>
      </c>
      <c r="HD63">
        <v>64.5</v>
      </c>
      <c r="HE63" s="16">
        <v>77.8</v>
      </c>
      <c r="HF63" s="16">
        <v>81</v>
      </c>
      <c r="HG63" s="16">
        <v>52.5</v>
      </c>
      <c r="HH63">
        <v>50.19</v>
      </c>
      <c r="HI63">
        <v>0</v>
      </c>
      <c r="HJ63">
        <v>26.36</v>
      </c>
      <c r="HK63">
        <v>23.45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1.91</v>
      </c>
      <c r="HU63">
        <v>2.12</v>
      </c>
      <c r="HV63">
        <v>0</v>
      </c>
      <c r="HW63">
        <v>0</v>
      </c>
      <c r="HX63">
        <v>0</v>
      </c>
      <c r="HY63">
        <v>0</v>
      </c>
      <c r="IL63">
        <v>5.4</v>
      </c>
      <c r="IM63">
        <v>1</v>
      </c>
      <c r="IN63">
        <v>68</v>
      </c>
      <c r="IO63">
        <v>8</v>
      </c>
      <c r="IP63">
        <f>1.4*2+0.13</f>
        <v>2.9299999999999997</v>
      </c>
      <c r="IQ63">
        <v>1</v>
      </c>
      <c r="IR63">
        <v>34</v>
      </c>
      <c r="IS63">
        <v>1</v>
      </c>
      <c r="IT63">
        <v>0.13</v>
      </c>
      <c r="IU63">
        <v>1</v>
      </c>
      <c r="IX63" s="18"/>
      <c r="JP63">
        <v>1</v>
      </c>
      <c r="JQ63">
        <v>60</v>
      </c>
      <c r="JR63">
        <v>1</v>
      </c>
      <c r="JS63">
        <v>0.22</v>
      </c>
      <c r="JT63">
        <v>3</v>
      </c>
      <c r="LA63" s="16">
        <v>3.48</v>
      </c>
      <c r="LB63" s="16">
        <v>1</v>
      </c>
      <c r="LC63" s="16">
        <v>1</v>
      </c>
      <c r="LD63" s="16"/>
      <c r="LE63" s="16">
        <f>7.35+1.4*2+0.62+0.74+0.03+0.7+0.18+0.03+0.05+0.01</f>
        <v>12.509999999999996</v>
      </c>
      <c r="LF63" s="16"/>
      <c r="LG63" s="16"/>
      <c r="LH63" s="16"/>
      <c r="LI63" s="16"/>
      <c r="LJ63" s="16"/>
      <c r="LK63" s="16"/>
      <c r="LL63" s="16">
        <v>0.13</v>
      </c>
      <c r="LM63" s="16">
        <v>0.13</v>
      </c>
      <c r="LN63" s="16"/>
      <c r="LO63" s="16"/>
      <c r="LP63" s="16">
        <v>0</v>
      </c>
      <c r="LQ63" s="16">
        <v>0</v>
      </c>
      <c r="LR63" s="16">
        <v>0</v>
      </c>
      <c r="LS63">
        <v>0</v>
      </c>
      <c r="LT63" t="s">
        <v>232</v>
      </c>
      <c r="LU63">
        <v>40</v>
      </c>
      <c r="LV63" s="16">
        <v>84.9</v>
      </c>
      <c r="LW63" s="16">
        <v>81</v>
      </c>
      <c r="LX63" s="16">
        <v>13.2</v>
      </c>
      <c r="LY63">
        <v>93.04</v>
      </c>
      <c r="LZ63">
        <v>0</v>
      </c>
      <c r="MA63">
        <v>0</v>
      </c>
      <c r="MB63">
        <v>3.59</v>
      </c>
      <c r="MC63">
        <v>3.38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1.7</v>
      </c>
      <c r="MK63">
        <v>3.97</v>
      </c>
      <c r="ML63">
        <v>39.76</v>
      </c>
      <c r="MM63">
        <v>0.13</v>
      </c>
      <c r="MN63">
        <v>0</v>
      </c>
      <c r="MO63">
        <v>0</v>
      </c>
      <c r="MP63">
        <v>0</v>
      </c>
      <c r="NC63">
        <v>15.9</v>
      </c>
      <c r="ND63">
        <v>1</v>
      </c>
      <c r="NE63">
        <v>47</v>
      </c>
      <c r="NF63">
        <v>2</v>
      </c>
      <c r="NG63">
        <v>1.51</v>
      </c>
      <c r="NH63">
        <v>3</v>
      </c>
      <c r="NO63" s="18"/>
      <c r="OG63">
        <v>1</v>
      </c>
      <c r="OH63">
        <v>40</v>
      </c>
      <c r="OI63">
        <v>7</v>
      </c>
      <c r="OJ63">
        <f>2.27+3.02</f>
        <v>5.29</v>
      </c>
      <c r="OK63">
        <v>3</v>
      </c>
      <c r="PR63" s="16">
        <v>1.48</v>
      </c>
      <c r="PS63" s="16">
        <v>1</v>
      </c>
      <c r="PT63" s="16">
        <v>1</v>
      </c>
      <c r="PU63" s="16"/>
      <c r="PV63" s="16">
        <f>2.1+1.7+0.37+0.74</f>
        <v>4.91</v>
      </c>
      <c r="PW63" s="16"/>
      <c r="PX63" s="16"/>
      <c r="PY63" s="16"/>
      <c r="PZ63" s="16"/>
      <c r="QA63" s="16"/>
      <c r="QB63" s="16"/>
      <c r="QC63" s="16">
        <v>7.34</v>
      </c>
      <c r="QD63" s="16">
        <v>5.01</v>
      </c>
      <c r="QE63" s="16"/>
      <c r="QF63" s="16"/>
      <c r="QG63" s="16">
        <v>0</v>
      </c>
      <c r="QH63" s="16">
        <v>0</v>
      </c>
      <c r="QI63" s="16">
        <v>0</v>
      </c>
      <c r="QJ63">
        <v>0</v>
      </c>
      <c r="QK63" t="s">
        <v>233</v>
      </c>
      <c r="QL63">
        <v>39.5</v>
      </c>
      <c r="QM63" s="16">
        <v>85</v>
      </c>
      <c r="QN63" s="16">
        <v>81</v>
      </c>
      <c r="QO63" s="16">
        <v>12.7</v>
      </c>
      <c r="QP63">
        <v>93.14</v>
      </c>
      <c r="QQ63">
        <v>0</v>
      </c>
      <c r="QR63">
        <v>1.57</v>
      </c>
      <c r="QS63">
        <v>2.08</v>
      </c>
      <c r="QT63">
        <v>3.21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1.7</v>
      </c>
      <c r="RB63">
        <v>6.54</v>
      </c>
      <c r="RC63">
        <v>37.880000000000003</v>
      </c>
      <c r="RD63">
        <v>3</v>
      </c>
      <c r="RE63">
        <v>0</v>
      </c>
      <c r="RF63">
        <v>0</v>
      </c>
      <c r="RG63">
        <v>0</v>
      </c>
      <c r="RT63">
        <v>15.7</v>
      </c>
      <c r="RU63">
        <v>1</v>
      </c>
      <c r="RV63">
        <v>47</v>
      </c>
      <c r="RW63">
        <v>2</v>
      </c>
      <c r="RX63">
        <v>1.51</v>
      </c>
      <c r="RY63">
        <v>3</v>
      </c>
      <c r="SF63" s="18"/>
      <c r="SX63">
        <v>1</v>
      </c>
      <c r="SY63">
        <v>50</v>
      </c>
      <c r="SZ63">
        <v>3</v>
      </c>
      <c r="TA63">
        <v>0.4</v>
      </c>
      <c r="TB63">
        <v>3</v>
      </c>
      <c r="TC63">
        <v>40</v>
      </c>
      <c r="TD63">
        <v>7</v>
      </c>
      <c r="TE63">
        <f>2.27+3.02</f>
        <v>5.29</v>
      </c>
      <c r="TF63">
        <v>3</v>
      </c>
      <c r="UI63" s="16">
        <v>1.76</v>
      </c>
      <c r="UJ63" s="16">
        <v>1</v>
      </c>
      <c r="UK63" s="16">
        <v>1</v>
      </c>
      <c r="UL63" s="16"/>
      <c r="UM63" s="16">
        <f>2.1+1.7+0.4+0.37+0.74</f>
        <v>5.3100000000000005</v>
      </c>
      <c r="UN63" s="16"/>
      <c r="UO63" s="16"/>
      <c r="UP63" s="16"/>
      <c r="UQ63" s="16"/>
      <c r="UR63" s="16"/>
      <c r="US63" s="16"/>
      <c r="UT63" s="16">
        <v>7.31</v>
      </c>
      <c r="UU63" s="16">
        <v>6.99</v>
      </c>
      <c r="UV63" s="16"/>
      <c r="UW63" s="16"/>
      <c r="UX63" s="16">
        <v>0</v>
      </c>
      <c r="UY63" s="16">
        <v>0</v>
      </c>
      <c r="UZ63" s="16">
        <v>0</v>
      </c>
      <c r="VA63">
        <v>0</v>
      </c>
      <c r="VB63" t="s">
        <v>234</v>
      </c>
      <c r="VC63">
        <v>22.5</v>
      </c>
      <c r="VD63" s="16">
        <v>60.3</v>
      </c>
      <c r="VE63" s="16">
        <v>81</v>
      </c>
      <c r="VF63" s="16">
        <v>13.3</v>
      </c>
      <c r="VG63">
        <v>92.98</v>
      </c>
      <c r="VH63">
        <v>0</v>
      </c>
      <c r="VI63">
        <v>0</v>
      </c>
      <c r="VJ63">
        <v>0</v>
      </c>
      <c r="VK63">
        <v>7.02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0.72</v>
      </c>
      <c r="VT63">
        <v>23.12</v>
      </c>
      <c r="VU63">
        <v>24.81</v>
      </c>
      <c r="VV63">
        <v>0</v>
      </c>
      <c r="VW63">
        <v>0</v>
      </c>
      <c r="VX63">
        <v>0</v>
      </c>
      <c r="WK63">
        <v>0</v>
      </c>
      <c r="WL63">
        <v>1</v>
      </c>
      <c r="WM63">
        <v>23</v>
      </c>
      <c r="WN63">
        <v>1</v>
      </c>
      <c r="WO63">
        <v>0.3</v>
      </c>
      <c r="WP63">
        <v>3</v>
      </c>
      <c r="WW63" s="18"/>
      <c r="XO63">
        <v>0</v>
      </c>
      <c r="YZ63" s="16">
        <v>1.26</v>
      </c>
      <c r="ZA63" s="16">
        <v>1</v>
      </c>
      <c r="ZB63" s="16">
        <v>1</v>
      </c>
      <c r="ZC63" s="16"/>
      <c r="ZD63" s="16">
        <f>2.1+1.7+0.4+0.37+0.74</f>
        <v>5.3100000000000005</v>
      </c>
      <c r="ZE63" s="16"/>
      <c r="ZF63" s="16"/>
      <c r="ZG63" s="16"/>
      <c r="ZH63" s="16"/>
      <c r="ZI63" s="16"/>
      <c r="ZJ63" s="16"/>
      <c r="ZK63" s="16">
        <v>6.24</v>
      </c>
      <c r="ZL63" s="16">
        <v>6.99</v>
      </c>
      <c r="ZM63" s="16"/>
      <c r="ZN63" s="16"/>
      <c r="ZO63" s="16">
        <v>0</v>
      </c>
      <c r="ZP63" s="16">
        <v>0</v>
      </c>
      <c r="ZQ63" s="16">
        <v>0</v>
      </c>
      <c r="ZR63">
        <v>0</v>
      </c>
      <c r="ZS63" t="s">
        <v>235</v>
      </c>
      <c r="ZT63">
        <v>37</v>
      </c>
      <c r="ZU63" s="16">
        <v>81.900000000000006</v>
      </c>
      <c r="ZV63" s="16">
        <v>81</v>
      </c>
      <c r="ZW63" s="16">
        <v>26.3</v>
      </c>
      <c r="ZX63">
        <v>68.540000000000006</v>
      </c>
      <c r="ZY63">
        <v>0</v>
      </c>
      <c r="ZZ63">
        <v>0</v>
      </c>
      <c r="AAA63">
        <v>0</v>
      </c>
      <c r="AAB63">
        <v>31.46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5.42</v>
      </c>
      <c r="AAK63">
        <v>17.37</v>
      </c>
      <c r="AAL63">
        <v>41.85</v>
      </c>
      <c r="AAM63">
        <v>0</v>
      </c>
      <c r="AAN63">
        <v>0</v>
      </c>
      <c r="AAO63">
        <v>0</v>
      </c>
      <c r="ABB63">
        <v>0</v>
      </c>
      <c r="ABC63">
        <v>1</v>
      </c>
      <c r="ABD63">
        <v>23</v>
      </c>
      <c r="ABE63">
        <v>2</v>
      </c>
      <c r="ABF63">
        <v>2.11</v>
      </c>
      <c r="ABG63">
        <v>3</v>
      </c>
      <c r="ABN63" s="18"/>
      <c r="ACF63">
        <v>0</v>
      </c>
      <c r="ADQ63" s="16">
        <v>2.64</v>
      </c>
      <c r="ADR63" s="16">
        <v>1</v>
      </c>
      <c r="ADS63" s="16">
        <v>1</v>
      </c>
      <c r="ADT63" s="16"/>
      <c r="ADU63" s="16">
        <f>4.2*2+1.7+5.1+0.37+0.74</f>
        <v>16.309999999999999</v>
      </c>
      <c r="ADV63" s="16"/>
      <c r="ADW63" s="16"/>
      <c r="ADX63" s="16"/>
      <c r="ADY63" s="16"/>
      <c r="ADZ63" s="16"/>
      <c r="AEA63" s="16"/>
      <c r="AEB63" s="16">
        <v>5.32</v>
      </c>
      <c r="AEC63" s="16">
        <v>8.0399999999999991</v>
      </c>
      <c r="AED63" s="16"/>
      <c r="AEE63" s="16"/>
      <c r="AEF63" s="16">
        <v>0</v>
      </c>
      <c r="AEG63" s="16">
        <v>0</v>
      </c>
      <c r="AEH63" s="16">
        <v>0</v>
      </c>
      <c r="AEI63">
        <v>0</v>
      </c>
      <c r="AEJ63" t="s">
        <v>236</v>
      </c>
      <c r="AEK63">
        <v>51</v>
      </c>
      <c r="AEL63" s="16">
        <v>93.4</v>
      </c>
      <c r="AEM63" s="16">
        <v>81</v>
      </c>
      <c r="AEN63" s="16">
        <v>29.5</v>
      </c>
      <c r="AEO63">
        <v>55.24</v>
      </c>
      <c r="AEP63">
        <v>0</v>
      </c>
      <c r="AEQ63">
        <v>0</v>
      </c>
      <c r="AER63">
        <v>0</v>
      </c>
      <c r="AES63">
        <v>44.76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0.67</v>
      </c>
      <c r="AFA63">
        <v>5.0999999999999996</v>
      </c>
      <c r="AFB63">
        <v>47.22</v>
      </c>
      <c r="AFC63">
        <v>18.3</v>
      </c>
      <c r="AFD63">
        <v>0</v>
      </c>
      <c r="AFE63">
        <v>7.5</v>
      </c>
      <c r="AFF63">
        <v>1</v>
      </c>
      <c r="AFG63">
        <v>3.6</v>
      </c>
      <c r="AFI63">
        <v>1</v>
      </c>
      <c r="AFM63">
        <v>3.6</v>
      </c>
      <c r="AFO63">
        <v>1</v>
      </c>
      <c r="AFS63">
        <v>0</v>
      </c>
      <c r="AFT63">
        <v>0</v>
      </c>
      <c r="AGE63" s="18"/>
      <c r="AGW63">
        <v>0</v>
      </c>
      <c r="AIH63" s="16">
        <v>1.95</v>
      </c>
      <c r="AII63" s="16">
        <v>1</v>
      </c>
      <c r="AIJ63" s="16">
        <v>1</v>
      </c>
      <c r="AIK63" s="16"/>
      <c r="AIL63" s="16">
        <f>2.42+1.67+5+0.22+0.66+0.22</f>
        <v>10.190000000000001</v>
      </c>
      <c r="AIM63" s="16"/>
      <c r="AIN63" s="16"/>
      <c r="AIO63" s="16"/>
      <c r="AIP63" s="16"/>
      <c r="AIQ63" s="16"/>
      <c r="AIR63" s="16"/>
      <c r="AIS63" s="16">
        <v>5.63</v>
      </c>
      <c r="AIT63" s="16">
        <v>11.04</v>
      </c>
      <c r="AIU63" s="16"/>
      <c r="AIV63" s="16"/>
      <c r="AIW63" s="16">
        <v>0</v>
      </c>
      <c r="AIX63" s="16">
        <v>0</v>
      </c>
      <c r="AIY63" s="16">
        <v>0</v>
      </c>
      <c r="AIZ63">
        <v>0</v>
      </c>
      <c r="AJA63" t="s">
        <v>237</v>
      </c>
      <c r="AJB63">
        <v>46</v>
      </c>
      <c r="AJC63" s="16">
        <v>92.7</v>
      </c>
      <c r="AJD63" s="16">
        <v>81</v>
      </c>
      <c r="AJE63" s="16">
        <v>20.8</v>
      </c>
      <c r="AJF63">
        <v>76.44</v>
      </c>
      <c r="AJG63">
        <v>0</v>
      </c>
      <c r="AJH63">
        <v>0</v>
      </c>
      <c r="AJI63">
        <v>0</v>
      </c>
      <c r="AJJ63">
        <v>23.56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0.23</v>
      </c>
      <c r="AJR63">
        <v>0.51</v>
      </c>
      <c r="AJS63">
        <v>26.55</v>
      </c>
      <c r="AJT63">
        <v>36.69</v>
      </c>
      <c r="AJU63">
        <v>0</v>
      </c>
      <c r="AJV63">
        <v>10.6</v>
      </c>
      <c r="AJW63">
        <v>1</v>
      </c>
      <c r="AJX63">
        <v>6</v>
      </c>
      <c r="AJZ63">
        <v>1</v>
      </c>
      <c r="AKD63">
        <v>6</v>
      </c>
      <c r="AKF63">
        <v>1</v>
      </c>
      <c r="AKJ63">
        <v>7.1</v>
      </c>
      <c r="AKK63">
        <v>1</v>
      </c>
      <c r="AKL63">
        <v>35</v>
      </c>
      <c r="AKM63">
        <v>2</v>
      </c>
      <c r="AKN63">
        <f>0.76*2</f>
        <v>1.52</v>
      </c>
      <c r="AKO63">
        <v>3</v>
      </c>
      <c r="AKV63" s="18"/>
      <c r="ALN63">
        <v>0</v>
      </c>
    </row>
    <row r="64" spans="1:1018" s="24" customFormat="1" x14ac:dyDescent="0.2">
      <c r="A64" s="1" t="s">
        <v>424</v>
      </c>
      <c r="B64" s="12">
        <v>42894</v>
      </c>
      <c r="C64">
        <v>1</v>
      </c>
      <c r="D64" s="13">
        <v>42804</v>
      </c>
      <c r="E64" s="12">
        <v>30607</v>
      </c>
      <c r="F64" s="14">
        <f t="shared" si="0"/>
        <v>33.639972621492127</v>
      </c>
      <c r="G64" s="14">
        <f t="shared" si="1"/>
        <v>0.24640657084188911</v>
      </c>
      <c r="H64" s="15" t="s">
        <v>228</v>
      </c>
      <c r="I64" s="15" t="s">
        <v>240</v>
      </c>
      <c r="J64" s="15" t="s">
        <v>181</v>
      </c>
      <c r="K64" s="21">
        <v>4</v>
      </c>
      <c r="L64" s="19"/>
      <c r="M64">
        <v>1.71</v>
      </c>
      <c r="N64" s="16">
        <f t="shared" si="2"/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19">
        <v>0</v>
      </c>
      <c r="V64" s="19">
        <v>0</v>
      </c>
      <c r="W64" s="19">
        <v>0</v>
      </c>
      <c r="X64" s="19">
        <v>0</v>
      </c>
      <c r="Y64" s="19">
        <v>0</v>
      </c>
      <c r="Z64" s="19">
        <v>0</v>
      </c>
      <c r="AA64" s="19">
        <v>0</v>
      </c>
      <c r="AB64" s="19">
        <v>0</v>
      </c>
      <c r="AC64" s="19">
        <v>1</v>
      </c>
      <c r="AD64" s="19">
        <v>10</v>
      </c>
      <c r="AE64" s="19">
        <v>1</v>
      </c>
      <c r="AF64" s="19">
        <v>0</v>
      </c>
      <c r="AG64" s="19">
        <v>1</v>
      </c>
      <c r="AH64" s="19">
        <v>7</v>
      </c>
      <c r="AI64" s="19">
        <v>3</v>
      </c>
      <c r="AJ64" s="19">
        <v>0</v>
      </c>
      <c r="AK64" s="19">
        <v>3</v>
      </c>
      <c r="AL64" s="19">
        <v>4</v>
      </c>
      <c r="AM64" s="19">
        <v>4</v>
      </c>
      <c r="AN64" s="19">
        <v>1</v>
      </c>
      <c r="AO64" s="19">
        <v>0</v>
      </c>
      <c r="AP64" s="19">
        <v>1</v>
      </c>
      <c r="AQ64" s="19">
        <v>2</v>
      </c>
      <c r="AR64" s="19">
        <v>0</v>
      </c>
      <c r="AS64" s="19">
        <v>3</v>
      </c>
      <c r="AT64" s="19">
        <v>0</v>
      </c>
      <c r="AU64" s="19">
        <v>3</v>
      </c>
      <c r="AV64" s="19">
        <v>2</v>
      </c>
      <c r="AW64" s="19">
        <v>2</v>
      </c>
      <c r="AX64" s="19">
        <v>0</v>
      </c>
      <c r="AY64" s="19">
        <v>0</v>
      </c>
      <c r="AZ64" s="19">
        <v>0</v>
      </c>
      <c r="BA64" s="19">
        <v>0</v>
      </c>
      <c r="BB64" s="19">
        <v>1</v>
      </c>
      <c r="BC64" s="19">
        <v>0</v>
      </c>
      <c r="BD64" s="19">
        <v>1</v>
      </c>
      <c r="BE64" s="19"/>
      <c r="BF64" s="19">
        <v>0</v>
      </c>
      <c r="BG64" s="19">
        <v>0</v>
      </c>
      <c r="BH64" s="19">
        <v>0</v>
      </c>
      <c r="BI64" s="19">
        <v>0</v>
      </c>
      <c r="BJ64" s="19">
        <v>0</v>
      </c>
      <c r="BK64" s="19">
        <v>0</v>
      </c>
      <c r="BL64" s="19">
        <v>0</v>
      </c>
      <c r="BM64" s="19">
        <v>0</v>
      </c>
      <c r="BN64" s="19">
        <v>0</v>
      </c>
      <c r="BO64" s="19">
        <v>0</v>
      </c>
      <c r="BP64" s="19">
        <v>0</v>
      </c>
      <c r="BQ64" s="19">
        <v>0</v>
      </c>
      <c r="BR64" s="19">
        <v>3</v>
      </c>
      <c r="BS64" s="19">
        <v>2</v>
      </c>
      <c r="BT64" s="19">
        <v>3</v>
      </c>
      <c r="BU64" s="19">
        <v>5</v>
      </c>
      <c r="BV64" s="19">
        <v>1</v>
      </c>
      <c r="BW64" s="19">
        <v>2</v>
      </c>
      <c r="BX64" s="19">
        <v>4</v>
      </c>
      <c r="BY64" s="19">
        <v>3</v>
      </c>
      <c r="BZ64" s="19">
        <v>2</v>
      </c>
      <c r="CA64" s="19">
        <v>5</v>
      </c>
      <c r="CB64" s="19">
        <v>5</v>
      </c>
      <c r="CC64" s="19">
        <v>5</v>
      </c>
      <c r="CD64" s="19">
        <v>5</v>
      </c>
      <c r="CE64" s="19">
        <v>4</v>
      </c>
      <c r="CF64" s="19">
        <v>5</v>
      </c>
      <c r="CG64" s="19">
        <v>5</v>
      </c>
      <c r="CH64" s="19">
        <v>4</v>
      </c>
      <c r="CI64" s="19">
        <v>5</v>
      </c>
      <c r="CJ64" s="19">
        <v>5</v>
      </c>
      <c r="CK64" s="19">
        <v>10</v>
      </c>
      <c r="CL64" s="24" t="s">
        <v>242</v>
      </c>
      <c r="CM64" s="24">
        <v>36.5</v>
      </c>
      <c r="CN64" s="27">
        <v>88.3</v>
      </c>
      <c r="CO64" s="27">
        <v>80.400000000000006</v>
      </c>
      <c r="CP64" s="27">
        <v>28.2</v>
      </c>
      <c r="CQ64" s="24">
        <v>73.819999999999993</v>
      </c>
      <c r="CR64" s="24">
        <v>0</v>
      </c>
      <c r="CS64" s="24">
        <v>25.61</v>
      </c>
      <c r="CT64" s="24">
        <v>0</v>
      </c>
      <c r="CU64" s="24">
        <v>0.56999999999999995</v>
      </c>
      <c r="CV64" s="24">
        <v>0</v>
      </c>
      <c r="CW64" s="24">
        <v>0</v>
      </c>
      <c r="CX64" s="24">
        <v>0</v>
      </c>
      <c r="CY64" s="24">
        <v>0</v>
      </c>
      <c r="CZ64" s="24">
        <v>0</v>
      </c>
      <c r="DA64" s="24">
        <v>0</v>
      </c>
      <c r="DB64" s="24">
        <v>1.17</v>
      </c>
      <c r="DC64" s="24">
        <v>31.76</v>
      </c>
      <c r="DD64" s="24">
        <v>23.3</v>
      </c>
      <c r="DE64" s="24">
        <v>26.08</v>
      </c>
      <c r="DF64" s="24">
        <v>0</v>
      </c>
      <c r="DG64" s="24">
        <v>0</v>
      </c>
      <c r="DH64" s="24">
        <v>0</v>
      </c>
      <c r="DU64" s="24">
        <v>2.1</v>
      </c>
      <c r="DV64" s="24">
        <v>1</v>
      </c>
      <c r="DW64" s="24">
        <v>47</v>
      </c>
      <c r="DX64" s="24">
        <v>2</v>
      </c>
      <c r="DY64" s="24">
        <v>0.27</v>
      </c>
      <c r="DZ64" s="24">
        <v>3</v>
      </c>
      <c r="EG64" s="28"/>
      <c r="EY64" s="24">
        <v>0</v>
      </c>
      <c r="GJ64" s="27">
        <v>1.9</v>
      </c>
      <c r="GK64" s="27">
        <v>1</v>
      </c>
      <c r="GL64" s="27">
        <v>1</v>
      </c>
      <c r="GM64" s="27"/>
      <c r="GN64" s="27">
        <f>5.29*3</f>
        <v>15.870000000000001</v>
      </c>
      <c r="GO64" s="27"/>
      <c r="GP64" s="27"/>
      <c r="GQ64" s="27"/>
      <c r="GR64" s="27"/>
      <c r="GS64" s="27"/>
      <c r="GT64" s="27"/>
      <c r="GU64" s="27">
        <v>0.56999999999999995</v>
      </c>
      <c r="GV64" s="27">
        <v>0.56000000000000005</v>
      </c>
      <c r="GW64" s="27"/>
      <c r="GX64" s="27"/>
      <c r="GY64" s="27">
        <v>0</v>
      </c>
      <c r="GZ64" s="27">
        <v>0</v>
      </c>
      <c r="HA64" s="27">
        <v>0</v>
      </c>
      <c r="HB64" s="24">
        <v>0</v>
      </c>
      <c r="HC64" s="24" t="s">
        <v>243</v>
      </c>
      <c r="HD64" s="24">
        <v>38</v>
      </c>
      <c r="HE64" s="27">
        <v>87.8</v>
      </c>
      <c r="HF64" s="27">
        <v>80.400000000000006</v>
      </c>
      <c r="HG64" s="27">
        <v>29.1</v>
      </c>
      <c r="HH64" s="24">
        <v>71.17</v>
      </c>
      <c r="HI64" s="24">
        <v>0</v>
      </c>
      <c r="HJ64" s="24">
        <v>25.61</v>
      </c>
      <c r="HK64" s="24">
        <v>0</v>
      </c>
      <c r="HL64" s="24">
        <v>3.22</v>
      </c>
      <c r="HM64" s="24">
        <v>0</v>
      </c>
      <c r="HN64" s="24">
        <v>0</v>
      </c>
      <c r="HO64" s="24">
        <v>0</v>
      </c>
      <c r="HP64" s="24">
        <v>0</v>
      </c>
      <c r="HQ64" s="24">
        <v>0</v>
      </c>
      <c r="HR64" s="24">
        <v>0</v>
      </c>
      <c r="HS64" s="24">
        <v>1.08</v>
      </c>
      <c r="HT64" s="24">
        <v>31.76</v>
      </c>
      <c r="HU64" s="24">
        <v>22.19</v>
      </c>
      <c r="HV64" s="24">
        <v>26.38</v>
      </c>
      <c r="HW64" s="24">
        <v>0</v>
      </c>
      <c r="HX64" s="24">
        <v>0</v>
      </c>
      <c r="HY64" s="24">
        <v>0</v>
      </c>
      <c r="IL64" s="24">
        <v>2.1</v>
      </c>
      <c r="IM64" s="24">
        <v>1</v>
      </c>
      <c r="IN64" s="24">
        <v>47</v>
      </c>
      <c r="IO64" s="24">
        <v>2</v>
      </c>
      <c r="IP64" s="24">
        <v>0.27</v>
      </c>
      <c r="IQ64" s="24">
        <v>3</v>
      </c>
      <c r="IX64" s="28"/>
      <c r="JP64" s="24">
        <v>0</v>
      </c>
      <c r="LA64" s="27">
        <v>1.9</v>
      </c>
      <c r="LB64" s="27">
        <v>1</v>
      </c>
      <c r="LC64" s="27">
        <v>1</v>
      </c>
      <c r="LD64" s="27"/>
      <c r="LE64" s="27">
        <f>5.29*3</f>
        <v>15.870000000000001</v>
      </c>
      <c r="LF64" s="27"/>
      <c r="LG64" s="27"/>
      <c r="LH64" s="27"/>
      <c r="LI64" s="27"/>
      <c r="LJ64" s="27"/>
      <c r="LK64" s="27"/>
      <c r="LL64" s="27">
        <v>1.1200000000000001</v>
      </c>
      <c r="LM64" s="27">
        <v>0.27</v>
      </c>
      <c r="LN64" s="27"/>
      <c r="LO64" s="27"/>
      <c r="LP64" s="27">
        <v>0</v>
      </c>
      <c r="LQ64" s="27">
        <v>0</v>
      </c>
      <c r="LR64" s="27">
        <v>0</v>
      </c>
      <c r="LS64" s="24">
        <v>0</v>
      </c>
      <c r="LT64" s="24" t="s">
        <v>244</v>
      </c>
      <c r="LU64" s="24">
        <v>24.5</v>
      </c>
      <c r="LV64" s="27">
        <v>84.2</v>
      </c>
      <c r="LW64" s="27">
        <v>80.400000000000006</v>
      </c>
      <c r="LX64" s="27">
        <v>11.9</v>
      </c>
      <c r="LY64" s="24">
        <v>97.51</v>
      </c>
      <c r="LZ64" s="24">
        <v>0</v>
      </c>
      <c r="MA64" s="24">
        <v>2.4900000000000002</v>
      </c>
      <c r="MB64" s="24">
        <v>0</v>
      </c>
      <c r="MC64" s="24">
        <v>0</v>
      </c>
      <c r="MD64" s="24">
        <v>0</v>
      </c>
      <c r="ME64" s="24">
        <v>0</v>
      </c>
      <c r="MF64" s="24">
        <v>0</v>
      </c>
      <c r="MG64" s="24">
        <v>0</v>
      </c>
      <c r="MH64" s="24">
        <v>0</v>
      </c>
      <c r="MI64" s="24">
        <v>0</v>
      </c>
      <c r="MJ64" s="24">
        <v>0</v>
      </c>
      <c r="MK64" s="24">
        <v>3.13</v>
      </c>
      <c r="ML64" s="24">
        <v>26.34</v>
      </c>
      <c r="MM64" s="24">
        <v>45.74</v>
      </c>
      <c r="MN64" s="24">
        <v>0</v>
      </c>
      <c r="MO64" s="24">
        <v>0</v>
      </c>
      <c r="MP64" s="24">
        <v>0</v>
      </c>
      <c r="NC64" s="24">
        <v>0</v>
      </c>
      <c r="ND64" s="24">
        <v>0</v>
      </c>
      <c r="NO64" s="28"/>
      <c r="OG64" s="24">
        <v>0</v>
      </c>
      <c r="PR64" s="27">
        <v>6.4</v>
      </c>
      <c r="PS64" s="27">
        <v>1</v>
      </c>
      <c r="PT64" s="27">
        <v>2</v>
      </c>
      <c r="PU64" s="27"/>
      <c r="PV64" s="27">
        <f>1.24*2</f>
        <v>2.48</v>
      </c>
      <c r="PW64" s="27">
        <v>1</v>
      </c>
      <c r="PX64" s="27"/>
      <c r="PY64" s="27">
        <f>1.24*3+0.62+0.93+3.18+1.59+3.73+7.46</f>
        <v>21.23</v>
      </c>
      <c r="PZ64" s="27"/>
      <c r="QA64" s="27"/>
      <c r="QB64" s="27"/>
      <c r="QC64" s="27">
        <v>1.61</v>
      </c>
      <c r="QD64" s="27">
        <v>1.46</v>
      </c>
      <c r="QE64" s="27"/>
      <c r="QF64" s="27"/>
      <c r="QG64" s="27">
        <v>0</v>
      </c>
      <c r="QH64" s="27">
        <v>0</v>
      </c>
      <c r="QI64" s="27">
        <v>0</v>
      </c>
      <c r="QJ64" s="24">
        <v>0</v>
      </c>
      <c r="QK64" s="24" t="s">
        <v>245</v>
      </c>
      <c r="QL64" s="24">
        <v>19.5</v>
      </c>
      <c r="QM64" s="27">
        <v>76</v>
      </c>
      <c r="QN64" s="27">
        <v>80.400000000000006</v>
      </c>
      <c r="QO64" s="27">
        <v>10.9</v>
      </c>
      <c r="QP64" s="24">
        <v>99.87</v>
      </c>
      <c r="QQ64" s="24">
        <v>0</v>
      </c>
      <c r="QR64" s="24">
        <v>0</v>
      </c>
      <c r="QS64" s="24">
        <v>0</v>
      </c>
      <c r="QT64" s="24">
        <v>0.13</v>
      </c>
      <c r="QU64" s="24">
        <v>0</v>
      </c>
      <c r="QV64" s="24">
        <v>0</v>
      </c>
      <c r="QW64" s="24">
        <v>0</v>
      </c>
      <c r="QX64" s="24">
        <v>0</v>
      </c>
      <c r="QY64" s="24">
        <v>0</v>
      </c>
      <c r="QZ64" s="24">
        <v>0</v>
      </c>
      <c r="RA64" s="24">
        <v>0.1</v>
      </c>
      <c r="RB64" s="24">
        <v>0</v>
      </c>
      <c r="RC64" s="24">
        <v>17.25</v>
      </c>
      <c r="RD64" s="24">
        <v>40.01</v>
      </c>
      <c r="RE64" s="24">
        <v>0</v>
      </c>
      <c r="RF64" s="24">
        <v>0</v>
      </c>
      <c r="RG64" s="24">
        <v>0</v>
      </c>
      <c r="RT64" s="24">
        <v>4.5</v>
      </c>
      <c r="RU64" s="24">
        <v>1</v>
      </c>
      <c r="RV64" s="24">
        <v>34</v>
      </c>
      <c r="RW64" s="24">
        <v>2</v>
      </c>
      <c r="RX64" s="24">
        <v>0.13</v>
      </c>
      <c r="RY64" s="24">
        <v>1</v>
      </c>
      <c r="RZ64" s="24">
        <v>52</v>
      </c>
      <c r="SA64" s="24">
        <v>2</v>
      </c>
      <c r="SB64" s="24">
        <v>1.52</v>
      </c>
      <c r="SC64" s="24">
        <v>2</v>
      </c>
      <c r="SF64" s="28"/>
      <c r="SX64" s="24">
        <v>1</v>
      </c>
      <c r="SY64" s="24">
        <v>70</v>
      </c>
      <c r="SZ64" s="24">
        <v>7</v>
      </c>
      <c r="TA64" s="24">
        <v>0.7</v>
      </c>
      <c r="TB64" s="24">
        <v>3</v>
      </c>
      <c r="UI64" s="27">
        <v>0.72</v>
      </c>
      <c r="UJ64" s="27">
        <v>1</v>
      </c>
      <c r="UK64" s="27">
        <v>1</v>
      </c>
      <c r="UL64" s="27"/>
      <c r="UM64" s="27">
        <f>1.15+0.56+0.29</f>
        <v>2</v>
      </c>
      <c r="UN64" s="27"/>
      <c r="UO64" s="27"/>
      <c r="UP64" s="27"/>
      <c r="UQ64" s="27"/>
      <c r="UR64" s="27"/>
      <c r="US64" s="27"/>
      <c r="UT64" s="27">
        <v>0.17</v>
      </c>
      <c r="UU64" s="27">
        <v>0.17</v>
      </c>
      <c r="UV64" s="27"/>
      <c r="UW64" s="27"/>
      <c r="UX64" s="27">
        <v>0</v>
      </c>
      <c r="UY64" s="27">
        <v>0</v>
      </c>
      <c r="UZ64" s="27">
        <v>0</v>
      </c>
      <c r="VA64" s="24">
        <v>0</v>
      </c>
      <c r="VB64" s="24" t="s">
        <v>246</v>
      </c>
      <c r="VC64" s="24">
        <v>27</v>
      </c>
      <c r="VD64" s="27">
        <v>72</v>
      </c>
      <c r="VE64" s="27">
        <v>80.400000000000006</v>
      </c>
      <c r="VF64" s="27">
        <v>19.2</v>
      </c>
      <c r="VG64" s="24">
        <v>86.83</v>
      </c>
      <c r="VH64" s="24">
        <v>0</v>
      </c>
      <c r="VI64" s="24">
        <v>0</v>
      </c>
      <c r="VJ64" s="24">
        <v>0</v>
      </c>
      <c r="VK64" s="24">
        <v>13.17</v>
      </c>
      <c r="VL64" s="24">
        <v>0</v>
      </c>
      <c r="VM64" s="24">
        <v>0</v>
      </c>
      <c r="VN64" s="24">
        <v>0</v>
      </c>
      <c r="VO64" s="24">
        <v>0</v>
      </c>
      <c r="VP64" s="24">
        <v>0</v>
      </c>
      <c r="VQ64" s="24">
        <v>0</v>
      </c>
      <c r="VR64" s="24">
        <v>18.28</v>
      </c>
      <c r="VS64" s="24">
        <v>16.809999999999999</v>
      </c>
      <c r="VT64" s="24">
        <v>9.64</v>
      </c>
      <c r="VU64" s="24">
        <v>19.739999999999998</v>
      </c>
      <c r="VV64" s="24">
        <v>0</v>
      </c>
      <c r="VW64" s="24">
        <v>0</v>
      </c>
      <c r="VX64" s="24">
        <v>0</v>
      </c>
      <c r="WK64" s="24">
        <v>0</v>
      </c>
      <c r="WL64" s="24">
        <v>0</v>
      </c>
      <c r="WW64" s="28"/>
      <c r="XO64" s="24">
        <v>0</v>
      </c>
      <c r="YZ64" s="27">
        <v>1.43</v>
      </c>
      <c r="ZA64" s="27">
        <v>1</v>
      </c>
      <c r="ZB64" s="27">
        <v>1</v>
      </c>
      <c r="ZC64" s="27"/>
      <c r="ZD64" s="27">
        <f>6.34+2.11+0.08+0.37</f>
        <v>8.8999999999999986</v>
      </c>
      <c r="ZE64" s="27"/>
      <c r="ZF64" s="27"/>
      <c r="ZG64" s="27"/>
      <c r="ZH64" s="27"/>
      <c r="ZI64" s="27"/>
      <c r="ZJ64" s="27"/>
      <c r="ZK64" s="27">
        <v>3.5</v>
      </c>
      <c r="ZL64" s="27">
        <v>3.5</v>
      </c>
      <c r="ZM64" s="27"/>
      <c r="ZN64" s="27"/>
      <c r="ZO64" s="27">
        <v>0</v>
      </c>
      <c r="ZP64" s="27">
        <v>0</v>
      </c>
      <c r="ZQ64" s="27">
        <v>0</v>
      </c>
      <c r="ZR64" s="24">
        <v>0</v>
      </c>
      <c r="ZS64" s="24" t="s">
        <v>247</v>
      </c>
      <c r="ZT64" s="24">
        <v>37</v>
      </c>
      <c r="ZU64" s="27">
        <v>79.2</v>
      </c>
      <c r="ZV64" s="27">
        <v>80.400000000000006</v>
      </c>
      <c r="ZW64" s="27">
        <v>12.1</v>
      </c>
      <c r="ZX64" s="24">
        <v>96.75</v>
      </c>
      <c r="ZY64" s="24">
        <v>0</v>
      </c>
      <c r="ZZ64" s="24">
        <v>0</v>
      </c>
      <c r="AAA64" s="24">
        <v>0</v>
      </c>
      <c r="AAB64" s="24">
        <v>3.25</v>
      </c>
      <c r="AAC64" s="24">
        <v>0</v>
      </c>
      <c r="AAD64" s="24">
        <v>0</v>
      </c>
      <c r="AAE64" s="24">
        <v>0</v>
      </c>
      <c r="AAF64" s="24">
        <v>0</v>
      </c>
      <c r="AAG64" s="24">
        <v>0</v>
      </c>
      <c r="AAH64" s="24">
        <v>0</v>
      </c>
      <c r="AAI64" s="24">
        <v>9.06</v>
      </c>
      <c r="AAJ64" s="24">
        <v>18.149999999999999</v>
      </c>
      <c r="AAK64" s="24">
        <v>25.66</v>
      </c>
      <c r="AAL64" s="24">
        <v>15.61</v>
      </c>
      <c r="AAM64" s="24">
        <v>0</v>
      </c>
      <c r="AAN64" s="24">
        <v>0</v>
      </c>
      <c r="AAO64" s="24">
        <v>0</v>
      </c>
      <c r="ABB64" s="24">
        <v>17.8</v>
      </c>
      <c r="ABC64" s="24">
        <v>1</v>
      </c>
      <c r="ABD64" s="24">
        <v>47</v>
      </c>
      <c r="ABE64" s="24">
        <v>3</v>
      </c>
      <c r="ABF64" s="24">
        <v>2.2799999999999998</v>
      </c>
      <c r="ABG64" s="24">
        <v>3</v>
      </c>
      <c r="ABH64" s="24">
        <v>26</v>
      </c>
      <c r="ABI64" s="24">
        <v>1</v>
      </c>
      <c r="ABJ64" s="24">
        <v>0.76</v>
      </c>
      <c r="ABK64" s="24">
        <v>2</v>
      </c>
      <c r="ABN64" s="28"/>
      <c r="ACF64" s="24">
        <v>0</v>
      </c>
      <c r="ADQ64" s="27">
        <v>1.27</v>
      </c>
      <c r="ADR64" s="27">
        <v>1</v>
      </c>
      <c r="ADS64" s="27">
        <v>1</v>
      </c>
      <c r="ADT64" s="27"/>
      <c r="ADU64" s="27">
        <f>6.34+1.06</f>
        <v>7.4</v>
      </c>
      <c r="ADV64" s="27"/>
      <c r="ADW64" s="27"/>
      <c r="ADX64" s="27"/>
      <c r="ADY64" s="27"/>
      <c r="ADZ64" s="27"/>
      <c r="AEA64" s="27"/>
      <c r="AEB64" s="27">
        <v>2.86</v>
      </c>
      <c r="AEC64" s="27">
        <v>2.86</v>
      </c>
      <c r="AED64" s="27"/>
      <c r="AEE64" s="27"/>
      <c r="AEF64" s="27">
        <v>0</v>
      </c>
      <c r="AEG64" s="27">
        <v>0</v>
      </c>
      <c r="AEH64" s="27">
        <v>0</v>
      </c>
      <c r="AEI64" s="24">
        <v>0</v>
      </c>
      <c r="AEJ64" s="24" t="s">
        <v>248</v>
      </c>
      <c r="AEK64" s="24">
        <v>33</v>
      </c>
      <c r="AEL64" s="27">
        <v>122.1</v>
      </c>
      <c r="AEM64" s="27">
        <v>80.400000000000006</v>
      </c>
      <c r="AEN64" s="27">
        <v>14.1</v>
      </c>
      <c r="AEO64" s="24">
        <v>91.87</v>
      </c>
      <c r="AEP64" s="24">
        <v>0</v>
      </c>
      <c r="AEQ64" s="24">
        <v>5.85</v>
      </c>
      <c r="AER64" s="24">
        <v>0</v>
      </c>
      <c r="AES64" s="24">
        <v>2.2799999999999998</v>
      </c>
      <c r="AET64" s="24">
        <v>0</v>
      </c>
      <c r="AEU64" s="24">
        <v>0</v>
      </c>
      <c r="AEV64" s="24">
        <v>0</v>
      </c>
      <c r="AEW64" s="24">
        <v>0</v>
      </c>
      <c r="AEX64" s="24">
        <v>0</v>
      </c>
      <c r="AEY64" s="24">
        <v>0</v>
      </c>
      <c r="AEZ64" s="24">
        <v>0</v>
      </c>
      <c r="AFA64" s="24">
        <v>23.39</v>
      </c>
      <c r="AFB64" s="24">
        <v>10.3</v>
      </c>
      <c r="AFC64" s="24">
        <v>49.9</v>
      </c>
      <c r="AFD64" s="24">
        <v>0</v>
      </c>
      <c r="AFE64" s="24">
        <v>0</v>
      </c>
      <c r="AFF64" s="24">
        <v>0</v>
      </c>
      <c r="AFS64" s="24">
        <v>0</v>
      </c>
      <c r="AFT64" s="24">
        <v>1</v>
      </c>
      <c r="AFU64" s="24">
        <v>34</v>
      </c>
      <c r="AFV64" s="24">
        <v>1</v>
      </c>
      <c r="AFW64" s="24">
        <v>1.1399999999999999</v>
      </c>
      <c r="AFX64" s="24">
        <v>1</v>
      </c>
      <c r="AGE64" s="28"/>
      <c r="AGW64" s="24">
        <v>0</v>
      </c>
      <c r="AIH64" s="27">
        <v>4.78</v>
      </c>
      <c r="AII64" s="27">
        <v>1</v>
      </c>
      <c r="AIJ64" s="27">
        <v>1</v>
      </c>
      <c r="AIK64" s="27"/>
      <c r="AIL64" s="27">
        <v>4.2300000000000004</v>
      </c>
      <c r="AIM64" s="27">
        <v>2</v>
      </c>
      <c r="AIN64" s="27"/>
      <c r="AIO64" s="27">
        <f>1.14+9.52+1.68</f>
        <v>12.34</v>
      </c>
      <c r="AIP64" s="27"/>
      <c r="AIQ64" s="27"/>
      <c r="AIR64" s="27"/>
      <c r="AIS64" s="27">
        <v>10.43</v>
      </c>
      <c r="AIT64" s="27">
        <v>22.43</v>
      </c>
      <c r="AIU64" s="27"/>
      <c r="AIV64" s="27"/>
      <c r="AIW64" s="27">
        <v>0</v>
      </c>
      <c r="AIX64" s="27">
        <v>0</v>
      </c>
      <c r="AIY64" s="27">
        <v>0</v>
      </c>
      <c r="AIZ64" s="24">
        <v>0</v>
      </c>
      <c r="AJA64" s="24" t="s">
        <v>249</v>
      </c>
      <c r="AJB64" s="24">
        <v>25</v>
      </c>
      <c r="AJC64" s="27">
        <v>87.3</v>
      </c>
      <c r="AJD64" s="27">
        <v>80.400000000000006</v>
      </c>
      <c r="AJE64" s="27">
        <v>8.8000000000000007</v>
      </c>
      <c r="AJF64" s="24">
        <v>100</v>
      </c>
      <c r="AJG64" s="24">
        <v>0</v>
      </c>
      <c r="AJH64" s="24">
        <v>0</v>
      </c>
      <c r="AJI64" s="24">
        <v>0</v>
      </c>
      <c r="AJJ64" s="24">
        <v>0</v>
      </c>
      <c r="AJK64" s="24">
        <v>0</v>
      </c>
      <c r="AJL64" s="24">
        <v>0</v>
      </c>
      <c r="AJM64" s="24">
        <v>0</v>
      </c>
      <c r="AJN64" s="24">
        <v>0</v>
      </c>
      <c r="AJO64" s="24">
        <v>0</v>
      </c>
      <c r="AJP64" s="24">
        <v>0</v>
      </c>
      <c r="AJQ64" s="24">
        <v>0</v>
      </c>
      <c r="AJR64" s="24">
        <v>11.94</v>
      </c>
      <c r="AJS64" s="24">
        <v>34.17</v>
      </c>
      <c r="AJT64" s="24">
        <v>24.72</v>
      </c>
      <c r="AJU64" s="24">
        <v>0</v>
      </c>
      <c r="AJV64" s="24">
        <v>6.9</v>
      </c>
      <c r="AJW64" s="24">
        <v>3</v>
      </c>
      <c r="AJX64" s="24">
        <v>50</v>
      </c>
      <c r="AJZ64" s="24">
        <v>2</v>
      </c>
      <c r="AKD64" s="24">
        <v>50</v>
      </c>
      <c r="AKF64" s="24">
        <v>2</v>
      </c>
      <c r="AKJ64" s="24">
        <v>0</v>
      </c>
      <c r="AKK64" s="24">
        <v>0</v>
      </c>
      <c r="AKV64" s="28"/>
      <c r="ALN64" s="24">
        <v>1</v>
      </c>
      <c r="ALO64" s="24">
        <v>50</v>
      </c>
      <c r="ALP64" s="24">
        <v>1</v>
      </c>
      <c r="ALQ64" s="24">
        <v>1.86</v>
      </c>
      <c r="ALR64" s="24">
        <v>3</v>
      </c>
    </row>
    <row r="65" spans="1:1018" x14ac:dyDescent="0.2">
      <c r="A65" s="1" t="s">
        <v>425</v>
      </c>
      <c r="B65" s="12">
        <v>42902</v>
      </c>
      <c r="C65">
        <v>2</v>
      </c>
      <c r="D65" s="13">
        <v>42797</v>
      </c>
      <c r="E65" s="12">
        <v>33712</v>
      </c>
      <c r="F65" s="14">
        <f t="shared" si="0"/>
        <v>25.160848733744011</v>
      </c>
      <c r="G65" s="14">
        <f t="shared" si="1"/>
        <v>0.28747433264887062</v>
      </c>
      <c r="H65" s="15" t="s">
        <v>217</v>
      </c>
      <c r="I65" s="15" t="s">
        <v>272</v>
      </c>
      <c r="J65" s="15" t="s">
        <v>181</v>
      </c>
      <c r="K65" s="21">
        <v>8</v>
      </c>
      <c r="L65" s="19">
        <v>79</v>
      </c>
      <c r="M65">
        <v>1.71</v>
      </c>
      <c r="N65" s="16">
        <f t="shared" si="2"/>
        <v>27.016859888512709</v>
      </c>
      <c r="O65" s="19">
        <v>0</v>
      </c>
      <c r="P65" s="19">
        <v>0</v>
      </c>
      <c r="Q65" s="19">
        <v>0</v>
      </c>
      <c r="R65" s="19">
        <v>0</v>
      </c>
      <c r="S65" s="19">
        <v>0</v>
      </c>
      <c r="T65" s="19">
        <v>0</v>
      </c>
      <c r="U65" s="19">
        <v>0</v>
      </c>
      <c r="V65" s="19">
        <v>0</v>
      </c>
      <c r="W65" s="19">
        <v>0</v>
      </c>
      <c r="X65" s="19">
        <v>0</v>
      </c>
      <c r="Y65" s="19">
        <v>1</v>
      </c>
      <c r="Z65" s="19">
        <v>1</v>
      </c>
      <c r="AA65" s="19">
        <v>60</v>
      </c>
      <c r="AB65" s="19" t="s">
        <v>284</v>
      </c>
      <c r="AC65" s="19">
        <v>0</v>
      </c>
      <c r="AD65" s="19">
        <v>0</v>
      </c>
      <c r="AE65" s="19">
        <v>0</v>
      </c>
      <c r="AF65" s="19">
        <v>0</v>
      </c>
      <c r="AG65" s="19">
        <v>0</v>
      </c>
      <c r="AH65" s="19">
        <v>0</v>
      </c>
      <c r="AI65" s="19">
        <v>2</v>
      </c>
      <c r="AJ65" s="19">
        <v>0</v>
      </c>
      <c r="AK65" s="19">
        <v>0</v>
      </c>
      <c r="AL65" s="19">
        <v>0</v>
      </c>
      <c r="AM65" s="19">
        <v>0</v>
      </c>
      <c r="AN65" s="19">
        <v>0</v>
      </c>
      <c r="AO65" s="19">
        <v>0</v>
      </c>
      <c r="AP65" s="19">
        <v>0</v>
      </c>
      <c r="AQ65" s="19">
        <v>0</v>
      </c>
      <c r="AR65" s="19">
        <v>0</v>
      </c>
      <c r="AS65" s="19">
        <v>0</v>
      </c>
      <c r="AT65" s="19">
        <v>0</v>
      </c>
      <c r="AU65" s="19">
        <v>0</v>
      </c>
      <c r="AV65" s="19">
        <v>0</v>
      </c>
      <c r="AW65" s="19">
        <v>0</v>
      </c>
      <c r="AX65" s="19">
        <v>0</v>
      </c>
      <c r="AY65" s="19">
        <v>0</v>
      </c>
      <c r="AZ65" s="19">
        <v>0</v>
      </c>
      <c r="BA65" s="19">
        <v>0</v>
      </c>
      <c r="BB65" s="19">
        <v>1</v>
      </c>
      <c r="BC65" s="19">
        <v>0</v>
      </c>
      <c r="BD65" s="19">
        <v>0</v>
      </c>
      <c r="BE65" s="19">
        <v>0</v>
      </c>
      <c r="BF65" s="19">
        <v>0</v>
      </c>
      <c r="BG65" s="19">
        <v>0</v>
      </c>
      <c r="BH65" s="19">
        <v>0</v>
      </c>
      <c r="BI65" s="19">
        <v>0</v>
      </c>
      <c r="BJ65" s="19">
        <v>0</v>
      </c>
      <c r="BK65" s="19">
        <v>0</v>
      </c>
      <c r="BL65" s="19">
        <v>0</v>
      </c>
      <c r="BM65" s="19">
        <v>0</v>
      </c>
      <c r="BN65" s="19">
        <v>1</v>
      </c>
      <c r="BO65" s="19"/>
      <c r="BP65" s="19"/>
      <c r="BQ65" s="19"/>
      <c r="BR65" s="19">
        <v>3</v>
      </c>
      <c r="BS65" s="19">
        <v>2</v>
      </c>
      <c r="BT65" s="19">
        <v>4</v>
      </c>
      <c r="BU65" s="19">
        <v>5</v>
      </c>
      <c r="BV65" s="19">
        <v>2</v>
      </c>
      <c r="BW65" s="19">
        <v>1</v>
      </c>
      <c r="BX65" s="19">
        <v>3</v>
      </c>
      <c r="BY65" s="19">
        <v>4</v>
      </c>
      <c r="BZ65" s="19">
        <v>4</v>
      </c>
      <c r="CA65" s="19">
        <v>3</v>
      </c>
      <c r="CB65" s="19">
        <v>4</v>
      </c>
      <c r="CC65" s="19">
        <v>5</v>
      </c>
      <c r="CD65" s="19">
        <v>2</v>
      </c>
      <c r="CE65" s="19">
        <v>4</v>
      </c>
      <c r="CF65" s="19">
        <v>2</v>
      </c>
      <c r="CG65" s="19">
        <v>4</v>
      </c>
      <c r="CH65" s="19"/>
      <c r="CI65" s="19">
        <v>3</v>
      </c>
      <c r="CJ65" s="19">
        <v>2</v>
      </c>
      <c r="CK65" s="19">
        <v>8</v>
      </c>
      <c r="CL65" t="s">
        <v>274</v>
      </c>
      <c r="CM65">
        <v>19.5</v>
      </c>
      <c r="CN65" s="16">
        <v>74.3</v>
      </c>
      <c r="CO65" s="16">
        <v>80.400000000000006</v>
      </c>
      <c r="CP65" s="16">
        <v>7.8</v>
      </c>
      <c r="CQ65">
        <v>89.52</v>
      </c>
      <c r="CR65">
        <v>8.69</v>
      </c>
      <c r="CS65">
        <v>1.79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18.73</v>
      </c>
      <c r="DD65">
        <v>9.35</v>
      </c>
      <c r="DE65">
        <v>0</v>
      </c>
      <c r="DF65">
        <v>0</v>
      </c>
      <c r="DG65">
        <v>0</v>
      </c>
      <c r="DU65">
        <v>3.92</v>
      </c>
      <c r="DV65">
        <v>1</v>
      </c>
      <c r="DW65">
        <v>52</v>
      </c>
      <c r="DX65">
        <v>4</v>
      </c>
      <c r="DY65">
        <f>1.01*2+0.56+0.9</f>
        <v>3.48</v>
      </c>
      <c r="DZ65">
        <v>2</v>
      </c>
      <c r="EG65" s="18"/>
      <c r="EY65">
        <v>1</v>
      </c>
      <c r="EZ65">
        <v>50</v>
      </c>
      <c r="FA65">
        <v>1</v>
      </c>
      <c r="FB65">
        <v>1.9</v>
      </c>
      <c r="FC65">
        <v>3</v>
      </c>
      <c r="GJ65" s="16">
        <v>2.2400000000000002</v>
      </c>
      <c r="GK65" s="16">
        <v>1</v>
      </c>
      <c r="GL65" s="16">
        <v>2</v>
      </c>
      <c r="GM65" s="16"/>
      <c r="GN65" s="16">
        <f>1.87*2</f>
        <v>3.74</v>
      </c>
      <c r="GO65" s="16"/>
      <c r="GP65" s="16"/>
      <c r="GQ65" s="16"/>
      <c r="GR65" s="16"/>
      <c r="GS65" s="16"/>
      <c r="GT65" s="16"/>
      <c r="GU65" s="16">
        <v>5.49</v>
      </c>
      <c r="GV65" s="16">
        <f>1.01*2+0.56+1.87*2+0.9</f>
        <v>7.2200000000000006</v>
      </c>
      <c r="GW65" s="16"/>
      <c r="GX65" s="16"/>
      <c r="GY65" s="16">
        <v>0</v>
      </c>
      <c r="GZ65" s="16">
        <v>0</v>
      </c>
      <c r="HA65" s="16">
        <v>0</v>
      </c>
      <c r="HB65">
        <v>0</v>
      </c>
      <c r="HC65" t="s">
        <v>275</v>
      </c>
      <c r="HD65">
        <v>19.5</v>
      </c>
      <c r="HE65" s="16">
        <v>74.599999999999994</v>
      </c>
      <c r="HF65" s="16">
        <v>80.400000000000006</v>
      </c>
      <c r="HG65" s="16">
        <v>7.8</v>
      </c>
      <c r="HH65">
        <v>89.29</v>
      </c>
      <c r="HI65">
        <v>8.92</v>
      </c>
      <c r="HJ65">
        <v>1.79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18.95</v>
      </c>
      <c r="HU65">
        <v>9.35</v>
      </c>
      <c r="HV65">
        <v>0</v>
      </c>
      <c r="HW65">
        <v>0</v>
      </c>
      <c r="HX65">
        <v>0</v>
      </c>
      <c r="IL65">
        <v>3.9</v>
      </c>
      <c r="IM65">
        <v>1</v>
      </c>
      <c r="IN65">
        <v>52</v>
      </c>
      <c r="IO65">
        <v>4</v>
      </c>
      <c r="IP65">
        <f>1.01*2+0.56+0.9</f>
        <v>3.48</v>
      </c>
      <c r="IQ65">
        <v>3</v>
      </c>
      <c r="IX65" s="18"/>
      <c r="JP65">
        <v>1</v>
      </c>
      <c r="JQ65">
        <v>50</v>
      </c>
      <c r="JR65">
        <v>1</v>
      </c>
      <c r="JS65">
        <v>1.9</v>
      </c>
      <c r="JT65">
        <v>3</v>
      </c>
      <c r="LA65" s="16">
        <v>2.2400000000000002</v>
      </c>
      <c r="LB65" s="16">
        <v>1</v>
      </c>
      <c r="LC65" s="16">
        <v>2</v>
      </c>
      <c r="LD65" s="16"/>
      <c r="LE65" s="16">
        <f>1.87*2</f>
        <v>3.74</v>
      </c>
      <c r="LF65" s="16"/>
      <c r="LG65" s="16"/>
      <c r="LH65" s="16"/>
      <c r="LI65" s="16"/>
      <c r="LJ65" s="16"/>
      <c r="LK65" s="16"/>
      <c r="LL65" s="16">
        <v>6.49</v>
      </c>
      <c r="LM65" s="16">
        <f>1.01*2+0.56+1.87*2+0.9</f>
        <v>7.2200000000000006</v>
      </c>
      <c r="LN65" s="16"/>
      <c r="LO65" s="16"/>
      <c r="LP65" s="16">
        <v>0</v>
      </c>
      <c r="LQ65" s="16">
        <v>0</v>
      </c>
      <c r="LR65" s="16">
        <v>0</v>
      </c>
      <c r="LS65">
        <v>0</v>
      </c>
      <c r="LT65" t="s">
        <v>276</v>
      </c>
      <c r="LU65">
        <v>22.5</v>
      </c>
      <c r="LV65" s="16">
        <v>73.400000000000006</v>
      </c>
      <c r="LW65" s="16">
        <v>80.400000000000006</v>
      </c>
      <c r="LX65" s="16">
        <v>10.4</v>
      </c>
      <c r="LY65">
        <v>88.12</v>
      </c>
      <c r="LZ65">
        <v>6.29</v>
      </c>
      <c r="MA65">
        <v>4.25</v>
      </c>
      <c r="MB65">
        <v>0</v>
      </c>
      <c r="MC65">
        <v>1.34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2.46</v>
      </c>
      <c r="ML65">
        <v>13.2</v>
      </c>
      <c r="MM65">
        <v>0</v>
      </c>
      <c r="MN65">
        <v>0</v>
      </c>
      <c r="MO65">
        <v>0</v>
      </c>
      <c r="NC65">
        <v>0</v>
      </c>
      <c r="NO65" s="18"/>
      <c r="PR65" s="16">
        <v>2.2400000000000002</v>
      </c>
      <c r="PS65" s="16">
        <v>1</v>
      </c>
      <c r="PT65" s="16">
        <v>2</v>
      </c>
      <c r="PU65" s="16">
        <v>3.73</v>
      </c>
      <c r="PV65" s="16"/>
      <c r="PW65" s="16"/>
      <c r="PX65" s="16"/>
      <c r="PY65" s="16"/>
      <c r="PZ65" s="16"/>
      <c r="QA65" s="16"/>
      <c r="QB65" s="16"/>
      <c r="QC65" s="16">
        <v>9.68</v>
      </c>
      <c r="QD65" s="16">
        <f>2.01+1.34+2.69+3.73+0.81</f>
        <v>10.58</v>
      </c>
      <c r="QE65" s="16"/>
      <c r="QF65" s="16"/>
      <c r="QG65" s="16">
        <v>0</v>
      </c>
      <c r="QH65" s="16">
        <v>0</v>
      </c>
      <c r="QI65" s="16">
        <v>0.16</v>
      </c>
      <c r="QJ65">
        <v>0</v>
      </c>
      <c r="QK65" t="s">
        <v>277</v>
      </c>
      <c r="QL65">
        <v>29.5</v>
      </c>
      <c r="QM65" s="16">
        <v>53.8</v>
      </c>
      <c r="QN65" s="16">
        <v>80.400000000000006</v>
      </c>
      <c r="QO65" s="16">
        <v>12.1</v>
      </c>
      <c r="QP65">
        <v>86.6</v>
      </c>
      <c r="QQ65">
        <v>8.48</v>
      </c>
      <c r="QR65">
        <v>4.93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2.02</v>
      </c>
      <c r="RC65">
        <v>19.559999999999999</v>
      </c>
      <c r="RD65">
        <v>0.25</v>
      </c>
      <c r="RE65">
        <v>0</v>
      </c>
      <c r="RF65">
        <v>0</v>
      </c>
      <c r="RG65">
        <v>0</v>
      </c>
      <c r="RH65">
        <v>0</v>
      </c>
      <c r="RN65">
        <v>0</v>
      </c>
      <c r="RT65">
        <v>0</v>
      </c>
      <c r="RU65">
        <v>0</v>
      </c>
      <c r="SF65" s="18"/>
      <c r="SX65">
        <v>0</v>
      </c>
      <c r="UI65" s="16">
        <v>6.72</v>
      </c>
      <c r="UJ65" s="16">
        <v>1</v>
      </c>
      <c r="UK65" s="16">
        <v>2</v>
      </c>
      <c r="UL65" s="16"/>
      <c r="UM65" s="16">
        <f>3.73*3</f>
        <v>11.19</v>
      </c>
      <c r="UN65" s="16"/>
      <c r="UO65" s="16"/>
      <c r="UP65" s="16"/>
      <c r="UQ65" s="16"/>
      <c r="UR65" s="16"/>
      <c r="US65" s="16"/>
      <c r="UT65" s="16">
        <v>10.6</v>
      </c>
      <c r="UU65" s="16">
        <v>12.44</v>
      </c>
      <c r="UV65" s="16"/>
      <c r="UW65" s="16"/>
      <c r="UX65" s="16">
        <v>0</v>
      </c>
      <c r="UY65" s="16">
        <v>0</v>
      </c>
      <c r="UZ65" s="16">
        <v>0</v>
      </c>
      <c r="VA65">
        <v>0</v>
      </c>
      <c r="VB65" t="s">
        <v>278</v>
      </c>
      <c r="VC65">
        <v>51.5</v>
      </c>
      <c r="VD65" s="16">
        <v>63.4</v>
      </c>
      <c r="VE65" s="16">
        <v>80.400000000000006</v>
      </c>
      <c r="VF65" s="16">
        <v>18.100000000000001</v>
      </c>
      <c r="VG65">
        <v>83.5</v>
      </c>
      <c r="VH65">
        <v>5.36</v>
      </c>
      <c r="VI65">
        <v>8.4600000000000009</v>
      </c>
      <c r="VJ65">
        <v>0</v>
      </c>
      <c r="VK65">
        <v>2.69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0.99</v>
      </c>
      <c r="VT65">
        <v>13.55</v>
      </c>
      <c r="VU65">
        <v>16.2</v>
      </c>
      <c r="VV65">
        <v>0</v>
      </c>
      <c r="VW65">
        <v>0</v>
      </c>
      <c r="VX65">
        <v>0</v>
      </c>
      <c r="WK65">
        <v>18.399999999999999</v>
      </c>
      <c r="WL65">
        <v>1</v>
      </c>
      <c r="WM65">
        <v>47</v>
      </c>
      <c r="WN65">
        <v>1</v>
      </c>
      <c r="WO65">
        <v>0.9</v>
      </c>
      <c r="WP65">
        <v>3</v>
      </c>
      <c r="WQ65">
        <v>35</v>
      </c>
      <c r="WR65">
        <v>3</v>
      </c>
      <c r="WS65">
        <f>0.94</f>
        <v>0.94</v>
      </c>
      <c r="WT65">
        <v>3</v>
      </c>
      <c r="WU65">
        <v>68</v>
      </c>
      <c r="WV65">
        <v>1</v>
      </c>
      <c r="WW65" s="18">
        <v>6.22</v>
      </c>
      <c r="WX65">
        <v>1</v>
      </c>
      <c r="XO65">
        <v>0</v>
      </c>
      <c r="YZ65" s="16">
        <v>3.75</v>
      </c>
      <c r="ZA65" s="16">
        <v>1</v>
      </c>
      <c r="ZB65" s="16">
        <v>1</v>
      </c>
      <c r="ZC65" s="16"/>
      <c r="ZD65" s="16">
        <f>2.49+0.05+0.03</f>
        <v>2.57</v>
      </c>
      <c r="ZE65" s="16">
        <v>2</v>
      </c>
      <c r="ZF65" s="16"/>
      <c r="ZG65" s="16">
        <v>2.4900000000000002</v>
      </c>
      <c r="ZH65" s="16"/>
      <c r="ZI65" s="16"/>
      <c r="ZJ65" s="16"/>
      <c r="ZK65" s="16">
        <v>11.1</v>
      </c>
      <c r="ZL65" s="16">
        <v>18.47</v>
      </c>
      <c r="ZM65" s="16"/>
      <c r="ZN65" s="16"/>
      <c r="ZO65" s="16">
        <v>0</v>
      </c>
      <c r="ZP65" s="16">
        <v>0</v>
      </c>
      <c r="ZQ65" s="16">
        <v>0</v>
      </c>
      <c r="ZR65">
        <v>0</v>
      </c>
      <c r="ZS65" t="s">
        <v>279</v>
      </c>
      <c r="ZT65">
        <v>33.5</v>
      </c>
      <c r="ZU65" s="16">
        <v>54</v>
      </c>
      <c r="ZV65" s="16">
        <v>80.400000000000006</v>
      </c>
      <c r="ZW65" s="16">
        <v>9.6</v>
      </c>
      <c r="ZX65">
        <v>86.69</v>
      </c>
      <c r="ZY65">
        <v>8.34</v>
      </c>
      <c r="ZZ65">
        <v>4.97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12.83</v>
      </c>
      <c r="AAK65">
        <v>6.09</v>
      </c>
      <c r="AAL65">
        <v>0</v>
      </c>
      <c r="AAM65">
        <v>0</v>
      </c>
      <c r="AAN65">
        <v>0</v>
      </c>
      <c r="AAO65">
        <v>0</v>
      </c>
      <c r="ABB65">
        <v>11.3</v>
      </c>
      <c r="ABC65">
        <v>1</v>
      </c>
      <c r="ABD65">
        <v>47</v>
      </c>
      <c r="ABE65">
        <v>1</v>
      </c>
      <c r="ABF65">
        <v>0.9</v>
      </c>
      <c r="ABG65">
        <v>3</v>
      </c>
      <c r="ABH65">
        <v>35</v>
      </c>
      <c r="ABI65">
        <v>2</v>
      </c>
      <c r="ABJ65">
        <v>0.92</v>
      </c>
      <c r="ABK65">
        <v>3</v>
      </c>
      <c r="ABN65" s="18"/>
      <c r="ACF65">
        <v>0</v>
      </c>
      <c r="ADQ65" s="16">
        <v>3.75</v>
      </c>
      <c r="ADR65" s="16">
        <v>1</v>
      </c>
      <c r="ADS65" s="16">
        <v>1</v>
      </c>
      <c r="ADT65" s="16"/>
      <c r="ADU65" s="16">
        <f>2.49+0.05+0.03</f>
        <v>2.57</v>
      </c>
      <c r="ADV65" s="16">
        <v>2</v>
      </c>
      <c r="ADW65" s="16"/>
      <c r="ADX65" s="16">
        <v>2.4900000000000002</v>
      </c>
      <c r="ADY65" s="16"/>
      <c r="ADZ65" s="16"/>
      <c r="AEA65" s="16"/>
      <c r="AEB65" s="16">
        <v>8.81</v>
      </c>
      <c r="AEC65" s="16">
        <v>6.01</v>
      </c>
      <c r="AED65" s="16"/>
      <c r="AEE65" s="16"/>
      <c r="AEF65" s="16">
        <v>0</v>
      </c>
      <c r="AEG65" s="16">
        <v>0</v>
      </c>
      <c r="AEH65" s="16">
        <v>0</v>
      </c>
      <c r="AEI65">
        <v>0</v>
      </c>
      <c r="AEJ65" t="s">
        <v>280</v>
      </c>
      <c r="AEK65">
        <v>79</v>
      </c>
      <c r="AEL65" s="16">
        <v>63.9</v>
      </c>
      <c r="AEM65" s="16">
        <v>80.400000000000006</v>
      </c>
      <c r="AEN65" s="16">
        <v>11.2</v>
      </c>
      <c r="AEO65">
        <v>77.430000000000007</v>
      </c>
      <c r="AEP65">
        <v>22.57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45.87</v>
      </c>
      <c r="AFC65">
        <v>0</v>
      </c>
      <c r="AFD65">
        <v>0</v>
      </c>
      <c r="AFE65">
        <v>0</v>
      </c>
      <c r="AFF65">
        <v>0</v>
      </c>
      <c r="AFS65">
        <v>56.3</v>
      </c>
      <c r="AFT65">
        <v>1</v>
      </c>
      <c r="AFU65">
        <v>47</v>
      </c>
      <c r="AFV65">
        <v>18</v>
      </c>
      <c r="AFW65">
        <f>13.43+9.14</f>
        <v>22.57</v>
      </c>
      <c r="AFX65">
        <v>3</v>
      </c>
      <c r="AGE65" s="18"/>
      <c r="AGW65">
        <v>0</v>
      </c>
      <c r="AIH65" s="16">
        <v>0</v>
      </c>
      <c r="AII65" s="16">
        <v>0</v>
      </c>
      <c r="AIJ65" s="16"/>
      <c r="AIK65" s="16"/>
      <c r="AIL65" s="16"/>
      <c r="AIM65" s="16"/>
      <c r="AIN65" s="16"/>
      <c r="AIO65" s="16"/>
      <c r="AIP65" s="16"/>
      <c r="AIQ65" s="16"/>
      <c r="AIR65" s="16"/>
      <c r="AIS65" s="16">
        <v>11.54</v>
      </c>
      <c r="AIT65" s="16">
        <v>22.57</v>
      </c>
      <c r="AIU65" s="16"/>
      <c r="AIV65" s="16"/>
      <c r="AIW65" s="16">
        <v>0</v>
      </c>
      <c r="AIX65" s="16">
        <v>0</v>
      </c>
      <c r="AIY65" s="16">
        <v>0</v>
      </c>
      <c r="AIZ65">
        <v>0</v>
      </c>
      <c r="AJA65" t="s">
        <v>281</v>
      </c>
      <c r="AJB65">
        <v>42.5</v>
      </c>
      <c r="AJC65" s="16">
        <v>76.400000000000006</v>
      </c>
      <c r="AJD65" s="16">
        <v>80.400000000000006</v>
      </c>
      <c r="AJE65" s="16">
        <v>15.3</v>
      </c>
      <c r="AJF65">
        <v>73.599999999999994</v>
      </c>
      <c r="AJG65">
        <v>20.420000000000002</v>
      </c>
      <c r="AJH65">
        <v>3.69</v>
      </c>
      <c r="AJI65">
        <v>0</v>
      </c>
      <c r="AJJ65">
        <v>2.2799999999999998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35.36</v>
      </c>
      <c r="AJT65">
        <v>16.37</v>
      </c>
      <c r="AJU65">
        <v>0</v>
      </c>
      <c r="AJV65">
        <v>4.4000000000000004</v>
      </c>
      <c r="AJW65">
        <v>2</v>
      </c>
      <c r="AJX65">
        <v>10</v>
      </c>
      <c r="AJY65">
        <v>0.9</v>
      </c>
      <c r="AKD65">
        <v>10</v>
      </c>
      <c r="AKE65">
        <v>0.9</v>
      </c>
      <c r="AKJ65">
        <v>9.6999999999999993</v>
      </c>
      <c r="AKK65">
        <v>1</v>
      </c>
      <c r="AKL65">
        <v>68</v>
      </c>
      <c r="AKM65">
        <v>2</v>
      </c>
      <c r="AKN65">
        <f>3.34+5.29</f>
        <v>8.629999999999999</v>
      </c>
      <c r="AKO65">
        <v>1</v>
      </c>
      <c r="AKP65">
        <v>34</v>
      </c>
      <c r="AKQ65">
        <v>86</v>
      </c>
      <c r="AKR65">
        <f>0.8+0.6</f>
        <v>1.4</v>
      </c>
      <c r="AKS65">
        <v>1</v>
      </c>
      <c r="AKT65">
        <v>47</v>
      </c>
      <c r="AKU65">
        <v>1</v>
      </c>
      <c r="AKV65" s="18">
        <v>1.52</v>
      </c>
      <c r="AKW65">
        <v>3</v>
      </c>
      <c r="ALN65">
        <v>0</v>
      </c>
    </row>
    <row r="66" spans="1:1018" x14ac:dyDescent="0.2">
      <c r="A66" s="1" t="s">
        <v>426</v>
      </c>
      <c r="B66" s="12">
        <v>42901</v>
      </c>
      <c r="C66">
        <v>2</v>
      </c>
      <c r="D66" s="13">
        <v>42811</v>
      </c>
      <c r="E66" s="12">
        <v>34704</v>
      </c>
      <c r="F66" s="14">
        <f t="shared" ref="F66:F129" si="42">(B66-E66)/365.25</f>
        <v>22.442162902121833</v>
      </c>
      <c r="G66" s="14">
        <f t="shared" ref="G66:G129" si="43">(B66-D66)/365.25</f>
        <v>0.24640657084188911</v>
      </c>
      <c r="H66" s="15" t="s">
        <v>217</v>
      </c>
      <c r="I66" s="15" t="s">
        <v>272</v>
      </c>
      <c r="J66" s="15" t="s">
        <v>181</v>
      </c>
      <c r="K66" s="21">
        <v>8</v>
      </c>
      <c r="L66" s="19">
        <v>63</v>
      </c>
      <c r="M66">
        <v>1.8</v>
      </c>
      <c r="N66" s="16">
        <f t="shared" ref="N66:N129" si="44">L66/(M66*M66)</f>
        <v>19.444444444444443</v>
      </c>
      <c r="O66" s="19">
        <v>0</v>
      </c>
      <c r="P66" s="19">
        <v>0</v>
      </c>
      <c r="Q66" s="19">
        <v>0</v>
      </c>
      <c r="R66" s="19">
        <v>0</v>
      </c>
      <c r="S66" s="19">
        <v>0</v>
      </c>
      <c r="T66" s="19">
        <v>0</v>
      </c>
      <c r="U66" s="19">
        <v>0</v>
      </c>
      <c r="V66" s="19">
        <v>0</v>
      </c>
      <c r="W66" s="19">
        <v>0</v>
      </c>
      <c r="X66" s="19">
        <v>0</v>
      </c>
      <c r="Y66" s="19">
        <v>1</v>
      </c>
      <c r="Z66" s="19">
        <v>2</v>
      </c>
      <c r="AA66" s="19">
        <v>90</v>
      </c>
      <c r="AB66" s="19" t="s">
        <v>308</v>
      </c>
      <c r="AC66" s="19">
        <v>1</v>
      </c>
      <c r="AD66" s="19">
        <v>10</v>
      </c>
      <c r="AE66" s="19">
        <v>0</v>
      </c>
      <c r="AF66" s="19">
        <v>0</v>
      </c>
      <c r="AG66" s="19">
        <v>0</v>
      </c>
      <c r="AH66" s="19">
        <v>0</v>
      </c>
      <c r="AI66" s="19">
        <v>0</v>
      </c>
      <c r="AJ66" s="19">
        <v>0</v>
      </c>
      <c r="AK66" s="19">
        <v>0</v>
      </c>
      <c r="AL66" s="19">
        <v>0</v>
      </c>
      <c r="AM66" s="19">
        <v>0</v>
      </c>
      <c r="AN66" s="19">
        <v>0</v>
      </c>
      <c r="AO66" s="19">
        <v>0</v>
      </c>
      <c r="AP66" s="19">
        <v>0</v>
      </c>
      <c r="AQ66" s="19">
        <v>0</v>
      </c>
      <c r="AR66" s="19">
        <v>0</v>
      </c>
      <c r="AS66" s="19">
        <v>1</v>
      </c>
      <c r="AT66" s="19">
        <v>0</v>
      </c>
      <c r="AU66" s="19">
        <v>0</v>
      </c>
      <c r="AV66" s="19">
        <v>0</v>
      </c>
      <c r="AW66" s="19">
        <v>0</v>
      </c>
      <c r="AX66" s="19">
        <v>0</v>
      </c>
      <c r="AY66" s="19">
        <v>0</v>
      </c>
      <c r="AZ66" s="19">
        <v>0</v>
      </c>
      <c r="BA66" s="19">
        <v>0</v>
      </c>
      <c r="BB66" s="19">
        <v>0</v>
      </c>
      <c r="BC66" s="19">
        <v>0</v>
      </c>
      <c r="BD66" s="19">
        <v>0</v>
      </c>
      <c r="BE66" s="19">
        <v>0</v>
      </c>
      <c r="BF66" s="19">
        <v>0</v>
      </c>
      <c r="BG66" s="19">
        <v>0</v>
      </c>
      <c r="BH66" s="19">
        <v>0</v>
      </c>
      <c r="BI66" s="19">
        <v>0</v>
      </c>
      <c r="BJ66" s="19">
        <v>0</v>
      </c>
      <c r="BK66" s="19">
        <v>0</v>
      </c>
      <c r="BL66" s="19">
        <v>0</v>
      </c>
      <c r="BM66" s="19">
        <v>0</v>
      </c>
      <c r="BN66" s="19">
        <v>0</v>
      </c>
      <c r="BO66" s="19">
        <v>0</v>
      </c>
      <c r="BP66" s="19">
        <v>0</v>
      </c>
      <c r="BQ66" s="19">
        <v>0</v>
      </c>
      <c r="BR66" s="19">
        <v>3</v>
      </c>
      <c r="BS66" s="19">
        <v>3</v>
      </c>
      <c r="BT66" s="19">
        <v>4</v>
      </c>
      <c r="BU66" s="19">
        <v>5</v>
      </c>
      <c r="BV66" s="19">
        <v>3</v>
      </c>
      <c r="BW66" s="19">
        <v>3</v>
      </c>
      <c r="BX66" s="19">
        <v>2</v>
      </c>
      <c r="BY66" s="19">
        <v>4</v>
      </c>
      <c r="BZ66" s="19">
        <v>5</v>
      </c>
      <c r="CA66" s="19">
        <v>3</v>
      </c>
      <c r="CB66" s="19">
        <v>3</v>
      </c>
      <c r="CC66" s="19">
        <v>4</v>
      </c>
      <c r="CD66" s="19">
        <v>3</v>
      </c>
      <c r="CE66" s="19">
        <v>4</v>
      </c>
      <c r="CF66" s="19">
        <v>4</v>
      </c>
      <c r="CG66" s="19">
        <v>5</v>
      </c>
      <c r="CH66" s="19"/>
      <c r="CI66" s="19"/>
      <c r="CJ66" s="19"/>
      <c r="CK66" s="19">
        <v>6</v>
      </c>
      <c r="CL66" t="s">
        <v>274</v>
      </c>
      <c r="CM66">
        <v>19.5</v>
      </c>
      <c r="CN66" s="16">
        <v>74.3</v>
      </c>
      <c r="CO66" s="16">
        <v>80.400000000000006</v>
      </c>
      <c r="CP66" s="16">
        <v>7.8</v>
      </c>
      <c r="CQ66">
        <v>89.52</v>
      </c>
      <c r="CR66">
        <v>8.69</v>
      </c>
      <c r="CS66">
        <v>1.79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18.73</v>
      </c>
      <c r="DD66">
        <v>9.35</v>
      </c>
      <c r="DE66">
        <v>0</v>
      </c>
      <c r="DF66">
        <v>0</v>
      </c>
      <c r="DG66">
        <v>0</v>
      </c>
      <c r="DU66">
        <v>3.92</v>
      </c>
      <c r="DV66">
        <v>1</v>
      </c>
      <c r="DW66">
        <v>52</v>
      </c>
      <c r="DX66">
        <v>4</v>
      </c>
      <c r="DY66">
        <f>1.01*2+0.56+0.9</f>
        <v>3.48</v>
      </c>
      <c r="DZ66">
        <v>2</v>
      </c>
      <c r="EG66" s="18"/>
      <c r="EY66">
        <v>1</v>
      </c>
      <c r="EZ66">
        <v>50</v>
      </c>
      <c r="FA66">
        <v>1</v>
      </c>
      <c r="FB66">
        <v>1.9</v>
      </c>
      <c r="FC66">
        <v>3</v>
      </c>
      <c r="GJ66" s="16">
        <v>2.2400000000000002</v>
      </c>
      <c r="GK66" s="16">
        <v>1</v>
      </c>
      <c r="GL66" s="16">
        <v>2</v>
      </c>
      <c r="GM66" s="16"/>
      <c r="GN66" s="16">
        <f>1.87*2</f>
        <v>3.74</v>
      </c>
      <c r="GO66" s="16"/>
      <c r="GP66" s="16"/>
      <c r="GQ66" s="16"/>
      <c r="GR66" s="16"/>
      <c r="GS66" s="16"/>
      <c r="GT66" s="16"/>
      <c r="GU66" s="16">
        <v>5.49</v>
      </c>
      <c r="GV66" s="16">
        <f>1.01*2+0.56+1.87*2+0.9</f>
        <v>7.2200000000000006</v>
      </c>
      <c r="GW66" s="16"/>
      <c r="GX66" s="16"/>
      <c r="GY66" s="16">
        <v>0</v>
      </c>
      <c r="GZ66" s="16">
        <v>0</v>
      </c>
      <c r="HA66" s="16">
        <v>0</v>
      </c>
      <c r="HB66">
        <v>0</v>
      </c>
      <c r="HC66" t="s">
        <v>275</v>
      </c>
      <c r="HD66">
        <v>19.5</v>
      </c>
      <c r="HE66" s="16">
        <v>74.599999999999994</v>
      </c>
      <c r="HF66" s="16">
        <v>80.400000000000006</v>
      </c>
      <c r="HG66" s="16">
        <v>7.8</v>
      </c>
      <c r="HH66">
        <v>89.29</v>
      </c>
      <c r="HI66">
        <v>8.92</v>
      </c>
      <c r="HJ66">
        <v>1.79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18.95</v>
      </c>
      <c r="HU66">
        <v>9.35</v>
      </c>
      <c r="HV66">
        <v>0</v>
      </c>
      <c r="HW66">
        <v>0</v>
      </c>
      <c r="HX66">
        <v>0</v>
      </c>
      <c r="IL66">
        <v>3.9</v>
      </c>
      <c r="IM66">
        <v>1</v>
      </c>
      <c r="IN66">
        <v>52</v>
      </c>
      <c r="IO66">
        <v>4</v>
      </c>
      <c r="IP66">
        <f>1.01*2+0.56+0.9</f>
        <v>3.48</v>
      </c>
      <c r="IQ66">
        <v>3</v>
      </c>
      <c r="IX66" s="18"/>
      <c r="JP66">
        <v>1</v>
      </c>
      <c r="JQ66">
        <v>50</v>
      </c>
      <c r="JR66">
        <v>1</v>
      </c>
      <c r="JS66">
        <v>1.9</v>
      </c>
      <c r="JT66">
        <v>3</v>
      </c>
      <c r="LA66" s="16">
        <v>2.2400000000000002</v>
      </c>
      <c r="LB66" s="16">
        <v>1</v>
      </c>
      <c r="LC66" s="16">
        <v>2</v>
      </c>
      <c r="LD66" s="16"/>
      <c r="LE66" s="16">
        <f>1.87*2</f>
        <v>3.74</v>
      </c>
      <c r="LF66" s="16"/>
      <c r="LG66" s="16"/>
      <c r="LH66" s="16"/>
      <c r="LI66" s="16"/>
      <c r="LJ66" s="16"/>
      <c r="LK66" s="16"/>
      <c r="LL66" s="16">
        <v>6.49</v>
      </c>
      <c r="LM66" s="16">
        <f>1.01*2+0.56+1.87*2+0.9</f>
        <v>7.2200000000000006</v>
      </c>
      <c r="LN66" s="16"/>
      <c r="LO66" s="16"/>
      <c r="LP66" s="16">
        <v>0</v>
      </c>
      <c r="LQ66" s="16">
        <v>0</v>
      </c>
      <c r="LR66" s="16">
        <v>0</v>
      </c>
      <c r="LS66">
        <v>0</v>
      </c>
      <c r="LT66" t="s">
        <v>276</v>
      </c>
      <c r="LU66">
        <v>22.5</v>
      </c>
      <c r="LV66" s="16">
        <v>73.400000000000006</v>
      </c>
      <c r="LW66" s="16">
        <v>80.400000000000006</v>
      </c>
      <c r="LX66" s="16">
        <v>10.4</v>
      </c>
      <c r="LY66">
        <v>88.12</v>
      </c>
      <c r="LZ66">
        <v>6.29</v>
      </c>
      <c r="MA66">
        <v>4.25</v>
      </c>
      <c r="MB66">
        <v>0</v>
      </c>
      <c r="MC66">
        <v>1.34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2.46</v>
      </c>
      <c r="ML66">
        <v>13.2</v>
      </c>
      <c r="MM66">
        <v>0</v>
      </c>
      <c r="MN66">
        <v>0</v>
      </c>
      <c r="MO66">
        <v>0</v>
      </c>
      <c r="NC66">
        <v>0</v>
      </c>
      <c r="NO66" s="18"/>
      <c r="PR66" s="16">
        <v>2.2400000000000002</v>
      </c>
      <c r="PS66" s="16">
        <v>1</v>
      </c>
      <c r="PT66" s="16">
        <v>2</v>
      </c>
      <c r="PU66" s="16">
        <v>3.73</v>
      </c>
      <c r="PV66" s="16"/>
      <c r="PW66" s="16"/>
      <c r="PX66" s="16"/>
      <c r="PY66" s="16"/>
      <c r="PZ66" s="16"/>
      <c r="QA66" s="16"/>
      <c r="QB66" s="16"/>
      <c r="QC66" s="16">
        <v>9.68</v>
      </c>
      <c r="QD66" s="16">
        <f>2.01+1.34+2.69+3.73+0.81</f>
        <v>10.58</v>
      </c>
      <c r="QE66" s="16"/>
      <c r="QF66" s="16"/>
      <c r="QG66" s="16">
        <v>0</v>
      </c>
      <c r="QH66" s="16">
        <v>0</v>
      </c>
      <c r="QI66" s="16">
        <v>0.16</v>
      </c>
      <c r="QJ66">
        <v>0</v>
      </c>
      <c r="QK66" t="s">
        <v>277</v>
      </c>
      <c r="QL66">
        <v>29.5</v>
      </c>
      <c r="QM66" s="16">
        <v>53.8</v>
      </c>
      <c r="QN66" s="16">
        <v>80.400000000000006</v>
      </c>
      <c r="QO66" s="16">
        <v>12.1</v>
      </c>
      <c r="QP66">
        <v>86.6</v>
      </c>
      <c r="QQ66">
        <v>8.48</v>
      </c>
      <c r="QR66">
        <v>4.93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2.02</v>
      </c>
      <c r="RC66">
        <v>19.559999999999999</v>
      </c>
      <c r="RD66">
        <v>0.25</v>
      </c>
      <c r="RE66">
        <v>0</v>
      </c>
      <c r="RF66">
        <v>0</v>
      </c>
      <c r="RG66">
        <v>0</v>
      </c>
      <c r="RH66">
        <v>0</v>
      </c>
      <c r="RN66">
        <v>0</v>
      </c>
      <c r="RT66">
        <v>0</v>
      </c>
      <c r="RU66">
        <v>0</v>
      </c>
      <c r="SF66" s="18"/>
      <c r="SX66">
        <v>0</v>
      </c>
      <c r="UI66" s="16">
        <v>6.72</v>
      </c>
      <c r="UJ66" s="16">
        <v>1</v>
      </c>
      <c r="UK66" s="16">
        <v>2</v>
      </c>
      <c r="UL66" s="16"/>
      <c r="UM66" s="16">
        <f>3.73*3</f>
        <v>11.19</v>
      </c>
      <c r="UN66" s="16"/>
      <c r="UO66" s="16"/>
      <c r="UP66" s="16"/>
      <c r="UQ66" s="16"/>
      <c r="UR66" s="16"/>
      <c r="US66" s="16"/>
      <c r="UT66" s="16">
        <v>10.6</v>
      </c>
      <c r="UU66" s="16">
        <v>12.44</v>
      </c>
      <c r="UV66" s="16"/>
      <c r="UW66" s="16"/>
      <c r="UX66" s="16">
        <v>0</v>
      </c>
      <c r="UY66" s="16">
        <v>0</v>
      </c>
      <c r="UZ66" s="16">
        <v>0</v>
      </c>
      <c r="VA66">
        <v>0</v>
      </c>
      <c r="VB66" t="s">
        <v>278</v>
      </c>
      <c r="VC66">
        <v>51.5</v>
      </c>
      <c r="VD66" s="16">
        <v>63.4</v>
      </c>
      <c r="VE66" s="16">
        <v>80.400000000000006</v>
      </c>
      <c r="VF66" s="16">
        <v>18.100000000000001</v>
      </c>
      <c r="VG66">
        <v>83.5</v>
      </c>
      <c r="VH66">
        <v>5.36</v>
      </c>
      <c r="VI66">
        <v>8.4600000000000009</v>
      </c>
      <c r="VJ66">
        <v>0</v>
      </c>
      <c r="VK66">
        <v>2.69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0.99</v>
      </c>
      <c r="VT66">
        <v>13.55</v>
      </c>
      <c r="VU66">
        <v>16.2</v>
      </c>
      <c r="VV66">
        <v>0</v>
      </c>
      <c r="VW66">
        <v>0</v>
      </c>
      <c r="VX66">
        <v>0</v>
      </c>
      <c r="WK66">
        <v>18.399999999999999</v>
      </c>
      <c r="WL66">
        <v>1</v>
      </c>
      <c r="WM66">
        <v>47</v>
      </c>
      <c r="WN66">
        <v>1</v>
      </c>
      <c r="WO66">
        <v>0.9</v>
      </c>
      <c r="WP66">
        <v>3</v>
      </c>
      <c r="WQ66">
        <v>35</v>
      </c>
      <c r="WR66">
        <v>3</v>
      </c>
      <c r="WS66">
        <f>0.94</f>
        <v>0.94</v>
      </c>
      <c r="WT66">
        <v>3</v>
      </c>
      <c r="WU66">
        <v>68</v>
      </c>
      <c r="WV66">
        <v>1</v>
      </c>
      <c r="WW66" s="18">
        <v>6.22</v>
      </c>
      <c r="WX66">
        <v>1</v>
      </c>
      <c r="XO66">
        <v>0</v>
      </c>
      <c r="YZ66" s="16">
        <v>3.75</v>
      </c>
      <c r="ZA66" s="16">
        <v>1</v>
      </c>
      <c r="ZB66" s="16">
        <v>1</v>
      </c>
      <c r="ZC66" s="16"/>
      <c r="ZD66" s="16">
        <f>2.49+0.05+0.03</f>
        <v>2.57</v>
      </c>
      <c r="ZE66" s="16">
        <v>2</v>
      </c>
      <c r="ZF66" s="16"/>
      <c r="ZG66" s="16">
        <v>2.4900000000000002</v>
      </c>
      <c r="ZH66" s="16"/>
      <c r="ZI66" s="16"/>
      <c r="ZJ66" s="16"/>
      <c r="ZK66" s="16">
        <v>11.1</v>
      </c>
      <c r="ZL66" s="16">
        <v>18.47</v>
      </c>
      <c r="ZM66" s="16"/>
      <c r="ZN66" s="16"/>
      <c r="ZO66" s="16">
        <v>0</v>
      </c>
      <c r="ZP66" s="16">
        <v>0</v>
      </c>
      <c r="ZQ66" s="16">
        <v>0</v>
      </c>
      <c r="ZR66">
        <v>0</v>
      </c>
      <c r="ZS66" t="s">
        <v>279</v>
      </c>
      <c r="ZT66">
        <v>33.5</v>
      </c>
      <c r="ZU66" s="16">
        <v>54</v>
      </c>
      <c r="ZV66" s="16">
        <v>80.400000000000006</v>
      </c>
      <c r="ZW66" s="16">
        <v>9.6</v>
      </c>
      <c r="ZX66">
        <v>86.69</v>
      </c>
      <c r="ZY66">
        <v>8.34</v>
      </c>
      <c r="ZZ66">
        <v>4.97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12.83</v>
      </c>
      <c r="AAK66">
        <v>6.09</v>
      </c>
      <c r="AAL66">
        <v>0</v>
      </c>
      <c r="AAM66">
        <v>0</v>
      </c>
      <c r="AAN66">
        <v>0</v>
      </c>
      <c r="AAO66">
        <v>0</v>
      </c>
      <c r="ABB66">
        <v>11.3</v>
      </c>
      <c r="ABC66">
        <v>1</v>
      </c>
      <c r="ABD66">
        <v>47</v>
      </c>
      <c r="ABE66">
        <v>1</v>
      </c>
      <c r="ABF66">
        <v>0.9</v>
      </c>
      <c r="ABG66">
        <v>3</v>
      </c>
      <c r="ABH66">
        <v>35</v>
      </c>
      <c r="ABI66">
        <v>2</v>
      </c>
      <c r="ABJ66">
        <v>0.92</v>
      </c>
      <c r="ABK66">
        <v>3</v>
      </c>
      <c r="ABN66" s="18"/>
      <c r="ACF66">
        <v>0</v>
      </c>
      <c r="ADQ66" s="16">
        <v>3.75</v>
      </c>
      <c r="ADR66" s="16">
        <v>1</v>
      </c>
      <c r="ADS66" s="16">
        <v>1</v>
      </c>
      <c r="ADT66" s="16"/>
      <c r="ADU66" s="16">
        <f>2.49+0.05+0.03</f>
        <v>2.57</v>
      </c>
      <c r="ADV66" s="16">
        <v>2</v>
      </c>
      <c r="ADW66" s="16"/>
      <c r="ADX66" s="16">
        <v>2.4900000000000002</v>
      </c>
      <c r="ADY66" s="16"/>
      <c r="ADZ66" s="16"/>
      <c r="AEA66" s="16"/>
      <c r="AEB66" s="16">
        <v>8.81</v>
      </c>
      <c r="AEC66" s="16">
        <v>6.01</v>
      </c>
      <c r="AED66" s="16"/>
      <c r="AEE66" s="16"/>
      <c r="AEF66" s="16">
        <v>0</v>
      </c>
      <c r="AEG66" s="16">
        <v>0</v>
      </c>
      <c r="AEH66" s="16">
        <v>0</v>
      </c>
      <c r="AEI66">
        <v>0</v>
      </c>
      <c r="AEJ66" t="s">
        <v>280</v>
      </c>
      <c r="AEK66">
        <v>79</v>
      </c>
      <c r="AEL66" s="16">
        <v>63.9</v>
      </c>
      <c r="AEM66" s="16">
        <v>80.400000000000006</v>
      </c>
      <c r="AEN66" s="16">
        <v>11.2</v>
      </c>
      <c r="AEO66">
        <v>77.430000000000007</v>
      </c>
      <c r="AEP66">
        <v>22.57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45.87</v>
      </c>
      <c r="AFC66">
        <v>0</v>
      </c>
      <c r="AFD66">
        <v>0</v>
      </c>
      <c r="AFE66">
        <v>0</v>
      </c>
      <c r="AFF66">
        <v>0</v>
      </c>
      <c r="AFS66">
        <v>56.3</v>
      </c>
      <c r="AFT66">
        <v>1</v>
      </c>
      <c r="AFU66">
        <v>47</v>
      </c>
      <c r="AFV66">
        <v>18</v>
      </c>
      <c r="AFW66">
        <f>13.43+9.14</f>
        <v>22.57</v>
      </c>
      <c r="AFX66">
        <v>3</v>
      </c>
      <c r="AGE66" s="18"/>
      <c r="AGW66">
        <v>0</v>
      </c>
      <c r="AIH66" s="16">
        <v>0</v>
      </c>
      <c r="AII66" s="16">
        <v>0</v>
      </c>
      <c r="AIJ66" s="16"/>
      <c r="AIK66" s="16"/>
      <c r="AIL66" s="16"/>
      <c r="AIM66" s="16"/>
      <c r="AIN66" s="16"/>
      <c r="AIO66" s="16"/>
      <c r="AIP66" s="16"/>
      <c r="AIQ66" s="16"/>
      <c r="AIR66" s="16"/>
      <c r="AIS66" s="16">
        <v>11.54</v>
      </c>
      <c r="AIT66" s="16">
        <v>22.57</v>
      </c>
      <c r="AIU66" s="16"/>
      <c r="AIV66" s="16"/>
      <c r="AIW66" s="16">
        <v>0</v>
      </c>
      <c r="AIX66" s="16">
        <v>0</v>
      </c>
      <c r="AIY66" s="16">
        <v>0</v>
      </c>
      <c r="AIZ66">
        <v>0</v>
      </c>
      <c r="AJA66" t="s">
        <v>281</v>
      </c>
      <c r="AJB66">
        <v>42.5</v>
      </c>
      <c r="AJC66" s="16">
        <v>76.400000000000006</v>
      </c>
      <c r="AJD66" s="16">
        <v>80.400000000000006</v>
      </c>
      <c r="AJE66" s="16">
        <v>15.3</v>
      </c>
      <c r="AJF66">
        <v>73.599999999999994</v>
      </c>
      <c r="AJG66">
        <v>20.420000000000002</v>
      </c>
      <c r="AJH66">
        <v>3.69</v>
      </c>
      <c r="AJI66">
        <v>0</v>
      </c>
      <c r="AJJ66">
        <v>2.2799999999999998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35.36</v>
      </c>
      <c r="AJT66">
        <v>16.37</v>
      </c>
      <c r="AJU66">
        <v>0</v>
      </c>
      <c r="AJV66">
        <v>4.4000000000000004</v>
      </c>
      <c r="AJW66">
        <v>2</v>
      </c>
      <c r="AJX66">
        <v>10</v>
      </c>
      <c r="AJY66">
        <v>0.9</v>
      </c>
      <c r="AKD66">
        <v>10</v>
      </c>
      <c r="AKE66">
        <v>0.9</v>
      </c>
      <c r="AKJ66">
        <v>9.6999999999999993</v>
      </c>
      <c r="AKK66">
        <v>1</v>
      </c>
      <c r="AKL66">
        <v>68</v>
      </c>
      <c r="AKM66">
        <v>2</v>
      </c>
      <c r="AKN66">
        <f>3.34+5.29</f>
        <v>8.629999999999999</v>
      </c>
      <c r="AKO66">
        <v>1</v>
      </c>
      <c r="AKP66">
        <v>34</v>
      </c>
      <c r="AKQ66">
        <v>86</v>
      </c>
      <c r="AKR66">
        <f>0.8+0.6</f>
        <v>1.4</v>
      </c>
      <c r="AKS66">
        <v>1</v>
      </c>
      <c r="AKT66">
        <v>47</v>
      </c>
      <c r="AKU66">
        <v>1</v>
      </c>
      <c r="AKV66" s="18">
        <v>1.52</v>
      </c>
      <c r="AKW66">
        <v>3</v>
      </c>
      <c r="ALN66">
        <v>0</v>
      </c>
    </row>
    <row r="67" spans="1:1018" x14ac:dyDescent="0.2">
      <c r="A67" s="1" t="s">
        <v>427</v>
      </c>
      <c r="B67" s="12">
        <v>42902</v>
      </c>
      <c r="C67">
        <v>2</v>
      </c>
      <c r="D67" s="13">
        <v>42814</v>
      </c>
      <c r="E67" s="12">
        <v>30938</v>
      </c>
      <c r="F67" s="14">
        <f t="shared" si="42"/>
        <v>32.755646817248461</v>
      </c>
      <c r="G67" s="14">
        <f t="shared" si="43"/>
        <v>0.24093086926762491</v>
      </c>
      <c r="H67" s="15" t="s">
        <v>217</v>
      </c>
      <c r="I67" s="15" t="s">
        <v>272</v>
      </c>
      <c r="J67" s="15" t="s">
        <v>181</v>
      </c>
      <c r="K67" s="21">
        <v>8</v>
      </c>
      <c r="L67" s="19">
        <v>65</v>
      </c>
      <c r="M67">
        <v>1.74</v>
      </c>
      <c r="N67" s="16">
        <f t="shared" si="44"/>
        <v>21.469150482230148</v>
      </c>
      <c r="O67" s="19">
        <v>0</v>
      </c>
      <c r="P67" s="19">
        <v>0</v>
      </c>
      <c r="Q67" s="19">
        <v>0</v>
      </c>
      <c r="R67" s="19">
        <v>0</v>
      </c>
      <c r="S67" s="19">
        <v>0</v>
      </c>
      <c r="T67" s="19">
        <v>0</v>
      </c>
      <c r="U67" s="19">
        <v>0</v>
      </c>
      <c r="V67" s="19">
        <v>0</v>
      </c>
      <c r="W67" s="19">
        <v>0</v>
      </c>
      <c r="X67" s="19">
        <v>0</v>
      </c>
      <c r="Y67" s="19">
        <v>1</v>
      </c>
      <c r="Z67" s="19">
        <v>1</v>
      </c>
      <c r="AA67" s="19">
        <v>60</v>
      </c>
      <c r="AB67" s="19" t="s">
        <v>428</v>
      </c>
      <c r="AC67" s="19">
        <v>1</v>
      </c>
      <c r="AD67" s="19">
        <v>10</v>
      </c>
      <c r="AE67" s="19">
        <v>0</v>
      </c>
      <c r="AF67" s="19">
        <v>0</v>
      </c>
      <c r="AG67" s="19">
        <v>0</v>
      </c>
      <c r="AH67" s="19">
        <v>0</v>
      </c>
      <c r="AI67" s="19">
        <v>0</v>
      </c>
      <c r="AJ67" s="19">
        <v>0</v>
      </c>
      <c r="AK67" s="19">
        <v>0</v>
      </c>
      <c r="AL67" s="19">
        <v>0</v>
      </c>
      <c r="AM67" s="19">
        <v>0</v>
      </c>
      <c r="AN67" s="19">
        <v>0</v>
      </c>
      <c r="AO67" s="19">
        <v>0</v>
      </c>
      <c r="AP67" s="19">
        <v>0</v>
      </c>
      <c r="AQ67" s="19">
        <v>0</v>
      </c>
      <c r="AR67" s="19">
        <v>0</v>
      </c>
      <c r="AS67" s="19">
        <v>0</v>
      </c>
      <c r="AT67" s="19">
        <v>0</v>
      </c>
      <c r="AU67" s="19">
        <v>0</v>
      </c>
      <c r="AV67" s="19">
        <v>0</v>
      </c>
      <c r="AW67" s="19">
        <v>0</v>
      </c>
      <c r="AX67" s="19">
        <v>0</v>
      </c>
      <c r="AY67" s="19">
        <v>0</v>
      </c>
      <c r="AZ67" s="19">
        <v>0</v>
      </c>
      <c r="BA67" s="19">
        <v>0</v>
      </c>
      <c r="BB67" s="19">
        <v>0</v>
      </c>
      <c r="BC67" s="19">
        <v>0</v>
      </c>
      <c r="BD67" s="19">
        <v>0</v>
      </c>
      <c r="BE67" s="19">
        <v>0</v>
      </c>
      <c r="BF67" s="19">
        <v>0</v>
      </c>
      <c r="BG67" s="19">
        <v>0</v>
      </c>
      <c r="BH67" s="19">
        <v>0</v>
      </c>
      <c r="BI67" s="19">
        <v>0</v>
      </c>
      <c r="BJ67" s="19">
        <v>0</v>
      </c>
      <c r="BK67" s="19">
        <v>0</v>
      </c>
      <c r="BL67" s="19">
        <v>0</v>
      </c>
      <c r="BM67" s="19">
        <v>0</v>
      </c>
      <c r="BN67" s="19">
        <v>0</v>
      </c>
      <c r="BO67" s="19">
        <v>0</v>
      </c>
      <c r="BP67" s="19">
        <v>0</v>
      </c>
      <c r="BQ67" s="19">
        <v>0</v>
      </c>
      <c r="BR67" s="19">
        <v>1</v>
      </c>
      <c r="BS67" s="19">
        <v>1</v>
      </c>
      <c r="BT67" s="19">
        <v>2</v>
      </c>
      <c r="BU67" s="19">
        <v>3</v>
      </c>
      <c r="BV67" s="19">
        <v>2</v>
      </c>
      <c r="BW67" s="19">
        <v>2</v>
      </c>
      <c r="BX67" s="19">
        <v>3</v>
      </c>
      <c r="BY67" s="19">
        <v>4</v>
      </c>
      <c r="BZ67" s="19">
        <v>3</v>
      </c>
      <c r="CA67" s="19">
        <v>3</v>
      </c>
      <c r="CB67" s="19">
        <v>3</v>
      </c>
      <c r="CC67" s="19">
        <v>5</v>
      </c>
      <c r="CD67" s="19">
        <v>5</v>
      </c>
      <c r="CE67" s="19">
        <v>3</v>
      </c>
      <c r="CF67" s="19">
        <v>3</v>
      </c>
      <c r="CG67" s="19">
        <v>5</v>
      </c>
      <c r="CH67" s="19">
        <v>4</v>
      </c>
      <c r="CI67" s="19">
        <v>4</v>
      </c>
      <c r="CJ67" s="19">
        <v>4</v>
      </c>
      <c r="CK67" s="19">
        <v>10</v>
      </c>
      <c r="CL67" t="s">
        <v>274</v>
      </c>
      <c r="CM67">
        <v>19.5</v>
      </c>
      <c r="CN67" s="16">
        <v>74.3</v>
      </c>
      <c r="CO67" s="16">
        <v>80.400000000000006</v>
      </c>
      <c r="CP67" s="16">
        <v>7.8</v>
      </c>
      <c r="CQ67">
        <v>89.52</v>
      </c>
      <c r="CR67">
        <v>8.69</v>
      </c>
      <c r="CS67">
        <v>1.79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18.73</v>
      </c>
      <c r="DD67">
        <v>9.35</v>
      </c>
      <c r="DE67">
        <v>0</v>
      </c>
      <c r="DF67">
        <v>0</v>
      </c>
      <c r="DG67">
        <v>0</v>
      </c>
      <c r="DU67">
        <v>3.92</v>
      </c>
      <c r="DV67">
        <v>1</v>
      </c>
      <c r="DW67">
        <v>52</v>
      </c>
      <c r="DX67">
        <v>4</v>
      </c>
      <c r="DY67">
        <f>1.01*2+0.56+0.9</f>
        <v>3.48</v>
      </c>
      <c r="DZ67">
        <v>2</v>
      </c>
      <c r="EG67" s="18"/>
      <c r="EY67">
        <v>1</v>
      </c>
      <c r="EZ67">
        <v>50</v>
      </c>
      <c r="FA67">
        <v>1</v>
      </c>
      <c r="FB67">
        <v>1.9</v>
      </c>
      <c r="FC67">
        <v>3</v>
      </c>
      <c r="GJ67" s="16">
        <v>2.2400000000000002</v>
      </c>
      <c r="GK67" s="16">
        <v>1</v>
      </c>
      <c r="GL67" s="16">
        <v>2</v>
      </c>
      <c r="GM67" s="16"/>
      <c r="GN67" s="16">
        <f>1.87*2</f>
        <v>3.74</v>
      </c>
      <c r="GO67" s="16"/>
      <c r="GP67" s="16"/>
      <c r="GQ67" s="16"/>
      <c r="GR67" s="16"/>
      <c r="GS67" s="16"/>
      <c r="GT67" s="16"/>
      <c r="GU67" s="16">
        <v>5.49</v>
      </c>
      <c r="GV67" s="16">
        <f>1.01*2+0.56+1.87*2+0.9</f>
        <v>7.2200000000000006</v>
      </c>
      <c r="GW67" s="16"/>
      <c r="GX67" s="16"/>
      <c r="GY67" s="16">
        <v>0</v>
      </c>
      <c r="GZ67" s="16">
        <v>0</v>
      </c>
      <c r="HA67" s="16">
        <v>0</v>
      </c>
      <c r="HB67">
        <v>0</v>
      </c>
      <c r="HC67" t="s">
        <v>275</v>
      </c>
      <c r="HD67">
        <v>19.5</v>
      </c>
      <c r="HE67" s="16">
        <v>74.599999999999994</v>
      </c>
      <c r="HF67" s="16">
        <v>80.400000000000006</v>
      </c>
      <c r="HG67" s="16">
        <v>7.8</v>
      </c>
      <c r="HH67">
        <v>89.29</v>
      </c>
      <c r="HI67">
        <v>8.92</v>
      </c>
      <c r="HJ67">
        <v>1.79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18.95</v>
      </c>
      <c r="HU67">
        <v>9.35</v>
      </c>
      <c r="HV67">
        <v>0</v>
      </c>
      <c r="HW67">
        <v>0</v>
      </c>
      <c r="HX67">
        <v>0</v>
      </c>
      <c r="IL67">
        <v>3.9</v>
      </c>
      <c r="IM67">
        <v>1</v>
      </c>
      <c r="IN67">
        <v>52</v>
      </c>
      <c r="IO67">
        <v>4</v>
      </c>
      <c r="IP67">
        <f>1.01*2+0.56+0.9</f>
        <v>3.48</v>
      </c>
      <c r="IQ67">
        <v>3</v>
      </c>
      <c r="IX67" s="18"/>
      <c r="JP67">
        <v>1</v>
      </c>
      <c r="JQ67">
        <v>50</v>
      </c>
      <c r="JR67">
        <v>1</v>
      </c>
      <c r="JS67">
        <v>1.9</v>
      </c>
      <c r="JT67">
        <v>3</v>
      </c>
      <c r="LA67" s="16">
        <v>2.2400000000000002</v>
      </c>
      <c r="LB67" s="16">
        <v>1</v>
      </c>
      <c r="LC67" s="16">
        <v>2</v>
      </c>
      <c r="LD67" s="16"/>
      <c r="LE67" s="16">
        <f>1.87*2</f>
        <v>3.74</v>
      </c>
      <c r="LF67" s="16"/>
      <c r="LG67" s="16"/>
      <c r="LH67" s="16"/>
      <c r="LI67" s="16"/>
      <c r="LJ67" s="16"/>
      <c r="LK67" s="16"/>
      <c r="LL67" s="16">
        <v>6.49</v>
      </c>
      <c r="LM67" s="16">
        <f>1.01*2+0.56+1.87*2+0.9</f>
        <v>7.2200000000000006</v>
      </c>
      <c r="LN67" s="16"/>
      <c r="LO67" s="16"/>
      <c r="LP67" s="16">
        <v>0</v>
      </c>
      <c r="LQ67" s="16">
        <v>0</v>
      </c>
      <c r="LR67" s="16">
        <v>0</v>
      </c>
      <c r="LS67">
        <v>0</v>
      </c>
      <c r="LT67" t="s">
        <v>276</v>
      </c>
      <c r="LU67">
        <v>22.5</v>
      </c>
      <c r="LV67" s="16">
        <v>73.400000000000006</v>
      </c>
      <c r="LW67" s="16">
        <v>80.400000000000006</v>
      </c>
      <c r="LX67" s="16">
        <v>10.4</v>
      </c>
      <c r="LY67">
        <v>88.12</v>
      </c>
      <c r="LZ67">
        <v>6.29</v>
      </c>
      <c r="MA67">
        <v>4.25</v>
      </c>
      <c r="MB67">
        <v>0</v>
      </c>
      <c r="MC67">
        <v>1.34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2.46</v>
      </c>
      <c r="ML67">
        <v>13.2</v>
      </c>
      <c r="MM67">
        <v>0</v>
      </c>
      <c r="MN67">
        <v>0</v>
      </c>
      <c r="MO67">
        <v>0</v>
      </c>
      <c r="NC67">
        <v>0</v>
      </c>
      <c r="NO67" s="18"/>
      <c r="PR67" s="16">
        <v>2.2400000000000002</v>
      </c>
      <c r="PS67" s="16">
        <v>1</v>
      </c>
      <c r="PT67" s="16">
        <v>2</v>
      </c>
      <c r="PU67" s="16">
        <v>3.73</v>
      </c>
      <c r="PV67" s="16"/>
      <c r="PW67" s="16"/>
      <c r="PX67" s="16"/>
      <c r="PY67" s="16"/>
      <c r="PZ67" s="16"/>
      <c r="QA67" s="16"/>
      <c r="QB67" s="16"/>
      <c r="QC67" s="16">
        <v>9.68</v>
      </c>
      <c r="QD67" s="16">
        <f>2.01+1.34+2.69+3.73+0.81</f>
        <v>10.58</v>
      </c>
      <c r="QE67" s="16"/>
      <c r="QF67" s="16"/>
      <c r="QG67" s="16">
        <v>0</v>
      </c>
      <c r="QH67" s="16">
        <v>0</v>
      </c>
      <c r="QI67" s="16">
        <v>0.16</v>
      </c>
      <c r="QJ67">
        <v>0</v>
      </c>
      <c r="QK67" t="s">
        <v>277</v>
      </c>
      <c r="QL67">
        <v>29.5</v>
      </c>
      <c r="QM67" s="16">
        <v>53.8</v>
      </c>
      <c r="QN67" s="16">
        <v>80.400000000000006</v>
      </c>
      <c r="QO67" s="16">
        <v>12.1</v>
      </c>
      <c r="QP67">
        <v>86.6</v>
      </c>
      <c r="QQ67">
        <v>8.48</v>
      </c>
      <c r="QR67">
        <v>4.93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2.02</v>
      </c>
      <c r="RC67">
        <v>19.559999999999999</v>
      </c>
      <c r="RD67">
        <v>0.25</v>
      </c>
      <c r="RE67">
        <v>0</v>
      </c>
      <c r="RF67">
        <v>0</v>
      </c>
      <c r="RG67">
        <v>0</v>
      </c>
      <c r="RH67">
        <v>0</v>
      </c>
      <c r="RN67">
        <v>0</v>
      </c>
      <c r="RT67">
        <v>0</v>
      </c>
      <c r="RU67">
        <v>0</v>
      </c>
      <c r="SF67" s="18"/>
      <c r="SX67">
        <v>0</v>
      </c>
      <c r="UI67" s="16">
        <v>6.72</v>
      </c>
      <c r="UJ67" s="16">
        <v>1</v>
      </c>
      <c r="UK67" s="16">
        <v>2</v>
      </c>
      <c r="UL67" s="16"/>
      <c r="UM67" s="16">
        <f>3.73*3</f>
        <v>11.19</v>
      </c>
      <c r="UN67" s="16"/>
      <c r="UO67" s="16"/>
      <c r="UP67" s="16"/>
      <c r="UQ67" s="16"/>
      <c r="UR67" s="16"/>
      <c r="US67" s="16"/>
      <c r="UT67" s="16">
        <v>10.6</v>
      </c>
      <c r="UU67" s="16">
        <v>12.44</v>
      </c>
      <c r="UV67" s="16"/>
      <c r="UW67" s="16"/>
      <c r="UX67" s="16">
        <v>0</v>
      </c>
      <c r="UY67" s="16">
        <v>0</v>
      </c>
      <c r="UZ67" s="16">
        <v>0</v>
      </c>
      <c r="VA67">
        <v>0</v>
      </c>
      <c r="VB67" t="s">
        <v>278</v>
      </c>
      <c r="VC67">
        <v>51.5</v>
      </c>
      <c r="VD67" s="16">
        <v>63.4</v>
      </c>
      <c r="VE67" s="16">
        <v>80.400000000000006</v>
      </c>
      <c r="VF67" s="16">
        <v>18.100000000000001</v>
      </c>
      <c r="VG67">
        <v>83.5</v>
      </c>
      <c r="VH67">
        <v>5.36</v>
      </c>
      <c r="VI67">
        <v>8.4600000000000009</v>
      </c>
      <c r="VJ67">
        <v>0</v>
      </c>
      <c r="VK67">
        <v>2.69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0.99</v>
      </c>
      <c r="VT67">
        <v>13.55</v>
      </c>
      <c r="VU67">
        <v>16.2</v>
      </c>
      <c r="VV67">
        <v>0</v>
      </c>
      <c r="VW67">
        <v>0</v>
      </c>
      <c r="VX67">
        <v>0</v>
      </c>
      <c r="WK67">
        <v>18.399999999999999</v>
      </c>
      <c r="WL67">
        <v>1</v>
      </c>
      <c r="WM67">
        <v>47</v>
      </c>
      <c r="WN67">
        <v>1</v>
      </c>
      <c r="WO67">
        <v>0.9</v>
      </c>
      <c r="WP67">
        <v>3</v>
      </c>
      <c r="WQ67">
        <v>35</v>
      </c>
      <c r="WR67">
        <v>3</v>
      </c>
      <c r="WS67">
        <f>0.94</f>
        <v>0.94</v>
      </c>
      <c r="WT67">
        <v>3</v>
      </c>
      <c r="WU67">
        <v>68</v>
      </c>
      <c r="WV67">
        <v>1</v>
      </c>
      <c r="WW67" s="18">
        <v>6.22</v>
      </c>
      <c r="WX67">
        <v>1</v>
      </c>
      <c r="XO67">
        <v>0</v>
      </c>
      <c r="YZ67" s="16">
        <v>3.75</v>
      </c>
      <c r="ZA67" s="16">
        <v>1</v>
      </c>
      <c r="ZB67" s="16">
        <v>1</v>
      </c>
      <c r="ZC67" s="16"/>
      <c r="ZD67" s="16">
        <f>2.49+0.05+0.03</f>
        <v>2.57</v>
      </c>
      <c r="ZE67" s="16">
        <v>2</v>
      </c>
      <c r="ZF67" s="16"/>
      <c r="ZG67" s="16">
        <v>2.4900000000000002</v>
      </c>
      <c r="ZH67" s="16"/>
      <c r="ZI67" s="16"/>
      <c r="ZJ67" s="16"/>
      <c r="ZK67" s="16">
        <v>11.1</v>
      </c>
      <c r="ZL67" s="16">
        <v>18.47</v>
      </c>
      <c r="ZM67" s="16"/>
      <c r="ZN67" s="16"/>
      <c r="ZO67" s="16">
        <v>0</v>
      </c>
      <c r="ZP67" s="16">
        <v>0</v>
      </c>
      <c r="ZQ67" s="16">
        <v>0</v>
      </c>
      <c r="ZR67">
        <v>0</v>
      </c>
      <c r="ZS67" t="s">
        <v>279</v>
      </c>
      <c r="ZT67">
        <v>33.5</v>
      </c>
      <c r="ZU67" s="16">
        <v>54</v>
      </c>
      <c r="ZV67" s="16">
        <v>80.400000000000006</v>
      </c>
      <c r="ZW67" s="16">
        <v>9.6</v>
      </c>
      <c r="ZX67">
        <v>86.69</v>
      </c>
      <c r="ZY67">
        <v>8.34</v>
      </c>
      <c r="ZZ67">
        <v>4.97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12.83</v>
      </c>
      <c r="AAK67">
        <v>6.09</v>
      </c>
      <c r="AAL67">
        <v>0</v>
      </c>
      <c r="AAM67">
        <v>0</v>
      </c>
      <c r="AAN67">
        <v>0</v>
      </c>
      <c r="AAO67">
        <v>0</v>
      </c>
      <c r="ABB67">
        <v>11.3</v>
      </c>
      <c r="ABC67">
        <v>1</v>
      </c>
      <c r="ABD67">
        <v>47</v>
      </c>
      <c r="ABE67">
        <v>1</v>
      </c>
      <c r="ABF67">
        <v>0.9</v>
      </c>
      <c r="ABG67">
        <v>3</v>
      </c>
      <c r="ABH67">
        <v>35</v>
      </c>
      <c r="ABI67">
        <v>2</v>
      </c>
      <c r="ABJ67">
        <v>0.92</v>
      </c>
      <c r="ABK67">
        <v>3</v>
      </c>
      <c r="ABN67" s="18"/>
      <c r="ACF67">
        <v>0</v>
      </c>
      <c r="ADQ67" s="16">
        <v>3.75</v>
      </c>
      <c r="ADR67" s="16">
        <v>1</v>
      </c>
      <c r="ADS67" s="16">
        <v>1</v>
      </c>
      <c r="ADT67" s="16"/>
      <c r="ADU67" s="16">
        <f>2.49+0.05+0.03</f>
        <v>2.57</v>
      </c>
      <c r="ADV67" s="16">
        <v>2</v>
      </c>
      <c r="ADW67" s="16"/>
      <c r="ADX67" s="16">
        <v>2.4900000000000002</v>
      </c>
      <c r="ADY67" s="16"/>
      <c r="ADZ67" s="16"/>
      <c r="AEA67" s="16"/>
      <c r="AEB67" s="16">
        <v>8.81</v>
      </c>
      <c r="AEC67" s="16">
        <v>6.01</v>
      </c>
      <c r="AED67" s="16"/>
      <c r="AEE67" s="16"/>
      <c r="AEF67" s="16">
        <v>0</v>
      </c>
      <c r="AEG67" s="16">
        <v>0</v>
      </c>
      <c r="AEH67" s="16">
        <v>0</v>
      </c>
      <c r="AEI67">
        <v>0</v>
      </c>
      <c r="AEJ67" t="s">
        <v>280</v>
      </c>
      <c r="AEK67">
        <v>79</v>
      </c>
      <c r="AEL67" s="16">
        <v>63.9</v>
      </c>
      <c r="AEM67" s="16">
        <v>80.400000000000006</v>
      </c>
      <c r="AEN67" s="16">
        <v>11.2</v>
      </c>
      <c r="AEO67">
        <v>77.430000000000007</v>
      </c>
      <c r="AEP67">
        <v>22.57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45.87</v>
      </c>
      <c r="AFC67">
        <v>0</v>
      </c>
      <c r="AFD67">
        <v>0</v>
      </c>
      <c r="AFE67">
        <v>0</v>
      </c>
      <c r="AFF67">
        <v>0</v>
      </c>
      <c r="AFS67">
        <v>56.3</v>
      </c>
      <c r="AFT67">
        <v>1</v>
      </c>
      <c r="AFU67">
        <v>47</v>
      </c>
      <c r="AFV67">
        <v>18</v>
      </c>
      <c r="AFW67">
        <f>13.43+9.14</f>
        <v>22.57</v>
      </c>
      <c r="AFX67">
        <v>3</v>
      </c>
      <c r="AGE67" s="18"/>
      <c r="AGW67">
        <v>0</v>
      </c>
      <c r="AIH67" s="16">
        <v>0</v>
      </c>
      <c r="AII67" s="16">
        <v>0</v>
      </c>
      <c r="AIJ67" s="16"/>
      <c r="AIK67" s="16"/>
      <c r="AIL67" s="16"/>
      <c r="AIM67" s="16"/>
      <c r="AIN67" s="16"/>
      <c r="AIO67" s="16"/>
      <c r="AIP67" s="16"/>
      <c r="AIQ67" s="16"/>
      <c r="AIR67" s="16"/>
      <c r="AIS67" s="16">
        <v>11.54</v>
      </c>
      <c r="AIT67" s="16">
        <v>22.57</v>
      </c>
      <c r="AIU67" s="16"/>
      <c r="AIV67" s="16"/>
      <c r="AIW67" s="16">
        <v>0</v>
      </c>
      <c r="AIX67" s="16">
        <v>0</v>
      </c>
      <c r="AIY67" s="16">
        <v>0</v>
      </c>
      <c r="AIZ67">
        <v>0</v>
      </c>
      <c r="AJA67" t="s">
        <v>281</v>
      </c>
      <c r="AJB67">
        <v>42.5</v>
      </c>
      <c r="AJC67" s="16">
        <v>76.400000000000006</v>
      </c>
      <c r="AJD67" s="16">
        <v>80.400000000000006</v>
      </c>
      <c r="AJE67" s="16">
        <v>15.3</v>
      </c>
      <c r="AJF67">
        <v>73.599999999999994</v>
      </c>
      <c r="AJG67">
        <v>20.420000000000002</v>
      </c>
      <c r="AJH67">
        <v>3.69</v>
      </c>
      <c r="AJI67">
        <v>0</v>
      </c>
      <c r="AJJ67">
        <v>2.2799999999999998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35.36</v>
      </c>
      <c r="AJT67">
        <v>16.37</v>
      </c>
      <c r="AJU67">
        <v>0</v>
      </c>
      <c r="AJV67">
        <v>4.4000000000000004</v>
      </c>
      <c r="AJW67">
        <v>2</v>
      </c>
      <c r="AJX67">
        <v>10</v>
      </c>
      <c r="AJY67">
        <v>0.9</v>
      </c>
      <c r="AKD67">
        <v>10</v>
      </c>
      <c r="AKE67">
        <v>0.9</v>
      </c>
      <c r="AKJ67">
        <v>9.6999999999999993</v>
      </c>
      <c r="AKK67">
        <v>1</v>
      </c>
      <c r="AKL67">
        <v>68</v>
      </c>
      <c r="AKM67">
        <v>2</v>
      </c>
      <c r="AKN67">
        <f>3.34+5.29</f>
        <v>8.629999999999999</v>
      </c>
      <c r="AKO67">
        <v>1</v>
      </c>
      <c r="AKP67">
        <v>34</v>
      </c>
      <c r="AKQ67">
        <v>86</v>
      </c>
      <c r="AKR67">
        <f>0.8+0.6</f>
        <v>1.4</v>
      </c>
      <c r="AKS67">
        <v>1</v>
      </c>
      <c r="AKT67">
        <v>47</v>
      </c>
      <c r="AKU67">
        <v>1</v>
      </c>
      <c r="AKV67" s="18">
        <v>1.52</v>
      </c>
      <c r="AKW67">
        <v>3</v>
      </c>
      <c r="ALN67">
        <v>0</v>
      </c>
    </row>
    <row r="68" spans="1:1018" x14ac:dyDescent="0.2">
      <c r="A68" s="1" t="s">
        <v>429</v>
      </c>
      <c r="B68" s="12">
        <v>42902</v>
      </c>
      <c r="C68">
        <v>2</v>
      </c>
      <c r="D68" s="13">
        <v>35009</v>
      </c>
      <c r="E68" s="12">
        <v>26428</v>
      </c>
      <c r="F68" s="14">
        <f t="shared" si="42"/>
        <v>45.103353867214238</v>
      </c>
      <c r="G68" s="14">
        <f t="shared" si="43"/>
        <v>21.609856262833677</v>
      </c>
      <c r="H68" s="15" t="s">
        <v>183</v>
      </c>
      <c r="I68" s="15" t="s">
        <v>298</v>
      </c>
      <c r="J68" s="15" t="s">
        <v>181</v>
      </c>
      <c r="K68" s="21">
        <v>8</v>
      </c>
      <c r="L68" s="19">
        <v>70</v>
      </c>
      <c r="M68">
        <v>1.72</v>
      </c>
      <c r="N68" s="16">
        <f t="shared" si="44"/>
        <v>23.661438615467823</v>
      </c>
      <c r="O68" s="19">
        <v>0</v>
      </c>
      <c r="P68" s="19">
        <v>0</v>
      </c>
      <c r="Q68" s="19">
        <v>0</v>
      </c>
      <c r="R68" s="19">
        <v>0</v>
      </c>
      <c r="S68" s="19">
        <v>0</v>
      </c>
      <c r="T68" s="19">
        <v>0</v>
      </c>
      <c r="U68" s="19">
        <v>1</v>
      </c>
      <c r="V68" s="19">
        <v>5</v>
      </c>
      <c r="W68" s="19">
        <v>1</v>
      </c>
      <c r="X68" s="19">
        <v>1</v>
      </c>
      <c r="Y68" s="19">
        <v>0</v>
      </c>
      <c r="Z68" s="19">
        <v>0</v>
      </c>
      <c r="AA68" s="19">
        <v>0</v>
      </c>
      <c r="AB68" s="19">
        <v>0</v>
      </c>
      <c r="AC68" s="19">
        <v>1</v>
      </c>
      <c r="AD68" s="19">
        <v>10</v>
      </c>
      <c r="AE68" s="19">
        <v>1</v>
      </c>
      <c r="AF68" s="19">
        <v>1</v>
      </c>
      <c r="AG68" s="19">
        <v>1</v>
      </c>
      <c r="AH68" s="19">
        <v>7</v>
      </c>
      <c r="AI68" s="19">
        <v>3</v>
      </c>
      <c r="AJ68" s="19">
        <v>3</v>
      </c>
      <c r="AK68" s="19">
        <v>3</v>
      </c>
      <c r="AL68" s="19">
        <v>7</v>
      </c>
      <c r="AM68" s="19">
        <v>8</v>
      </c>
      <c r="AN68" s="19">
        <v>3</v>
      </c>
      <c r="AO68" s="19">
        <v>3</v>
      </c>
      <c r="AP68" s="19">
        <v>3</v>
      </c>
      <c r="AQ68" s="19">
        <v>5</v>
      </c>
      <c r="AR68" s="19">
        <v>5</v>
      </c>
      <c r="AS68" s="19">
        <v>3</v>
      </c>
      <c r="AT68" s="19">
        <v>3</v>
      </c>
      <c r="AU68" s="19">
        <v>3</v>
      </c>
      <c r="AV68" s="19">
        <v>6</v>
      </c>
      <c r="AW68" s="19">
        <v>7</v>
      </c>
      <c r="AX68" s="19">
        <v>0</v>
      </c>
      <c r="AY68" s="19">
        <v>0</v>
      </c>
      <c r="AZ68" s="19">
        <v>0</v>
      </c>
      <c r="BA68" s="19">
        <v>0</v>
      </c>
      <c r="BB68" s="19">
        <v>1</v>
      </c>
      <c r="BC68" s="19">
        <v>1</v>
      </c>
      <c r="BD68" s="19">
        <v>1</v>
      </c>
      <c r="BE68" s="19">
        <v>6</v>
      </c>
      <c r="BF68" s="19">
        <v>1</v>
      </c>
      <c r="BG68" s="19">
        <v>1</v>
      </c>
      <c r="BH68" s="19">
        <v>1</v>
      </c>
      <c r="BI68" s="19">
        <v>7</v>
      </c>
      <c r="BJ68" s="19">
        <v>1</v>
      </c>
      <c r="BK68" s="19">
        <v>0</v>
      </c>
      <c r="BL68" s="19">
        <v>1</v>
      </c>
      <c r="BM68" s="19">
        <v>5</v>
      </c>
      <c r="BN68" s="19">
        <v>0</v>
      </c>
      <c r="BO68" s="19">
        <v>0</v>
      </c>
      <c r="BP68" s="19">
        <v>0</v>
      </c>
      <c r="BQ68" s="19">
        <v>0</v>
      </c>
      <c r="BR68" s="19">
        <v>3</v>
      </c>
      <c r="BS68" s="19">
        <v>1</v>
      </c>
      <c r="BT68" s="19">
        <v>3</v>
      </c>
      <c r="BU68" s="19">
        <v>3</v>
      </c>
      <c r="BV68" s="19">
        <v>1</v>
      </c>
      <c r="BW68" s="19">
        <v>1</v>
      </c>
      <c r="BX68" s="19">
        <v>1</v>
      </c>
      <c r="BY68" s="19">
        <v>3</v>
      </c>
      <c r="BZ68" s="19">
        <v>1</v>
      </c>
      <c r="CA68" s="19">
        <v>1</v>
      </c>
      <c r="CB68" s="19">
        <v>3</v>
      </c>
      <c r="CC68" s="19">
        <v>4</v>
      </c>
      <c r="CD68" s="19">
        <v>1</v>
      </c>
      <c r="CE68" s="19">
        <v>1</v>
      </c>
      <c r="CF68" s="19">
        <v>3</v>
      </c>
      <c r="CG68" s="19">
        <v>3</v>
      </c>
      <c r="CH68" s="19">
        <v>1</v>
      </c>
      <c r="CI68" s="19">
        <v>3</v>
      </c>
      <c r="CJ68" s="19">
        <v>2</v>
      </c>
      <c r="CK68" s="19">
        <v>3</v>
      </c>
      <c r="CL68" t="s">
        <v>299</v>
      </c>
      <c r="CM68">
        <v>17.5</v>
      </c>
      <c r="CN68" s="16">
        <v>81.900000000000006</v>
      </c>
      <c r="CO68" s="16">
        <v>80.400000000000006</v>
      </c>
      <c r="CP68" s="16">
        <v>12.5</v>
      </c>
      <c r="CQ68">
        <v>85.79</v>
      </c>
      <c r="CR68" s="17">
        <v>0</v>
      </c>
      <c r="CS68">
        <v>10.02</v>
      </c>
      <c r="CT68">
        <v>0</v>
      </c>
      <c r="CU68">
        <v>0</v>
      </c>
      <c r="CV68">
        <v>0</v>
      </c>
      <c r="CW68">
        <v>4.1900000000000004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53.51</v>
      </c>
      <c r="DD68">
        <v>0</v>
      </c>
      <c r="DE68">
        <v>0</v>
      </c>
      <c r="DF68">
        <v>0</v>
      </c>
      <c r="DG68">
        <v>0</v>
      </c>
      <c r="DH68">
        <v>0</v>
      </c>
      <c r="DU68">
        <v>0</v>
      </c>
      <c r="DV68">
        <v>0</v>
      </c>
      <c r="EG68" s="20"/>
      <c r="EY68">
        <v>0</v>
      </c>
      <c r="GJ68" s="16">
        <v>3.38</v>
      </c>
      <c r="GK68" s="16">
        <v>1</v>
      </c>
      <c r="GL68" s="16">
        <v>1</v>
      </c>
      <c r="GM68" s="16"/>
      <c r="GN68" s="16">
        <v>12.64</v>
      </c>
      <c r="GO68" s="16"/>
      <c r="GP68" s="16"/>
      <c r="GQ68" s="16"/>
      <c r="GR68" s="16"/>
      <c r="GS68" s="16"/>
      <c r="GT68" s="16"/>
      <c r="GU68" s="16">
        <v>0</v>
      </c>
      <c r="GV68" s="16">
        <v>0</v>
      </c>
      <c r="GW68" s="16">
        <v>0</v>
      </c>
      <c r="GX68" s="16">
        <v>0</v>
      </c>
      <c r="GY68" s="16">
        <v>0</v>
      </c>
      <c r="GZ68" s="16">
        <v>0</v>
      </c>
      <c r="HA68" s="16">
        <v>0</v>
      </c>
      <c r="HB68">
        <v>0</v>
      </c>
      <c r="HC68" t="s">
        <v>300</v>
      </c>
      <c r="HD68">
        <v>31</v>
      </c>
      <c r="HE68" s="16">
        <v>86.2</v>
      </c>
      <c r="HF68" s="16">
        <v>80.400000000000006</v>
      </c>
      <c r="HG68" s="16">
        <v>19.399999999999999</v>
      </c>
      <c r="HH68">
        <v>23.44</v>
      </c>
      <c r="HI68" s="17">
        <v>0</v>
      </c>
      <c r="HJ68">
        <v>0</v>
      </c>
      <c r="HK68">
        <v>0</v>
      </c>
      <c r="HL68">
        <v>0.94</v>
      </c>
      <c r="HM68">
        <v>0</v>
      </c>
      <c r="HN68">
        <v>75.62</v>
      </c>
      <c r="HO68">
        <v>16.829999999999998</v>
      </c>
      <c r="HP68">
        <v>0</v>
      </c>
      <c r="HQ68">
        <v>0</v>
      </c>
      <c r="HR68">
        <v>0</v>
      </c>
      <c r="HS68">
        <v>0</v>
      </c>
      <c r="HT68">
        <v>6.9</v>
      </c>
      <c r="HU68">
        <v>42.32</v>
      </c>
      <c r="HV68">
        <v>0</v>
      </c>
      <c r="HW68">
        <v>0</v>
      </c>
      <c r="HX68">
        <v>0</v>
      </c>
      <c r="HY68">
        <v>0</v>
      </c>
      <c r="IL68">
        <v>0</v>
      </c>
      <c r="IM68">
        <v>0</v>
      </c>
      <c r="IX68" s="20"/>
      <c r="JP68">
        <v>0</v>
      </c>
      <c r="LA68" s="16">
        <v>5.0599999999999996</v>
      </c>
      <c r="LB68" s="16">
        <v>1</v>
      </c>
      <c r="LC68" s="16">
        <v>1</v>
      </c>
      <c r="LD68" s="16"/>
      <c r="LE68" s="16">
        <v>6.74</v>
      </c>
      <c r="LF68" s="16">
        <v>2</v>
      </c>
      <c r="LG68" s="16"/>
      <c r="LH68" s="16">
        <v>10.7</v>
      </c>
      <c r="LI68" s="16"/>
      <c r="LJ68" s="16"/>
      <c r="LK68" s="16"/>
      <c r="LL68" s="16">
        <v>0</v>
      </c>
      <c r="LM68" s="16">
        <v>0</v>
      </c>
      <c r="LN68" s="16">
        <v>0</v>
      </c>
      <c r="LO68" s="16">
        <v>0</v>
      </c>
      <c r="LP68" s="16">
        <v>5.97</v>
      </c>
      <c r="LQ68" s="16">
        <v>0</v>
      </c>
      <c r="LR68" s="16">
        <v>0</v>
      </c>
      <c r="LS68">
        <v>1</v>
      </c>
      <c r="LT68" t="s">
        <v>301</v>
      </c>
      <c r="LU68">
        <v>44</v>
      </c>
      <c r="LV68" s="16">
        <v>88.4</v>
      </c>
      <c r="LW68" s="16">
        <v>80.400000000000006</v>
      </c>
      <c r="LX68" s="16">
        <v>40</v>
      </c>
      <c r="LY68">
        <v>11.38</v>
      </c>
      <c r="LZ68" s="17">
        <v>0</v>
      </c>
      <c r="MA68">
        <v>0</v>
      </c>
      <c r="MB68">
        <v>0</v>
      </c>
      <c r="MC68">
        <v>0</v>
      </c>
      <c r="MD68">
        <v>0</v>
      </c>
      <c r="ME68">
        <v>88.62</v>
      </c>
      <c r="MF68">
        <v>22.58</v>
      </c>
      <c r="MG68">
        <v>24.22</v>
      </c>
      <c r="MH68">
        <v>0</v>
      </c>
      <c r="MI68">
        <v>0</v>
      </c>
      <c r="MJ68">
        <v>0</v>
      </c>
      <c r="MK68">
        <v>26.59</v>
      </c>
      <c r="ML68">
        <v>0.54</v>
      </c>
      <c r="MM68">
        <v>0</v>
      </c>
      <c r="MN68">
        <v>0</v>
      </c>
      <c r="MO68">
        <v>0</v>
      </c>
      <c r="MP68">
        <v>0</v>
      </c>
      <c r="NC68">
        <v>0</v>
      </c>
      <c r="ND68">
        <v>0</v>
      </c>
      <c r="NO68" s="20"/>
      <c r="OG68">
        <v>1</v>
      </c>
      <c r="OH68">
        <v>40</v>
      </c>
      <c r="OI68">
        <v>2</v>
      </c>
      <c r="OJ68">
        <v>0.26</v>
      </c>
      <c r="OK68">
        <v>3</v>
      </c>
      <c r="PR68" s="16">
        <v>3.77</v>
      </c>
      <c r="PS68" s="16">
        <v>1</v>
      </c>
      <c r="PT68" s="16">
        <v>1</v>
      </c>
      <c r="PU68" s="16"/>
      <c r="PV68" s="16">
        <v>25.78</v>
      </c>
      <c r="PW68" s="16"/>
      <c r="PX68" s="16"/>
      <c r="PY68" s="16"/>
      <c r="PZ68" s="16"/>
      <c r="QA68" s="16"/>
      <c r="QB68" s="16"/>
      <c r="QC68" s="16">
        <v>0</v>
      </c>
      <c r="QD68" s="16">
        <v>0</v>
      </c>
      <c r="QE68" s="16">
        <v>0</v>
      </c>
      <c r="QF68" s="16">
        <v>0</v>
      </c>
      <c r="QG68" s="16">
        <v>0</v>
      </c>
      <c r="QH68" s="16">
        <v>0</v>
      </c>
      <c r="QI68" s="16">
        <v>0</v>
      </c>
      <c r="QJ68">
        <v>0</v>
      </c>
      <c r="QK68" t="s">
        <v>207</v>
      </c>
      <c r="QL68">
        <v>20.5</v>
      </c>
      <c r="QM68" s="16">
        <v>85.6</v>
      </c>
      <c r="QN68" s="16">
        <v>80.400000000000006</v>
      </c>
      <c r="QO68" s="16">
        <v>17.7</v>
      </c>
      <c r="QP68">
        <v>63.65</v>
      </c>
      <c r="QQ68" s="17">
        <v>0</v>
      </c>
      <c r="QR68">
        <v>0</v>
      </c>
      <c r="QS68">
        <v>0</v>
      </c>
      <c r="QT68">
        <v>47.03</v>
      </c>
      <c r="QU68">
        <v>0</v>
      </c>
      <c r="QV68">
        <v>11.64</v>
      </c>
      <c r="QW68">
        <v>0</v>
      </c>
      <c r="QX68">
        <v>0</v>
      </c>
      <c r="QY68">
        <v>5.03</v>
      </c>
      <c r="QZ68">
        <v>0</v>
      </c>
      <c r="RA68">
        <v>2.93</v>
      </c>
      <c r="RB68">
        <v>24.27</v>
      </c>
      <c r="RC68">
        <v>17.25</v>
      </c>
      <c r="RD68">
        <v>0</v>
      </c>
      <c r="RE68">
        <v>0</v>
      </c>
      <c r="RF68">
        <v>0</v>
      </c>
      <c r="RG68">
        <v>0</v>
      </c>
      <c r="RT68">
        <v>0</v>
      </c>
      <c r="RU68">
        <v>0</v>
      </c>
      <c r="SF68" s="20"/>
      <c r="SX68">
        <v>0</v>
      </c>
      <c r="UI68" s="16">
        <v>1.47</v>
      </c>
      <c r="UJ68" s="16">
        <v>1</v>
      </c>
      <c r="UK68" s="16">
        <v>1</v>
      </c>
      <c r="UL68" s="16"/>
      <c r="UM68" s="16">
        <v>2.94</v>
      </c>
      <c r="UN68" s="16"/>
      <c r="UO68" s="16"/>
      <c r="UP68" s="16"/>
      <c r="UQ68" s="16"/>
      <c r="UR68" s="16"/>
      <c r="US68" s="16"/>
      <c r="UT68" s="16">
        <v>0</v>
      </c>
      <c r="UU68" s="16">
        <v>0</v>
      </c>
      <c r="UV68" s="16">
        <v>0</v>
      </c>
      <c r="UW68" s="16">
        <v>0</v>
      </c>
      <c r="UX68" s="16">
        <v>0</v>
      </c>
      <c r="UY68" s="16">
        <v>0</v>
      </c>
      <c r="UZ68" s="16">
        <v>0</v>
      </c>
      <c r="VA68">
        <v>0</v>
      </c>
      <c r="VB68" t="s">
        <v>208</v>
      </c>
      <c r="VC68">
        <v>35</v>
      </c>
      <c r="VD68" s="16">
        <v>69.2</v>
      </c>
      <c r="VE68" s="16">
        <v>80.400000000000006</v>
      </c>
      <c r="VF68" s="16">
        <v>24</v>
      </c>
      <c r="VG68">
        <v>71.73</v>
      </c>
      <c r="VH68" s="17">
        <v>0</v>
      </c>
      <c r="VI68">
        <v>0</v>
      </c>
      <c r="VJ68">
        <v>6.09</v>
      </c>
      <c r="VK68">
        <v>19.28</v>
      </c>
      <c r="VL68">
        <v>0</v>
      </c>
      <c r="VM68">
        <v>2.83</v>
      </c>
      <c r="VN68">
        <v>0</v>
      </c>
      <c r="VO68">
        <v>0</v>
      </c>
      <c r="VP68">
        <v>0</v>
      </c>
      <c r="VQ68">
        <v>0</v>
      </c>
      <c r="VR68">
        <v>14.46</v>
      </c>
      <c r="VS68">
        <v>19.89</v>
      </c>
      <c r="VT68">
        <v>24.43</v>
      </c>
      <c r="VU68">
        <v>0</v>
      </c>
      <c r="VV68">
        <v>7.0000000000000007E-2</v>
      </c>
      <c r="VW68">
        <v>0</v>
      </c>
      <c r="VX68">
        <v>0</v>
      </c>
      <c r="WK68">
        <v>2</v>
      </c>
      <c r="WL68">
        <v>0</v>
      </c>
      <c r="WW68" s="20"/>
      <c r="XO68">
        <v>1</v>
      </c>
      <c r="XP68">
        <v>40</v>
      </c>
      <c r="XQ68">
        <v>2</v>
      </c>
      <c r="XR68">
        <v>1.52</v>
      </c>
      <c r="XS68">
        <v>3</v>
      </c>
      <c r="XT68">
        <v>50</v>
      </c>
      <c r="XU68">
        <v>4</v>
      </c>
      <c r="XV68">
        <v>0.54</v>
      </c>
      <c r="XW68">
        <v>1</v>
      </c>
      <c r="YZ68" s="16">
        <v>1.6</v>
      </c>
      <c r="ZA68" s="16">
        <v>1</v>
      </c>
      <c r="ZB68" s="16">
        <v>1</v>
      </c>
      <c r="ZC68" s="16"/>
      <c r="ZD68" s="16">
        <v>7.09</v>
      </c>
      <c r="ZE68" s="16"/>
      <c r="ZF68" s="16"/>
      <c r="ZG68" s="16"/>
      <c r="ZH68" s="16"/>
      <c r="ZI68" s="16"/>
      <c r="ZJ68" s="16"/>
      <c r="ZK68" s="16">
        <v>1.1200000000000001</v>
      </c>
      <c r="ZL68" s="16">
        <v>0.27</v>
      </c>
      <c r="ZM68" s="16">
        <v>0</v>
      </c>
      <c r="ZN68" s="16">
        <v>0</v>
      </c>
      <c r="ZO68" s="16">
        <v>0</v>
      </c>
      <c r="ZP68" s="16">
        <v>0</v>
      </c>
      <c r="ZQ68" s="16">
        <v>3</v>
      </c>
      <c r="ZR68">
        <v>0</v>
      </c>
      <c r="ZS68" t="s">
        <v>302</v>
      </c>
      <c r="ZT68">
        <v>22</v>
      </c>
      <c r="ZU68" s="16">
        <v>87.6</v>
      </c>
      <c r="ZV68" s="16">
        <v>80.400000000000006</v>
      </c>
      <c r="ZW68" s="16">
        <v>4.5</v>
      </c>
      <c r="ZX68">
        <v>100</v>
      </c>
      <c r="ZY68" s="17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1.1399999999999999</v>
      </c>
      <c r="AAJ68">
        <v>27.07</v>
      </c>
      <c r="AAK68">
        <v>1.9</v>
      </c>
      <c r="AAL68">
        <v>0</v>
      </c>
      <c r="AAM68">
        <v>0</v>
      </c>
      <c r="AAN68">
        <v>0</v>
      </c>
      <c r="AAO68">
        <v>0</v>
      </c>
      <c r="ABB68">
        <v>8</v>
      </c>
      <c r="ABC68">
        <v>1</v>
      </c>
      <c r="ABD68">
        <v>35</v>
      </c>
      <c r="ABE68">
        <v>2</v>
      </c>
      <c r="ABF68">
        <v>1.52</v>
      </c>
      <c r="ABG68">
        <v>3</v>
      </c>
      <c r="ABN68" s="20"/>
      <c r="ACF68">
        <v>1</v>
      </c>
      <c r="ACG68">
        <v>40</v>
      </c>
      <c r="ACH68">
        <v>3</v>
      </c>
      <c r="ACI68">
        <v>2.2799999999999998</v>
      </c>
      <c r="ACJ68">
        <v>3</v>
      </c>
      <c r="ADQ68" s="16">
        <v>1.1200000000000001</v>
      </c>
      <c r="ADR68" s="16">
        <v>1</v>
      </c>
      <c r="ADS68" s="16">
        <v>1</v>
      </c>
      <c r="ADT68" s="16"/>
      <c r="ADU68" s="16">
        <v>2.2400000000000002</v>
      </c>
      <c r="ADV68" s="16"/>
      <c r="ADW68" s="16"/>
      <c r="ADX68" s="16"/>
      <c r="ADY68" s="16"/>
      <c r="ADZ68" s="16"/>
      <c r="AEA68" s="16"/>
      <c r="AEB68" s="16">
        <v>6.72</v>
      </c>
      <c r="AEC68" s="16">
        <v>0</v>
      </c>
      <c r="AED68" s="16">
        <v>0</v>
      </c>
      <c r="AEE68" s="16">
        <v>0</v>
      </c>
      <c r="AEF68" s="16">
        <v>0</v>
      </c>
      <c r="AEG68" s="16">
        <v>0</v>
      </c>
      <c r="AEH68" s="16">
        <v>0</v>
      </c>
      <c r="AEI68">
        <v>1</v>
      </c>
      <c r="AEJ68" t="s">
        <v>303</v>
      </c>
      <c r="AEK68">
        <v>18</v>
      </c>
      <c r="AEL68" s="16">
        <v>84.7</v>
      </c>
      <c r="AEM68" s="16">
        <v>80.400000000000006</v>
      </c>
      <c r="AEN68" s="16">
        <v>6.7</v>
      </c>
      <c r="AEO68">
        <v>100</v>
      </c>
      <c r="AEP68" s="17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14.84</v>
      </c>
      <c r="AFA68">
        <v>28.79</v>
      </c>
      <c r="AFB68">
        <v>1.9</v>
      </c>
      <c r="AFC68">
        <v>0</v>
      </c>
      <c r="AFD68">
        <v>0</v>
      </c>
      <c r="AFE68">
        <v>0</v>
      </c>
      <c r="AFF68">
        <v>0</v>
      </c>
      <c r="AFS68">
        <v>1.9</v>
      </c>
      <c r="AFT68">
        <v>0</v>
      </c>
      <c r="AGE68" s="20"/>
      <c r="AGW68">
        <v>1</v>
      </c>
      <c r="AGX68">
        <v>50</v>
      </c>
      <c r="AGY68">
        <v>3</v>
      </c>
      <c r="AGZ68">
        <v>2.2799999999999998</v>
      </c>
      <c r="AHA68">
        <v>3</v>
      </c>
      <c r="AIH68" s="16">
        <v>1.1200000000000001</v>
      </c>
      <c r="AII68" s="16">
        <v>1</v>
      </c>
      <c r="AIJ68" s="16">
        <v>1</v>
      </c>
      <c r="AIK68" s="16"/>
      <c r="AIL68" s="16">
        <v>2.2400000000000002</v>
      </c>
      <c r="AIM68" s="16"/>
      <c r="AIN68" s="16"/>
      <c r="AIO68" s="16"/>
      <c r="AIP68" s="16"/>
      <c r="AIQ68" s="16"/>
      <c r="AIR68" s="16"/>
      <c r="AIS68" s="16">
        <v>0</v>
      </c>
      <c r="AIT68" s="16">
        <v>0</v>
      </c>
      <c r="AIU68" s="16">
        <v>0</v>
      </c>
      <c r="AIV68" s="16">
        <v>0</v>
      </c>
      <c r="AIW68" s="16">
        <v>6.72</v>
      </c>
      <c r="AIX68" s="16">
        <v>0</v>
      </c>
      <c r="AIY68" s="16">
        <v>0</v>
      </c>
      <c r="AIZ68">
        <v>1</v>
      </c>
      <c r="AJA68" t="s">
        <v>304</v>
      </c>
      <c r="AJB68">
        <v>29</v>
      </c>
      <c r="AJC68" s="16">
        <v>84.9</v>
      </c>
      <c r="AJD68" s="16">
        <v>80.400000000000006</v>
      </c>
      <c r="AJE68" s="16">
        <v>22.7</v>
      </c>
      <c r="AJF68">
        <v>47.69</v>
      </c>
      <c r="AJG68" s="17">
        <v>0</v>
      </c>
      <c r="AJH68">
        <v>0</v>
      </c>
      <c r="AJI68">
        <v>0</v>
      </c>
      <c r="AJJ68">
        <v>22.69</v>
      </c>
      <c r="AJK68">
        <v>0</v>
      </c>
      <c r="AJL68">
        <v>28.56</v>
      </c>
      <c r="AJM68">
        <v>0</v>
      </c>
      <c r="AJN68">
        <v>0</v>
      </c>
      <c r="AJO68">
        <v>0</v>
      </c>
      <c r="AJP68">
        <v>0</v>
      </c>
      <c r="AJQ68">
        <v>30.64</v>
      </c>
      <c r="AJR68">
        <v>8.3800000000000008</v>
      </c>
      <c r="AJS68">
        <v>43.35</v>
      </c>
      <c r="AJT68">
        <v>6.09</v>
      </c>
      <c r="AJU68">
        <v>0</v>
      </c>
      <c r="AJV68">
        <v>0</v>
      </c>
      <c r="AJW68">
        <v>0</v>
      </c>
      <c r="AKJ68">
        <v>2.5</v>
      </c>
      <c r="AKK68">
        <v>1</v>
      </c>
      <c r="AKL68">
        <v>35</v>
      </c>
      <c r="AKM68">
        <v>4</v>
      </c>
      <c r="AKN68">
        <v>0.54</v>
      </c>
      <c r="AKO68">
        <v>3</v>
      </c>
      <c r="AKV68" s="20"/>
      <c r="ALN68">
        <v>1</v>
      </c>
      <c r="ALO68">
        <v>40</v>
      </c>
      <c r="ALP68">
        <v>2</v>
      </c>
      <c r="ALQ68">
        <v>0.26</v>
      </c>
      <c r="ALR68">
        <v>3</v>
      </c>
    </row>
    <row r="69" spans="1:1018" x14ac:dyDescent="0.2">
      <c r="A69" s="1" t="s">
        <v>430</v>
      </c>
      <c r="B69" s="12">
        <v>42900</v>
      </c>
      <c r="C69">
        <v>2</v>
      </c>
      <c r="D69" s="13">
        <v>42801</v>
      </c>
      <c r="E69" s="12">
        <v>29069</v>
      </c>
      <c r="F69" s="14">
        <f t="shared" si="42"/>
        <v>37.86721423682409</v>
      </c>
      <c r="G69" s="14">
        <f t="shared" si="43"/>
        <v>0.27104722792607805</v>
      </c>
      <c r="H69" s="15" t="s">
        <v>183</v>
      </c>
      <c r="I69" s="15" t="s">
        <v>298</v>
      </c>
      <c r="J69" s="15" t="s">
        <v>181</v>
      </c>
      <c r="K69" s="21">
        <v>8</v>
      </c>
      <c r="L69" s="19">
        <v>80</v>
      </c>
      <c r="M69">
        <v>1.7</v>
      </c>
      <c r="N69" s="16">
        <f t="shared" si="44"/>
        <v>27.681660899653981</v>
      </c>
      <c r="O69" s="19">
        <v>0</v>
      </c>
      <c r="P69" s="19">
        <v>0</v>
      </c>
      <c r="Q69" s="19">
        <v>0</v>
      </c>
      <c r="R69" s="19">
        <v>0</v>
      </c>
      <c r="S69" s="19">
        <v>0</v>
      </c>
      <c r="T69" s="19">
        <v>0</v>
      </c>
      <c r="U69" s="19">
        <v>0</v>
      </c>
      <c r="V69" s="19">
        <v>0</v>
      </c>
      <c r="W69" s="19">
        <v>0</v>
      </c>
      <c r="X69" s="19">
        <v>0</v>
      </c>
      <c r="Y69" s="19">
        <v>0</v>
      </c>
      <c r="Z69" s="19">
        <v>0</v>
      </c>
      <c r="AA69" s="19">
        <v>0</v>
      </c>
      <c r="AB69" s="19">
        <v>0</v>
      </c>
      <c r="AC69" s="19">
        <v>0</v>
      </c>
      <c r="AD69" s="19">
        <v>0</v>
      </c>
      <c r="AE69" s="19">
        <v>0</v>
      </c>
      <c r="AF69" s="19">
        <v>0</v>
      </c>
      <c r="AG69" s="19">
        <v>0</v>
      </c>
      <c r="AH69" s="19">
        <v>0</v>
      </c>
      <c r="AI69" s="19">
        <v>0</v>
      </c>
      <c r="AJ69" s="19">
        <v>0</v>
      </c>
      <c r="AK69" s="19">
        <v>0</v>
      </c>
      <c r="AL69" s="19">
        <v>0</v>
      </c>
      <c r="AM69" s="19">
        <v>0</v>
      </c>
      <c r="AN69" s="19">
        <v>0</v>
      </c>
      <c r="AO69" s="19">
        <v>0</v>
      </c>
      <c r="AP69" s="19">
        <v>0</v>
      </c>
      <c r="AQ69" s="19">
        <v>0</v>
      </c>
      <c r="AR69" s="19">
        <v>0</v>
      </c>
      <c r="AS69" s="19">
        <v>0</v>
      </c>
      <c r="AT69" s="19">
        <v>0</v>
      </c>
      <c r="AU69" s="19">
        <v>0</v>
      </c>
      <c r="AV69" s="19">
        <v>0</v>
      </c>
      <c r="AW69" s="19">
        <v>0</v>
      </c>
      <c r="AX69" s="19">
        <v>0</v>
      </c>
      <c r="AY69" s="19">
        <v>0</v>
      </c>
      <c r="AZ69" s="19">
        <v>0</v>
      </c>
      <c r="BA69" s="19">
        <v>0</v>
      </c>
      <c r="BB69" s="19">
        <v>0</v>
      </c>
      <c r="BC69" s="19">
        <v>0</v>
      </c>
      <c r="BD69" s="19">
        <v>0</v>
      </c>
      <c r="BE69" s="19">
        <v>0</v>
      </c>
      <c r="BF69" s="19">
        <v>0</v>
      </c>
      <c r="BG69" s="19">
        <v>0</v>
      </c>
      <c r="BH69" s="19">
        <v>0</v>
      </c>
      <c r="BI69" s="19">
        <v>0</v>
      </c>
      <c r="BJ69" s="19">
        <v>0</v>
      </c>
      <c r="BK69" s="19">
        <v>0</v>
      </c>
      <c r="BL69" s="19">
        <v>0</v>
      </c>
      <c r="BM69" s="19">
        <v>0</v>
      </c>
      <c r="BN69" s="19">
        <v>0</v>
      </c>
      <c r="BO69" s="19">
        <v>0</v>
      </c>
      <c r="BP69" s="19">
        <v>0</v>
      </c>
      <c r="BQ69" s="19">
        <v>0</v>
      </c>
      <c r="BR69" s="19">
        <v>2</v>
      </c>
      <c r="BS69" s="19">
        <v>2</v>
      </c>
      <c r="BT69" s="19">
        <v>3</v>
      </c>
      <c r="BU69" s="19">
        <v>5</v>
      </c>
      <c r="BV69" s="19">
        <v>2</v>
      </c>
      <c r="BW69" s="19">
        <v>1</v>
      </c>
      <c r="BX69" s="19">
        <v>2</v>
      </c>
      <c r="BY69" s="19">
        <v>3</v>
      </c>
      <c r="BZ69" s="19">
        <v>4</v>
      </c>
      <c r="CA69" s="19">
        <v>4</v>
      </c>
      <c r="CB69" s="19">
        <v>4</v>
      </c>
      <c r="CC69" s="19">
        <v>4</v>
      </c>
      <c r="CD69" s="19">
        <v>4</v>
      </c>
      <c r="CE69" s="19">
        <v>4</v>
      </c>
      <c r="CF69" s="19">
        <v>4</v>
      </c>
      <c r="CG69" s="19">
        <v>5</v>
      </c>
      <c r="CH69" s="19">
        <v>4</v>
      </c>
      <c r="CI69" s="19">
        <v>4</v>
      </c>
      <c r="CJ69" s="19">
        <v>4</v>
      </c>
      <c r="CK69" s="19">
        <v>7</v>
      </c>
      <c r="CL69" t="s">
        <v>299</v>
      </c>
      <c r="CM69">
        <v>17.5</v>
      </c>
      <c r="CN69" s="16">
        <v>81.900000000000006</v>
      </c>
      <c r="CO69" s="16">
        <v>80.400000000000006</v>
      </c>
      <c r="CP69" s="16">
        <v>12.5</v>
      </c>
      <c r="CQ69">
        <v>85.79</v>
      </c>
      <c r="CS69">
        <v>10.02</v>
      </c>
      <c r="CT69">
        <v>0</v>
      </c>
      <c r="CU69">
        <v>0</v>
      </c>
      <c r="CV69">
        <v>0</v>
      </c>
      <c r="CW69">
        <v>4.1900000000000004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53.51</v>
      </c>
      <c r="DD69">
        <v>0</v>
      </c>
      <c r="DE69">
        <v>0</v>
      </c>
      <c r="DF69">
        <v>0</v>
      </c>
      <c r="DG69">
        <v>0</v>
      </c>
      <c r="DH69">
        <v>0</v>
      </c>
      <c r="DU69">
        <v>0</v>
      </c>
      <c r="DV69">
        <v>0</v>
      </c>
      <c r="EG69" s="20"/>
      <c r="EY69">
        <v>0</v>
      </c>
      <c r="GJ69" s="16">
        <v>3.38</v>
      </c>
      <c r="GK69" s="16">
        <v>1</v>
      </c>
      <c r="GL69" s="16">
        <v>1</v>
      </c>
      <c r="GM69" s="16"/>
      <c r="GN69" s="16">
        <v>12.64</v>
      </c>
      <c r="GO69" s="16"/>
      <c r="GP69" s="16"/>
      <c r="GQ69" s="16"/>
      <c r="GR69" s="16"/>
      <c r="GS69" s="16"/>
      <c r="GT69" s="16"/>
      <c r="GU69" s="16">
        <v>0</v>
      </c>
      <c r="GV69" s="16">
        <v>0</v>
      </c>
      <c r="GW69" s="16">
        <v>0</v>
      </c>
      <c r="GX69" s="16">
        <v>0</v>
      </c>
      <c r="GY69" s="16">
        <v>0</v>
      </c>
      <c r="GZ69" s="16">
        <v>0</v>
      </c>
      <c r="HA69" s="16">
        <v>0</v>
      </c>
      <c r="HB69">
        <v>0</v>
      </c>
      <c r="HC69" t="s">
        <v>300</v>
      </c>
      <c r="HD69">
        <v>31</v>
      </c>
      <c r="HE69" s="16">
        <v>86.2</v>
      </c>
      <c r="HF69" s="16">
        <v>80.400000000000006</v>
      </c>
      <c r="HG69" s="16">
        <v>19.399999999999999</v>
      </c>
      <c r="HH69">
        <v>23.44</v>
      </c>
      <c r="HJ69">
        <v>0</v>
      </c>
      <c r="HK69">
        <v>0</v>
      </c>
      <c r="HL69">
        <v>0.94</v>
      </c>
      <c r="HM69">
        <v>0</v>
      </c>
      <c r="HN69">
        <v>75.62</v>
      </c>
      <c r="HO69">
        <v>16.829999999999998</v>
      </c>
      <c r="HP69">
        <v>0</v>
      </c>
      <c r="HQ69">
        <v>0</v>
      </c>
      <c r="HR69">
        <v>0</v>
      </c>
      <c r="HS69">
        <v>0</v>
      </c>
      <c r="HT69">
        <v>6.9</v>
      </c>
      <c r="HU69">
        <v>42.32</v>
      </c>
      <c r="HV69">
        <v>0</v>
      </c>
      <c r="HW69">
        <v>0</v>
      </c>
      <c r="HX69">
        <v>0</v>
      </c>
      <c r="HY69">
        <v>0</v>
      </c>
      <c r="IL69">
        <v>0</v>
      </c>
      <c r="IM69">
        <v>0</v>
      </c>
      <c r="IX69" s="20"/>
      <c r="JP69">
        <v>0</v>
      </c>
      <c r="LA69" s="16">
        <v>5.0599999999999996</v>
      </c>
      <c r="LB69" s="16">
        <v>1</v>
      </c>
      <c r="LC69" s="16">
        <v>1</v>
      </c>
      <c r="LD69" s="16"/>
      <c r="LE69" s="16">
        <v>6.74</v>
      </c>
      <c r="LF69" s="16">
        <v>2</v>
      </c>
      <c r="LG69" s="16"/>
      <c r="LH69" s="16">
        <v>10.7</v>
      </c>
      <c r="LI69" s="16"/>
      <c r="LJ69" s="16"/>
      <c r="LK69" s="16"/>
      <c r="LL69" s="16">
        <v>0</v>
      </c>
      <c r="LM69" s="16">
        <v>0</v>
      </c>
      <c r="LN69" s="16">
        <v>0</v>
      </c>
      <c r="LO69" s="16">
        <v>0</v>
      </c>
      <c r="LP69" s="16">
        <v>5.97</v>
      </c>
      <c r="LQ69" s="16">
        <v>0</v>
      </c>
      <c r="LR69" s="16">
        <v>0</v>
      </c>
      <c r="LS69">
        <v>1</v>
      </c>
      <c r="LT69" t="s">
        <v>301</v>
      </c>
      <c r="LU69">
        <v>44</v>
      </c>
      <c r="LV69" s="16">
        <v>88.4</v>
      </c>
      <c r="LW69" s="16">
        <v>80.400000000000006</v>
      </c>
      <c r="LX69" s="16">
        <v>40</v>
      </c>
      <c r="LY69">
        <v>11.38</v>
      </c>
      <c r="MA69">
        <v>0</v>
      </c>
      <c r="MB69">
        <v>0</v>
      </c>
      <c r="MC69">
        <v>0</v>
      </c>
      <c r="MD69">
        <v>0</v>
      </c>
      <c r="ME69">
        <v>88.62</v>
      </c>
      <c r="MF69">
        <v>22.58</v>
      </c>
      <c r="MG69">
        <v>24.22</v>
      </c>
      <c r="MH69">
        <v>0</v>
      </c>
      <c r="MI69">
        <v>0</v>
      </c>
      <c r="MJ69">
        <v>0</v>
      </c>
      <c r="MK69">
        <v>26.59</v>
      </c>
      <c r="ML69">
        <v>0.54</v>
      </c>
      <c r="MM69">
        <v>0</v>
      </c>
      <c r="MN69">
        <v>0</v>
      </c>
      <c r="MO69">
        <v>0</v>
      </c>
      <c r="MP69">
        <v>0</v>
      </c>
      <c r="NC69">
        <v>0</v>
      </c>
      <c r="ND69">
        <v>0</v>
      </c>
      <c r="NO69" s="20"/>
      <c r="OG69">
        <v>1</v>
      </c>
      <c r="OH69">
        <v>40</v>
      </c>
      <c r="OI69">
        <v>2</v>
      </c>
      <c r="OJ69">
        <v>0.26</v>
      </c>
      <c r="OK69">
        <v>3</v>
      </c>
      <c r="PR69" s="16">
        <v>3.77</v>
      </c>
      <c r="PS69" s="16">
        <v>1</v>
      </c>
      <c r="PT69" s="16">
        <v>1</v>
      </c>
      <c r="PU69" s="16"/>
      <c r="PV69" s="16">
        <v>25.78</v>
      </c>
      <c r="PW69" s="16"/>
      <c r="PX69" s="16"/>
      <c r="PY69" s="16"/>
      <c r="PZ69" s="16"/>
      <c r="QA69" s="16"/>
      <c r="QB69" s="16"/>
      <c r="QC69" s="16">
        <v>0</v>
      </c>
      <c r="QD69" s="16">
        <v>0</v>
      </c>
      <c r="QE69" s="16">
        <v>0</v>
      </c>
      <c r="QF69" s="16">
        <v>0</v>
      </c>
      <c r="QG69" s="16">
        <v>0</v>
      </c>
      <c r="QH69" s="16">
        <v>0</v>
      </c>
      <c r="QI69" s="16">
        <v>0</v>
      </c>
      <c r="QJ69">
        <v>0</v>
      </c>
      <c r="QK69" t="s">
        <v>207</v>
      </c>
      <c r="QL69">
        <v>20.5</v>
      </c>
      <c r="QM69" s="16">
        <v>85.6</v>
      </c>
      <c r="QN69" s="16">
        <v>80.400000000000006</v>
      </c>
      <c r="QO69" s="16">
        <v>17.7</v>
      </c>
      <c r="QP69">
        <v>63.65</v>
      </c>
      <c r="QR69">
        <v>0</v>
      </c>
      <c r="QS69">
        <v>0</v>
      </c>
      <c r="QT69">
        <v>47.03</v>
      </c>
      <c r="QU69">
        <v>0</v>
      </c>
      <c r="QV69">
        <v>11.64</v>
      </c>
      <c r="QW69">
        <v>0</v>
      </c>
      <c r="QX69">
        <v>0</v>
      </c>
      <c r="QY69">
        <v>5.03</v>
      </c>
      <c r="QZ69">
        <v>0</v>
      </c>
      <c r="RA69">
        <v>2.93</v>
      </c>
      <c r="RB69">
        <v>24.27</v>
      </c>
      <c r="RC69">
        <v>17.25</v>
      </c>
      <c r="RD69">
        <v>0</v>
      </c>
      <c r="RE69">
        <v>0</v>
      </c>
      <c r="RF69">
        <v>0</v>
      </c>
      <c r="RG69">
        <v>0</v>
      </c>
      <c r="RT69">
        <v>0</v>
      </c>
      <c r="RU69">
        <v>0</v>
      </c>
      <c r="SF69" s="20"/>
      <c r="SX69">
        <v>0</v>
      </c>
      <c r="UI69" s="16">
        <v>1.47</v>
      </c>
      <c r="UJ69" s="16">
        <v>1</v>
      </c>
      <c r="UK69" s="16">
        <v>1</v>
      </c>
      <c r="UL69" s="16"/>
      <c r="UM69" s="16">
        <v>2.94</v>
      </c>
      <c r="UN69" s="16"/>
      <c r="UO69" s="16"/>
      <c r="UP69" s="16"/>
      <c r="UQ69" s="16"/>
      <c r="UR69" s="16"/>
      <c r="US69" s="16"/>
      <c r="UT69" s="16">
        <v>0</v>
      </c>
      <c r="UU69" s="16">
        <v>0</v>
      </c>
      <c r="UV69" s="16">
        <v>0</v>
      </c>
      <c r="UW69" s="16">
        <v>0</v>
      </c>
      <c r="UX69" s="16">
        <v>0</v>
      </c>
      <c r="UY69" s="16">
        <v>0</v>
      </c>
      <c r="UZ69" s="16">
        <v>0</v>
      </c>
      <c r="VA69">
        <v>0</v>
      </c>
      <c r="VB69" t="s">
        <v>208</v>
      </c>
      <c r="VC69">
        <v>35</v>
      </c>
      <c r="VD69" s="16">
        <v>69.2</v>
      </c>
      <c r="VE69" s="16">
        <v>80.400000000000006</v>
      </c>
      <c r="VF69" s="16">
        <v>24</v>
      </c>
      <c r="VG69">
        <v>71.73</v>
      </c>
      <c r="VI69">
        <v>0</v>
      </c>
      <c r="VJ69">
        <v>6.09</v>
      </c>
      <c r="VK69">
        <v>19.28</v>
      </c>
      <c r="VL69">
        <v>0</v>
      </c>
      <c r="VM69">
        <v>2.83</v>
      </c>
      <c r="VN69">
        <v>0</v>
      </c>
      <c r="VO69">
        <v>0</v>
      </c>
      <c r="VP69">
        <v>0</v>
      </c>
      <c r="VQ69">
        <v>0</v>
      </c>
      <c r="VR69">
        <v>14.46</v>
      </c>
      <c r="VS69">
        <v>19.89</v>
      </c>
      <c r="VT69">
        <v>24.43</v>
      </c>
      <c r="VU69">
        <v>0</v>
      </c>
      <c r="VV69">
        <v>7.0000000000000007E-2</v>
      </c>
      <c r="VW69">
        <v>0</v>
      </c>
      <c r="VX69">
        <v>0</v>
      </c>
      <c r="WK69">
        <v>2</v>
      </c>
      <c r="WL69">
        <v>0</v>
      </c>
      <c r="WW69" s="20"/>
      <c r="XO69">
        <v>1</v>
      </c>
      <c r="XP69">
        <v>40</v>
      </c>
      <c r="XQ69">
        <v>2</v>
      </c>
      <c r="XR69">
        <v>1.52</v>
      </c>
      <c r="XS69">
        <v>3</v>
      </c>
      <c r="XT69">
        <v>50</v>
      </c>
      <c r="XU69">
        <v>4</v>
      </c>
      <c r="XV69">
        <v>0.54</v>
      </c>
      <c r="XW69">
        <v>1</v>
      </c>
      <c r="YZ69" s="16">
        <v>1.6</v>
      </c>
      <c r="ZA69" s="16">
        <v>1</v>
      </c>
      <c r="ZB69" s="16">
        <v>1</v>
      </c>
      <c r="ZC69" s="16"/>
      <c r="ZD69" s="16">
        <v>7.09</v>
      </c>
      <c r="ZE69" s="16"/>
      <c r="ZF69" s="16"/>
      <c r="ZG69" s="16"/>
      <c r="ZH69" s="16"/>
      <c r="ZI69" s="16"/>
      <c r="ZJ69" s="16"/>
      <c r="ZK69" s="16">
        <v>1.1200000000000001</v>
      </c>
      <c r="ZL69" s="16">
        <v>0.27</v>
      </c>
      <c r="ZM69" s="16">
        <v>0</v>
      </c>
      <c r="ZN69" s="16">
        <v>0</v>
      </c>
      <c r="ZO69" s="16">
        <v>0</v>
      </c>
      <c r="ZP69" s="16">
        <v>0</v>
      </c>
      <c r="ZQ69" s="16">
        <v>3</v>
      </c>
      <c r="ZR69">
        <v>0</v>
      </c>
      <c r="ZS69" t="s">
        <v>302</v>
      </c>
      <c r="ZT69">
        <v>22</v>
      </c>
      <c r="ZU69" s="16">
        <v>87.6</v>
      </c>
      <c r="ZV69" s="16">
        <v>80.400000000000006</v>
      </c>
      <c r="ZW69" s="16">
        <v>4.5</v>
      </c>
      <c r="ZX69">
        <v>100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1.1399999999999999</v>
      </c>
      <c r="AAJ69">
        <v>27.07</v>
      </c>
      <c r="AAK69">
        <v>1.9</v>
      </c>
      <c r="AAL69">
        <v>0</v>
      </c>
      <c r="AAM69">
        <v>0</v>
      </c>
      <c r="AAN69">
        <v>0</v>
      </c>
      <c r="AAO69">
        <v>0</v>
      </c>
      <c r="ABB69">
        <v>8</v>
      </c>
      <c r="ABC69">
        <v>1</v>
      </c>
      <c r="ABD69">
        <v>35</v>
      </c>
      <c r="ABE69">
        <v>2</v>
      </c>
      <c r="ABF69">
        <v>1.52</v>
      </c>
      <c r="ABG69">
        <v>3</v>
      </c>
      <c r="ABN69" s="20"/>
      <c r="ACF69">
        <v>1</v>
      </c>
      <c r="ACG69">
        <v>40</v>
      </c>
      <c r="ACH69">
        <v>3</v>
      </c>
      <c r="ACI69">
        <v>2.2799999999999998</v>
      </c>
      <c r="ACJ69">
        <v>3</v>
      </c>
      <c r="ADQ69" s="16">
        <v>1.1200000000000001</v>
      </c>
      <c r="ADR69" s="16">
        <v>1</v>
      </c>
      <c r="ADS69" s="16">
        <v>1</v>
      </c>
      <c r="ADT69" s="16"/>
      <c r="ADU69" s="16">
        <v>2.2400000000000002</v>
      </c>
      <c r="ADV69" s="16"/>
      <c r="ADW69" s="16"/>
      <c r="ADX69" s="16"/>
      <c r="ADY69" s="16"/>
      <c r="ADZ69" s="16"/>
      <c r="AEA69" s="16"/>
      <c r="AEB69" s="16">
        <v>6.72</v>
      </c>
      <c r="AEC69" s="16">
        <v>0</v>
      </c>
      <c r="AED69" s="16">
        <v>0</v>
      </c>
      <c r="AEE69" s="16">
        <v>0</v>
      </c>
      <c r="AEF69" s="16">
        <v>0</v>
      </c>
      <c r="AEG69" s="16">
        <v>0</v>
      </c>
      <c r="AEH69" s="16">
        <v>0</v>
      </c>
      <c r="AEI69">
        <v>1</v>
      </c>
      <c r="AEJ69" t="s">
        <v>303</v>
      </c>
      <c r="AEK69">
        <v>18</v>
      </c>
      <c r="AEL69" s="16">
        <v>84.7</v>
      </c>
      <c r="AEM69" s="16">
        <v>80.400000000000006</v>
      </c>
      <c r="AEN69" s="16">
        <v>6.7</v>
      </c>
      <c r="AEO69">
        <v>100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14.84</v>
      </c>
      <c r="AFA69">
        <v>28.79</v>
      </c>
      <c r="AFB69">
        <v>1.9</v>
      </c>
      <c r="AFC69">
        <v>0</v>
      </c>
      <c r="AFD69">
        <v>0</v>
      </c>
      <c r="AFE69">
        <v>0</v>
      </c>
      <c r="AFF69">
        <v>0</v>
      </c>
      <c r="AFS69">
        <v>1.9</v>
      </c>
      <c r="AFT69">
        <v>0</v>
      </c>
      <c r="AGE69" s="20"/>
      <c r="AGW69">
        <v>1</v>
      </c>
      <c r="AGX69">
        <v>50</v>
      </c>
      <c r="AGY69">
        <v>3</v>
      </c>
      <c r="AGZ69">
        <v>2.2799999999999998</v>
      </c>
      <c r="AHA69">
        <v>3</v>
      </c>
      <c r="AIH69" s="16">
        <v>1.1200000000000001</v>
      </c>
      <c r="AII69" s="16">
        <v>1</v>
      </c>
      <c r="AIJ69" s="16">
        <v>1</v>
      </c>
      <c r="AIK69" s="16"/>
      <c r="AIL69" s="16">
        <v>2.2400000000000002</v>
      </c>
      <c r="AIM69" s="16"/>
      <c r="AIN69" s="16"/>
      <c r="AIO69" s="16"/>
      <c r="AIP69" s="16"/>
      <c r="AIQ69" s="16"/>
      <c r="AIR69" s="16"/>
      <c r="AIS69" s="16">
        <v>0</v>
      </c>
      <c r="AIT69" s="16">
        <v>0</v>
      </c>
      <c r="AIU69" s="16">
        <v>0</v>
      </c>
      <c r="AIV69" s="16">
        <v>0</v>
      </c>
      <c r="AIW69" s="16">
        <v>6.72</v>
      </c>
      <c r="AIX69" s="16">
        <v>0</v>
      </c>
      <c r="AIY69" s="16">
        <v>0</v>
      </c>
      <c r="AIZ69">
        <v>1</v>
      </c>
      <c r="AJA69" t="s">
        <v>304</v>
      </c>
      <c r="AJB69">
        <v>29</v>
      </c>
      <c r="AJC69" s="16">
        <v>84.9</v>
      </c>
      <c r="AJD69" s="16">
        <v>80.400000000000006</v>
      </c>
      <c r="AJE69" s="16">
        <v>22.7</v>
      </c>
      <c r="AJF69">
        <v>47.69</v>
      </c>
      <c r="AJH69">
        <v>0</v>
      </c>
      <c r="AJI69">
        <v>0</v>
      </c>
      <c r="AJJ69">
        <v>22.69</v>
      </c>
      <c r="AJK69">
        <v>0</v>
      </c>
      <c r="AJL69">
        <v>28.56</v>
      </c>
      <c r="AJM69">
        <v>0</v>
      </c>
      <c r="AJN69">
        <v>0</v>
      </c>
      <c r="AJO69">
        <v>0</v>
      </c>
      <c r="AJP69">
        <v>0</v>
      </c>
      <c r="AJQ69">
        <v>30.64</v>
      </c>
      <c r="AJR69">
        <v>8.3800000000000008</v>
      </c>
      <c r="AJS69">
        <v>43.35</v>
      </c>
      <c r="AJT69">
        <v>6.09</v>
      </c>
      <c r="AJU69">
        <v>0</v>
      </c>
      <c r="AJV69">
        <v>0</v>
      </c>
      <c r="AJW69">
        <v>0</v>
      </c>
      <c r="AKJ69">
        <v>2.5</v>
      </c>
      <c r="AKK69">
        <v>1</v>
      </c>
      <c r="AKL69">
        <v>35</v>
      </c>
      <c r="AKM69">
        <v>4</v>
      </c>
      <c r="AKN69">
        <v>0.54</v>
      </c>
      <c r="AKO69">
        <v>3</v>
      </c>
      <c r="AKV69" s="20"/>
      <c r="ALN69">
        <v>1</v>
      </c>
      <c r="ALO69">
        <v>40</v>
      </c>
      <c r="ALP69">
        <v>2</v>
      </c>
      <c r="ALQ69">
        <v>0.26</v>
      </c>
      <c r="ALR69">
        <v>3</v>
      </c>
    </row>
    <row r="70" spans="1:1018" x14ac:dyDescent="0.2">
      <c r="A70" s="1" t="s">
        <v>431</v>
      </c>
      <c r="B70" s="12">
        <v>42900</v>
      </c>
      <c r="C70">
        <v>2</v>
      </c>
      <c r="D70" s="13">
        <v>35576</v>
      </c>
      <c r="E70" s="12">
        <v>28068</v>
      </c>
      <c r="F70" s="14">
        <f t="shared" si="42"/>
        <v>40.607802874743328</v>
      </c>
      <c r="G70" s="14">
        <f t="shared" si="43"/>
        <v>20.05201916495551</v>
      </c>
      <c r="H70" s="15" t="s">
        <v>183</v>
      </c>
      <c r="I70" s="15" t="s">
        <v>298</v>
      </c>
      <c r="J70" s="15" t="s">
        <v>181</v>
      </c>
      <c r="K70" s="21">
        <v>8</v>
      </c>
      <c r="L70" s="19">
        <v>73</v>
      </c>
      <c r="M70">
        <v>1.72</v>
      </c>
      <c r="N70" s="16">
        <f t="shared" si="44"/>
        <v>24.675500270416443</v>
      </c>
      <c r="O70" s="19">
        <v>0</v>
      </c>
      <c r="P70" s="19">
        <v>0</v>
      </c>
      <c r="Q70" s="19">
        <v>0</v>
      </c>
      <c r="R70" s="19">
        <v>0</v>
      </c>
      <c r="S70" s="19">
        <v>0</v>
      </c>
      <c r="T70" s="19">
        <v>0</v>
      </c>
      <c r="U70" s="19">
        <v>0</v>
      </c>
      <c r="V70" s="19">
        <v>0</v>
      </c>
      <c r="W70" s="19">
        <v>0</v>
      </c>
      <c r="X70" s="19">
        <v>0</v>
      </c>
      <c r="Y70" s="19">
        <v>1</v>
      </c>
      <c r="Z70" s="19">
        <v>2</v>
      </c>
      <c r="AA70" s="19">
        <v>90</v>
      </c>
      <c r="AB70" s="19" t="s">
        <v>284</v>
      </c>
      <c r="AC70" s="19">
        <v>0</v>
      </c>
      <c r="AD70" s="19">
        <v>0</v>
      </c>
      <c r="AE70" s="19"/>
      <c r="AF70" s="19"/>
      <c r="AG70" s="19"/>
      <c r="AH70" s="19"/>
      <c r="AI70" s="19">
        <v>1</v>
      </c>
      <c r="AJ70" s="19">
        <v>1</v>
      </c>
      <c r="AK70" s="19">
        <v>1</v>
      </c>
      <c r="AL70" s="19">
        <v>6</v>
      </c>
      <c r="AM70" s="19">
        <v>0</v>
      </c>
      <c r="AN70" s="19">
        <v>0</v>
      </c>
      <c r="AO70" s="19">
        <v>0</v>
      </c>
      <c r="AP70" s="19">
        <v>0</v>
      </c>
      <c r="AQ70" s="19">
        <v>0</v>
      </c>
      <c r="AR70" s="19">
        <v>0</v>
      </c>
      <c r="AS70" s="19">
        <v>3</v>
      </c>
      <c r="AT70" s="19">
        <v>1</v>
      </c>
      <c r="AU70" s="19">
        <v>1</v>
      </c>
      <c r="AV70" s="19">
        <v>7</v>
      </c>
      <c r="AW70" s="19">
        <v>0</v>
      </c>
      <c r="AX70" s="19">
        <v>0</v>
      </c>
      <c r="AY70" s="19">
        <v>0</v>
      </c>
      <c r="AZ70" s="19">
        <v>0</v>
      </c>
      <c r="BA70" s="19">
        <v>0</v>
      </c>
      <c r="BB70" s="19">
        <v>0</v>
      </c>
      <c r="BC70" s="19">
        <v>0</v>
      </c>
      <c r="BD70" s="19">
        <v>0</v>
      </c>
      <c r="BE70" s="19">
        <v>0</v>
      </c>
      <c r="BF70" s="19">
        <v>0</v>
      </c>
      <c r="BG70" s="19">
        <v>0</v>
      </c>
      <c r="BH70" s="19">
        <v>0</v>
      </c>
      <c r="BI70" s="19">
        <v>0</v>
      </c>
      <c r="BJ70" s="19">
        <v>0</v>
      </c>
      <c r="BK70" s="19">
        <v>0</v>
      </c>
      <c r="BL70" s="19">
        <v>0</v>
      </c>
      <c r="BM70" s="19">
        <v>0</v>
      </c>
      <c r="BN70" s="19">
        <v>0</v>
      </c>
      <c r="BO70" s="19">
        <v>0</v>
      </c>
      <c r="BP70" s="19">
        <v>0</v>
      </c>
      <c r="BQ70" s="19">
        <v>0</v>
      </c>
      <c r="BR70" s="19">
        <v>3</v>
      </c>
      <c r="BS70" s="19">
        <v>3</v>
      </c>
      <c r="BT70" s="19">
        <v>5</v>
      </c>
      <c r="BU70" s="19">
        <v>5</v>
      </c>
      <c r="BV70" s="19">
        <v>3</v>
      </c>
      <c r="BW70" s="19">
        <v>4</v>
      </c>
      <c r="BX70" s="19">
        <v>3</v>
      </c>
      <c r="BY70" s="19">
        <v>3</v>
      </c>
      <c r="BZ70" s="19">
        <v>1</v>
      </c>
      <c r="CA70" s="19">
        <v>2</v>
      </c>
      <c r="CB70" s="19">
        <v>3</v>
      </c>
      <c r="CC70" s="19">
        <v>4</v>
      </c>
      <c r="CD70" s="19">
        <v>1</v>
      </c>
      <c r="CE70" s="19">
        <v>2</v>
      </c>
      <c r="CF70" s="19">
        <v>4</v>
      </c>
      <c r="CG70" s="19">
        <v>3</v>
      </c>
      <c r="CH70" s="19">
        <v>2</v>
      </c>
      <c r="CI70" s="19">
        <v>3</v>
      </c>
      <c r="CJ70" s="19">
        <v>1</v>
      </c>
      <c r="CK70" s="19">
        <v>10</v>
      </c>
      <c r="CL70" t="s">
        <v>299</v>
      </c>
      <c r="CM70">
        <v>17.5</v>
      </c>
      <c r="CN70" s="16">
        <v>81.900000000000006</v>
      </c>
      <c r="CO70" s="16">
        <v>80.400000000000006</v>
      </c>
      <c r="CP70" s="16">
        <v>12.5</v>
      </c>
      <c r="CQ70">
        <v>85.79</v>
      </c>
      <c r="CS70">
        <v>10.02</v>
      </c>
      <c r="CT70">
        <v>0</v>
      </c>
      <c r="CU70">
        <v>0</v>
      </c>
      <c r="CV70">
        <v>0</v>
      </c>
      <c r="CW70">
        <v>4.1900000000000004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53.51</v>
      </c>
      <c r="DD70">
        <v>0</v>
      </c>
      <c r="DE70">
        <v>0</v>
      </c>
      <c r="DF70">
        <v>0</v>
      </c>
      <c r="DG70">
        <v>0</v>
      </c>
      <c r="DH70">
        <v>0</v>
      </c>
      <c r="DU70">
        <v>0</v>
      </c>
      <c r="DV70">
        <v>0</v>
      </c>
      <c r="EG70" s="20"/>
      <c r="EY70">
        <v>0</v>
      </c>
      <c r="GJ70" s="16">
        <v>3.38</v>
      </c>
      <c r="GK70" s="16">
        <v>1</v>
      </c>
      <c r="GL70" s="16">
        <v>1</v>
      </c>
      <c r="GM70" s="16"/>
      <c r="GN70" s="16">
        <v>12.64</v>
      </c>
      <c r="GO70" s="16"/>
      <c r="GP70" s="16"/>
      <c r="GQ70" s="16"/>
      <c r="GR70" s="16"/>
      <c r="GS70" s="16"/>
      <c r="GT70" s="16"/>
      <c r="GU70" s="16">
        <v>0</v>
      </c>
      <c r="GV70" s="16">
        <v>0</v>
      </c>
      <c r="GW70" s="16">
        <v>0</v>
      </c>
      <c r="GX70" s="16">
        <v>0</v>
      </c>
      <c r="GY70" s="16">
        <v>0</v>
      </c>
      <c r="GZ70" s="16">
        <v>0</v>
      </c>
      <c r="HA70" s="16">
        <v>0</v>
      </c>
      <c r="HB70">
        <v>0</v>
      </c>
      <c r="HC70" t="s">
        <v>300</v>
      </c>
      <c r="HD70">
        <v>31</v>
      </c>
      <c r="HE70" s="16">
        <v>86.2</v>
      </c>
      <c r="HF70" s="16">
        <v>80.400000000000006</v>
      </c>
      <c r="HG70" s="16">
        <v>19.399999999999999</v>
      </c>
      <c r="HH70">
        <v>23.44</v>
      </c>
      <c r="HJ70">
        <v>0</v>
      </c>
      <c r="HK70">
        <v>0</v>
      </c>
      <c r="HL70">
        <v>0.94</v>
      </c>
      <c r="HM70">
        <v>0</v>
      </c>
      <c r="HN70">
        <v>75.62</v>
      </c>
      <c r="HO70">
        <v>16.829999999999998</v>
      </c>
      <c r="HP70">
        <v>0</v>
      </c>
      <c r="HQ70">
        <v>0</v>
      </c>
      <c r="HR70">
        <v>0</v>
      </c>
      <c r="HS70">
        <v>0</v>
      </c>
      <c r="HT70">
        <v>6.9</v>
      </c>
      <c r="HU70">
        <v>42.32</v>
      </c>
      <c r="HV70">
        <v>0</v>
      </c>
      <c r="HW70">
        <v>0</v>
      </c>
      <c r="HX70">
        <v>0</v>
      </c>
      <c r="HY70">
        <v>0</v>
      </c>
      <c r="IL70">
        <v>0</v>
      </c>
      <c r="IM70">
        <v>0</v>
      </c>
      <c r="IX70" s="20"/>
      <c r="JP70">
        <v>0</v>
      </c>
      <c r="LA70" s="16">
        <v>5.0599999999999996</v>
      </c>
      <c r="LB70" s="16">
        <v>1</v>
      </c>
      <c r="LC70" s="16">
        <v>1</v>
      </c>
      <c r="LD70" s="16"/>
      <c r="LE70" s="16">
        <v>6.74</v>
      </c>
      <c r="LF70" s="16">
        <v>2</v>
      </c>
      <c r="LG70" s="16"/>
      <c r="LH70" s="16">
        <v>10.7</v>
      </c>
      <c r="LI70" s="16"/>
      <c r="LJ70" s="16"/>
      <c r="LK70" s="16"/>
      <c r="LL70" s="16">
        <v>0</v>
      </c>
      <c r="LM70" s="16">
        <v>0</v>
      </c>
      <c r="LN70" s="16">
        <v>0</v>
      </c>
      <c r="LO70" s="16">
        <v>0</v>
      </c>
      <c r="LP70" s="16">
        <v>5.97</v>
      </c>
      <c r="LQ70" s="16">
        <v>0</v>
      </c>
      <c r="LR70" s="16">
        <v>0</v>
      </c>
      <c r="LS70">
        <v>1</v>
      </c>
      <c r="LT70" t="s">
        <v>301</v>
      </c>
      <c r="LU70">
        <v>44</v>
      </c>
      <c r="LV70" s="16">
        <v>88.4</v>
      </c>
      <c r="LW70" s="16">
        <v>80.400000000000006</v>
      </c>
      <c r="LX70" s="16">
        <v>40</v>
      </c>
      <c r="LY70">
        <v>11.38</v>
      </c>
      <c r="MA70">
        <v>0</v>
      </c>
      <c r="MB70">
        <v>0</v>
      </c>
      <c r="MC70">
        <v>0</v>
      </c>
      <c r="MD70">
        <v>0</v>
      </c>
      <c r="ME70">
        <v>88.62</v>
      </c>
      <c r="MF70">
        <v>22.58</v>
      </c>
      <c r="MG70">
        <v>24.22</v>
      </c>
      <c r="MH70">
        <v>0</v>
      </c>
      <c r="MI70">
        <v>0</v>
      </c>
      <c r="MJ70">
        <v>0</v>
      </c>
      <c r="MK70">
        <v>26.59</v>
      </c>
      <c r="ML70">
        <v>0.54</v>
      </c>
      <c r="MM70">
        <v>0</v>
      </c>
      <c r="MN70">
        <v>0</v>
      </c>
      <c r="MO70">
        <v>0</v>
      </c>
      <c r="MP70">
        <v>0</v>
      </c>
      <c r="NC70">
        <v>0</v>
      </c>
      <c r="ND70">
        <v>0</v>
      </c>
      <c r="NO70" s="20"/>
      <c r="OG70">
        <v>1</v>
      </c>
      <c r="OH70">
        <v>40</v>
      </c>
      <c r="OI70">
        <v>2</v>
      </c>
      <c r="OJ70">
        <v>0.26</v>
      </c>
      <c r="OK70">
        <v>3</v>
      </c>
      <c r="PR70" s="16">
        <v>3.77</v>
      </c>
      <c r="PS70" s="16">
        <v>1</v>
      </c>
      <c r="PT70" s="16">
        <v>1</v>
      </c>
      <c r="PU70" s="16"/>
      <c r="PV70" s="16">
        <v>25.78</v>
      </c>
      <c r="PW70" s="16"/>
      <c r="PX70" s="16"/>
      <c r="PY70" s="16"/>
      <c r="PZ70" s="16"/>
      <c r="QA70" s="16"/>
      <c r="QB70" s="16"/>
      <c r="QC70" s="16">
        <v>0</v>
      </c>
      <c r="QD70" s="16">
        <v>0</v>
      </c>
      <c r="QE70" s="16">
        <v>0</v>
      </c>
      <c r="QF70" s="16">
        <v>0</v>
      </c>
      <c r="QG70" s="16">
        <v>0</v>
      </c>
      <c r="QH70" s="16">
        <v>0</v>
      </c>
      <c r="QI70" s="16">
        <v>0</v>
      </c>
      <c r="QJ70">
        <v>0</v>
      </c>
      <c r="QK70" t="s">
        <v>207</v>
      </c>
      <c r="QL70">
        <v>20.5</v>
      </c>
      <c r="QM70" s="16">
        <v>85.6</v>
      </c>
      <c r="QN70" s="16">
        <v>80.400000000000006</v>
      </c>
      <c r="QO70" s="16">
        <v>17.7</v>
      </c>
      <c r="QP70">
        <v>63.65</v>
      </c>
      <c r="QR70">
        <v>0</v>
      </c>
      <c r="QS70">
        <v>0</v>
      </c>
      <c r="QT70">
        <v>47.03</v>
      </c>
      <c r="QU70">
        <v>0</v>
      </c>
      <c r="QV70">
        <v>11.64</v>
      </c>
      <c r="QW70">
        <v>0</v>
      </c>
      <c r="QX70">
        <v>0</v>
      </c>
      <c r="QY70">
        <v>5.03</v>
      </c>
      <c r="QZ70">
        <v>0</v>
      </c>
      <c r="RA70">
        <v>2.93</v>
      </c>
      <c r="RB70">
        <v>24.27</v>
      </c>
      <c r="RC70">
        <v>17.25</v>
      </c>
      <c r="RD70">
        <v>0</v>
      </c>
      <c r="RE70">
        <v>0</v>
      </c>
      <c r="RF70">
        <v>0</v>
      </c>
      <c r="RG70">
        <v>0</v>
      </c>
      <c r="RT70">
        <v>0</v>
      </c>
      <c r="RU70">
        <v>0</v>
      </c>
      <c r="SF70" s="20"/>
      <c r="SX70">
        <v>0</v>
      </c>
      <c r="UI70" s="16">
        <v>1.47</v>
      </c>
      <c r="UJ70" s="16">
        <v>1</v>
      </c>
      <c r="UK70" s="16">
        <v>1</v>
      </c>
      <c r="UL70" s="16"/>
      <c r="UM70" s="16">
        <v>2.94</v>
      </c>
      <c r="UN70" s="16"/>
      <c r="UO70" s="16"/>
      <c r="UP70" s="16"/>
      <c r="UQ70" s="16"/>
      <c r="UR70" s="16"/>
      <c r="US70" s="16"/>
      <c r="UT70" s="16">
        <v>0</v>
      </c>
      <c r="UU70" s="16">
        <v>0</v>
      </c>
      <c r="UV70" s="16">
        <v>0</v>
      </c>
      <c r="UW70" s="16">
        <v>0</v>
      </c>
      <c r="UX70" s="16">
        <v>0</v>
      </c>
      <c r="UY70" s="16">
        <v>0</v>
      </c>
      <c r="UZ70" s="16">
        <v>0</v>
      </c>
      <c r="VA70">
        <v>0</v>
      </c>
      <c r="VB70" t="s">
        <v>208</v>
      </c>
      <c r="VC70">
        <v>35</v>
      </c>
      <c r="VD70" s="16">
        <v>69.2</v>
      </c>
      <c r="VE70" s="16">
        <v>80.400000000000006</v>
      </c>
      <c r="VF70" s="16">
        <v>24</v>
      </c>
      <c r="VG70">
        <v>71.73</v>
      </c>
      <c r="VI70">
        <v>0</v>
      </c>
      <c r="VJ70">
        <v>6.09</v>
      </c>
      <c r="VK70">
        <v>19.28</v>
      </c>
      <c r="VL70">
        <v>0</v>
      </c>
      <c r="VM70">
        <v>2.83</v>
      </c>
      <c r="VN70">
        <v>0</v>
      </c>
      <c r="VO70">
        <v>0</v>
      </c>
      <c r="VP70">
        <v>0</v>
      </c>
      <c r="VQ70">
        <v>0</v>
      </c>
      <c r="VR70">
        <v>14.46</v>
      </c>
      <c r="VS70">
        <v>19.89</v>
      </c>
      <c r="VT70">
        <v>24.43</v>
      </c>
      <c r="VU70">
        <v>0</v>
      </c>
      <c r="VV70">
        <v>7.0000000000000007E-2</v>
      </c>
      <c r="VW70">
        <v>0</v>
      </c>
      <c r="VX70">
        <v>0</v>
      </c>
      <c r="WK70">
        <v>2</v>
      </c>
      <c r="WL70">
        <v>0</v>
      </c>
      <c r="WW70" s="20"/>
      <c r="XO70">
        <v>1</v>
      </c>
      <c r="XP70">
        <v>40</v>
      </c>
      <c r="XQ70">
        <v>2</v>
      </c>
      <c r="XR70">
        <v>1.52</v>
      </c>
      <c r="XS70">
        <v>3</v>
      </c>
      <c r="XT70">
        <v>50</v>
      </c>
      <c r="XU70">
        <v>4</v>
      </c>
      <c r="XV70">
        <v>0.54</v>
      </c>
      <c r="XW70">
        <v>1</v>
      </c>
      <c r="YZ70" s="16">
        <v>1.6</v>
      </c>
      <c r="ZA70" s="16">
        <v>1</v>
      </c>
      <c r="ZB70" s="16">
        <v>1</v>
      </c>
      <c r="ZC70" s="16"/>
      <c r="ZD70" s="16">
        <v>7.09</v>
      </c>
      <c r="ZE70" s="16"/>
      <c r="ZF70" s="16"/>
      <c r="ZG70" s="16"/>
      <c r="ZH70" s="16"/>
      <c r="ZI70" s="16"/>
      <c r="ZJ70" s="16"/>
      <c r="ZK70" s="16">
        <v>1.1200000000000001</v>
      </c>
      <c r="ZL70" s="16">
        <v>0.27</v>
      </c>
      <c r="ZM70" s="16">
        <v>0</v>
      </c>
      <c r="ZN70" s="16">
        <v>0</v>
      </c>
      <c r="ZO70" s="16">
        <v>0</v>
      </c>
      <c r="ZP70" s="16">
        <v>0</v>
      </c>
      <c r="ZQ70" s="16">
        <v>3</v>
      </c>
      <c r="ZR70">
        <v>0</v>
      </c>
      <c r="ZS70" t="s">
        <v>302</v>
      </c>
      <c r="ZT70">
        <v>22</v>
      </c>
      <c r="ZU70" s="16">
        <v>87.6</v>
      </c>
      <c r="ZV70" s="16">
        <v>80.400000000000006</v>
      </c>
      <c r="ZW70" s="16">
        <v>4.5</v>
      </c>
      <c r="ZX70">
        <v>100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1.1399999999999999</v>
      </c>
      <c r="AAJ70">
        <v>27.07</v>
      </c>
      <c r="AAK70">
        <v>1.9</v>
      </c>
      <c r="AAL70">
        <v>0</v>
      </c>
      <c r="AAM70">
        <v>0</v>
      </c>
      <c r="AAN70">
        <v>0</v>
      </c>
      <c r="AAO70">
        <v>0</v>
      </c>
      <c r="ABB70">
        <v>8</v>
      </c>
      <c r="ABC70">
        <v>1</v>
      </c>
      <c r="ABD70">
        <v>35</v>
      </c>
      <c r="ABE70">
        <v>2</v>
      </c>
      <c r="ABF70">
        <v>1.52</v>
      </c>
      <c r="ABG70">
        <v>3</v>
      </c>
      <c r="ABN70" s="20"/>
      <c r="ACF70">
        <v>1</v>
      </c>
      <c r="ACG70">
        <v>40</v>
      </c>
      <c r="ACH70">
        <v>3</v>
      </c>
      <c r="ACI70">
        <v>2.2799999999999998</v>
      </c>
      <c r="ACJ70">
        <v>3</v>
      </c>
      <c r="ADQ70" s="16">
        <v>1.1200000000000001</v>
      </c>
      <c r="ADR70" s="16">
        <v>1</v>
      </c>
      <c r="ADS70" s="16">
        <v>1</v>
      </c>
      <c r="ADT70" s="16"/>
      <c r="ADU70" s="16">
        <v>2.2400000000000002</v>
      </c>
      <c r="ADV70" s="16"/>
      <c r="ADW70" s="16"/>
      <c r="ADX70" s="16"/>
      <c r="ADY70" s="16"/>
      <c r="ADZ70" s="16"/>
      <c r="AEA70" s="16"/>
      <c r="AEB70" s="16">
        <v>6.72</v>
      </c>
      <c r="AEC70" s="16">
        <v>0</v>
      </c>
      <c r="AED70" s="16">
        <v>0</v>
      </c>
      <c r="AEE70" s="16">
        <v>0</v>
      </c>
      <c r="AEF70" s="16">
        <v>0</v>
      </c>
      <c r="AEG70" s="16">
        <v>0</v>
      </c>
      <c r="AEH70" s="16">
        <v>0</v>
      </c>
      <c r="AEI70">
        <v>1</v>
      </c>
      <c r="AEJ70" t="s">
        <v>303</v>
      </c>
      <c r="AEK70">
        <v>18</v>
      </c>
      <c r="AEL70" s="16">
        <v>84.7</v>
      </c>
      <c r="AEM70" s="16">
        <v>80.400000000000006</v>
      </c>
      <c r="AEN70" s="16">
        <v>6.7</v>
      </c>
      <c r="AEO70">
        <v>100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14.84</v>
      </c>
      <c r="AFA70">
        <v>28.79</v>
      </c>
      <c r="AFB70">
        <v>1.9</v>
      </c>
      <c r="AFC70">
        <v>0</v>
      </c>
      <c r="AFD70">
        <v>0</v>
      </c>
      <c r="AFE70">
        <v>0</v>
      </c>
      <c r="AFF70">
        <v>0</v>
      </c>
      <c r="AFS70">
        <v>1.9</v>
      </c>
      <c r="AFT70">
        <v>0</v>
      </c>
      <c r="AGE70" s="20"/>
      <c r="AGW70">
        <v>1</v>
      </c>
      <c r="AGX70">
        <v>50</v>
      </c>
      <c r="AGY70">
        <v>3</v>
      </c>
      <c r="AGZ70">
        <v>2.2799999999999998</v>
      </c>
      <c r="AHA70">
        <v>3</v>
      </c>
      <c r="AIH70" s="16">
        <v>1.1200000000000001</v>
      </c>
      <c r="AII70" s="16">
        <v>1</v>
      </c>
      <c r="AIJ70" s="16">
        <v>1</v>
      </c>
      <c r="AIK70" s="16"/>
      <c r="AIL70" s="16">
        <v>2.2400000000000002</v>
      </c>
      <c r="AIM70" s="16"/>
      <c r="AIN70" s="16"/>
      <c r="AIO70" s="16"/>
      <c r="AIP70" s="16"/>
      <c r="AIQ70" s="16"/>
      <c r="AIR70" s="16"/>
      <c r="AIS70" s="16">
        <v>0</v>
      </c>
      <c r="AIT70" s="16">
        <v>0</v>
      </c>
      <c r="AIU70" s="16">
        <v>0</v>
      </c>
      <c r="AIV70" s="16">
        <v>0</v>
      </c>
      <c r="AIW70" s="16">
        <v>6.72</v>
      </c>
      <c r="AIX70" s="16">
        <v>0</v>
      </c>
      <c r="AIY70" s="16">
        <v>0</v>
      </c>
      <c r="AIZ70">
        <v>1</v>
      </c>
      <c r="AJA70" t="s">
        <v>304</v>
      </c>
      <c r="AJB70">
        <v>29</v>
      </c>
      <c r="AJC70" s="16">
        <v>84.9</v>
      </c>
      <c r="AJD70" s="16">
        <v>80.400000000000006</v>
      </c>
      <c r="AJE70" s="16">
        <v>22.7</v>
      </c>
      <c r="AJF70">
        <v>47.69</v>
      </c>
      <c r="AJH70">
        <v>0</v>
      </c>
      <c r="AJI70">
        <v>0</v>
      </c>
      <c r="AJJ70">
        <v>22.69</v>
      </c>
      <c r="AJK70">
        <v>0</v>
      </c>
      <c r="AJL70">
        <v>28.56</v>
      </c>
      <c r="AJM70">
        <v>0</v>
      </c>
      <c r="AJN70">
        <v>0</v>
      </c>
      <c r="AJO70">
        <v>0</v>
      </c>
      <c r="AJP70">
        <v>0</v>
      </c>
      <c r="AJQ70">
        <v>30.64</v>
      </c>
      <c r="AJR70">
        <v>8.3800000000000008</v>
      </c>
      <c r="AJS70">
        <v>43.35</v>
      </c>
      <c r="AJT70">
        <v>6.09</v>
      </c>
      <c r="AJU70">
        <v>0</v>
      </c>
      <c r="AJV70">
        <v>0</v>
      </c>
      <c r="AJW70">
        <v>0</v>
      </c>
      <c r="AKJ70">
        <v>2.5</v>
      </c>
      <c r="AKK70">
        <v>1</v>
      </c>
      <c r="AKL70">
        <v>35</v>
      </c>
      <c r="AKM70">
        <v>4</v>
      </c>
      <c r="AKN70">
        <v>0.54</v>
      </c>
      <c r="AKO70">
        <v>3</v>
      </c>
      <c r="AKV70" s="20"/>
      <c r="ALN70">
        <v>1</v>
      </c>
      <c r="ALO70">
        <v>40</v>
      </c>
      <c r="ALP70">
        <v>2</v>
      </c>
      <c r="ALQ70">
        <v>0.26</v>
      </c>
      <c r="ALR70">
        <v>3</v>
      </c>
    </row>
    <row r="71" spans="1:1018" x14ac:dyDescent="0.2">
      <c r="A71" s="1" t="s">
        <v>432</v>
      </c>
      <c r="B71" s="12">
        <v>42900</v>
      </c>
      <c r="C71">
        <v>2</v>
      </c>
      <c r="D71" s="13">
        <v>37557</v>
      </c>
      <c r="E71" s="12">
        <v>30193</v>
      </c>
      <c r="F71" s="14">
        <f t="shared" si="42"/>
        <v>34.789869952087614</v>
      </c>
      <c r="G71" s="14">
        <f t="shared" si="43"/>
        <v>14.628336755646817</v>
      </c>
      <c r="H71" s="15" t="s">
        <v>183</v>
      </c>
      <c r="I71" s="15" t="s">
        <v>298</v>
      </c>
      <c r="J71" s="15" t="s">
        <v>181</v>
      </c>
      <c r="K71" s="21">
        <v>8</v>
      </c>
      <c r="L71" s="19">
        <v>70</v>
      </c>
      <c r="M71">
        <v>1.8</v>
      </c>
      <c r="N71" s="16">
        <f t="shared" si="44"/>
        <v>21.604938271604937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19">
        <v>0</v>
      </c>
      <c r="V71" s="19">
        <v>0</v>
      </c>
      <c r="W71" s="19">
        <v>0</v>
      </c>
      <c r="X71" s="19">
        <v>0</v>
      </c>
      <c r="Y71" s="19">
        <v>1</v>
      </c>
      <c r="Z71" s="19">
        <v>2</v>
      </c>
      <c r="AA71" s="19">
        <v>120</v>
      </c>
      <c r="AB71" s="19" t="s">
        <v>284</v>
      </c>
      <c r="AC71" s="19">
        <v>0</v>
      </c>
      <c r="AD71" s="19">
        <v>0</v>
      </c>
      <c r="AE71" s="19">
        <v>0</v>
      </c>
      <c r="AF71" s="19">
        <v>0</v>
      </c>
      <c r="AG71" s="19">
        <v>0</v>
      </c>
      <c r="AH71" s="19">
        <v>0</v>
      </c>
      <c r="AI71" s="19">
        <v>3</v>
      </c>
      <c r="AJ71" s="19">
        <v>0</v>
      </c>
      <c r="AK71" s="19">
        <v>0</v>
      </c>
      <c r="AL71" s="19">
        <v>0</v>
      </c>
      <c r="AM71" s="19">
        <v>0</v>
      </c>
      <c r="AN71" s="19">
        <v>0</v>
      </c>
      <c r="AO71" s="19">
        <v>0</v>
      </c>
      <c r="AP71" s="19">
        <v>0</v>
      </c>
      <c r="AQ71" s="19">
        <v>0</v>
      </c>
      <c r="AR71" s="19">
        <v>0</v>
      </c>
      <c r="AS71" s="19">
        <v>3</v>
      </c>
      <c r="AT71" s="19">
        <v>3</v>
      </c>
      <c r="AU71" s="19">
        <v>3</v>
      </c>
      <c r="AV71" s="19">
        <v>4</v>
      </c>
      <c r="AW71" s="19">
        <v>3</v>
      </c>
      <c r="AX71" s="19">
        <v>0</v>
      </c>
      <c r="AY71" s="19">
        <v>0</v>
      </c>
      <c r="AZ71" s="19">
        <v>0</v>
      </c>
      <c r="BA71" s="19">
        <v>0</v>
      </c>
      <c r="BB71" s="19">
        <v>1</v>
      </c>
      <c r="BC71" s="19">
        <v>0</v>
      </c>
      <c r="BD71" s="19">
        <v>0</v>
      </c>
      <c r="BE71" s="19">
        <v>0</v>
      </c>
      <c r="BF71" s="19">
        <v>0</v>
      </c>
      <c r="BG71" s="19">
        <v>0</v>
      </c>
      <c r="BH71" s="19">
        <v>0</v>
      </c>
      <c r="BI71" s="19">
        <v>0</v>
      </c>
      <c r="BJ71" s="19">
        <v>0</v>
      </c>
      <c r="BK71" s="19">
        <v>0</v>
      </c>
      <c r="BL71" s="19">
        <v>0</v>
      </c>
      <c r="BM71" s="19">
        <v>0</v>
      </c>
      <c r="BN71" s="19">
        <v>0</v>
      </c>
      <c r="BO71" s="19">
        <v>0</v>
      </c>
      <c r="BP71" s="19">
        <v>0</v>
      </c>
      <c r="BQ71" s="19">
        <v>0</v>
      </c>
      <c r="BR71" s="19">
        <v>2</v>
      </c>
      <c r="BS71" s="19">
        <v>2</v>
      </c>
      <c r="BT71" s="19">
        <v>4</v>
      </c>
      <c r="BU71" s="19">
        <v>4</v>
      </c>
      <c r="BV71" s="19">
        <v>3</v>
      </c>
      <c r="BW71" s="19">
        <v>2</v>
      </c>
      <c r="BX71" s="19">
        <v>3</v>
      </c>
      <c r="BY71" s="19">
        <v>3</v>
      </c>
      <c r="BZ71" s="19">
        <v>2</v>
      </c>
      <c r="CA71" s="19">
        <v>2</v>
      </c>
      <c r="CB71" s="19">
        <v>3</v>
      </c>
      <c r="CC71" s="19">
        <v>5</v>
      </c>
      <c r="CD71" s="19">
        <v>2</v>
      </c>
      <c r="CE71" s="19">
        <v>3</v>
      </c>
      <c r="CF71" s="19">
        <v>3</v>
      </c>
      <c r="CG71" s="19">
        <v>4</v>
      </c>
      <c r="CH71" s="19">
        <v>3</v>
      </c>
      <c r="CI71" s="19">
        <v>3</v>
      </c>
      <c r="CJ71" s="19">
        <v>3</v>
      </c>
      <c r="CK71" s="19">
        <v>8</v>
      </c>
      <c r="CL71" t="s">
        <v>299</v>
      </c>
      <c r="CM71">
        <v>17.5</v>
      </c>
      <c r="CN71" s="16">
        <v>81.900000000000006</v>
      </c>
      <c r="CO71" s="16">
        <v>80.400000000000006</v>
      </c>
      <c r="CP71" s="16">
        <v>12.5</v>
      </c>
      <c r="CQ71">
        <v>85.79</v>
      </c>
      <c r="CR71" s="17">
        <v>0</v>
      </c>
      <c r="CS71">
        <v>10.02</v>
      </c>
      <c r="CT71">
        <v>0</v>
      </c>
      <c r="CU71">
        <v>0</v>
      </c>
      <c r="CV71">
        <v>0</v>
      </c>
      <c r="CW71">
        <v>4.1900000000000004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53.51</v>
      </c>
      <c r="DD71">
        <v>0</v>
      </c>
      <c r="DE71">
        <v>0</v>
      </c>
      <c r="DF71">
        <v>0</v>
      </c>
      <c r="DG71">
        <v>0</v>
      </c>
      <c r="DH71">
        <v>0</v>
      </c>
      <c r="DU71">
        <v>0</v>
      </c>
      <c r="DV71">
        <v>0</v>
      </c>
      <c r="EG71" s="20"/>
      <c r="EY71">
        <v>0</v>
      </c>
      <c r="GJ71" s="16">
        <v>3.38</v>
      </c>
      <c r="GK71" s="16">
        <v>1</v>
      </c>
      <c r="GL71" s="16">
        <v>1</v>
      </c>
      <c r="GM71" s="16"/>
      <c r="GN71" s="16">
        <v>12.64</v>
      </c>
      <c r="GO71" s="16"/>
      <c r="GP71" s="16"/>
      <c r="GQ71" s="16"/>
      <c r="GR71" s="16"/>
      <c r="GS71" s="16"/>
      <c r="GT71" s="16"/>
      <c r="GU71" s="16">
        <v>0</v>
      </c>
      <c r="GV71" s="16">
        <v>0</v>
      </c>
      <c r="GW71" s="16">
        <v>0</v>
      </c>
      <c r="GX71" s="16">
        <v>0</v>
      </c>
      <c r="GY71" s="16">
        <v>0</v>
      </c>
      <c r="GZ71" s="16">
        <v>0</v>
      </c>
      <c r="HA71" s="16">
        <v>0</v>
      </c>
      <c r="HB71">
        <v>0</v>
      </c>
      <c r="HC71" t="s">
        <v>300</v>
      </c>
      <c r="HD71">
        <v>31</v>
      </c>
      <c r="HE71" s="16">
        <v>86.2</v>
      </c>
      <c r="HF71" s="16">
        <v>80.400000000000006</v>
      </c>
      <c r="HG71" s="16">
        <v>19.399999999999999</v>
      </c>
      <c r="HH71">
        <v>23.44</v>
      </c>
      <c r="HI71" s="17">
        <v>0</v>
      </c>
      <c r="HJ71">
        <v>0</v>
      </c>
      <c r="HK71">
        <v>0</v>
      </c>
      <c r="HL71">
        <v>0.94</v>
      </c>
      <c r="HM71">
        <v>0</v>
      </c>
      <c r="HN71">
        <v>75.62</v>
      </c>
      <c r="HO71">
        <v>16.829999999999998</v>
      </c>
      <c r="HP71">
        <v>0</v>
      </c>
      <c r="HQ71">
        <v>0</v>
      </c>
      <c r="HR71">
        <v>0</v>
      </c>
      <c r="HS71">
        <v>0</v>
      </c>
      <c r="HT71">
        <v>6.9</v>
      </c>
      <c r="HU71">
        <v>42.32</v>
      </c>
      <c r="HV71">
        <v>0</v>
      </c>
      <c r="HW71">
        <v>0</v>
      </c>
      <c r="HX71">
        <v>0</v>
      </c>
      <c r="HY71">
        <v>0</v>
      </c>
      <c r="IL71">
        <v>0</v>
      </c>
      <c r="IM71">
        <v>0</v>
      </c>
      <c r="IX71" s="20"/>
      <c r="JP71">
        <v>0</v>
      </c>
      <c r="LA71" s="16">
        <v>5.0599999999999996</v>
      </c>
      <c r="LB71" s="16">
        <v>1</v>
      </c>
      <c r="LC71" s="16">
        <v>1</v>
      </c>
      <c r="LD71" s="16"/>
      <c r="LE71" s="16">
        <v>6.74</v>
      </c>
      <c r="LF71" s="16">
        <v>2</v>
      </c>
      <c r="LG71" s="16"/>
      <c r="LH71" s="16">
        <v>10.7</v>
      </c>
      <c r="LI71" s="16"/>
      <c r="LJ71" s="16"/>
      <c r="LK71" s="16"/>
      <c r="LL71" s="16">
        <v>0</v>
      </c>
      <c r="LM71" s="16">
        <v>0</v>
      </c>
      <c r="LN71" s="16">
        <v>0</v>
      </c>
      <c r="LO71" s="16">
        <v>0</v>
      </c>
      <c r="LP71" s="16">
        <v>5.97</v>
      </c>
      <c r="LQ71" s="16">
        <v>0</v>
      </c>
      <c r="LR71" s="16">
        <v>0</v>
      </c>
      <c r="LS71">
        <v>1</v>
      </c>
      <c r="LT71" t="s">
        <v>301</v>
      </c>
      <c r="LU71">
        <v>44</v>
      </c>
      <c r="LV71" s="16">
        <v>88.4</v>
      </c>
      <c r="LW71" s="16">
        <v>80.400000000000006</v>
      </c>
      <c r="LX71" s="16">
        <v>40</v>
      </c>
      <c r="LY71">
        <v>11.38</v>
      </c>
      <c r="LZ71" s="17">
        <v>0</v>
      </c>
      <c r="MA71">
        <v>0</v>
      </c>
      <c r="MB71">
        <v>0</v>
      </c>
      <c r="MC71">
        <v>0</v>
      </c>
      <c r="MD71">
        <v>0</v>
      </c>
      <c r="ME71">
        <v>88.62</v>
      </c>
      <c r="MF71">
        <v>22.58</v>
      </c>
      <c r="MG71">
        <v>24.22</v>
      </c>
      <c r="MH71">
        <v>0</v>
      </c>
      <c r="MI71">
        <v>0</v>
      </c>
      <c r="MJ71">
        <v>0</v>
      </c>
      <c r="MK71">
        <v>26.59</v>
      </c>
      <c r="ML71">
        <v>0.54</v>
      </c>
      <c r="MM71">
        <v>0</v>
      </c>
      <c r="MN71">
        <v>0</v>
      </c>
      <c r="MO71">
        <v>0</v>
      </c>
      <c r="MP71">
        <v>0</v>
      </c>
      <c r="NC71">
        <v>0</v>
      </c>
      <c r="ND71">
        <v>0</v>
      </c>
      <c r="NO71" s="20"/>
      <c r="OG71">
        <v>1</v>
      </c>
      <c r="OH71">
        <v>40</v>
      </c>
      <c r="OI71">
        <v>2</v>
      </c>
      <c r="OJ71">
        <v>0.26</v>
      </c>
      <c r="OK71">
        <v>3</v>
      </c>
      <c r="PR71" s="16">
        <v>3.77</v>
      </c>
      <c r="PS71" s="16">
        <v>1</v>
      </c>
      <c r="PT71" s="16">
        <v>1</v>
      </c>
      <c r="PU71" s="16"/>
      <c r="PV71" s="16">
        <v>25.78</v>
      </c>
      <c r="PW71" s="16"/>
      <c r="PX71" s="16"/>
      <c r="PY71" s="16"/>
      <c r="PZ71" s="16"/>
      <c r="QA71" s="16"/>
      <c r="QB71" s="16"/>
      <c r="QC71" s="16">
        <v>0</v>
      </c>
      <c r="QD71" s="16">
        <v>0</v>
      </c>
      <c r="QE71" s="16">
        <v>0</v>
      </c>
      <c r="QF71" s="16">
        <v>0</v>
      </c>
      <c r="QG71" s="16">
        <v>0</v>
      </c>
      <c r="QH71" s="16">
        <v>0</v>
      </c>
      <c r="QI71" s="16">
        <v>0</v>
      </c>
      <c r="QJ71">
        <v>0</v>
      </c>
      <c r="QK71" t="s">
        <v>207</v>
      </c>
      <c r="QL71">
        <v>20.5</v>
      </c>
      <c r="QM71" s="16">
        <v>85.6</v>
      </c>
      <c r="QN71" s="16">
        <v>80.400000000000006</v>
      </c>
      <c r="QO71" s="16">
        <v>17.7</v>
      </c>
      <c r="QP71">
        <v>63.65</v>
      </c>
      <c r="QQ71" s="17">
        <v>0</v>
      </c>
      <c r="QR71">
        <v>0</v>
      </c>
      <c r="QS71">
        <v>0</v>
      </c>
      <c r="QT71">
        <v>47.03</v>
      </c>
      <c r="QU71">
        <v>0</v>
      </c>
      <c r="QV71">
        <v>11.64</v>
      </c>
      <c r="QW71">
        <v>0</v>
      </c>
      <c r="QX71">
        <v>0</v>
      </c>
      <c r="QY71">
        <v>5.03</v>
      </c>
      <c r="QZ71">
        <v>0</v>
      </c>
      <c r="RA71">
        <v>2.93</v>
      </c>
      <c r="RB71">
        <v>24.27</v>
      </c>
      <c r="RC71">
        <v>17.25</v>
      </c>
      <c r="RD71">
        <v>0</v>
      </c>
      <c r="RE71">
        <v>0</v>
      </c>
      <c r="RF71">
        <v>0</v>
      </c>
      <c r="RG71">
        <v>0</v>
      </c>
      <c r="RT71">
        <v>0</v>
      </c>
      <c r="RU71">
        <v>0</v>
      </c>
      <c r="SF71" s="20"/>
      <c r="SX71">
        <v>0</v>
      </c>
      <c r="UI71" s="16">
        <v>1.47</v>
      </c>
      <c r="UJ71" s="16">
        <v>1</v>
      </c>
      <c r="UK71" s="16">
        <v>1</v>
      </c>
      <c r="UL71" s="16"/>
      <c r="UM71" s="16">
        <v>2.94</v>
      </c>
      <c r="UN71" s="16"/>
      <c r="UO71" s="16"/>
      <c r="UP71" s="16"/>
      <c r="UQ71" s="16"/>
      <c r="UR71" s="16"/>
      <c r="US71" s="16"/>
      <c r="UT71" s="16">
        <v>0</v>
      </c>
      <c r="UU71" s="16">
        <v>0</v>
      </c>
      <c r="UV71" s="16">
        <v>0</v>
      </c>
      <c r="UW71" s="16">
        <v>0</v>
      </c>
      <c r="UX71" s="16">
        <v>0</v>
      </c>
      <c r="UY71" s="16">
        <v>0</v>
      </c>
      <c r="UZ71" s="16">
        <v>0</v>
      </c>
      <c r="VA71">
        <v>0</v>
      </c>
      <c r="VB71" t="s">
        <v>208</v>
      </c>
      <c r="VC71">
        <v>35</v>
      </c>
      <c r="VD71" s="16">
        <v>69.2</v>
      </c>
      <c r="VE71" s="16">
        <v>80.400000000000006</v>
      </c>
      <c r="VF71" s="16">
        <v>24</v>
      </c>
      <c r="VG71">
        <v>71.73</v>
      </c>
      <c r="VH71" s="17">
        <v>0</v>
      </c>
      <c r="VI71">
        <v>0</v>
      </c>
      <c r="VJ71">
        <v>6.09</v>
      </c>
      <c r="VK71">
        <v>19.28</v>
      </c>
      <c r="VL71">
        <v>0</v>
      </c>
      <c r="VM71">
        <v>2.83</v>
      </c>
      <c r="VN71">
        <v>0</v>
      </c>
      <c r="VO71">
        <v>0</v>
      </c>
      <c r="VP71">
        <v>0</v>
      </c>
      <c r="VQ71">
        <v>0</v>
      </c>
      <c r="VR71">
        <v>14.46</v>
      </c>
      <c r="VS71">
        <v>19.89</v>
      </c>
      <c r="VT71">
        <v>24.43</v>
      </c>
      <c r="VU71">
        <v>0</v>
      </c>
      <c r="VV71">
        <v>7.0000000000000007E-2</v>
      </c>
      <c r="VW71">
        <v>0</v>
      </c>
      <c r="VX71">
        <v>0</v>
      </c>
      <c r="WK71">
        <v>2</v>
      </c>
      <c r="WL71">
        <v>0</v>
      </c>
      <c r="WW71" s="20"/>
      <c r="XO71">
        <v>1</v>
      </c>
      <c r="XP71">
        <v>40</v>
      </c>
      <c r="XQ71">
        <v>2</v>
      </c>
      <c r="XR71">
        <v>1.52</v>
      </c>
      <c r="XS71">
        <v>3</v>
      </c>
      <c r="XT71">
        <v>50</v>
      </c>
      <c r="XU71">
        <v>4</v>
      </c>
      <c r="XV71">
        <v>0.54</v>
      </c>
      <c r="XW71">
        <v>1</v>
      </c>
      <c r="YZ71" s="16">
        <v>1.6</v>
      </c>
      <c r="ZA71" s="16">
        <v>1</v>
      </c>
      <c r="ZB71" s="16">
        <v>1</v>
      </c>
      <c r="ZC71" s="16"/>
      <c r="ZD71" s="16">
        <v>7.09</v>
      </c>
      <c r="ZE71" s="16"/>
      <c r="ZF71" s="16"/>
      <c r="ZG71" s="16"/>
      <c r="ZH71" s="16"/>
      <c r="ZI71" s="16"/>
      <c r="ZJ71" s="16"/>
      <c r="ZK71" s="16">
        <v>1.1200000000000001</v>
      </c>
      <c r="ZL71" s="16">
        <v>0.27</v>
      </c>
      <c r="ZM71" s="16">
        <v>0</v>
      </c>
      <c r="ZN71" s="16">
        <v>0</v>
      </c>
      <c r="ZO71" s="16">
        <v>0</v>
      </c>
      <c r="ZP71" s="16">
        <v>0</v>
      </c>
      <c r="ZQ71" s="16">
        <v>3</v>
      </c>
      <c r="ZR71">
        <v>0</v>
      </c>
      <c r="ZS71" t="s">
        <v>302</v>
      </c>
      <c r="ZT71">
        <v>22</v>
      </c>
      <c r="ZU71" s="16">
        <v>87.6</v>
      </c>
      <c r="ZV71" s="16">
        <v>80.400000000000006</v>
      </c>
      <c r="ZW71" s="16">
        <v>4.5</v>
      </c>
      <c r="ZX71">
        <v>100</v>
      </c>
      <c r="ZY71" s="17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1.1399999999999999</v>
      </c>
      <c r="AAJ71">
        <v>27.07</v>
      </c>
      <c r="AAK71">
        <v>1.9</v>
      </c>
      <c r="AAL71">
        <v>0</v>
      </c>
      <c r="AAM71">
        <v>0</v>
      </c>
      <c r="AAN71">
        <v>0</v>
      </c>
      <c r="AAO71">
        <v>0</v>
      </c>
      <c r="ABB71">
        <v>8</v>
      </c>
      <c r="ABC71">
        <v>1</v>
      </c>
      <c r="ABD71">
        <v>35</v>
      </c>
      <c r="ABE71">
        <v>2</v>
      </c>
      <c r="ABF71">
        <v>1.52</v>
      </c>
      <c r="ABG71">
        <v>3</v>
      </c>
      <c r="ABN71" s="20"/>
      <c r="ACF71">
        <v>1</v>
      </c>
      <c r="ACG71">
        <v>40</v>
      </c>
      <c r="ACH71">
        <v>3</v>
      </c>
      <c r="ACI71">
        <v>2.2799999999999998</v>
      </c>
      <c r="ACJ71">
        <v>3</v>
      </c>
      <c r="ADQ71" s="16">
        <v>1.1200000000000001</v>
      </c>
      <c r="ADR71" s="16">
        <v>1</v>
      </c>
      <c r="ADS71" s="16">
        <v>1</v>
      </c>
      <c r="ADT71" s="16"/>
      <c r="ADU71" s="16">
        <v>2.2400000000000002</v>
      </c>
      <c r="ADV71" s="16"/>
      <c r="ADW71" s="16"/>
      <c r="ADX71" s="16"/>
      <c r="ADY71" s="16"/>
      <c r="ADZ71" s="16"/>
      <c r="AEA71" s="16"/>
      <c r="AEB71" s="16">
        <v>6.72</v>
      </c>
      <c r="AEC71" s="16">
        <v>0</v>
      </c>
      <c r="AED71" s="16">
        <v>0</v>
      </c>
      <c r="AEE71" s="16">
        <v>0</v>
      </c>
      <c r="AEF71" s="16">
        <v>0</v>
      </c>
      <c r="AEG71" s="16">
        <v>0</v>
      </c>
      <c r="AEH71" s="16">
        <v>0</v>
      </c>
      <c r="AEI71">
        <v>1</v>
      </c>
      <c r="AEJ71" t="s">
        <v>303</v>
      </c>
      <c r="AEK71">
        <v>18</v>
      </c>
      <c r="AEL71" s="16">
        <v>84.7</v>
      </c>
      <c r="AEM71" s="16">
        <v>80.400000000000006</v>
      </c>
      <c r="AEN71" s="16">
        <v>6.7</v>
      </c>
      <c r="AEO71">
        <v>100</v>
      </c>
      <c r="AEP71" s="17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14.84</v>
      </c>
      <c r="AFA71">
        <v>28.79</v>
      </c>
      <c r="AFB71">
        <v>1.9</v>
      </c>
      <c r="AFC71">
        <v>0</v>
      </c>
      <c r="AFD71">
        <v>0</v>
      </c>
      <c r="AFE71">
        <v>0</v>
      </c>
      <c r="AFF71">
        <v>0</v>
      </c>
      <c r="AFS71">
        <v>1.9</v>
      </c>
      <c r="AFT71">
        <v>0</v>
      </c>
      <c r="AGE71" s="20"/>
      <c r="AGW71">
        <v>1</v>
      </c>
      <c r="AGX71">
        <v>50</v>
      </c>
      <c r="AGY71">
        <v>3</v>
      </c>
      <c r="AGZ71">
        <v>2.2799999999999998</v>
      </c>
      <c r="AHA71">
        <v>3</v>
      </c>
      <c r="AIH71" s="16">
        <v>1.1200000000000001</v>
      </c>
      <c r="AII71" s="16">
        <v>1</v>
      </c>
      <c r="AIJ71" s="16">
        <v>1</v>
      </c>
      <c r="AIK71" s="16"/>
      <c r="AIL71" s="16">
        <v>2.2400000000000002</v>
      </c>
      <c r="AIM71" s="16"/>
      <c r="AIN71" s="16"/>
      <c r="AIO71" s="16"/>
      <c r="AIP71" s="16"/>
      <c r="AIQ71" s="16"/>
      <c r="AIR71" s="16"/>
      <c r="AIS71" s="16">
        <v>0</v>
      </c>
      <c r="AIT71" s="16">
        <v>0</v>
      </c>
      <c r="AIU71" s="16">
        <v>0</v>
      </c>
      <c r="AIV71" s="16">
        <v>0</v>
      </c>
      <c r="AIW71" s="16">
        <v>6.72</v>
      </c>
      <c r="AIX71" s="16">
        <v>0</v>
      </c>
      <c r="AIY71" s="16">
        <v>0</v>
      </c>
      <c r="AIZ71">
        <v>1</v>
      </c>
      <c r="AJA71" t="s">
        <v>304</v>
      </c>
      <c r="AJB71">
        <v>29</v>
      </c>
      <c r="AJC71" s="16">
        <v>84.9</v>
      </c>
      <c r="AJD71" s="16">
        <v>80.400000000000006</v>
      </c>
      <c r="AJE71" s="16">
        <v>22.7</v>
      </c>
      <c r="AJF71">
        <v>47.69</v>
      </c>
      <c r="AJG71" s="17">
        <v>0</v>
      </c>
      <c r="AJH71">
        <v>0</v>
      </c>
      <c r="AJI71">
        <v>0</v>
      </c>
      <c r="AJJ71">
        <v>22.69</v>
      </c>
      <c r="AJK71">
        <v>0</v>
      </c>
      <c r="AJL71">
        <v>28.56</v>
      </c>
      <c r="AJM71">
        <v>0</v>
      </c>
      <c r="AJN71">
        <v>0</v>
      </c>
      <c r="AJO71">
        <v>0</v>
      </c>
      <c r="AJP71">
        <v>0</v>
      </c>
      <c r="AJQ71">
        <v>30.64</v>
      </c>
      <c r="AJR71">
        <v>8.3800000000000008</v>
      </c>
      <c r="AJS71">
        <v>43.35</v>
      </c>
      <c r="AJT71">
        <v>6.09</v>
      </c>
      <c r="AJU71">
        <v>0</v>
      </c>
      <c r="AJV71">
        <v>0</v>
      </c>
      <c r="AJW71">
        <v>0</v>
      </c>
      <c r="AKJ71">
        <v>2.5</v>
      </c>
      <c r="AKK71">
        <v>1</v>
      </c>
      <c r="AKL71">
        <v>35</v>
      </c>
      <c r="AKM71">
        <v>4</v>
      </c>
      <c r="AKN71">
        <v>0.54</v>
      </c>
      <c r="AKO71">
        <v>3</v>
      </c>
      <c r="AKV71" s="20"/>
      <c r="ALN71">
        <v>1</v>
      </c>
      <c r="ALO71">
        <v>40</v>
      </c>
      <c r="ALP71">
        <v>2</v>
      </c>
      <c r="ALQ71">
        <v>0.26</v>
      </c>
      <c r="ALR71">
        <v>3</v>
      </c>
    </row>
    <row r="72" spans="1:1018" x14ac:dyDescent="0.2">
      <c r="A72" s="1" t="s">
        <v>433</v>
      </c>
      <c r="B72" s="12">
        <v>42902</v>
      </c>
      <c r="C72">
        <v>1</v>
      </c>
      <c r="D72" s="13">
        <v>42786</v>
      </c>
      <c r="E72" s="12">
        <v>28212</v>
      </c>
      <c r="F72" s="14">
        <f t="shared" si="42"/>
        <v>40.219028062970565</v>
      </c>
      <c r="G72" s="14">
        <f t="shared" si="43"/>
        <v>0.31759069130732376</v>
      </c>
      <c r="H72" s="15" t="s">
        <v>183</v>
      </c>
      <c r="I72" s="15" t="s">
        <v>298</v>
      </c>
      <c r="J72" s="15" t="s">
        <v>181</v>
      </c>
      <c r="K72" s="21">
        <v>8</v>
      </c>
      <c r="L72" s="19">
        <v>43</v>
      </c>
      <c r="M72" s="15">
        <v>1.56</v>
      </c>
      <c r="N72" s="16">
        <f t="shared" si="44"/>
        <v>17.669296515450359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1</v>
      </c>
      <c r="AD72" s="19">
        <v>10</v>
      </c>
      <c r="AE72" s="19">
        <v>0</v>
      </c>
      <c r="AF72" s="19">
        <v>0</v>
      </c>
      <c r="AG72" s="19">
        <v>0</v>
      </c>
      <c r="AH72" s="19">
        <v>0</v>
      </c>
      <c r="AI72" s="19">
        <v>0</v>
      </c>
      <c r="AJ72" s="19">
        <v>0</v>
      </c>
      <c r="AK72" s="19">
        <v>0</v>
      </c>
      <c r="AL72" s="19">
        <v>0</v>
      </c>
      <c r="AM72" s="19">
        <v>0</v>
      </c>
      <c r="AN72" s="19">
        <v>0</v>
      </c>
      <c r="AO72" s="19">
        <v>0</v>
      </c>
      <c r="AP72" s="19">
        <v>0</v>
      </c>
      <c r="AQ72" s="19">
        <v>0</v>
      </c>
      <c r="AR72" s="19">
        <v>0</v>
      </c>
      <c r="AS72" s="19">
        <v>0</v>
      </c>
      <c r="AT72" s="19">
        <v>0</v>
      </c>
      <c r="AU72" s="19">
        <v>0</v>
      </c>
      <c r="AV72" s="19">
        <v>0</v>
      </c>
      <c r="AW72" s="19">
        <v>0</v>
      </c>
      <c r="AX72" s="19">
        <v>0</v>
      </c>
      <c r="AY72" s="19">
        <v>0</v>
      </c>
      <c r="AZ72" s="19">
        <v>0</v>
      </c>
      <c r="BA72" s="19">
        <v>0</v>
      </c>
      <c r="BB72" s="19">
        <v>0</v>
      </c>
      <c r="BC72" s="19">
        <v>0</v>
      </c>
      <c r="BD72" s="19">
        <v>0</v>
      </c>
      <c r="BE72" s="19">
        <v>0</v>
      </c>
      <c r="BF72" s="19">
        <v>0</v>
      </c>
      <c r="BG72" s="19">
        <v>0</v>
      </c>
      <c r="BH72" s="19">
        <v>0</v>
      </c>
      <c r="BI72" s="19">
        <v>0</v>
      </c>
      <c r="BJ72" s="19">
        <v>0</v>
      </c>
      <c r="BK72" s="19">
        <v>0</v>
      </c>
      <c r="BL72" s="19">
        <v>0</v>
      </c>
      <c r="BM72" s="19">
        <v>0</v>
      </c>
      <c r="BN72" s="19">
        <v>0</v>
      </c>
      <c r="BO72" s="19">
        <v>0</v>
      </c>
      <c r="BP72" s="19">
        <v>0</v>
      </c>
      <c r="BQ72" s="19">
        <v>0</v>
      </c>
      <c r="BR72" s="19">
        <v>1</v>
      </c>
      <c r="BS72" s="19">
        <v>2</v>
      </c>
      <c r="BT72" s="19">
        <v>4</v>
      </c>
      <c r="BU72" s="19">
        <v>5</v>
      </c>
      <c r="BV72" s="19">
        <v>2</v>
      </c>
      <c r="BW72" s="19">
        <v>2</v>
      </c>
      <c r="BX72" s="19">
        <v>2</v>
      </c>
      <c r="BY72" s="19">
        <v>3</v>
      </c>
      <c r="BZ72" s="19">
        <v>4</v>
      </c>
      <c r="CA72" s="19">
        <v>4</v>
      </c>
      <c r="CB72" s="19">
        <v>4</v>
      </c>
      <c r="CC72" s="19">
        <v>4</v>
      </c>
      <c r="CD72" s="19">
        <v>4</v>
      </c>
      <c r="CE72" s="19">
        <v>4</v>
      </c>
      <c r="CF72" s="19">
        <v>5</v>
      </c>
      <c r="CG72" s="19">
        <v>5</v>
      </c>
      <c r="CH72" s="19">
        <v>5</v>
      </c>
      <c r="CI72" s="19">
        <v>5</v>
      </c>
      <c r="CJ72" s="19">
        <v>5</v>
      </c>
      <c r="CK72" s="19"/>
      <c r="CL72" t="s">
        <v>299</v>
      </c>
      <c r="CM72">
        <v>17.5</v>
      </c>
      <c r="CN72" s="16">
        <v>81.900000000000006</v>
      </c>
      <c r="CO72" s="16">
        <v>80.400000000000006</v>
      </c>
      <c r="CP72" s="16">
        <v>12.5</v>
      </c>
      <c r="CQ72">
        <v>85.79</v>
      </c>
      <c r="CS72">
        <v>10.02</v>
      </c>
      <c r="CT72">
        <v>0</v>
      </c>
      <c r="CU72">
        <v>0</v>
      </c>
      <c r="CV72">
        <v>0</v>
      </c>
      <c r="CW72">
        <v>4.1900000000000004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53.51</v>
      </c>
      <c r="DD72">
        <v>0</v>
      </c>
      <c r="DE72">
        <v>0</v>
      </c>
      <c r="DF72">
        <v>0</v>
      </c>
      <c r="DG72">
        <v>0</v>
      </c>
      <c r="DH72">
        <v>0</v>
      </c>
      <c r="DU72">
        <v>0</v>
      </c>
      <c r="DV72">
        <v>0</v>
      </c>
      <c r="EG72" s="20"/>
      <c r="EY72">
        <v>0</v>
      </c>
      <c r="GJ72" s="16">
        <v>3.38</v>
      </c>
      <c r="GK72" s="16">
        <v>1</v>
      </c>
      <c r="GL72" s="16">
        <v>1</v>
      </c>
      <c r="GM72" s="16"/>
      <c r="GN72" s="16">
        <v>12.64</v>
      </c>
      <c r="GO72" s="16"/>
      <c r="GP72" s="16"/>
      <c r="GQ72" s="16"/>
      <c r="GR72" s="16"/>
      <c r="GS72" s="16"/>
      <c r="GT72" s="16"/>
      <c r="GU72" s="16">
        <v>0</v>
      </c>
      <c r="GV72" s="16">
        <v>0</v>
      </c>
      <c r="GW72" s="16">
        <v>0</v>
      </c>
      <c r="GX72" s="16">
        <v>0</v>
      </c>
      <c r="GY72" s="16">
        <v>0</v>
      </c>
      <c r="GZ72" s="16">
        <v>0</v>
      </c>
      <c r="HA72" s="16">
        <v>0</v>
      </c>
      <c r="HB72">
        <v>0</v>
      </c>
      <c r="HC72" t="s">
        <v>300</v>
      </c>
      <c r="HD72">
        <v>31</v>
      </c>
      <c r="HE72" s="16">
        <v>86.2</v>
      </c>
      <c r="HF72" s="16">
        <v>80.400000000000006</v>
      </c>
      <c r="HG72" s="16">
        <v>19.399999999999999</v>
      </c>
      <c r="HH72">
        <v>23.44</v>
      </c>
      <c r="HJ72">
        <v>0</v>
      </c>
      <c r="HK72">
        <v>0</v>
      </c>
      <c r="HL72">
        <v>0.94</v>
      </c>
      <c r="HM72">
        <v>0</v>
      </c>
      <c r="HN72">
        <v>75.62</v>
      </c>
      <c r="HO72">
        <v>16.829999999999998</v>
      </c>
      <c r="HP72">
        <v>0</v>
      </c>
      <c r="HQ72">
        <v>0</v>
      </c>
      <c r="HR72">
        <v>0</v>
      </c>
      <c r="HS72">
        <v>0</v>
      </c>
      <c r="HT72">
        <v>6.9</v>
      </c>
      <c r="HU72">
        <v>42.32</v>
      </c>
      <c r="HV72">
        <v>0</v>
      </c>
      <c r="HW72">
        <v>0</v>
      </c>
      <c r="HX72">
        <v>0</v>
      </c>
      <c r="HY72">
        <v>0</v>
      </c>
      <c r="IL72">
        <v>0</v>
      </c>
      <c r="IM72">
        <v>0</v>
      </c>
      <c r="IX72" s="20"/>
      <c r="JP72">
        <v>0</v>
      </c>
      <c r="LA72" s="16">
        <v>5.0599999999999996</v>
      </c>
      <c r="LB72" s="16">
        <v>1</v>
      </c>
      <c r="LC72" s="16">
        <v>1</v>
      </c>
      <c r="LD72" s="16"/>
      <c r="LE72" s="16">
        <v>6.74</v>
      </c>
      <c r="LF72" s="16">
        <v>2</v>
      </c>
      <c r="LG72" s="16"/>
      <c r="LH72" s="16">
        <v>10.7</v>
      </c>
      <c r="LI72" s="16"/>
      <c r="LJ72" s="16"/>
      <c r="LK72" s="16"/>
      <c r="LL72" s="16">
        <v>0</v>
      </c>
      <c r="LM72" s="16">
        <v>0</v>
      </c>
      <c r="LN72" s="16">
        <v>0</v>
      </c>
      <c r="LO72" s="16">
        <v>0</v>
      </c>
      <c r="LP72" s="16">
        <v>5.97</v>
      </c>
      <c r="LQ72" s="16">
        <v>0</v>
      </c>
      <c r="LR72" s="16">
        <v>0</v>
      </c>
      <c r="LS72">
        <v>1</v>
      </c>
      <c r="LT72" t="s">
        <v>301</v>
      </c>
      <c r="LU72">
        <v>44</v>
      </c>
      <c r="LV72" s="16">
        <v>88.4</v>
      </c>
      <c r="LW72" s="16">
        <v>80.400000000000006</v>
      </c>
      <c r="LX72" s="16">
        <v>40</v>
      </c>
      <c r="LY72">
        <v>11.38</v>
      </c>
      <c r="MA72">
        <v>0</v>
      </c>
      <c r="MB72">
        <v>0</v>
      </c>
      <c r="MC72">
        <v>0</v>
      </c>
      <c r="MD72">
        <v>0</v>
      </c>
      <c r="ME72">
        <v>88.62</v>
      </c>
      <c r="MF72">
        <v>22.58</v>
      </c>
      <c r="MG72">
        <v>24.22</v>
      </c>
      <c r="MH72">
        <v>0</v>
      </c>
      <c r="MI72">
        <v>0</v>
      </c>
      <c r="MJ72">
        <v>0</v>
      </c>
      <c r="MK72">
        <v>26.59</v>
      </c>
      <c r="ML72">
        <v>0.54</v>
      </c>
      <c r="MM72">
        <v>0</v>
      </c>
      <c r="MN72">
        <v>0</v>
      </c>
      <c r="MO72">
        <v>0</v>
      </c>
      <c r="MP72">
        <v>0</v>
      </c>
      <c r="NC72">
        <v>0</v>
      </c>
      <c r="ND72">
        <v>0</v>
      </c>
      <c r="NO72" s="20"/>
      <c r="OG72">
        <v>1</v>
      </c>
      <c r="OH72">
        <v>40</v>
      </c>
      <c r="OI72">
        <v>2</v>
      </c>
      <c r="OJ72">
        <v>0.26</v>
      </c>
      <c r="OK72">
        <v>3</v>
      </c>
      <c r="PR72" s="16">
        <v>3.77</v>
      </c>
      <c r="PS72" s="16">
        <v>1</v>
      </c>
      <c r="PT72" s="16">
        <v>1</v>
      </c>
      <c r="PU72" s="16"/>
      <c r="PV72" s="16">
        <v>25.78</v>
      </c>
      <c r="PW72" s="16"/>
      <c r="PX72" s="16"/>
      <c r="PY72" s="16"/>
      <c r="PZ72" s="16"/>
      <c r="QA72" s="16"/>
      <c r="QB72" s="16"/>
      <c r="QC72" s="16">
        <v>0</v>
      </c>
      <c r="QD72" s="16">
        <v>0</v>
      </c>
      <c r="QE72" s="16">
        <v>0</v>
      </c>
      <c r="QF72" s="16">
        <v>0</v>
      </c>
      <c r="QG72" s="16">
        <v>0</v>
      </c>
      <c r="QH72" s="16">
        <v>0</v>
      </c>
      <c r="QI72" s="16">
        <v>0</v>
      </c>
      <c r="QJ72">
        <v>0</v>
      </c>
      <c r="QK72" t="s">
        <v>207</v>
      </c>
      <c r="QL72">
        <v>20.5</v>
      </c>
      <c r="QM72" s="16">
        <v>85.6</v>
      </c>
      <c r="QN72" s="16">
        <v>80.400000000000006</v>
      </c>
      <c r="QO72" s="16">
        <v>17.7</v>
      </c>
      <c r="QP72">
        <v>63.65</v>
      </c>
      <c r="QR72">
        <v>0</v>
      </c>
      <c r="QS72">
        <v>0</v>
      </c>
      <c r="QT72">
        <v>47.03</v>
      </c>
      <c r="QU72">
        <v>0</v>
      </c>
      <c r="QV72">
        <v>11.64</v>
      </c>
      <c r="QW72">
        <v>0</v>
      </c>
      <c r="QX72">
        <v>0</v>
      </c>
      <c r="QY72">
        <v>5.03</v>
      </c>
      <c r="QZ72">
        <v>0</v>
      </c>
      <c r="RA72">
        <v>2.93</v>
      </c>
      <c r="RB72">
        <v>24.27</v>
      </c>
      <c r="RC72">
        <v>17.25</v>
      </c>
      <c r="RD72">
        <v>0</v>
      </c>
      <c r="RE72">
        <v>0</v>
      </c>
      <c r="RF72">
        <v>0</v>
      </c>
      <c r="RG72">
        <v>0</v>
      </c>
      <c r="RT72">
        <v>0</v>
      </c>
      <c r="RU72">
        <v>0</v>
      </c>
      <c r="SF72" s="20"/>
      <c r="SX72">
        <v>0</v>
      </c>
      <c r="UI72" s="16">
        <v>1.47</v>
      </c>
      <c r="UJ72" s="16">
        <v>1</v>
      </c>
      <c r="UK72" s="16">
        <v>1</v>
      </c>
      <c r="UL72" s="16"/>
      <c r="UM72" s="16">
        <v>2.94</v>
      </c>
      <c r="UN72" s="16"/>
      <c r="UO72" s="16"/>
      <c r="UP72" s="16"/>
      <c r="UQ72" s="16"/>
      <c r="UR72" s="16"/>
      <c r="US72" s="16"/>
      <c r="UT72" s="16">
        <v>0</v>
      </c>
      <c r="UU72" s="16">
        <v>0</v>
      </c>
      <c r="UV72" s="16">
        <v>0</v>
      </c>
      <c r="UW72" s="16">
        <v>0</v>
      </c>
      <c r="UX72" s="16">
        <v>0</v>
      </c>
      <c r="UY72" s="16">
        <v>0</v>
      </c>
      <c r="UZ72" s="16">
        <v>0</v>
      </c>
      <c r="VA72">
        <v>0</v>
      </c>
      <c r="VB72" t="s">
        <v>208</v>
      </c>
      <c r="VC72">
        <v>35</v>
      </c>
      <c r="VD72" s="16">
        <v>69.2</v>
      </c>
      <c r="VE72" s="16">
        <v>80.400000000000006</v>
      </c>
      <c r="VF72" s="16">
        <v>24</v>
      </c>
      <c r="VG72">
        <v>71.73</v>
      </c>
      <c r="VI72">
        <v>0</v>
      </c>
      <c r="VJ72">
        <v>6.09</v>
      </c>
      <c r="VK72">
        <v>19.28</v>
      </c>
      <c r="VL72">
        <v>0</v>
      </c>
      <c r="VM72">
        <v>2.83</v>
      </c>
      <c r="VN72">
        <v>0</v>
      </c>
      <c r="VO72">
        <v>0</v>
      </c>
      <c r="VP72">
        <v>0</v>
      </c>
      <c r="VQ72">
        <v>0</v>
      </c>
      <c r="VR72">
        <v>14.46</v>
      </c>
      <c r="VS72">
        <v>19.89</v>
      </c>
      <c r="VT72">
        <v>24.43</v>
      </c>
      <c r="VU72">
        <v>0</v>
      </c>
      <c r="VV72">
        <v>7.0000000000000007E-2</v>
      </c>
      <c r="VW72">
        <v>0</v>
      </c>
      <c r="VX72">
        <v>0</v>
      </c>
      <c r="WK72">
        <v>2</v>
      </c>
      <c r="WL72">
        <v>0</v>
      </c>
      <c r="WW72" s="20"/>
      <c r="XO72">
        <v>1</v>
      </c>
      <c r="XP72">
        <v>40</v>
      </c>
      <c r="XQ72">
        <v>2</v>
      </c>
      <c r="XR72">
        <v>1.52</v>
      </c>
      <c r="XS72">
        <v>3</v>
      </c>
      <c r="XT72">
        <v>50</v>
      </c>
      <c r="XU72">
        <v>4</v>
      </c>
      <c r="XV72">
        <v>0.54</v>
      </c>
      <c r="XW72">
        <v>1</v>
      </c>
      <c r="YZ72" s="16">
        <v>1.6</v>
      </c>
      <c r="ZA72" s="16">
        <v>1</v>
      </c>
      <c r="ZB72" s="16">
        <v>1</v>
      </c>
      <c r="ZC72" s="16"/>
      <c r="ZD72" s="16">
        <v>7.09</v>
      </c>
      <c r="ZE72" s="16"/>
      <c r="ZF72" s="16"/>
      <c r="ZG72" s="16"/>
      <c r="ZH72" s="16"/>
      <c r="ZI72" s="16"/>
      <c r="ZJ72" s="16"/>
      <c r="ZK72" s="16">
        <v>1.1200000000000001</v>
      </c>
      <c r="ZL72" s="16">
        <v>0.27</v>
      </c>
      <c r="ZM72" s="16">
        <v>0</v>
      </c>
      <c r="ZN72" s="16">
        <v>0</v>
      </c>
      <c r="ZO72" s="16">
        <v>0</v>
      </c>
      <c r="ZP72" s="16">
        <v>0</v>
      </c>
      <c r="ZQ72" s="16">
        <v>3</v>
      </c>
      <c r="ZR72">
        <v>0</v>
      </c>
      <c r="ZS72" t="s">
        <v>302</v>
      </c>
      <c r="ZT72">
        <v>22</v>
      </c>
      <c r="ZU72" s="16">
        <v>87.6</v>
      </c>
      <c r="ZV72" s="16">
        <v>80.400000000000006</v>
      </c>
      <c r="ZW72" s="16">
        <v>4.5</v>
      </c>
      <c r="ZX72">
        <v>100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1.1399999999999999</v>
      </c>
      <c r="AAJ72">
        <v>27.07</v>
      </c>
      <c r="AAK72">
        <v>1.9</v>
      </c>
      <c r="AAL72">
        <v>0</v>
      </c>
      <c r="AAM72">
        <v>0</v>
      </c>
      <c r="AAN72">
        <v>0</v>
      </c>
      <c r="AAO72">
        <v>0</v>
      </c>
      <c r="ABB72">
        <v>8</v>
      </c>
      <c r="ABC72">
        <v>1</v>
      </c>
      <c r="ABD72">
        <v>35</v>
      </c>
      <c r="ABE72">
        <v>2</v>
      </c>
      <c r="ABF72">
        <v>1.52</v>
      </c>
      <c r="ABG72">
        <v>3</v>
      </c>
      <c r="ABN72" s="20"/>
      <c r="ACF72">
        <v>1</v>
      </c>
      <c r="ACG72">
        <v>40</v>
      </c>
      <c r="ACH72">
        <v>3</v>
      </c>
      <c r="ACI72">
        <v>2.2799999999999998</v>
      </c>
      <c r="ACJ72">
        <v>3</v>
      </c>
      <c r="ADQ72" s="16">
        <v>1.1200000000000001</v>
      </c>
      <c r="ADR72" s="16">
        <v>1</v>
      </c>
      <c r="ADS72" s="16">
        <v>1</v>
      </c>
      <c r="ADT72" s="16"/>
      <c r="ADU72" s="16">
        <v>2.2400000000000002</v>
      </c>
      <c r="ADV72" s="16"/>
      <c r="ADW72" s="16"/>
      <c r="ADX72" s="16"/>
      <c r="ADY72" s="16"/>
      <c r="ADZ72" s="16"/>
      <c r="AEA72" s="16"/>
      <c r="AEB72" s="16">
        <v>6.72</v>
      </c>
      <c r="AEC72" s="16">
        <v>0</v>
      </c>
      <c r="AED72" s="16">
        <v>0</v>
      </c>
      <c r="AEE72" s="16">
        <v>0</v>
      </c>
      <c r="AEF72" s="16">
        <v>0</v>
      </c>
      <c r="AEG72" s="16">
        <v>0</v>
      </c>
      <c r="AEH72" s="16">
        <v>0</v>
      </c>
      <c r="AEI72">
        <v>1</v>
      </c>
      <c r="AEJ72" t="s">
        <v>303</v>
      </c>
      <c r="AEK72">
        <v>18</v>
      </c>
      <c r="AEL72" s="16">
        <v>84.7</v>
      </c>
      <c r="AEM72" s="16">
        <v>80.400000000000006</v>
      </c>
      <c r="AEN72" s="16">
        <v>6.7</v>
      </c>
      <c r="AEO72">
        <v>100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14.84</v>
      </c>
      <c r="AFA72">
        <v>28.79</v>
      </c>
      <c r="AFB72">
        <v>1.9</v>
      </c>
      <c r="AFC72">
        <v>0</v>
      </c>
      <c r="AFD72">
        <v>0</v>
      </c>
      <c r="AFE72">
        <v>0</v>
      </c>
      <c r="AFF72">
        <v>0</v>
      </c>
      <c r="AFS72">
        <v>1.9</v>
      </c>
      <c r="AFT72">
        <v>0</v>
      </c>
      <c r="AGE72" s="20"/>
      <c r="AGW72">
        <v>1</v>
      </c>
      <c r="AGX72">
        <v>50</v>
      </c>
      <c r="AGY72">
        <v>3</v>
      </c>
      <c r="AGZ72">
        <v>2.2799999999999998</v>
      </c>
      <c r="AHA72">
        <v>3</v>
      </c>
      <c r="AIH72" s="16">
        <v>1.1200000000000001</v>
      </c>
      <c r="AII72" s="16">
        <v>1</v>
      </c>
      <c r="AIJ72" s="16">
        <v>1</v>
      </c>
      <c r="AIK72" s="16"/>
      <c r="AIL72" s="16">
        <v>2.2400000000000002</v>
      </c>
      <c r="AIM72" s="16"/>
      <c r="AIN72" s="16"/>
      <c r="AIO72" s="16"/>
      <c r="AIP72" s="16"/>
      <c r="AIQ72" s="16"/>
      <c r="AIR72" s="16"/>
      <c r="AIS72" s="16">
        <v>0</v>
      </c>
      <c r="AIT72" s="16">
        <v>0</v>
      </c>
      <c r="AIU72" s="16">
        <v>0</v>
      </c>
      <c r="AIV72" s="16">
        <v>0</v>
      </c>
      <c r="AIW72" s="16">
        <v>6.72</v>
      </c>
      <c r="AIX72" s="16">
        <v>0</v>
      </c>
      <c r="AIY72" s="16">
        <v>0</v>
      </c>
      <c r="AIZ72">
        <v>1</v>
      </c>
      <c r="AJA72" t="s">
        <v>304</v>
      </c>
      <c r="AJB72">
        <v>29</v>
      </c>
      <c r="AJC72" s="16">
        <v>84.9</v>
      </c>
      <c r="AJD72" s="16">
        <v>80.400000000000006</v>
      </c>
      <c r="AJE72" s="16">
        <v>22.7</v>
      </c>
      <c r="AJF72">
        <v>47.69</v>
      </c>
      <c r="AJH72">
        <v>0</v>
      </c>
      <c r="AJI72">
        <v>0</v>
      </c>
      <c r="AJJ72">
        <v>22.69</v>
      </c>
      <c r="AJK72">
        <v>0</v>
      </c>
      <c r="AJL72">
        <v>28.56</v>
      </c>
      <c r="AJM72">
        <v>0</v>
      </c>
      <c r="AJN72">
        <v>0</v>
      </c>
      <c r="AJO72">
        <v>0</v>
      </c>
      <c r="AJP72">
        <v>0</v>
      </c>
      <c r="AJQ72">
        <v>30.64</v>
      </c>
      <c r="AJR72">
        <v>8.3800000000000008</v>
      </c>
      <c r="AJS72">
        <v>43.35</v>
      </c>
      <c r="AJT72">
        <v>6.09</v>
      </c>
      <c r="AJU72">
        <v>0</v>
      </c>
      <c r="AJV72">
        <v>0</v>
      </c>
      <c r="AJW72">
        <v>0</v>
      </c>
      <c r="AKJ72">
        <v>2.5</v>
      </c>
      <c r="AKK72">
        <v>1</v>
      </c>
      <c r="AKL72">
        <v>35</v>
      </c>
      <c r="AKM72">
        <v>4</v>
      </c>
      <c r="AKN72">
        <v>0.54</v>
      </c>
      <c r="AKO72">
        <v>3</v>
      </c>
      <c r="AKV72" s="20"/>
      <c r="ALN72">
        <v>1</v>
      </c>
      <c r="ALO72">
        <v>40</v>
      </c>
      <c r="ALP72">
        <v>2</v>
      </c>
      <c r="ALQ72">
        <v>0.26</v>
      </c>
      <c r="ALR72">
        <v>3</v>
      </c>
    </row>
    <row r="73" spans="1:1018" x14ac:dyDescent="0.2">
      <c r="A73" s="1" t="s">
        <v>434</v>
      </c>
      <c r="B73" s="12">
        <v>42900</v>
      </c>
      <c r="C73">
        <v>2</v>
      </c>
      <c r="D73" s="13">
        <v>37139</v>
      </c>
      <c r="E73" s="12">
        <v>30055</v>
      </c>
      <c r="F73" s="14">
        <f t="shared" si="42"/>
        <v>35.167693360711844</v>
      </c>
      <c r="G73" s="14">
        <f t="shared" si="43"/>
        <v>15.772758384668036</v>
      </c>
      <c r="H73" s="15" t="s">
        <v>228</v>
      </c>
      <c r="I73" s="15" t="s">
        <v>251</v>
      </c>
      <c r="J73" s="15" t="s">
        <v>181</v>
      </c>
      <c r="K73" s="21">
        <v>8</v>
      </c>
      <c r="L73" s="19">
        <v>70</v>
      </c>
      <c r="M73" s="15">
        <v>1.68</v>
      </c>
      <c r="N73" s="16">
        <f t="shared" si="44"/>
        <v>24.801587301587304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19">
        <v>0</v>
      </c>
      <c r="V73" s="19">
        <v>0</v>
      </c>
      <c r="W73" s="19">
        <v>1</v>
      </c>
      <c r="X73" s="19">
        <v>1</v>
      </c>
      <c r="Y73" s="19">
        <v>0</v>
      </c>
      <c r="Z73" s="19">
        <v>0</v>
      </c>
      <c r="AA73" s="19">
        <v>0</v>
      </c>
      <c r="AB73" s="19">
        <v>0</v>
      </c>
      <c r="AC73" s="19">
        <v>1</v>
      </c>
      <c r="AD73" s="19">
        <v>24</v>
      </c>
      <c r="AE73" s="19">
        <v>0</v>
      </c>
      <c r="AF73" s="19">
        <v>0</v>
      </c>
      <c r="AG73" s="19">
        <v>0</v>
      </c>
      <c r="AH73" s="19">
        <v>0</v>
      </c>
      <c r="AI73" s="19">
        <v>3</v>
      </c>
      <c r="AJ73" s="19">
        <v>3</v>
      </c>
      <c r="AK73" s="19">
        <v>0</v>
      </c>
      <c r="AL73" s="19">
        <v>0</v>
      </c>
      <c r="AM73" s="19">
        <v>0</v>
      </c>
      <c r="AN73" s="19">
        <v>3</v>
      </c>
      <c r="AO73" s="19">
        <v>3</v>
      </c>
      <c r="AP73" s="19">
        <v>0</v>
      </c>
      <c r="AQ73" s="19">
        <v>0</v>
      </c>
      <c r="AR73" s="19">
        <v>0</v>
      </c>
      <c r="AS73" s="19">
        <v>3</v>
      </c>
      <c r="AT73" s="19">
        <v>3</v>
      </c>
      <c r="AU73" s="19">
        <v>1</v>
      </c>
      <c r="AV73" s="19">
        <v>10</v>
      </c>
      <c r="AW73" s="19">
        <v>0</v>
      </c>
      <c r="AX73" s="19">
        <v>0</v>
      </c>
      <c r="AY73" s="19">
        <v>0</v>
      </c>
      <c r="AZ73" s="19">
        <v>0</v>
      </c>
      <c r="BA73" s="19">
        <v>0</v>
      </c>
      <c r="BB73" s="19">
        <v>0</v>
      </c>
      <c r="BC73" s="19">
        <v>0</v>
      </c>
      <c r="BD73" s="19">
        <v>0</v>
      </c>
      <c r="BE73" s="19">
        <v>0</v>
      </c>
      <c r="BF73" s="19">
        <v>1</v>
      </c>
      <c r="BG73" s="19">
        <v>1</v>
      </c>
      <c r="BH73" s="19">
        <v>1</v>
      </c>
      <c r="BI73" s="19">
        <v>10</v>
      </c>
      <c r="BJ73" s="19">
        <v>1</v>
      </c>
      <c r="BK73" s="19">
        <v>1</v>
      </c>
      <c r="BL73" s="19">
        <v>1</v>
      </c>
      <c r="BM73" s="19">
        <v>10</v>
      </c>
      <c r="BN73" s="19">
        <v>1</v>
      </c>
      <c r="BO73" s="19">
        <v>1</v>
      </c>
      <c r="BP73" s="19">
        <v>1</v>
      </c>
      <c r="BQ73" s="19">
        <v>9</v>
      </c>
      <c r="BR73" s="19">
        <v>4</v>
      </c>
      <c r="BS73" s="19">
        <v>3</v>
      </c>
      <c r="BT73" s="19">
        <v>5</v>
      </c>
      <c r="BU73" s="19">
        <v>5</v>
      </c>
      <c r="BV73" s="19">
        <v>5</v>
      </c>
      <c r="BW73" s="19">
        <v>5</v>
      </c>
      <c r="BX73" s="19">
        <v>5</v>
      </c>
      <c r="BY73" s="19">
        <v>3</v>
      </c>
      <c r="BZ73" s="19">
        <v>1</v>
      </c>
      <c r="CA73" s="19">
        <v>3</v>
      </c>
      <c r="CB73" s="19">
        <v>2</v>
      </c>
      <c r="CC73" s="19">
        <v>4</v>
      </c>
      <c r="CD73" s="19">
        <v>1</v>
      </c>
      <c r="CE73" s="19">
        <v>3</v>
      </c>
      <c r="CF73" s="19">
        <v>3</v>
      </c>
      <c r="CG73" s="19">
        <v>5</v>
      </c>
      <c r="CH73" s="19">
        <v>3</v>
      </c>
      <c r="CI73" s="19">
        <v>3</v>
      </c>
      <c r="CJ73" s="19">
        <v>1</v>
      </c>
      <c r="CK73" s="19">
        <v>5</v>
      </c>
      <c r="CL73" t="s">
        <v>253</v>
      </c>
      <c r="CM73">
        <v>30</v>
      </c>
      <c r="CN73" s="16">
        <v>85.5</v>
      </c>
      <c r="CO73" s="16">
        <v>81</v>
      </c>
      <c r="CP73" s="16">
        <v>15.2</v>
      </c>
      <c r="CQ73">
        <v>87.44</v>
      </c>
      <c r="CR73">
        <v>0</v>
      </c>
      <c r="CS73">
        <v>0.94</v>
      </c>
      <c r="CT73">
        <v>1.97</v>
      </c>
      <c r="CU73">
        <v>9.65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2.71</v>
      </c>
      <c r="DC73">
        <v>0.6</v>
      </c>
      <c r="DD73">
        <v>2.17</v>
      </c>
      <c r="DE73">
        <v>5.97</v>
      </c>
      <c r="DF73">
        <v>2.65</v>
      </c>
      <c r="DG73">
        <v>0</v>
      </c>
      <c r="DH73">
        <v>0</v>
      </c>
      <c r="DU73">
        <v>10.6</v>
      </c>
      <c r="DV73">
        <v>1</v>
      </c>
      <c r="DW73">
        <v>60</v>
      </c>
      <c r="DX73">
        <v>2</v>
      </c>
      <c r="DY73">
        <f t="shared" ref="DY73:DY80" si="45">0.38+0.07</f>
        <v>0.45</v>
      </c>
      <c r="DZ73">
        <v>1</v>
      </c>
      <c r="EA73">
        <v>68</v>
      </c>
      <c r="EB73">
        <v>1</v>
      </c>
      <c r="EC73" s="16">
        <v>0.31</v>
      </c>
      <c r="ED73">
        <v>1</v>
      </c>
      <c r="EE73">
        <v>85</v>
      </c>
      <c r="EF73">
        <v>2</v>
      </c>
      <c r="EG73" s="18">
        <f t="shared" ref="EG73:EG80" si="46">1.89+0.94</f>
        <v>2.83</v>
      </c>
      <c r="EH73">
        <v>2</v>
      </c>
      <c r="EI73">
        <v>25</v>
      </c>
      <c r="EJ73">
        <v>1</v>
      </c>
      <c r="EK73" s="16">
        <v>0.27</v>
      </c>
      <c r="EL73">
        <v>2</v>
      </c>
      <c r="EY73">
        <v>0</v>
      </c>
      <c r="GJ73" s="16">
        <v>0</v>
      </c>
      <c r="GK73" s="16">
        <v>0</v>
      </c>
      <c r="GL73" s="16"/>
      <c r="GM73" s="16"/>
      <c r="GN73" s="16"/>
      <c r="GO73" s="16"/>
      <c r="GP73" s="16"/>
      <c r="GQ73" s="16"/>
      <c r="GR73" s="16"/>
      <c r="GS73" s="16"/>
      <c r="GT73" s="16"/>
      <c r="GU73" s="16">
        <v>4.17</v>
      </c>
      <c r="GV73" s="16">
        <v>2.54</v>
      </c>
      <c r="GW73" s="16"/>
      <c r="GX73" s="16"/>
      <c r="GY73" s="16">
        <v>0</v>
      </c>
      <c r="GZ73" s="16">
        <v>0</v>
      </c>
      <c r="HA73" s="16">
        <v>0</v>
      </c>
      <c r="HB73">
        <v>0</v>
      </c>
      <c r="HC73" t="s">
        <v>256</v>
      </c>
      <c r="HD73">
        <v>40</v>
      </c>
      <c r="HE73" s="16">
        <v>89.1</v>
      </c>
      <c r="HF73" s="16">
        <v>81</v>
      </c>
      <c r="HG73" s="16">
        <v>5.4</v>
      </c>
      <c r="HH73">
        <v>99.83</v>
      </c>
      <c r="HI73">
        <v>0</v>
      </c>
      <c r="HJ73">
        <v>0</v>
      </c>
      <c r="HK73">
        <v>0.17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19.8</v>
      </c>
      <c r="HU73">
        <v>8.9499999999999993</v>
      </c>
      <c r="HV73">
        <v>0</v>
      </c>
      <c r="HW73">
        <v>0</v>
      </c>
      <c r="HX73">
        <v>22.5</v>
      </c>
      <c r="HY73">
        <v>1</v>
      </c>
      <c r="HZ73">
        <v>5</v>
      </c>
      <c r="IB73">
        <v>8</v>
      </c>
      <c r="IL73">
        <v>0</v>
      </c>
      <c r="IM73">
        <v>0</v>
      </c>
      <c r="IX73" s="18"/>
      <c r="JP73">
        <v>1</v>
      </c>
      <c r="JQ73">
        <v>50</v>
      </c>
      <c r="JR73">
        <v>4</v>
      </c>
      <c r="JS73">
        <f>0.73*2+0.13*2</f>
        <v>1.72</v>
      </c>
      <c r="JT73">
        <v>3</v>
      </c>
      <c r="LA73" s="16">
        <v>1.48</v>
      </c>
      <c r="LB73" s="16">
        <v>1</v>
      </c>
      <c r="LC73" s="16">
        <v>1</v>
      </c>
      <c r="LD73" s="16"/>
      <c r="LE73" s="16">
        <f>2.1*2+0.37*2</f>
        <v>4.9400000000000004</v>
      </c>
      <c r="LF73" s="16"/>
      <c r="LG73" s="16"/>
      <c r="LH73" s="16"/>
      <c r="LI73" s="16"/>
      <c r="LJ73" s="16"/>
      <c r="LK73" s="16"/>
      <c r="LL73" s="16">
        <v>7.71</v>
      </c>
      <c r="LM73" s="16">
        <v>4.3499999999999996</v>
      </c>
      <c r="LN73" s="16"/>
      <c r="LO73" s="16"/>
      <c r="LP73" s="16">
        <v>0</v>
      </c>
      <c r="LQ73" s="16">
        <v>0</v>
      </c>
      <c r="LR73" s="16">
        <v>0</v>
      </c>
      <c r="LS73">
        <v>0</v>
      </c>
      <c r="LT73" t="s">
        <v>257</v>
      </c>
      <c r="LU73">
        <v>43</v>
      </c>
      <c r="LV73" s="16">
        <v>93.3</v>
      </c>
      <c r="LW73" s="16">
        <v>81</v>
      </c>
      <c r="LX73" s="16">
        <v>6.4</v>
      </c>
      <c r="LY73">
        <v>100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18.510000000000002</v>
      </c>
      <c r="ML73">
        <v>28.46</v>
      </c>
      <c r="MM73">
        <v>0</v>
      </c>
      <c r="MN73">
        <v>0</v>
      </c>
      <c r="MO73">
        <v>0</v>
      </c>
      <c r="MP73">
        <v>0</v>
      </c>
      <c r="NC73">
        <v>33</v>
      </c>
      <c r="ND73">
        <v>0</v>
      </c>
      <c r="NO73" s="18"/>
      <c r="OG73">
        <v>1</v>
      </c>
      <c r="OH73">
        <v>40</v>
      </c>
      <c r="OI73">
        <v>8</v>
      </c>
      <c r="OJ73">
        <f>1.51*2+3.02+0.27*2</f>
        <v>6.58</v>
      </c>
      <c r="OK73">
        <v>3</v>
      </c>
      <c r="OL73">
        <v>60</v>
      </c>
      <c r="OM73">
        <v>20</v>
      </c>
      <c r="ON73">
        <f>3.65*2+0.67*2</f>
        <v>8.64</v>
      </c>
      <c r="OO73">
        <v>3</v>
      </c>
      <c r="PR73" s="16">
        <v>0</v>
      </c>
      <c r="PS73" s="16">
        <v>0</v>
      </c>
      <c r="PT73" s="16"/>
      <c r="PU73" s="16"/>
      <c r="PV73" s="16"/>
      <c r="PW73" s="16"/>
      <c r="PX73" s="16"/>
      <c r="PY73" s="16"/>
      <c r="PZ73" s="16"/>
      <c r="QA73" s="16"/>
      <c r="QB73" s="16"/>
      <c r="QC73" s="16">
        <v>0</v>
      </c>
      <c r="QD73" s="16">
        <v>0</v>
      </c>
      <c r="QE73" s="16"/>
      <c r="QF73" s="16"/>
      <c r="QG73" s="16">
        <v>0</v>
      </c>
      <c r="QH73" s="16">
        <v>0</v>
      </c>
      <c r="QI73" s="16">
        <v>0</v>
      </c>
      <c r="QJ73">
        <v>0</v>
      </c>
      <c r="QK73" t="s">
        <v>258</v>
      </c>
      <c r="QL73">
        <v>40</v>
      </c>
      <c r="QM73" s="16">
        <v>90.1</v>
      </c>
      <c r="QN73" s="16">
        <v>81</v>
      </c>
      <c r="QO73" s="16">
        <v>5.9</v>
      </c>
      <c r="QP73">
        <v>99.34</v>
      </c>
      <c r="QQ73">
        <v>0</v>
      </c>
      <c r="QR73">
        <v>0</v>
      </c>
      <c r="QS73">
        <v>0.66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19.8</v>
      </c>
      <c r="RC73">
        <v>8.9499999999999993</v>
      </c>
      <c r="RD73">
        <v>0</v>
      </c>
      <c r="RE73">
        <v>0</v>
      </c>
      <c r="RF73">
        <v>22.3</v>
      </c>
      <c r="RG73">
        <v>1</v>
      </c>
      <c r="RH73">
        <v>5</v>
      </c>
      <c r="RJ73">
        <v>8</v>
      </c>
      <c r="RT73">
        <v>0</v>
      </c>
      <c r="RU73">
        <v>0</v>
      </c>
      <c r="SF73" s="18"/>
      <c r="SX73">
        <v>1</v>
      </c>
      <c r="SY73">
        <v>50</v>
      </c>
      <c r="SZ73">
        <v>4</v>
      </c>
      <c r="TA73">
        <f>0.73*2+0.13*2</f>
        <v>1.72</v>
      </c>
      <c r="TB73">
        <v>3</v>
      </c>
      <c r="UI73" s="16">
        <v>1.48</v>
      </c>
      <c r="UJ73" s="16">
        <v>1</v>
      </c>
      <c r="UK73" s="16">
        <v>1</v>
      </c>
      <c r="UL73" s="16"/>
      <c r="UM73" s="16">
        <f>2.1*2+0.37*2</f>
        <v>4.9400000000000004</v>
      </c>
      <c r="UN73" s="16"/>
      <c r="UO73" s="16"/>
      <c r="UP73" s="16"/>
      <c r="UQ73" s="16"/>
      <c r="UR73" s="16"/>
      <c r="US73" s="16"/>
      <c r="UT73" s="16">
        <v>7.71</v>
      </c>
      <c r="UU73" s="16">
        <v>4.3499999999999996</v>
      </c>
      <c r="UV73" s="16"/>
      <c r="UW73" s="16"/>
      <c r="UX73" s="16">
        <v>0</v>
      </c>
      <c r="UY73" s="16">
        <v>0</v>
      </c>
      <c r="UZ73" s="16">
        <v>0</v>
      </c>
      <c r="VA73">
        <v>0</v>
      </c>
      <c r="VB73" t="s">
        <v>259</v>
      </c>
      <c r="VC73">
        <v>43</v>
      </c>
      <c r="VD73" s="16">
        <v>93.3</v>
      </c>
      <c r="VE73" s="16">
        <v>81</v>
      </c>
      <c r="VF73" s="16">
        <v>6.4</v>
      </c>
      <c r="VG73">
        <v>100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18.510000000000002</v>
      </c>
      <c r="VT73">
        <v>28.46</v>
      </c>
      <c r="VU73">
        <v>0</v>
      </c>
      <c r="VV73">
        <v>0</v>
      </c>
      <c r="VW73">
        <v>0</v>
      </c>
      <c r="VX73">
        <v>0</v>
      </c>
      <c r="WK73">
        <v>33</v>
      </c>
      <c r="WL73">
        <v>0</v>
      </c>
      <c r="WW73" s="18"/>
      <c r="XO73">
        <v>1</v>
      </c>
      <c r="XP73">
        <v>40</v>
      </c>
      <c r="XQ73">
        <v>8</v>
      </c>
      <c r="XR73">
        <f>1.51*2+0.27*2+3.02</f>
        <v>6.58</v>
      </c>
      <c r="XS73">
        <v>3</v>
      </c>
      <c r="XT73">
        <v>60</v>
      </c>
      <c r="XU73">
        <v>20</v>
      </c>
      <c r="XV73">
        <f>3.65*2+0.67*2</f>
        <v>8.64</v>
      </c>
      <c r="XW73">
        <v>3</v>
      </c>
      <c r="YZ73" s="16">
        <v>0</v>
      </c>
      <c r="ZA73" s="16">
        <v>0</v>
      </c>
      <c r="ZB73" s="16"/>
      <c r="ZC73" s="16"/>
      <c r="ZD73" s="16"/>
      <c r="ZE73" s="16"/>
      <c r="ZF73" s="16"/>
      <c r="ZG73" s="16"/>
      <c r="ZH73" s="16"/>
      <c r="ZI73" s="16"/>
      <c r="ZJ73" s="16"/>
      <c r="ZK73" s="16">
        <v>0</v>
      </c>
      <c r="ZL73" s="16">
        <v>0</v>
      </c>
      <c r="ZM73" s="16"/>
      <c r="ZN73" s="16"/>
      <c r="ZO73" s="16">
        <v>0</v>
      </c>
      <c r="ZP73" s="16">
        <v>0</v>
      </c>
      <c r="ZQ73" s="16">
        <v>0</v>
      </c>
      <c r="ZR73">
        <v>0</v>
      </c>
      <c r="ZS73" t="s">
        <v>435</v>
      </c>
      <c r="ZT73">
        <v>52.5</v>
      </c>
      <c r="ZU73" s="16">
        <v>71.2</v>
      </c>
      <c r="ZV73" s="16">
        <v>81</v>
      </c>
      <c r="ZW73" s="16">
        <v>44.8</v>
      </c>
      <c r="ZX73">
        <v>59.03</v>
      </c>
      <c r="ZY73">
        <v>0</v>
      </c>
      <c r="ZZ73">
        <v>22.52</v>
      </c>
      <c r="AAA73">
        <v>17.8</v>
      </c>
      <c r="AAB73">
        <v>0.65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3.42</v>
      </c>
      <c r="AAK73">
        <v>2.94</v>
      </c>
      <c r="AAL73">
        <v>0</v>
      </c>
      <c r="AAM73">
        <v>0</v>
      </c>
      <c r="AAN73">
        <v>0</v>
      </c>
      <c r="AAO73">
        <v>0</v>
      </c>
      <c r="ABB73">
        <v>0</v>
      </c>
      <c r="ABC73">
        <v>1</v>
      </c>
      <c r="ABD73">
        <v>34</v>
      </c>
      <c r="ABE73">
        <v>8</v>
      </c>
      <c r="ABF73">
        <v>5.35</v>
      </c>
      <c r="ABG73">
        <v>1</v>
      </c>
      <c r="ABN73" s="18"/>
      <c r="ACF73">
        <v>0</v>
      </c>
      <c r="ADQ73" s="16">
        <v>1.96</v>
      </c>
      <c r="ADR73" s="16">
        <v>1</v>
      </c>
      <c r="ADS73" s="16">
        <v>1</v>
      </c>
      <c r="ADT73" s="16"/>
      <c r="ADU73" s="16">
        <f>0.22+4.31+1.48+0.37*2</f>
        <v>6.75</v>
      </c>
      <c r="ADV73" s="16"/>
      <c r="ADW73" s="16"/>
      <c r="ADX73" s="16"/>
      <c r="ADY73" s="16"/>
      <c r="ADZ73" s="16"/>
      <c r="AEA73" s="16"/>
      <c r="AEB73" s="16">
        <v>4.75</v>
      </c>
      <c r="AEC73" s="16">
        <v>4.74</v>
      </c>
      <c r="AED73" s="16"/>
      <c r="AEE73" s="16"/>
      <c r="AEF73" s="16">
        <v>0</v>
      </c>
      <c r="AEG73" s="16">
        <v>0</v>
      </c>
      <c r="AEH73" s="16">
        <v>0</v>
      </c>
      <c r="AEI73">
        <v>0</v>
      </c>
      <c r="AEK73" s="15"/>
      <c r="AEL73" s="15"/>
      <c r="AES73" s="15"/>
      <c r="AET73" s="15"/>
      <c r="AFA73" s="15"/>
      <c r="AFB73" s="15"/>
      <c r="AFI73" s="15"/>
      <c r="AFJ73" s="15"/>
      <c r="AFQ73" s="15"/>
      <c r="AFR73" s="15"/>
      <c r="AFY73" s="15"/>
      <c r="AFZ73" s="15"/>
      <c r="AGG73" s="15"/>
      <c r="AGH73" s="15"/>
      <c r="AGO73" s="15"/>
      <c r="AGP73" s="15"/>
      <c r="AGW73" s="15"/>
      <c r="AGX73" s="15"/>
      <c r="AHE73" s="15"/>
      <c r="AHF73" s="15"/>
      <c r="AHM73" s="15"/>
      <c r="AHN73" s="15"/>
      <c r="AHU73" s="15"/>
      <c r="AHV73" s="15"/>
      <c r="AIC73" s="15"/>
      <c r="AID73" s="15"/>
      <c r="AIK73" s="15"/>
      <c r="AIL73" s="15"/>
      <c r="AIS73" s="15"/>
      <c r="AIT73" s="15"/>
      <c r="AJA73" s="15"/>
      <c r="AJB73" s="15"/>
      <c r="AJI73" s="15"/>
      <c r="AJJ73" s="15"/>
      <c r="AJQ73" s="15"/>
      <c r="AJR73" s="15"/>
      <c r="AJY73" s="15"/>
      <c r="AJZ73" s="15"/>
      <c r="AKG73" s="15"/>
      <c r="AKH73" s="15"/>
      <c r="AKO73" s="15"/>
      <c r="AKP73" s="15"/>
      <c r="AKW73" s="15"/>
      <c r="AKX73" s="15"/>
      <c r="ALE73" s="15"/>
      <c r="ALF73" s="15"/>
      <c r="ALM73" s="15"/>
      <c r="ALN73" s="15"/>
      <c r="ALU73" s="15"/>
      <c r="ALV73" s="15"/>
      <c r="AMC73" s="15"/>
      <c r="AMD73" s="15"/>
    </row>
    <row r="74" spans="1:1018" x14ac:dyDescent="0.2">
      <c r="A74" s="1" t="s">
        <v>436</v>
      </c>
      <c r="B74" s="12">
        <v>42901</v>
      </c>
      <c r="C74">
        <v>2</v>
      </c>
      <c r="D74" s="13">
        <v>42776</v>
      </c>
      <c r="E74" s="12">
        <v>33508</v>
      </c>
      <c r="F74" s="14">
        <f t="shared" si="42"/>
        <v>25.716632443531829</v>
      </c>
      <c r="G74" s="14">
        <f t="shared" si="43"/>
        <v>0.34223134839151265</v>
      </c>
      <c r="H74" s="15" t="s">
        <v>228</v>
      </c>
      <c r="I74" s="15" t="s">
        <v>251</v>
      </c>
      <c r="J74" s="15" t="s">
        <v>181</v>
      </c>
      <c r="K74" s="21">
        <v>8</v>
      </c>
      <c r="L74" s="19"/>
      <c r="N74" s="16" t="e">
        <f t="shared" si="44"/>
        <v>#DIV/0!</v>
      </c>
      <c r="O74" s="19">
        <v>0</v>
      </c>
      <c r="P74" s="19">
        <v>0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0</v>
      </c>
      <c r="X74" s="19">
        <v>0</v>
      </c>
      <c r="Y74" s="19">
        <v>1</v>
      </c>
      <c r="Z74" s="19">
        <v>1</v>
      </c>
      <c r="AA74" s="19">
        <v>60</v>
      </c>
      <c r="AB74" s="19" t="s">
        <v>343</v>
      </c>
      <c r="AC74" s="19">
        <v>1</v>
      </c>
      <c r="AD74" s="19">
        <v>10</v>
      </c>
      <c r="AE74" s="19">
        <v>0</v>
      </c>
      <c r="AF74" s="19">
        <v>0</v>
      </c>
      <c r="AG74" s="19">
        <v>0</v>
      </c>
      <c r="AH74" s="19">
        <v>0</v>
      </c>
      <c r="AI74" s="19">
        <v>0</v>
      </c>
      <c r="AJ74" s="19">
        <v>0</v>
      </c>
      <c r="AK74" s="19">
        <v>0</v>
      </c>
      <c r="AL74" s="19">
        <v>0</v>
      </c>
      <c r="AM74" s="19">
        <v>0</v>
      </c>
      <c r="AN74" s="19">
        <v>0</v>
      </c>
      <c r="AO74" s="19">
        <v>0</v>
      </c>
      <c r="AP74" s="19">
        <v>0</v>
      </c>
      <c r="AQ74" s="19">
        <v>0</v>
      </c>
      <c r="AR74" s="19">
        <v>0</v>
      </c>
      <c r="AS74" s="19">
        <v>0</v>
      </c>
      <c r="AT74" s="19">
        <v>0</v>
      </c>
      <c r="AU74" s="19">
        <v>0</v>
      </c>
      <c r="AV74" s="19">
        <v>0</v>
      </c>
      <c r="AW74" s="19">
        <v>0</v>
      </c>
      <c r="AX74" s="19">
        <v>0</v>
      </c>
      <c r="AY74" s="19">
        <v>0</v>
      </c>
      <c r="AZ74" s="19">
        <v>0</v>
      </c>
      <c r="BA74" s="19">
        <v>0</v>
      </c>
      <c r="BB74" s="19">
        <v>0</v>
      </c>
      <c r="BC74" s="19">
        <v>0</v>
      </c>
      <c r="BD74" s="19">
        <v>0</v>
      </c>
      <c r="BE74" s="19">
        <v>0</v>
      </c>
      <c r="BF74" s="19">
        <v>0</v>
      </c>
      <c r="BG74" s="19">
        <v>0</v>
      </c>
      <c r="BH74" s="19">
        <v>0</v>
      </c>
      <c r="BI74" s="19">
        <v>0</v>
      </c>
      <c r="BJ74" s="19">
        <v>0</v>
      </c>
      <c r="BK74" s="19">
        <v>0</v>
      </c>
      <c r="BL74" s="19">
        <v>0</v>
      </c>
      <c r="BM74" s="19">
        <v>0</v>
      </c>
      <c r="BN74" s="19">
        <v>0</v>
      </c>
      <c r="BO74" s="19">
        <v>0</v>
      </c>
      <c r="BP74" s="19">
        <v>0</v>
      </c>
      <c r="BQ74" s="19">
        <v>0</v>
      </c>
      <c r="BR74" s="19">
        <v>1</v>
      </c>
      <c r="BS74" s="19">
        <v>1</v>
      </c>
      <c r="BT74" s="19">
        <v>4</v>
      </c>
      <c r="BU74" s="19">
        <v>5</v>
      </c>
      <c r="BV74" s="19">
        <v>1</v>
      </c>
      <c r="BW74" s="19">
        <v>1</v>
      </c>
      <c r="BX74" s="19">
        <v>5</v>
      </c>
      <c r="BY74" s="19">
        <v>5</v>
      </c>
      <c r="BZ74" s="19">
        <v>4</v>
      </c>
      <c r="CA74" s="19">
        <v>5</v>
      </c>
      <c r="CB74" s="19">
        <v>5</v>
      </c>
      <c r="CC74" s="19">
        <v>5</v>
      </c>
      <c r="CD74" s="19">
        <v>5</v>
      </c>
      <c r="CE74" s="19">
        <v>5</v>
      </c>
      <c r="CF74" s="19">
        <v>2</v>
      </c>
      <c r="CG74" s="19">
        <v>5</v>
      </c>
      <c r="CH74" s="19">
        <v>5</v>
      </c>
      <c r="CI74" s="19">
        <v>5</v>
      </c>
      <c r="CJ74" s="19">
        <v>5</v>
      </c>
      <c r="CK74" s="19">
        <v>10</v>
      </c>
      <c r="CL74" t="s">
        <v>253</v>
      </c>
      <c r="CM74">
        <v>30</v>
      </c>
      <c r="CN74" s="16">
        <v>85.5</v>
      </c>
      <c r="CO74" s="16">
        <v>81</v>
      </c>
      <c r="CP74" s="16">
        <v>15.2</v>
      </c>
      <c r="CQ74">
        <v>87.44</v>
      </c>
      <c r="CR74">
        <v>0</v>
      </c>
      <c r="CS74">
        <v>0.94</v>
      </c>
      <c r="CT74">
        <v>1.97</v>
      </c>
      <c r="CU74">
        <v>9.65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2.71</v>
      </c>
      <c r="DC74">
        <v>0.6</v>
      </c>
      <c r="DD74">
        <v>2.17</v>
      </c>
      <c r="DE74">
        <v>5.97</v>
      </c>
      <c r="DF74">
        <v>2.65</v>
      </c>
      <c r="DG74">
        <v>0</v>
      </c>
      <c r="DH74">
        <v>0</v>
      </c>
      <c r="DU74">
        <v>10.6</v>
      </c>
      <c r="DV74">
        <v>1</v>
      </c>
      <c r="DW74">
        <v>60</v>
      </c>
      <c r="DX74">
        <v>2</v>
      </c>
      <c r="DY74">
        <f t="shared" si="45"/>
        <v>0.45</v>
      </c>
      <c r="DZ74">
        <v>1</v>
      </c>
      <c r="EA74">
        <v>68</v>
      </c>
      <c r="EB74">
        <v>1</v>
      </c>
      <c r="EC74" s="16">
        <v>0.31</v>
      </c>
      <c r="ED74">
        <v>1</v>
      </c>
      <c r="EE74">
        <v>85</v>
      </c>
      <c r="EF74">
        <v>2</v>
      </c>
      <c r="EG74" s="18">
        <f t="shared" si="46"/>
        <v>2.83</v>
      </c>
      <c r="EH74">
        <v>2</v>
      </c>
      <c r="EI74">
        <v>25</v>
      </c>
      <c r="EJ74">
        <v>1</v>
      </c>
      <c r="EK74" s="16">
        <v>0.27</v>
      </c>
      <c r="EL74">
        <v>2</v>
      </c>
      <c r="EY74">
        <v>0</v>
      </c>
      <c r="GJ74" s="16">
        <v>0</v>
      </c>
      <c r="GK74" s="16">
        <v>0</v>
      </c>
      <c r="GL74" s="16"/>
      <c r="GM74" s="16"/>
      <c r="GN74" s="16"/>
      <c r="GO74" s="16"/>
      <c r="GP74" s="16"/>
      <c r="GQ74" s="16"/>
      <c r="GR74" s="16"/>
      <c r="GS74" s="16"/>
      <c r="GT74" s="16"/>
      <c r="GU74" s="16">
        <v>4.17</v>
      </c>
      <c r="GV74" s="16">
        <v>2.54</v>
      </c>
      <c r="GW74" s="16"/>
      <c r="GX74" s="16"/>
      <c r="GY74" s="16">
        <v>0</v>
      </c>
      <c r="GZ74" s="16">
        <v>0</v>
      </c>
      <c r="HA74" s="16">
        <v>0</v>
      </c>
      <c r="HB74">
        <v>0</v>
      </c>
      <c r="HC74" t="s">
        <v>255</v>
      </c>
      <c r="HD74">
        <v>41</v>
      </c>
      <c r="HE74" s="16">
        <v>48.6</v>
      </c>
      <c r="HF74" s="16">
        <v>81</v>
      </c>
      <c r="HG74" s="16">
        <v>21.6</v>
      </c>
      <c r="HH74">
        <v>76.16</v>
      </c>
      <c r="HI74">
        <v>0</v>
      </c>
      <c r="HJ74">
        <v>7.0000000000000007E-2</v>
      </c>
      <c r="HK74">
        <v>0.13</v>
      </c>
      <c r="HL74">
        <v>23.64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6.53</v>
      </c>
      <c r="HT74">
        <v>0.2</v>
      </c>
      <c r="HU74">
        <v>27.15</v>
      </c>
      <c r="HV74">
        <v>4.1100000000000003</v>
      </c>
      <c r="HW74">
        <v>0</v>
      </c>
      <c r="HX74">
        <v>3.9</v>
      </c>
      <c r="HY74">
        <v>1</v>
      </c>
      <c r="HZ74">
        <v>10</v>
      </c>
      <c r="IB74">
        <v>1</v>
      </c>
      <c r="IL74">
        <v>0.6</v>
      </c>
      <c r="IM74">
        <v>1</v>
      </c>
      <c r="IN74">
        <v>52</v>
      </c>
      <c r="IO74">
        <v>3</v>
      </c>
      <c r="IP74" s="16">
        <f>0.16+0.13</f>
        <v>0.29000000000000004</v>
      </c>
      <c r="IQ74">
        <v>2</v>
      </c>
      <c r="IX74" s="18"/>
      <c r="JP74">
        <v>0</v>
      </c>
      <c r="LA74" s="16">
        <v>0.56999999999999995</v>
      </c>
      <c r="LB74" s="16">
        <v>1</v>
      </c>
      <c r="LC74" s="16">
        <v>1</v>
      </c>
      <c r="LD74" s="16"/>
      <c r="LE74" s="16">
        <f>0.93</f>
        <v>0.93</v>
      </c>
      <c r="LF74" s="16">
        <v>2</v>
      </c>
      <c r="LG74" s="16"/>
      <c r="LH74" s="16">
        <f>0.31+0.22</f>
        <v>0.53</v>
      </c>
      <c r="LI74" s="16"/>
      <c r="LJ74" s="16"/>
      <c r="LK74" s="16"/>
      <c r="LL74" s="16">
        <v>5.72</v>
      </c>
      <c r="LM74" s="16">
        <v>5.75</v>
      </c>
      <c r="LN74" s="16"/>
      <c r="LO74" s="16"/>
      <c r="LP74" s="16">
        <v>7.41</v>
      </c>
      <c r="LQ74" s="16">
        <v>0</v>
      </c>
      <c r="LR74" s="16">
        <v>0.22</v>
      </c>
      <c r="LS74">
        <v>5</v>
      </c>
      <c r="LT74" t="s">
        <v>256</v>
      </c>
      <c r="LU74">
        <v>40</v>
      </c>
      <c r="LV74" s="16">
        <v>89.1</v>
      </c>
      <c r="LW74" s="16">
        <v>81</v>
      </c>
      <c r="LX74" s="16">
        <v>5.4</v>
      </c>
      <c r="LY74">
        <v>99.83</v>
      </c>
      <c r="LZ74">
        <v>0</v>
      </c>
      <c r="MA74">
        <v>0</v>
      </c>
      <c r="MB74">
        <v>0.17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19.8</v>
      </c>
      <c r="ML74">
        <v>8.9499999999999993</v>
      </c>
      <c r="MM74">
        <v>0</v>
      </c>
      <c r="MN74">
        <v>0</v>
      </c>
      <c r="MO74">
        <v>22.5</v>
      </c>
      <c r="MP74">
        <v>1</v>
      </c>
      <c r="MQ74">
        <v>5</v>
      </c>
      <c r="MS74">
        <v>8</v>
      </c>
      <c r="NC74">
        <v>0</v>
      </c>
      <c r="ND74">
        <v>0</v>
      </c>
      <c r="NO74" s="18"/>
      <c r="OG74">
        <v>1</v>
      </c>
      <c r="OH74">
        <v>50</v>
      </c>
      <c r="OI74">
        <v>4</v>
      </c>
      <c r="OJ74">
        <f>0.73*2+0.13*2</f>
        <v>1.72</v>
      </c>
      <c r="OK74">
        <v>3</v>
      </c>
      <c r="PR74" s="16">
        <v>1.48</v>
      </c>
      <c r="PS74" s="16">
        <v>1</v>
      </c>
      <c r="PT74" s="16">
        <v>1</v>
      </c>
      <c r="PU74" s="16"/>
      <c r="PV74" s="16">
        <f>2.1*2+0.37*2</f>
        <v>4.9400000000000004</v>
      </c>
      <c r="PW74" s="16"/>
      <c r="PX74" s="16"/>
      <c r="PY74" s="16"/>
      <c r="PZ74" s="16"/>
      <c r="QA74" s="16"/>
      <c r="QB74" s="16"/>
      <c r="QC74" s="16">
        <v>7.71</v>
      </c>
      <c r="QD74" s="16">
        <v>4.3499999999999996</v>
      </c>
      <c r="QE74" s="16"/>
      <c r="QF74" s="16"/>
      <c r="QG74" s="16">
        <v>0</v>
      </c>
      <c r="QH74" s="16">
        <v>0</v>
      </c>
      <c r="QI74" s="16">
        <v>0</v>
      </c>
      <c r="QJ74">
        <v>0</v>
      </c>
      <c r="QK74" t="s">
        <v>257</v>
      </c>
      <c r="QL74">
        <v>43</v>
      </c>
      <c r="QM74" s="16">
        <v>93.3</v>
      </c>
      <c r="QN74" s="16">
        <v>81</v>
      </c>
      <c r="QO74" s="16">
        <v>6.4</v>
      </c>
      <c r="QP74">
        <v>100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18.510000000000002</v>
      </c>
      <c r="RC74">
        <v>28.46</v>
      </c>
      <c r="RD74">
        <v>0</v>
      </c>
      <c r="RE74">
        <v>0</v>
      </c>
      <c r="RF74">
        <v>0</v>
      </c>
      <c r="RG74">
        <v>0</v>
      </c>
      <c r="RT74">
        <v>33</v>
      </c>
      <c r="RU74">
        <v>0</v>
      </c>
      <c r="SF74" s="18"/>
      <c r="SX74">
        <v>1</v>
      </c>
      <c r="SY74">
        <v>40</v>
      </c>
      <c r="SZ74">
        <v>8</v>
      </c>
      <c r="TA74">
        <f>1.51*2+3.02+0.27*2</f>
        <v>6.58</v>
      </c>
      <c r="TB74">
        <v>3</v>
      </c>
      <c r="TC74">
        <v>60</v>
      </c>
      <c r="TD74">
        <v>20</v>
      </c>
      <c r="TE74">
        <f>3.65*2+0.67*2</f>
        <v>8.64</v>
      </c>
      <c r="TF74">
        <v>3</v>
      </c>
      <c r="UI74" s="16">
        <v>0</v>
      </c>
      <c r="UJ74" s="16">
        <v>0</v>
      </c>
      <c r="UK74" s="16"/>
      <c r="UL74" s="16"/>
      <c r="UM74" s="16"/>
      <c r="UN74" s="16"/>
      <c r="UO74" s="16"/>
      <c r="UP74" s="16"/>
      <c r="UQ74" s="16"/>
      <c r="UR74" s="16"/>
      <c r="US74" s="16"/>
      <c r="UT74" s="16">
        <v>0</v>
      </c>
      <c r="UU74" s="16">
        <v>0</v>
      </c>
      <c r="UV74" s="16"/>
      <c r="UW74" s="16"/>
      <c r="UX74" s="16">
        <v>0</v>
      </c>
      <c r="UY74" s="16">
        <v>0</v>
      </c>
      <c r="UZ74" s="16">
        <v>0</v>
      </c>
      <c r="VA74">
        <v>0</v>
      </c>
      <c r="VB74" t="s">
        <v>258</v>
      </c>
      <c r="VC74">
        <v>40</v>
      </c>
      <c r="VD74" s="16">
        <v>90.1</v>
      </c>
      <c r="VE74" s="16">
        <v>81</v>
      </c>
      <c r="VF74" s="16">
        <v>5.9</v>
      </c>
      <c r="VG74">
        <v>99.34</v>
      </c>
      <c r="VH74">
        <v>0</v>
      </c>
      <c r="VI74">
        <v>0</v>
      </c>
      <c r="VJ74">
        <v>0.66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19.8</v>
      </c>
      <c r="VT74">
        <v>8.9499999999999993</v>
      </c>
      <c r="VU74">
        <v>0</v>
      </c>
      <c r="VV74">
        <v>0</v>
      </c>
      <c r="VW74">
        <v>22.3</v>
      </c>
      <c r="VX74">
        <v>1</v>
      </c>
      <c r="VY74">
        <v>5</v>
      </c>
      <c r="WA74">
        <v>8</v>
      </c>
      <c r="WK74">
        <v>0</v>
      </c>
      <c r="WL74">
        <v>0</v>
      </c>
      <c r="WW74" s="18"/>
      <c r="XO74">
        <v>1</v>
      </c>
      <c r="XP74">
        <v>50</v>
      </c>
      <c r="XQ74">
        <v>4</v>
      </c>
      <c r="XR74">
        <f>0.73*2+0.13*2</f>
        <v>1.72</v>
      </c>
      <c r="XS74">
        <v>3</v>
      </c>
      <c r="YZ74" s="16">
        <v>1.48</v>
      </c>
      <c r="ZA74" s="16">
        <v>1</v>
      </c>
      <c r="ZB74" s="16">
        <v>1</v>
      </c>
      <c r="ZC74" s="16"/>
      <c r="ZD74" s="16">
        <f>2.1*2+0.37*2</f>
        <v>4.9400000000000004</v>
      </c>
      <c r="ZE74" s="16"/>
      <c r="ZF74" s="16"/>
      <c r="ZG74" s="16"/>
      <c r="ZH74" s="16"/>
      <c r="ZI74" s="16"/>
      <c r="ZJ74" s="16"/>
      <c r="ZK74" s="16">
        <v>7.71</v>
      </c>
      <c r="ZL74" s="16">
        <v>4.3499999999999996</v>
      </c>
      <c r="ZM74" s="16"/>
      <c r="ZN74" s="16"/>
      <c r="ZO74" s="16">
        <v>0</v>
      </c>
      <c r="ZP74" s="16">
        <v>0</v>
      </c>
      <c r="ZQ74" s="16">
        <v>0</v>
      </c>
      <c r="ZR74">
        <v>0</v>
      </c>
      <c r="ZS74" t="s">
        <v>259</v>
      </c>
      <c r="ZT74">
        <v>43</v>
      </c>
      <c r="ZU74" s="16">
        <v>93.3</v>
      </c>
      <c r="ZV74" s="16">
        <v>81</v>
      </c>
      <c r="ZW74" s="16">
        <v>6.4</v>
      </c>
      <c r="ZX74">
        <v>100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18.510000000000002</v>
      </c>
      <c r="AAK74">
        <v>28.46</v>
      </c>
      <c r="AAL74">
        <v>0</v>
      </c>
      <c r="AAM74">
        <v>0</v>
      </c>
      <c r="AAN74">
        <v>0</v>
      </c>
      <c r="AAO74">
        <v>0</v>
      </c>
      <c r="ABB74">
        <v>33</v>
      </c>
      <c r="ABC74">
        <v>0</v>
      </c>
      <c r="ABN74" s="18"/>
      <c r="ACF74">
        <v>1</v>
      </c>
      <c r="ACG74">
        <v>40</v>
      </c>
      <c r="ACH74">
        <v>8</v>
      </c>
      <c r="ACI74">
        <f>1.51*2+0.27*2+3.02</f>
        <v>6.58</v>
      </c>
      <c r="ACJ74">
        <v>3</v>
      </c>
      <c r="ACK74">
        <v>60</v>
      </c>
      <c r="ACL74">
        <v>20</v>
      </c>
      <c r="ACM74">
        <f>3.65*2+0.67*2</f>
        <v>8.64</v>
      </c>
      <c r="ACN74">
        <v>3</v>
      </c>
      <c r="ADQ74" s="16">
        <v>0</v>
      </c>
      <c r="ADR74" s="16">
        <v>0</v>
      </c>
      <c r="ADS74" s="16"/>
      <c r="ADT74" s="16"/>
      <c r="ADU74" s="16"/>
      <c r="ADV74" s="16"/>
      <c r="ADW74" s="16"/>
      <c r="ADX74" s="16"/>
      <c r="ADY74" s="16"/>
      <c r="ADZ74" s="16"/>
      <c r="AEA74" s="16"/>
      <c r="AEB74" s="16">
        <v>0</v>
      </c>
      <c r="AEC74" s="16">
        <v>0</v>
      </c>
      <c r="AED74" s="16"/>
      <c r="AEE74" s="16"/>
      <c r="AEF74" s="16">
        <v>0</v>
      </c>
      <c r="AEG74" s="16">
        <v>0</v>
      </c>
      <c r="AEH74" s="16">
        <v>0</v>
      </c>
      <c r="AEI74">
        <v>0</v>
      </c>
      <c r="AEJ74" t="s">
        <v>260</v>
      </c>
      <c r="AEK74">
        <v>57.5</v>
      </c>
      <c r="AEL74" s="16">
        <v>91.5</v>
      </c>
      <c r="AEM74" s="16">
        <v>81</v>
      </c>
      <c r="AEN74" s="16">
        <v>49.9</v>
      </c>
      <c r="AEO74">
        <v>47.29</v>
      </c>
      <c r="AEP74">
        <v>0</v>
      </c>
      <c r="AEQ74">
        <v>45.65</v>
      </c>
      <c r="AER74">
        <v>6.91</v>
      </c>
      <c r="AES74">
        <v>0.15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9.23</v>
      </c>
      <c r="AFB74">
        <v>4.3499999999999996</v>
      </c>
      <c r="AFC74">
        <v>6.63</v>
      </c>
      <c r="AFD74">
        <v>0</v>
      </c>
      <c r="AFE74">
        <v>0</v>
      </c>
      <c r="AFF74">
        <v>1</v>
      </c>
      <c r="AFG74">
        <v>5</v>
      </c>
      <c r="AFI74">
        <v>2</v>
      </c>
      <c r="AFS74">
        <v>1.1000000000000001</v>
      </c>
      <c r="AFT74">
        <v>0</v>
      </c>
      <c r="AGE74" s="18"/>
      <c r="AGW74">
        <v>1</v>
      </c>
      <c r="AGX74">
        <v>50</v>
      </c>
      <c r="AGY74">
        <v>1</v>
      </c>
      <c r="AGZ74">
        <v>0.27</v>
      </c>
      <c r="AHA74">
        <v>2</v>
      </c>
      <c r="AIH74" s="16">
        <v>2.82</v>
      </c>
      <c r="AII74" s="16">
        <v>1</v>
      </c>
      <c r="AIJ74" s="16">
        <v>1</v>
      </c>
      <c r="AIK74" s="16"/>
      <c r="AIL74" s="16">
        <f>1.86+1.72+2.1+7.35+1.72+1.48+0.37*3</f>
        <v>17.34</v>
      </c>
      <c r="AIM74" s="16"/>
      <c r="AIN74" s="16"/>
      <c r="AIO74" s="16"/>
      <c r="AIP74" s="16"/>
      <c r="AIQ74" s="16"/>
      <c r="AIR74" s="16"/>
      <c r="AIS74" s="16">
        <v>3.33</v>
      </c>
      <c r="AIT74" s="16">
        <v>3.32</v>
      </c>
      <c r="AIU74" s="16"/>
      <c r="AIV74" s="16"/>
      <c r="AIW74" s="16">
        <v>0</v>
      </c>
      <c r="AIX74" s="16">
        <v>0</v>
      </c>
      <c r="AIY74" s="16">
        <v>0</v>
      </c>
      <c r="AIZ74">
        <v>0</v>
      </c>
      <c r="AJA74" t="s">
        <v>435</v>
      </c>
      <c r="AJB74">
        <v>52.5</v>
      </c>
      <c r="AJC74" s="16">
        <v>71.2</v>
      </c>
      <c r="AJD74" s="16">
        <v>81</v>
      </c>
      <c r="AJE74" s="16">
        <v>44.8</v>
      </c>
      <c r="AJF74">
        <v>59.03</v>
      </c>
      <c r="AJG74">
        <v>0</v>
      </c>
      <c r="AJH74">
        <v>22.52</v>
      </c>
      <c r="AJI74">
        <v>17.8</v>
      </c>
      <c r="AJJ74">
        <v>0.65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3.42</v>
      </c>
      <c r="AJS74">
        <v>2.94</v>
      </c>
      <c r="AJT74">
        <v>0</v>
      </c>
      <c r="AJU74">
        <v>0</v>
      </c>
      <c r="AJV74">
        <v>0</v>
      </c>
      <c r="AJW74">
        <v>0</v>
      </c>
      <c r="AKJ74">
        <v>0</v>
      </c>
      <c r="AKK74">
        <v>1</v>
      </c>
      <c r="AKL74">
        <v>34</v>
      </c>
      <c r="AKM74">
        <v>8</v>
      </c>
      <c r="AKN74">
        <v>5.35</v>
      </c>
      <c r="AKO74">
        <v>1</v>
      </c>
      <c r="AKV74" s="18"/>
      <c r="ALN74">
        <v>0</v>
      </c>
    </row>
    <row r="75" spans="1:1018" x14ac:dyDescent="0.2">
      <c r="A75" s="1" t="s">
        <v>437</v>
      </c>
      <c r="B75" s="12">
        <v>42905</v>
      </c>
      <c r="C75">
        <v>2</v>
      </c>
      <c r="D75" s="13">
        <v>35744</v>
      </c>
      <c r="E75" s="12">
        <v>26814</v>
      </c>
      <c r="F75" s="14">
        <f t="shared" si="42"/>
        <v>44.054757015742645</v>
      </c>
      <c r="G75" s="14">
        <f t="shared" si="43"/>
        <v>19.605749486652979</v>
      </c>
      <c r="H75" s="15" t="s">
        <v>228</v>
      </c>
      <c r="I75" s="15" t="s">
        <v>251</v>
      </c>
      <c r="J75" s="15" t="s">
        <v>181</v>
      </c>
      <c r="K75" s="21">
        <v>8</v>
      </c>
      <c r="L75" s="19">
        <v>80</v>
      </c>
      <c r="M75">
        <v>1.7</v>
      </c>
      <c r="N75" s="16">
        <f t="shared" si="44"/>
        <v>27.681660899653981</v>
      </c>
      <c r="O75" s="19">
        <v>1</v>
      </c>
      <c r="P75" s="19">
        <v>1</v>
      </c>
      <c r="Q75" s="19" t="s">
        <v>438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1</v>
      </c>
      <c r="X75" s="19">
        <v>0</v>
      </c>
      <c r="Y75" s="19">
        <v>0</v>
      </c>
      <c r="Z75" s="19">
        <v>0</v>
      </c>
      <c r="AA75" s="19">
        <v>0</v>
      </c>
      <c r="AB75" s="19">
        <v>0</v>
      </c>
      <c r="AC75" s="19">
        <v>0</v>
      </c>
      <c r="AD75" s="19">
        <v>0</v>
      </c>
      <c r="AE75" s="19">
        <v>1</v>
      </c>
      <c r="AF75" s="19">
        <v>0</v>
      </c>
      <c r="AG75" s="19">
        <v>1</v>
      </c>
      <c r="AH75" s="19">
        <v>8</v>
      </c>
      <c r="AI75" s="19">
        <v>0</v>
      </c>
      <c r="AJ75" s="19">
        <v>0</v>
      </c>
      <c r="AK75" s="19">
        <v>0</v>
      </c>
      <c r="AL75" s="19">
        <v>0</v>
      </c>
      <c r="AM75" s="19">
        <v>0</v>
      </c>
      <c r="AN75" s="19">
        <v>0</v>
      </c>
      <c r="AO75" s="19">
        <v>0</v>
      </c>
      <c r="AP75" s="19">
        <v>0</v>
      </c>
      <c r="AQ75" s="19">
        <v>0</v>
      </c>
      <c r="AR75" s="19">
        <v>0</v>
      </c>
      <c r="AS75" s="19">
        <v>0</v>
      </c>
      <c r="AT75" s="19">
        <v>0</v>
      </c>
      <c r="AU75" s="19">
        <v>0</v>
      </c>
      <c r="AV75" s="19">
        <v>0</v>
      </c>
      <c r="AW75" s="19">
        <v>0</v>
      </c>
      <c r="AX75" s="19">
        <v>0</v>
      </c>
      <c r="AY75" s="19">
        <v>0</v>
      </c>
      <c r="AZ75" s="19">
        <v>0</v>
      </c>
      <c r="BA75" s="19">
        <v>0</v>
      </c>
      <c r="BB75" s="19">
        <v>1</v>
      </c>
      <c r="BC75" s="19">
        <v>1</v>
      </c>
      <c r="BD75" s="19">
        <v>1</v>
      </c>
      <c r="BE75" s="19">
        <v>9</v>
      </c>
      <c r="BF75" s="19">
        <v>1</v>
      </c>
      <c r="BG75" s="19">
        <v>0</v>
      </c>
      <c r="BH75" s="19">
        <v>1</v>
      </c>
      <c r="BI75" s="19">
        <v>9</v>
      </c>
      <c r="BJ75" s="19">
        <v>0</v>
      </c>
      <c r="BK75" s="19">
        <v>0</v>
      </c>
      <c r="BL75" s="19">
        <v>0</v>
      </c>
      <c r="BM75" s="19">
        <v>0</v>
      </c>
      <c r="BN75" s="19">
        <v>0</v>
      </c>
      <c r="BO75" s="19">
        <v>0</v>
      </c>
      <c r="BP75" s="19">
        <v>0</v>
      </c>
      <c r="BQ75" s="19">
        <v>0</v>
      </c>
      <c r="BR75" s="19">
        <v>4</v>
      </c>
      <c r="BS75" s="19">
        <v>3</v>
      </c>
      <c r="BT75" s="19">
        <v>5</v>
      </c>
      <c r="BU75" s="19">
        <v>5</v>
      </c>
      <c r="BV75" s="19">
        <v>3</v>
      </c>
      <c r="BW75" s="19">
        <v>4</v>
      </c>
      <c r="BX75" s="19">
        <v>3</v>
      </c>
      <c r="BY75" s="19">
        <v>3</v>
      </c>
      <c r="BZ75" s="19">
        <v>2</v>
      </c>
      <c r="CA75" s="19">
        <v>2</v>
      </c>
      <c r="CB75" s="19">
        <v>4</v>
      </c>
      <c r="CC75" s="19">
        <v>5</v>
      </c>
      <c r="CD75" s="19">
        <v>4</v>
      </c>
      <c r="CE75" s="19">
        <v>5</v>
      </c>
      <c r="CF75" s="19">
        <v>4</v>
      </c>
      <c r="CG75" s="19">
        <v>5</v>
      </c>
      <c r="CH75" s="19">
        <v>2</v>
      </c>
      <c r="CI75" s="19">
        <v>5</v>
      </c>
      <c r="CJ75" s="19">
        <v>3</v>
      </c>
      <c r="CK75" s="19">
        <v>10</v>
      </c>
      <c r="CL75" t="s">
        <v>253</v>
      </c>
      <c r="CM75">
        <v>30</v>
      </c>
      <c r="CN75" s="16">
        <v>85.5</v>
      </c>
      <c r="CO75" s="16">
        <v>81</v>
      </c>
      <c r="CP75" s="16">
        <v>15.2</v>
      </c>
      <c r="CQ75">
        <v>87.44</v>
      </c>
      <c r="CR75">
        <v>0</v>
      </c>
      <c r="CS75">
        <v>0.94</v>
      </c>
      <c r="CT75">
        <v>1.97</v>
      </c>
      <c r="CU75">
        <v>9.65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2.71</v>
      </c>
      <c r="DC75">
        <v>0.6</v>
      </c>
      <c r="DD75">
        <v>2.17</v>
      </c>
      <c r="DE75">
        <v>5.97</v>
      </c>
      <c r="DF75">
        <v>2.65</v>
      </c>
      <c r="DG75">
        <v>0</v>
      </c>
      <c r="DH75">
        <v>0</v>
      </c>
      <c r="DU75">
        <v>10.6</v>
      </c>
      <c r="DV75">
        <v>1</v>
      </c>
      <c r="DW75">
        <v>60</v>
      </c>
      <c r="DX75">
        <v>2</v>
      </c>
      <c r="DY75">
        <f t="shared" si="45"/>
        <v>0.45</v>
      </c>
      <c r="DZ75">
        <v>1</v>
      </c>
      <c r="EA75">
        <v>68</v>
      </c>
      <c r="EB75">
        <v>1</v>
      </c>
      <c r="EC75" s="16">
        <v>0.31</v>
      </c>
      <c r="ED75">
        <v>1</v>
      </c>
      <c r="EE75">
        <v>85</v>
      </c>
      <c r="EF75">
        <v>2</v>
      </c>
      <c r="EG75" s="18">
        <f t="shared" si="46"/>
        <v>2.83</v>
      </c>
      <c r="EH75">
        <v>2</v>
      </c>
      <c r="EI75">
        <v>25</v>
      </c>
      <c r="EJ75">
        <v>1</v>
      </c>
      <c r="EK75" s="16">
        <v>0.27</v>
      </c>
      <c r="EL75">
        <v>2</v>
      </c>
      <c r="EY75">
        <v>0</v>
      </c>
      <c r="GJ75" s="16">
        <v>0</v>
      </c>
      <c r="GK75" s="16">
        <v>0</v>
      </c>
      <c r="GL75" s="16"/>
      <c r="GM75" s="16"/>
      <c r="GN75" s="16"/>
      <c r="GO75" s="16"/>
      <c r="GP75" s="16"/>
      <c r="GQ75" s="16"/>
      <c r="GR75" s="16"/>
      <c r="GS75" s="16"/>
      <c r="GT75" s="16"/>
      <c r="GU75" s="16">
        <v>4.17</v>
      </c>
      <c r="GV75" s="16">
        <v>2.54</v>
      </c>
      <c r="GW75" s="16"/>
      <c r="GX75" s="16"/>
      <c r="GY75" s="16">
        <v>0</v>
      </c>
      <c r="GZ75" s="16">
        <v>0</v>
      </c>
      <c r="HA75" s="16">
        <v>0</v>
      </c>
      <c r="HB75">
        <v>0</v>
      </c>
      <c r="HC75" t="s">
        <v>254</v>
      </c>
      <c r="HD75">
        <v>53</v>
      </c>
      <c r="HE75" s="16">
        <v>81.5</v>
      </c>
      <c r="HF75" s="16">
        <v>81</v>
      </c>
      <c r="HG75" s="16">
        <v>36.4</v>
      </c>
      <c r="HH75">
        <v>56.99</v>
      </c>
      <c r="HI75">
        <v>0</v>
      </c>
      <c r="HJ75">
        <v>0</v>
      </c>
      <c r="HK75">
        <v>0.12</v>
      </c>
      <c r="HL75">
        <v>42.89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25.37</v>
      </c>
      <c r="HT75">
        <v>0</v>
      </c>
      <c r="HU75">
        <v>42.65</v>
      </c>
      <c r="HV75">
        <v>6.3</v>
      </c>
      <c r="HW75">
        <v>0</v>
      </c>
      <c r="HX75">
        <v>0</v>
      </c>
      <c r="HY75">
        <v>0</v>
      </c>
      <c r="IL75">
        <v>8.6999999999999993</v>
      </c>
      <c r="IM75">
        <v>1</v>
      </c>
      <c r="IN75">
        <v>137</v>
      </c>
      <c r="IO75">
        <v>2</v>
      </c>
      <c r="IP75">
        <f>0.65+0.05</f>
        <v>0.70000000000000007</v>
      </c>
      <c r="IQ75">
        <v>1</v>
      </c>
      <c r="IR75">
        <v>103</v>
      </c>
      <c r="IS75">
        <v>2</v>
      </c>
      <c r="IT75" s="16">
        <f>0.65+0.05</f>
        <v>0.70000000000000007</v>
      </c>
      <c r="IU75">
        <v>1</v>
      </c>
      <c r="IX75" s="18"/>
      <c r="JP75">
        <v>0</v>
      </c>
      <c r="LA75" s="16">
        <v>2.2799999999999998</v>
      </c>
      <c r="LB75" s="16">
        <v>1</v>
      </c>
      <c r="LC75" s="16">
        <v>3</v>
      </c>
      <c r="LD75" s="16"/>
      <c r="LE75" s="16">
        <f>2.69+0.37+0.74</f>
        <v>3.8</v>
      </c>
      <c r="LF75" s="16"/>
      <c r="LG75" s="16"/>
      <c r="LH75" s="16"/>
      <c r="LI75" s="16"/>
      <c r="LJ75" s="16"/>
      <c r="LK75" s="16"/>
      <c r="LL75" s="16">
        <v>0.48</v>
      </c>
      <c r="LM75" s="16">
        <v>0.48</v>
      </c>
      <c r="LN75" s="16"/>
      <c r="LO75" s="16"/>
      <c r="LP75" s="16">
        <v>2.2200000000000002</v>
      </c>
      <c r="LQ75" s="16">
        <v>23.08</v>
      </c>
      <c r="LR75" s="16">
        <v>0</v>
      </c>
      <c r="LS75">
        <v>0</v>
      </c>
      <c r="LT75" t="s">
        <v>255</v>
      </c>
      <c r="LU75">
        <v>41</v>
      </c>
      <c r="LV75" s="16">
        <v>48.6</v>
      </c>
      <c r="LW75" s="16">
        <v>81</v>
      </c>
      <c r="LX75" s="16">
        <v>21.6</v>
      </c>
      <c r="LY75">
        <v>76.16</v>
      </c>
      <c r="LZ75">
        <v>0</v>
      </c>
      <c r="MA75">
        <v>7.0000000000000007E-2</v>
      </c>
      <c r="MB75">
        <v>0.13</v>
      </c>
      <c r="MC75">
        <v>23.64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6.53</v>
      </c>
      <c r="MK75">
        <v>0.2</v>
      </c>
      <c r="ML75">
        <v>27.15</v>
      </c>
      <c r="MM75">
        <v>4.1100000000000003</v>
      </c>
      <c r="MN75">
        <v>0</v>
      </c>
      <c r="MO75">
        <v>3.9</v>
      </c>
      <c r="MP75">
        <v>1</v>
      </c>
      <c r="MQ75">
        <v>10</v>
      </c>
      <c r="MS75">
        <v>1</v>
      </c>
      <c r="NC75">
        <v>0.6</v>
      </c>
      <c r="ND75">
        <v>1</v>
      </c>
      <c r="NE75">
        <v>52</v>
      </c>
      <c r="NF75">
        <v>3</v>
      </c>
      <c r="NG75" s="16">
        <f>0.16+0.13</f>
        <v>0.29000000000000004</v>
      </c>
      <c r="NH75">
        <v>2</v>
      </c>
      <c r="NO75" s="18"/>
      <c r="OG75">
        <v>0</v>
      </c>
      <c r="PR75" s="16">
        <v>0.56999999999999995</v>
      </c>
      <c r="PS75" s="16">
        <v>1</v>
      </c>
      <c r="PT75" s="16">
        <v>1</v>
      </c>
      <c r="PU75" s="16"/>
      <c r="PV75" s="16">
        <f>0.93</f>
        <v>0.93</v>
      </c>
      <c r="PW75" s="16">
        <v>2</v>
      </c>
      <c r="PX75" s="16"/>
      <c r="PY75" s="16">
        <f>0.31+0.22</f>
        <v>0.53</v>
      </c>
      <c r="PZ75" s="16"/>
      <c r="QA75" s="16"/>
      <c r="QB75" s="16"/>
      <c r="QC75" s="16">
        <v>5.72</v>
      </c>
      <c r="QD75" s="16">
        <v>5.75</v>
      </c>
      <c r="QE75" s="16"/>
      <c r="QF75" s="16"/>
      <c r="QG75" s="16">
        <v>7.41</v>
      </c>
      <c r="QH75" s="16">
        <v>0</v>
      </c>
      <c r="QI75" s="16">
        <v>0.22</v>
      </c>
      <c r="QJ75">
        <v>5</v>
      </c>
      <c r="QK75" t="s">
        <v>256</v>
      </c>
      <c r="QL75">
        <v>40</v>
      </c>
      <c r="QM75" s="16">
        <v>89.1</v>
      </c>
      <c r="QN75" s="16">
        <v>81</v>
      </c>
      <c r="QO75" s="16">
        <v>5.4</v>
      </c>
      <c r="QP75">
        <v>99.83</v>
      </c>
      <c r="QQ75">
        <v>0</v>
      </c>
      <c r="QR75">
        <v>0</v>
      </c>
      <c r="QS75">
        <v>0.17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19.8</v>
      </c>
      <c r="RC75">
        <v>8.9499999999999993</v>
      </c>
      <c r="RD75">
        <v>0</v>
      </c>
      <c r="RE75">
        <v>0</v>
      </c>
      <c r="RF75">
        <v>22.5</v>
      </c>
      <c r="RG75">
        <v>1</v>
      </c>
      <c r="RH75">
        <v>5</v>
      </c>
      <c r="RJ75">
        <v>8</v>
      </c>
      <c r="RT75">
        <v>0</v>
      </c>
      <c r="RU75">
        <v>0</v>
      </c>
      <c r="SF75" s="18"/>
      <c r="SX75">
        <v>1</v>
      </c>
      <c r="SY75">
        <v>50</v>
      </c>
      <c r="SZ75">
        <v>4</v>
      </c>
      <c r="TA75">
        <f>0.73*2+0.13*2</f>
        <v>1.72</v>
      </c>
      <c r="TB75">
        <v>3</v>
      </c>
      <c r="UI75" s="16">
        <v>1.48</v>
      </c>
      <c r="UJ75" s="16">
        <v>1</v>
      </c>
      <c r="UK75" s="16">
        <v>1</v>
      </c>
      <c r="UL75" s="16"/>
      <c r="UM75" s="16">
        <f>2.1*2+0.37*2</f>
        <v>4.9400000000000004</v>
      </c>
      <c r="UN75" s="16"/>
      <c r="UO75" s="16"/>
      <c r="UP75" s="16"/>
      <c r="UQ75" s="16"/>
      <c r="UR75" s="16"/>
      <c r="US75" s="16"/>
      <c r="UT75" s="16">
        <v>7.71</v>
      </c>
      <c r="UU75" s="16">
        <v>4.3499999999999996</v>
      </c>
      <c r="UV75" s="16"/>
      <c r="UW75" s="16"/>
      <c r="UX75" s="16">
        <v>0</v>
      </c>
      <c r="UY75" s="16">
        <v>0</v>
      </c>
      <c r="UZ75" s="16">
        <v>0</v>
      </c>
      <c r="VA75">
        <v>0</v>
      </c>
      <c r="VB75" t="s">
        <v>257</v>
      </c>
      <c r="VC75">
        <v>43</v>
      </c>
      <c r="VD75" s="16">
        <v>93.3</v>
      </c>
      <c r="VE75" s="16">
        <v>81</v>
      </c>
      <c r="VF75" s="16">
        <v>6.4</v>
      </c>
      <c r="VG75">
        <v>100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18.510000000000002</v>
      </c>
      <c r="VT75">
        <v>28.46</v>
      </c>
      <c r="VU75">
        <v>0</v>
      </c>
      <c r="VV75">
        <v>0</v>
      </c>
      <c r="VW75">
        <v>0</v>
      </c>
      <c r="VX75">
        <v>0</v>
      </c>
      <c r="WK75">
        <v>33</v>
      </c>
      <c r="WL75">
        <v>0</v>
      </c>
      <c r="WW75" s="18"/>
      <c r="XO75">
        <v>1</v>
      </c>
      <c r="XP75">
        <v>40</v>
      </c>
      <c r="XQ75">
        <v>8</v>
      </c>
      <c r="XR75">
        <f>1.51*2+3.02+0.27*2</f>
        <v>6.58</v>
      </c>
      <c r="XS75">
        <v>3</v>
      </c>
      <c r="XT75">
        <v>60</v>
      </c>
      <c r="XU75">
        <v>20</v>
      </c>
      <c r="XV75">
        <f>3.65*2+0.67*2</f>
        <v>8.64</v>
      </c>
      <c r="XW75">
        <v>3</v>
      </c>
      <c r="YZ75" s="16">
        <v>0</v>
      </c>
      <c r="ZA75" s="16">
        <v>0</v>
      </c>
      <c r="ZB75" s="16"/>
      <c r="ZC75" s="16"/>
      <c r="ZD75" s="16"/>
      <c r="ZE75" s="16"/>
      <c r="ZF75" s="16"/>
      <c r="ZG75" s="16"/>
      <c r="ZH75" s="16"/>
      <c r="ZI75" s="16"/>
      <c r="ZJ75" s="16"/>
      <c r="ZK75" s="16">
        <v>0</v>
      </c>
      <c r="ZL75" s="16">
        <v>0</v>
      </c>
      <c r="ZM75" s="16"/>
      <c r="ZN75" s="16"/>
      <c r="ZO75" s="16">
        <v>0</v>
      </c>
      <c r="ZP75" s="16">
        <v>0</v>
      </c>
      <c r="ZQ75" s="16">
        <v>0</v>
      </c>
      <c r="ZR75">
        <v>0</v>
      </c>
      <c r="ZS75" t="s">
        <v>258</v>
      </c>
      <c r="ZT75">
        <v>40</v>
      </c>
      <c r="ZU75" s="16">
        <v>90.1</v>
      </c>
      <c r="ZV75" s="16">
        <v>81</v>
      </c>
      <c r="ZW75" s="16">
        <v>5.9</v>
      </c>
      <c r="ZX75">
        <v>99.34</v>
      </c>
      <c r="ZY75">
        <v>0</v>
      </c>
      <c r="ZZ75">
        <v>0</v>
      </c>
      <c r="AAA75">
        <v>0.66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19.8</v>
      </c>
      <c r="AAK75">
        <v>8.9499999999999993</v>
      </c>
      <c r="AAL75">
        <v>0</v>
      </c>
      <c r="AAM75">
        <v>0</v>
      </c>
      <c r="AAN75">
        <v>22.3</v>
      </c>
      <c r="AAO75">
        <v>1</v>
      </c>
      <c r="AAP75">
        <v>5</v>
      </c>
      <c r="AAR75">
        <v>8</v>
      </c>
      <c r="ABB75">
        <v>0</v>
      </c>
      <c r="ABC75">
        <v>0</v>
      </c>
      <c r="ABN75" s="18"/>
      <c r="ACF75">
        <v>1</v>
      </c>
      <c r="ACG75">
        <v>50</v>
      </c>
      <c r="ACH75">
        <v>4</v>
      </c>
      <c r="ACI75">
        <f>0.73*2+0.13*2</f>
        <v>1.72</v>
      </c>
      <c r="ACJ75">
        <v>3</v>
      </c>
      <c r="ADQ75" s="16">
        <v>1.48</v>
      </c>
      <c r="ADR75" s="16">
        <v>1</v>
      </c>
      <c r="ADS75" s="16">
        <v>1</v>
      </c>
      <c r="ADT75" s="16"/>
      <c r="ADU75" s="16">
        <f>2.1*2+0.37*2</f>
        <v>4.9400000000000004</v>
      </c>
      <c r="ADV75" s="16"/>
      <c r="ADW75" s="16"/>
      <c r="ADX75" s="16"/>
      <c r="ADY75" s="16"/>
      <c r="ADZ75" s="16"/>
      <c r="AEA75" s="16"/>
      <c r="AEB75" s="16">
        <v>7.71</v>
      </c>
      <c r="AEC75" s="16">
        <v>4.3499999999999996</v>
      </c>
      <c r="AED75" s="16"/>
      <c r="AEE75" s="16"/>
      <c r="AEF75" s="16">
        <v>0</v>
      </c>
      <c r="AEG75" s="16">
        <v>0</v>
      </c>
      <c r="AEH75" s="16">
        <v>0</v>
      </c>
      <c r="AEI75">
        <v>0</v>
      </c>
      <c r="AEJ75" t="s">
        <v>259</v>
      </c>
      <c r="AEK75">
        <v>43</v>
      </c>
      <c r="AEL75" s="16">
        <v>93.3</v>
      </c>
      <c r="AEM75" s="16">
        <v>81</v>
      </c>
      <c r="AEN75" s="16">
        <v>6.4</v>
      </c>
      <c r="AEO75">
        <v>100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18.510000000000002</v>
      </c>
      <c r="AFB75">
        <v>28.46</v>
      </c>
      <c r="AFC75">
        <v>0</v>
      </c>
      <c r="AFD75">
        <v>0</v>
      </c>
      <c r="AFE75">
        <v>0</v>
      </c>
      <c r="AFF75">
        <v>0</v>
      </c>
      <c r="AFS75">
        <v>33</v>
      </c>
      <c r="AFT75">
        <v>0</v>
      </c>
      <c r="AGE75" s="18"/>
      <c r="AGW75">
        <v>1</v>
      </c>
      <c r="AGX75">
        <v>40</v>
      </c>
      <c r="AGY75">
        <v>8</v>
      </c>
      <c r="AGZ75">
        <f>1.51*2+0.27*2+3.02</f>
        <v>6.58</v>
      </c>
      <c r="AHA75">
        <v>3</v>
      </c>
      <c r="AHB75">
        <v>60</v>
      </c>
      <c r="AHC75">
        <v>20</v>
      </c>
      <c r="AHD75">
        <f>3.65*2+0.67*2</f>
        <v>8.64</v>
      </c>
      <c r="AHE75">
        <v>3</v>
      </c>
      <c r="AIH75" s="16">
        <v>0</v>
      </c>
      <c r="AII75" s="16">
        <v>0</v>
      </c>
      <c r="AIJ75" s="16"/>
      <c r="AIK75" s="16"/>
      <c r="AIL75" s="16"/>
      <c r="AIM75" s="16"/>
      <c r="AIN75" s="16"/>
      <c r="AIO75" s="16"/>
      <c r="AIP75" s="16"/>
      <c r="AIQ75" s="16"/>
      <c r="AIR75" s="16"/>
      <c r="AIS75" s="16">
        <v>0</v>
      </c>
      <c r="AIT75" s="16">
        <v>0</v>
      </c>
      <c r="AIU75" s="16"/>
      <c r="AIV75" s="16"/>
      <c r="AIW75" s="16">
        <v>0</v>
      </c>
      <c r="AIX75" s="16">
        <v>0</v>
      </c>
      <c r="AIY75" s="16">
        <v>0</v>
      </c>
      <c r="AIZ75">
        <v>0</v>
      </c>
      <c r="AJA75" t="s">
        <v>435</v>
      </c>
      <c r="AJB75">
        <v>52.5</v>
      </c>
      <c r="AJC75" s="16">
        <v>71.2</v>
      </c>
      <c r="AJD75" s="16">
        <v>81</v>
      </c>
      <c r="AJE75" s="16">
        <v>44.8</v>
      </c>
      <c r="AJF75">
        <v>59.03</v>
      </c>
      <c r="AJG75">
        <v>0</v>
      </c>
      <c r="AJH75">
        <v>22.52</v>
      </c>
      <c r="AJI75">
        <v>17.8</v>
      </c>
      <c r="AJJ75">
        <v>0.65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3.42</v>
      </c>
      <c r="AJS75">
        <v>2.94</v>
      </c>
      <c r="AJT75">
        <v>0</v>
      </c>
      <c r="AJU75">
        <v>0</v>
      </c>
      <c r="AJV75">
        <v>0</v>
      </c>
      <c r="AJW75">
        <v>0</v>
      </c>
      <c r="AKJ75">
        <v>0</v>
      </c>
      <c r="AKK75">
        <v>1</v>
      </c>
      <c r="AKL75">
        <v>34</v>
      </c>
      <c r="AKM75">
        <v>8</v>
      </c>
      <c r="AKN75">
        <v>5.35</v>
      </c>
      <c r="AKO75">
        <v>1</v>
      </c>
      <c r="AKV75" s="18"/>
      <c r="ALN75">
        <v>0</v>
      </c>
    </row>
    <row r="76" spans="1:1018" x14ac:dyDescent="0.2">
      <c r="A76" s="1" t="s">
        <v>439</v>
      </c>
      <c r="B76" s="12">
        <v>42902</v>
      </c>
      <c r="C76">
        <v>1</v>
      </c>
      <c r="D76" s="13">
        <v>42790</v>
      </c>
      <c r="E76" s="12">
        <v>28590</v>
      </c>
      <c r="F76" s="14">
        <f t="shared" si="42"/>
        <v>39.184120465434631</v>
      </c>
      <c r="G76" s="14">
        <f t="shared" si="43"/>
        <v>0.30663928815879532</v>
      </c>
      <c r="H76" s="15" t="s">
        <v>228</v>
      </c>
      <c r="I76" s="15" t="s">
        <v>251</v>
      </c>
      <c r="J76" s="15" t="s">
        <v>181</v>
      </c>
      <c r="K76" s="21">
        <v>8</v>
      </c>
      <c r="L76" s="19">
        <v>63</v>
      </c>
      <c r="M76">
        <v>1.61</v>
      </c>
      <c r="N76" s="16">
        <f t="shared" si="44"/>
        <v>24.304617877396701</v>
      </c>
      <c r="O76" s="19">
        <v>0</v>
      </c>
      <c r="P76" s="19">
        <v>0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0</v>
      </c>
      <c r="X76" s="19">
        <v>0</v>
      </c>
      <c r="Y76" s="19">
        <v>0</v>
      </c>
      <c r="Z76" s="19">
        <v>0</v>
      </c>
      <c r="AA76" s="19">
        <v>0</v>
      </c>
      <c r="AB76" s="19">
        <v>0</v>
      </c>
      <c r="AC76" s="19">
        <v>1</v>
      </c>
      <c r="AD76" s="19">
        <v>5</v>
      </c>
      <c r="AE76" s="19">
        <v>0</v>
      </c>
      <c r="AF76" s="19">
        <v>0</v>
      </c>
      <c r="AG76" s="19">
        <v>0</v>
      </c>
      <c r="AH76" s="19">
        <v>0</v>
      </c>
      <c r="AI76" s="19">
        <v>0</v>
      </c>
      <c r="AJ76" s="19">
        <v>0</v>
      </c>
      <c r="AK76" s="19">
        <v>0</v>
      </c>
      <c r="AL76" s="19">
        <v>0</v>
      </c>
      <c r="AM76" s="19">
        <v>0</v>
      </c>
      <c r="AN76" s="19">
        <v>0</v>
      </c>
      <c r="AO76" s="19">
        <v>0</v>
      </c>
      <c r="AP76" s="19">
        <v>0</v>
      </c>
      <c r="AQ76" s="19">
        <v>0</v>
      </c>
      <c r="AR76" s="19">
        <v>0</v>
      </c>
      <c r="AS76" s="19">
        <v>0</v>
      </c>
      <c r="AT76" s="19">
        <v>0</v>
      </c>
      <c r="AU76" s="19">
        <v>0</v>
      </c>
      <c r="AV76" s="19">
        <v>0</v>
      </c>
      <c r="AW76" s="19">
        <v>0</v>
      </c>
      <c r="AX76" s="19">
        <v>0</v>
      </c>
      <c r="AY76" s="19">
        <v>0</v>
      </c>
      <c r="AZ76" s="19">
        <v>0</v>
      </c>
      <c r="BA76" s="19">
        <v>0</v>
      </c>
      <c r="BB76" s="19">
        <v>0</v>
      </c>
      <c r="BC76" s="19">
        <v>0</v>
      </c>
      <c r="BD76" s="19">
        <v>0</v>
      </c>
      <c r="BE76" s="19">
        <v>0</v>
      </c>
      <c r="BF76" s="19">
        <v>0</v>
      </c>
      <c r="BG76" s="19">
        <v>0</v>
      </c>
      <c r="BH76" s="19">
        <v>0</v>
      </c>
      <c r="BI76" s="19">
        <v>0</v>
      </c>
      <c r="BJ76" s="19">
        <v>0</v>
      </c>
      <c r="BK76" s="19">
        <v>0</v>
      </c>
      <c r="BL76" s="19">
        <v>0</v>
      </c>
      <c r="BM76" s="19">
        <v>0</v>
      </c>
      <c r="BN76" s="19">
        <v>0</v>
      </c>
      <c r="BO76" s="19">
        <v>0</v>
      </c>
      <c r="BP76" s="19">
        <v>0</v>
      </c>
      <c r="BQ76" s="19">
        <v>0</v>
      </c>
      <c r="BR76" s="19">
        <v>2</v>
      </c>
      <c r="BS76" s="19">
        <v>1</v>
      </c>
      <c r="BT76" s="19">
        <v>2</v>
      </c>
      <c r="BU76" s="19">
        <v>5</v>
      </c>
      <c r="BV76" s="19">
        <v>2</v>
      </c>
      <c r="BW76" s="19">
        <v>1</v>
      </c>
      <c r="BX76" s="19">
        <v>2</v>
      </c>
      <c r="BY76" s="19">
        <v>5</v>
      </c>
      <c r="BZ76" s="19">
        <v>5</v>
      </c>
      <c r="CA76" s="19">
        <v>4</v>
      </c>
      <c r="CB76" s="19">
        <v>5</v>
      </c>
      <c r="CC76" s="19">
        <v>5</v>
      </c>
      <c r="CD76" s="19">
        <v>5</v>
      </c>
      <c r="CE76" s="19">
        <v>5</v>
      </c>
      <c r="CF76" s="19">
        <v>5</v>
      </c>
      <c r="CG76" s="19">
        <v>5</v>
      </c>
      <c r="CH76" s="19">
        <v>5</v>
      </c>
      <c r="CI76" s="19">
        <v>5</v>
      </c>
      <c r="CJ76" s="19">
        <v>5</v>
      </c>
      <c r="CK76" s="19">
        <v>8</v>
      </c>
      <c r="CL76" t="s">
        <v>253</v>
      </c>
      <c r="CM76">
        <v>30</v>
      </c>
      <c r="CN76" s="16">
        <v>85.5</v>
      </c>
      <c r="CO76" s="16">
        <v>81</v>
      </c>
      <c r="CP76" s="16">
        <v>15.2</v>
      </c>
      <c r="CQ76">
        <v>87.44</v>
      </c>
      <c r="CR76">
        <v>0</v>
      </c>
      <c r="CS76">
        <v>0.94</v>
      </c>
      <c r="CT76">
        <v>1.97</v>
      </c>
      <c r="CU76">
        <v>9.65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2.71</v>
      </c>
      <c r="DC76">
        <v>0.6</v>
      </c>
      <c r="DD76">
        <v>2.17</v>
      </c>
      <c r="DE76">
        <v>5.97</v>
      </c>
      <c r="DF76">
        <v>2.65</v>
      </c>
      <c r="DG76">
        <v>0</v>
      </c>
      <c r="DH76">
        <v>0</v>
      </c>
      <c r="DU76">
        <v>10.6</v>
      </c>
      <c r="DV76">
        <v>1</v>
      </c>
      <c r="DW76">
        <v>60</v>
      </c>
      <c r="DX76">
        <v>2</v>
      </c>
      <c r="DY76">
        <f t="shared" si="45"/>
        <v>0.45</v>
      </c>
      <c r="DZ76">
        <v>1</v>
      </c>
      <c r="EA76">
        <v>68</v>
      </c>
      <c r="EB76">
        <v>1</v>
      </c>
      <c r="EC76" s="16">
        <v>0.31</v>
      </c>
      <c r="ED76">
        <v>1</v>
      </c>
      <c r="EE76">
        <v>85</v>
      </c>
      <c r="EF76">
        <v>2</v>
      </c>
      <c r="EG76" s="18">
        <f t="shared" si="46"/>
        <v>2.83</v>
      </c>
      <c r="EH76">
        <v>2</v>
      </c>
      <c r="EI76">
        <v>25</v>
      </c>
      <c r="EJ76">
        <v>1</v>
      </c>
      <c r="EK76" s="16">
        <v>0.27</v>
      </c>
      <c r="EL76">
        <v>2</v>
      </c>
      <c r="EY76">
        <v>0</v>
      </c>
      <c r="GJ76" s="16">
        <v>0</v>
      </c>
      <c r="GK76" s="16">
        <v>0</v>
      </c>
      <c r="GL76" s="16"/>
      <c r="GM76" s="16"/>
      <c r="GN76" s="16"/>
      <c r="GO76" s="16"/>
      <c r="GP76" s="16"/>
      <c r="GQ76" s="16"/>
      <c r="GR76" s="16"/>
      <c r="GS76" s="16"/>
      <c r="GT76" s="16"/>
      <c r="GU76" s="16">
        <v>4.17</v>
      </c>
      <c r="GV76" s="16">
        <v>2.54</v>
      </c>
      <c r="GW76" s="16"/>
      <c r="GX76" s="16"/>
      <c r="GY76" s="16">
        <v>0</v>
      </c>
      <c r="GZ76" s="16">
        <v>0</v>
      </c>
      <c r="HA76" s="16">
        <v>0</v>
      </c>
      <c r="HB76">
        <v>0</v>
      </c>
      <c r="HC76" t="s">
        <v>254</v>
      </c>
      <c r="HD76">
        <v>53</v>
      </c>
      <c r="HE76" s="16">
        <v>81.5</v>
      </c>
      <c r="HF76" s="16">
        <v>81</v>
      </c>
      <c r="HG76" s="16">
        <v>36.4</v>
      </c>
      <c r="HH76">
        <v>56.99</v>
      </c>
      <c r="HI76">
        <v>0</v>
      </c>
      <c r="HJ76">
        <v>0</v>
      </c>
      <c r="HK76">
        <v>0.12</v>
      </c>
      <c r="HL76">
        <v>42.89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25.37</v>
      </c>
      <c r="HT76">
        <v>0</v>
      </c>
      <c r="HU76">
        <v>42.65</v>
      </c>
      <c r="HV76">
        <v>6.3</v>
      </c>
      <c r="HW76">
        <v>0</v>
      </c>
      <c r="HX76">
        <v>0</v>
      </c>
      <c r="HY76">
        <v>0</v>
      </c>
      <c r="IL76">
        <v>8.6999999999999993</v>
      </c>
      <c r="IM76">
        <v>1</v>
      </c>
      <c r="IN76">
        <v>137</v>
      </c>
      <c r="IO76">
        <v>2</v>
      </c>
      <c r="IP76">
        <f>0.65+0.05</f>
        <v>0.70000000000000007</v>
      </c>
      <c r="IQ76">
        <v>1</v>
      </c>
      <c r="IR76">
        <v>103</v>
      </c>
      <c r="IS76">
        <v>2</v>
      </c>
      <c r="IT76" s="16">
        <f>0.65+0.05</f>
        <v>0.70000000000000007</v>
      </c>
      <c r="IU76">
        <v>1</v>
      </c>
      <c r="IX76" s="18"/>
      <c r="JP76">
        <v>0</v>
      </c>
      <c r="LA76" s="16">
        <v>2.2799999999999998</v>
      </c>
      <c r="LB76" s="16">
        <v>1</v>
      </c>
      <c r="LC76" s="16">
        <v>3</v>
      </c>
      <c r="LD76" s="16"/>
      <c r="LE76" s="16">
        <f>2.69+0.37+0.74</f>
        <v>3.8</v>
      </c>
      <c r="LF76" s="16"/>
      <c r="LG76" s="16"/>
      <c r="LH76" s="16"/>
      <c r="LI76" s="16"/>
      <c r="LJ76" s="16"/>
      <c r="LK76" s="16"/>
      <c r="LL76" s="16">
        <v>0.48</v>
      </c>
      <c r="LM76" s="16">
        <v>0.48</v>
      </c>
      <c r="LN76" s="16"/>
      <c r="LO76" s="16"/>
      <c r="LP76" s="16">
        <v>2.2200000000000002</v>
      </c>
      <c r="LQ76" s="16">
        <v>23.08</v>
      </c>
      <c r="LR76" s="16">
        <v>0</v>
      </c>
      <c r="LS76">
        <v>0</v>
      </c>
      <c r="LT76" t="s">
        <v>255</v>
      </c>
      <c r="LU76">
        <v>41</v>
      </c>
      <c r="LV76" s="16">
        <v>48.6</v>
      </c>
      <c r="LW76" s="16">
        <v>81</v>
      </c>
      <c r="LX76" s="16">
        <v>21.6</v>
      </c>
      <c r="LY76">
        <v>76.16</v>
      </c>
      <c r="LZ76">
        <v>0</v>
      </c>
      <c r="MA76">
        <v>7.0000000000000007E-2</v>
      </c>
      <c r="MB76">
        <v>0.13</v>
      </c>
      <c r="MC76">
        <v>23.64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6.53</v>
      </c>
      <c r="MK76">
        <v>0.2</v>
      </c>
      <c r="ML76">
        <v>27.15</v>
      </c>
      <c r="MM76">
        <v>4.1100000000000003</v>
      </c>
      <c r="MN76">
        <v>0</v>
      </c>
      <c r="MO76">
        <v>3.9</v>
      </c>
      <c r="MP76">
        <v>1</v>
      </c>
      <c r="MQ76">
        <v>10</v>
      </c>
      <c r="MS76">
        <v>1</v>
      </c>
      <c r="NC76">
        <v>0.6</v>
      </c>
      <c r="ND76">
        <v>1</v>
      </c>
      <c r="NE76">
        <v>52</v>
      </c>
      <c r="NF76">
        <v>3</v>
      </c>
      <c r="NG76" s="16">
        <f>0.16+0.13</f>
        <v>0.29000000000000004</v>
      </c>
      <c r="NH76">
        <v>2</v>
      </c>
      <c r="NO76" s="18"/>
      <c r="OG76">
        <v>0</v>
      </c>
      <c r="PR76" s="16">
        <v>0.56999999999999995</v>
      </c>
      <c r="PS76" s="16">
        <v>1</v>
      </c>
      <c r="PT76" s="16">
        <v>1</v>
      </c>
      <c r="PU76" s="16"/>
      <c r="PV76" s="16">
        <f>0.93</f>
        <v>0.93</v>
      </c>
      <c r="PW76" s="16">
        <v>2</v>
      </c>
      <c r="PX76" s="16"/>
      <c r="PY76" s="16">
        <f>0.31+0.22</f>
        <v>0.53</v>
      </c>
      <c r="PZ76" s="16"/>
      <c r="QA76" s="16"/>
      <c r="QB76" s="16"/>
      <c r="QC76" s="16">
        <v>5.72</v>
      </c>
      <c r="QD76" s="16">
        <v>5.75</v>
      </c>
      <c r="QE76" s="16"/>
      <c r="QF76" s="16"/>
      <c r="QG76" s="16">
        <v>7.41</v>
      </c>
      <c r="QH76" s="16">
        <v>0</v>
      </c>
      <c r="QI76" s="16">
        <v>0.22</v>
      </c>
      <c r="QJ76">
        <v>5</v>
      </c>
      <c r="QK76" t="s">
        <v>257</v>
      </c>
      <c r="QL76">
        <v>43</v>
      </c>
      <c r="QM76" s="16">
        <v>93.3</v>
      </c>
      <c r="QN76" s="16">
        <v>81</v>
      </c>
      <c r="QO76" s="16">
        <v>6.4</v>
      </c>
      <c r="QP76">
        <v>100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18.510000000000002</v>
      </c>
      <c r="RC76">
        <v>28.46</v>
      </c>
      <c r="RD76">
        <v>0</v>
      </c>
      <c r="RE76">
        <v>0</v>
      </c>
      <c r="RF76">
        <v>0</v>
      </c>
      <c r="RG76">
        <v>0</v>
      </c>
      <c r="RT76">
        <v>33</v>
      </c>
      <c r="RU76">
        <v>0</v>
      </c>
      <c r="SF76" s="18"/>
      <c r="SX76">
        <v>1</v>
      </c>
      <c r="SY76">
        <v>40</v>
      </c>
      <c r="SZ76">
        <v>8</v>
      </c>
      <c r="TA76">
        <f>1.51*2+3.02+0.27*2</f>
        <v>6.58</v>
      </c>
      <c r="TB76">
        <v>3</v>
      </c>
      <c r="TC76">
        <v>60</v>
      </c>
      <c r="TD76">
        <v>20</v>
      </c>
      <c r="TE76">
        <f>3.65*2+0.67*2</f>
        <v>8.64</v>
      </c>
      <c r="TF76">
        <v>3</v>
      </c>
      <c r="UI76" s="16">
        <v>0</v>
      </c>
      <c r="UJ76" s="16">
        <v>0</v>
      </c>
      <c r="UK76" s="16"/>
      <c r="UL76" s="16"/>
      <c r="UM76" s="16"/>
      <c r="UN76" s="16"/>
      <c r="UO76" s="16"/>
      <c r="UP76" s="16"/>
      <c r="UQ76" s="16"/>
      <c r="UR76" s="16"/>
      <c r="US76" s="16"/>
      <c r="UT76" s="16">
        <v>0</v>
      </c>
      <c r="UU76" s="16">
        <v>0</v>
      </c>
      <c r="UV76" s="16"/>
      <c r="UW76" s="16"/>
      <c r="UX76" s="16">
        <v>0</v>
      </c>
      <c r="UY76" s="16">
        <v>0</v>
      </c>
      <c r="UZ76" s="16">
        <v>0</v>
      </c>
      <c r="VA76">
        <v>0</v>
      </c>
      <c r="VB76" t="s">
        <v>258</v>
      </c>
      <c r="VC76">
        <v>40</v>
      </c>
      <c r="VD76" s="16">
        <v>90.1</v>
      </c>
      <c r="VE76" s="16">
        <v>81</v>
      </c>
      <c r="VF76" s="16">
        <v>5.9</v>
      </c>
      <c r="VG76">
        <v>99.34</v>
      </c>
      <c r="VH76">
        <v>0</v>
      </c>
      <c r="VI76">
        <v>0</v>
      </c>
      <c r="VJ76">
        <v>0.66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19.8</v>
      </c>
      <c r="VT76">
        <v>8.9499999999999993</v>
      </c>
      <c r="VU76">
        <v>0</v>
      </c>
      <c r="VV76">
        <v>0</v>
      </c>
      <c r="VW76">
        <v>22.3</v>
      </c>
      <c r="VX76">
        <v>1</v>
      </c>
      <c r="VY76">
        <v>5</v>
      </c>
      <c r="WA76">
        <v>8</v>
      </c>
      <c r="WK76">
        <v>0</v>
      </c>
      <c r="WL76">
        <v>0</v>
      </c>
      <c r="WW76" s="18"/>
      <c r="XO76">
        <v>1</v>
      </c>
      <c r="XP76">
        <v>50</v>
      </c>
      <c r="XQ76">
        <v>4</v>
      </c>
      <c r="XR76">
        <f>0.73*2+0.13*2</f>
        <v>1.72</v>
      </c>
      <c r="XS76">
        <v>3</v>
      </c>
      <c r="YZ76" s="16">
        <v>1.48</v>
      </c>
      <c r="ZA76" s="16">
        <v>1</v>
      </c>
      <c r="ZB76" s="16">
        <v>1</v>
      </c>
      <c r="ZC76" s="16"/>
      <c r="ZD76" s="16">
        <f>2.1*2+0.37*2</f>
        <v>4.9400000000000004</v>
      </c>
      <c r="ZE76" s="16"/>
      <c r="ZF76" s="16"/>
      <c r="ZG76" s="16"/>
      <c r="ZH76" s="16"/>
      <c r="ZI76" s="16"/>
      <c r="ZJ76" s="16"/>
      <c r="ZK76" s="16">
        <v>7.71</v>
      </c>
      <c r="ZL76" s="16">
        <v>4.3499999999999996</v>
      </c>
      <c r="ZM76" s="16"/>
      <c r="ZN76" s="16"/>
      <c r="ZO76" s="16">
        <v>0</v>
      </c>
      <c r="ZP76" s="16">
        <v>0</v>
      </c>
      <c r="ZQ76" s="16">
        <v>0</v>
      </c>
      <c r="ZR76">
        <v>0</v>
      </c>
      <c r="ZS76" t="s">
        <v>259</v>
      </c>
      <c r="ZT76">
        <v>43</v>
      </c>
      <c r="ZU76" s="16">
        <v>93.3</v>
      </c>
      <c r="ZV76" s="16">
        <v>81</v>
      </c>
      <c r="ZW76" s="16">
        <v>6.4</v>
      </c>
      <c r="ZX76">
        <v>100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18.510000000000002</v>
      </c>
      <c r="AAK76">
        <v>28.46</v>
      </c>
      <c r="AAL76">
        <v>0</v>
      </c>
      <c r="AAM76">
        <v>0</v>
      </c>
      <c r="AAN76">
        <v>0</v>
      </c>
      <c r="AAO76">
        <v>0</v>
      </c>
      <c r="ABB76">
        <v>33</v>
      </c>
      <c r="ABC76">
        <v>0</v>
      </c>
      <c r="ABN76" s="18"/>
      <c r="ACF76">
        <v>1</v>
      </c>
      <c r="ACG76">
        <v>40</v>
      </c>
      <c r="ACH76">
        <v>8</v>
      </c>
      <c r="ACI76">
        <f>1.51*2+0.27*2+3.02</f>
        <v>6.58</v>
      </c>
      <c r="ACJ76">
        <v>3</v>
      </c>
      <c r="ACK76">
        <v>60</v>
      </c>
      <c r="ACL76">
        <v>20</v>
      </c>
      <c r="ACM76">
        <f>3.65*2+0.67*2</f>
        <v>8.64</v>
      </c>
      <c r="ACN76">
        <v>3</v>
      </c>
      <c r="ADQ76" s="16">
        <v>0</v>
      </c>
      <c r="ADR76" s="16">
        <v>0</v>
      </c>
      <c r="ADS76" s="16"/>
      <c r="ADT76" s="16"/>
      <c r="ADU76" s="16"/>
      <c r="ADV76" s="16"/>
      <c r="ADW76" s="16"/>
      <c r="ADX76" s="16"/>
      <c r="ADY76" s="16"/>
      <c r="ADZ76" s="16"/>
      <c r="AEA76" s="16"/>
      <c r="AEB76" s="16">
        <v>0</v>
      </c>
      <c r="AEC76" s="16">
        <v>0</v>
      </c>
      <c r="AED76" s="16"/>
      <c r="AEE76" s="16"/>
      <c r="AEF76" s="16">
        <v>0</v>
      </c>
      <c r="AEG76" s="16">
        <v>0</v>
      </c>
      <c r="AEH76" s="16">
        <v>0</v>
      </c>
      <c r="AEI76">
        <v>0</v>
      </c>
      <c r="AEJ76" t="s">
        <v>260</v>
      </c>
      <c r="AEK76">
        <v>57.5</v>
      </c>
      <c r="AEL76" s="16">
        <v>91.5</v>
      </c>
      <c r="AEM76" s="16">
        <v>81</v>
      </c>
      <c r="AEN76" s="16">
        <v>49.9</v>
      </c>
      <c r="AEO76">
        <v>47.29</v>
      </c>
      <c r="AEP76">
        <v>0</v>
      </c>
      <c r="AEQ76">
        <v>45.65</v>
      </c>
      <c r="AER76">
        <v>6.91</v>
      </c>
      <c r="AES76">
        <v>0.15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9.23</v>
      </c>
      <c r="AFB76">
        <v>4.3499999999999996</v>
      </c>
      <c r="AFC76">
        <v>6.63</v>
      </c>
      <c r="AFD76">
        <v>0</v>
      </c>
      <c r="AFE76">
        <v>0</v>
      </c>
      <c r="AFF76">
        <v>1</v>
      </c>
      <c r="AFG76">
        <v>5</v>
      </c>
      <c r="AFI76">
        <v>2</v>
      </c>
      <c r="AFS76">
        <v>1.1000000000000001</v>
      </c>
      <c r="AFT76">
        <v>0</v>
      </c>
      <c r="AGE76" s="18"/>
      <c r="AGW76">
        <v>1</v>
      </c>
      <c r="AGX76">
        <v>50</v>
      </c>
      <c r="AGY76">
        <v>1</v>
      </c>
      <c r="AGZ76">
        <v>0.27</v>
      </c>
      <c r="AHA76">
        <v>2</v>
      </c>
      <c r="AIH76" s="16">
        <v>2.82</v>
      </c>
      <c r="AII76" s="16">
        <v>1</v>
      </c>
      <c r="AIJ76" s="16">
        <v>1</v>
      </c>
      <c r="AIK76" s="16"/>
      <c r="AIL76" s="16">
        <f>1.86+1.72+2.1+7.35+1.72+1.48+0.37*3</f>
        <v>17.34</v>
      </c>
      <c r="AIM76" s="16"/>
      <c r="AIN76" s="16"/>
      <c r="AIO76" s="16"/>
      <c r="AIP76" s="16"/>
      <c r="AIQ76" s="16"/>
      <c r="AIR76" s="16"/>
      <c r="AIS76" s="16">
        <v>3.33</v>
      </c>
      <c r="AIT76" s="16">
        <v>3.32</v>
      </c>
      <c r="AIU76" s="16"/>
      <c r="AIV76" s="16"/>
      <c r="AIW76" s="16">
        <v>0</v>
      </c>
      <c r="AIX76" s="16">
        <v>0</v>
      </c>
      <c r="AIY76" s="16">
        <v>0</v>
      </c>
      <c r="AIZ76">
        <v>0</v>
      </c>
      <c r="AJA76" t="s">
        <v>435</v>
      </c>
      <c r="AJB76">
        <v>52.5</v>
      </c>
      <c r="AJC76" s="16">
        <v>71.2</v>
      </c>
      <c r="AJD76" s="16">
        <v>81</v>
      </c>
      <c r="AJE76" s="16">
        <v>44.8</v>
      </c>
      <c r="AJF76">
        <v>59.03</v>
      </c>
      <c r="AJG76">
        <v>0</v>
      </c>
      <c r="AJH76">
        <v>22.52</v>
      </c>
      <c r="AJI76">
        <v>17.8</v>
      </c>
      <c r="AJJ76">
        <v>0.65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3.42</v>
      </c>
      <c r="AJS76">
        <v>2.94</v>
      </c>
      <c r="AJT76">
        <v>0</v>
      </c>
      <c r="AJU76">
        <v>0</v>
      </c>
      <c r="AJV76">
        <v>0</v>
      </c>
      <c r="AJW76">
        <v>0</v>
      </c>
      <c r="AKJ76">
        <v>0</v>
      </c>
      <c r="AKK76">
        <v>1</v>
      </c>
      <c r="AKL76">
        <v>34</v>
      </c>
      <c r="AKM76">
        <v>8</v>
      </c>
      <c r="AKN76">
        <v>5.35</v>
      </c>
      <c r="AKO76">
        <v>1</v>
      </c>
      <c r="AKV76" s="18"/>
      <c r="ALN76">
        <v>0</v>
      </c>
    </row>
    <row r="77" spans="1:1018" x14ac:dyDescent="0.2">
      <c r="A77" s="1" t="s">
        <v>440</v>
      </c>
      <c r="B77" s="12">
        <v>42901</v>
      </c>
      <c r="C77">
        <v>2</v>
      </c>
      <c r="D77" s="13">
        <v>42786</v>
      </c>
      <c r="E77" s="12">
        <v>26547</v>
      </c>
      <c r="F77" s="14">
        <f t="shared" si="42"/>
        <v>44.774811772758383</v>
      </c>
      <c r="G77" s="14">
        <f t="shared" si="43"/>
        <v>0.31485284052019163</v>
      </c>
      <c r="H77" s="15" t="s">
        <v>228</v>
      </c>
      <c r="I77" s="15" t="s">
        <v>251</v>
      </c>
      <c r="J77" s="15" t="s">
        <v>181</v>
      </c>
      <c r="K77" s="21">
        <v>8</v>
      </c>
      <c r="L77" s="19">
        <v>83</v>
      </c>
      <c r="M77">
        <v>1.76</v>
      </c>
      <c r="N77" s="16">
        <f t="shared" si="44"/>
        <v>26.794938016528928</v>
      </c>
      <c r="O77" s="19">
        <v>0</v>
      </c>
      <c r="P77" s="19">
        <v>0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1</v>
      </c>
      <c r="X77" s="19">
        <v>0</v>
      </c>
      <c r="Y77" s="19">
        <v>1</v>
      </c>
      <c r="Z77" s="19">
        <v>2</v>
      </c>
      <c r="AA77" s="19">
        <v>40</v>
      </c>
      <c r="AB77" s="19" t="s">
        <v>441</v>
      </c>
      <c r="AC77" s="19">
        <v>0</v>
      </c>
      <c r="AD77" s="19">
        <v>0</v>
      </c>
      <c r="AE77" s="19">
        <v>0</v>
      </c>
      <c r="AF77" s="19">
        <v>0</v>
      </c>
      <c r="AG77" s="19">
        <v>0</v>
      </c>
      <c r="AH77" s="19">
        <v>0</v>
      </c>
      <c r="AI77" s="19">
        <v>0</v>
      </c>
      <c r="AJ77" s="19">
        <v>0</v>
      </c>
      <c r="AK77" s="19">
        <v>0</v>
      </c>
      <c r="AL77" s="19">
        <v>0</v>
      </c>
      <c r="AM77" s="19">
        <v>0</v>
      </c>
      <c r="AN77" s="19">
        <v>0</v>
      </c>
      <c r="AO77" s="19">
        <v>0</v>
      </c>
      <c r="AP77" s="19">
        <v>0</v>
      </c>
      <c r="AQ77" s="19">
        <v>0</v>
      </c>
      <c r="AR77" s="19">
        <v>0</v>
      </c>
      <c r="AS77" s="19">
        <v>0</v>
      </c>
      <c r="AT77" s="19">
        <v>0</v>
      </c>
      <c r="AU77" s="19">
        <v>0</v>
      </c>
      <c r="AV77" s="19">
        <v>0</v>
      </c>
      <c r="AW77" s="19">
        <v>0</v>
      </c>
      <c r="AX77" s="19">
        <v>0</v>
      </c>
      <c r="AY77" s="19">
        <v>0</v>
      </c>
      <c r="AZ77" s="19">
        <v>0</v>
      </c>
      <c r="BA77" s="19">
        <v>0</v>
      </c>
      <c r="BB77" s="19">
        <v>0</v>
      </c>
      <c r="BC77" s="19">
        <v>0</v>
      </c>
      <c r="BD77" s="19">
        <v>0</v>
      </c>
      <c r="BE77" s="19">
        <v>0</v>
      </c>
      <c r="BF77" s="19">
        <v>0</v>
      </c>
      <c r="BG77" s="19">
        <v>0</v>
      </c>
      <c r="BH77" s="19">
        <v>0</v>
      </c>
      <c r="BI77" s="19">
        <v>0</v>
      </c>
      <c r="BJ77" s="19">
        <v>0</v>
      </c>
      <c r="BK77" s="19">
        <v>0</v>
      </c>
      <c r="BL77" s="19">
        <v>0</v>
      </c>
      <c r="BM77" s="19">
        <v>0</v>
      </c>
      <c r="BN77" s="19">
        <v>0</v>
      </c>
      <c r="BO77" s="19">
        <v>0</v>
      </c>
      <c r="BP77" s="19">
        <v>0</v>
      </c>
      <c r="BQ77" s="19">
        <v>0</v>
      </c>
      <c r="BR77" s="19">
        <v>2</v>
      </c>
      <c r="BS77" s="19">
        <v>2</v>
      </c>
      <c r="BT77" s="19">
        <v>3</v>
      </c>
      <c r="BU77" s="19">
        <v>5</v>
      </c>
      <c r="BV77" s="19">
        <v>2</v>
      </c>
      <c r="BW77" s="19">
        <v>3</v>
      </c>
      <c r="BX77" s="19">
        <v>5</v>
      </c>
      <c r="BY77" s="19">
        <v>3</v>
      </c>
      <c r="BZ77" s="19">
        <v>4</v>
      </c>
      <c r="CA77" s="19">
        <v>5</v>
      </c>
      <c r="CB77" s="19">
        <v>5</v>
      </c>
      <c r="CC77" s="19">
        <v>5</v>
      </c>
      <c r="CD77" s="19">
        <v>5</v>
      </c>
      <c r="CE77" s="19">
        <v>5</v>
      </c>
      <c r="CF77" s="19">
        <v>5</v>
      </c>
      <c r="CG77" s="19">
        <v>5</v>
      </c>
      <c r="CH77" s="19">
        <v>5</v>
      </c>
      <c r="CI77" s="19">
        <v>5</v>
      </c>
      <c r="CJ77" s="19">
        <v>5</v>
      </c>
      <c r="CK77" s="19">
        <v>8</v>
      </c>
      <c r="CL77" t="s">
        <v>253</v>
      </c>
      <c r="CM77">
        <v>30</v>
      </c>
      <c r="CN77" s="16">
        <v>85.5</v>
      </c>
      <c r="CO77" s="16">
        <v>81</v>
      </c>
      <c r="CP77" s="16">
        <v>15.2</v>
      </c>
      <c r="CQ77">
        <v>87.44</v>
      </c>
      <c r="CR77">
        <v>0</v>
      </c>
      <c r="CS77">
        <v>0.94</v>
      </c>
      <c r="CT77">
        <v>1.97</v>
      </c>
      <c r="CU77">
        <v>9.65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2.71</v>
      </c>
      <c r="DC77">
        <v>0.6</v>
      </c>
      <c r="DD77">
        <v>2.17</v>
      </c>
      <c r="DE77">
        <v>5.97</v>
      </c>
      <c r="DF77">
        <v>2.65</v>
      </c>
      <c r="DG77">
        <v>0</v>
      </c>
      <c r="DH77">
        <v>0</v>
      </c>
      <c r="DU77">
        <v>10.6</v>
      </c>
      <c r="DV77">
        <v>1</v>
      </c>
      <c r="DW77">
        <v>60</v>
      </c>
      <c r="DX77">
        <v>2</v>
      </c>
      <c r="DY77">
        <f t="shared" si="45"/>
        <v>0.45</v>
      </c>
      <c r="DZ77">
        <v>1</v>
      </c>
      <c r="EA77">
        <v>68</v>
      </c>
      <c r="EB77">
        <v>1</v>
      </c>
      <c r="EC77" s="16">
        <v>0.31</v>
      </c>
      <c r="ED77">
        <v>1</v>
      </c>
      <c r="EE77">
        <v>85</v>
      </c>
      <c r="EF77">
        <v>2</v>
      </c>
      <c r="EG77" s="18">
        <f t="shared" si="46"/>
        <v>2.83</v>
      </c>
      <c r="EH77">
        <v>2</v>
      </c>
      <c r="EI77">
        <v>25</v>
      </c>
      <c r="EJ77">
        <v>1</v>
      </c>
      <c r="EK77" s="16">
        <v>0.27</v>
      </c>
      <c r="EL77">
        <v>2</v>
      </c>
      <c r="EY77">
        <v>0</v>
      </c>
      <c r="GJ77" s="16">
        <v>0</v>
      </c>
      <c r="GK77" s="16">
        <v>0</v>
      </c>
      <c r="GL77" s="16"/>
      <c r="GM77" s="16"/>
      <c r="GN77" s="16"/>
      <c r="GO77" s="16"/>
      <c r="GP77" s="16"/>
      <c r="GQ77" s="16"/>
      <c r="GR77" s="16"/>
      <c r="GS77" s="16"/>
      <c r="GT77" s="16"/>
      <c r="GU77" s="16">
        <v>4.17</v>
      </c>
      <c r="GV77" s="16">
        <v>2.54</v>
      </c>
      <c r="GW77" s="16"/>
      <c r="GX77" s="16"/>
      <c r="GY77" s="16">
        <v>0</v>
      </c>
      <c r="GZ77" s="16">
        <v>0</v>
      </c>
      <c r="HA77" s="16">
        <v>0</v>
      </c>
      <c r="HB77">
        <v>0</v>
      </c>
      <c r="HC77" t="s">
        <v>254</v>
      </c>
      <c r="HD77">
        <v>53</v>
      </c>
      <c r="HE77" s="16">
        <v>81.5</v>
      </c>
      <c r="HF77" s="16">
        <v>81</v>
      </c>
      <c r="HG77" s="16">
        <v>36.4</v>
      </c>
      <c r="HH77">
        <v>56.99</v>
      </c>
      <c r="HI77">
        <v>0</v>
      </c>
      <c r="HJ77">
        <v>0</v>
      </c>
      <c r="HK77">
        <v>0.12</v>
      </c>
      <c r="HL77">
        <v>42.89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25.37</v>
      </c>
      <c r="HT77">
        <v>0</v>
      </c>
      <c r="HU77">
        <v>42.65</v>
      </c>
      <c r="HV77">
        <v>6.3</v>
      </c>
      <c r="HW77">
        <v>0</v>
      </c>
      <c r="HX77">
        <v>0</v>
      </c>
      <c r="HY77">
        <v>0</v>
      </c>
      <c r="IL77">
        <v>8.6999999999999993</v>
      </c>
      <c r="IM77">
        <v>1</v>
      </c>
      <c r="IN77">
        <v>137</v>
      </c>
      <c r="IO77">
        <v>2</v>
      </c>
      <c r="IP77">
        <f>0.65+0.05</f>
        <v>0.70000000000000007</v>
      </c>
      <c r="IQ77">
        <v>1</v>
      </c>
      <c r="IR77">
        <v>103</v>
      </c>
      <c r="IS77">
        <v>2</v>
      </c>
      <c r="IT77" s="16">
        <f>0.65+0.05</f>
        <v>0.70000000000000007</v>
      </c>
      <c r="IU77">
        <v>1</v>
      </c>
      <c r="IX77" s="18"/>
      <c r="JP77">
        <v>0</v>
      </c>
      <c r="LA77" s="16">
        <v>2.2799999999999998</v>
      </c>
      <c r="LB77" s="16">
        <v>1</v>
      </c>
      <c r="LC77" s="16">
        <v>3</v>
      </c>
      <c r="LD77" s="16"/>
      <c r="LE77" s="16">
        <f>2.69+0.37+0.74</f>
        <v>3.8</v>
      </c>
      <c r="LF77" s="16"/>
      <c r="LG77" s="16"/>
      <c r="LH77" s="16"/>
      <c r="LI77" s="16"/>
      <c r="LJ77" s="16"/>
      <c r="LK77" s="16"/>
      <c r="LL77" s="16">
        <v>0.48</v>
      </c>
      <c r="LM77" s="16">
        <v>0.48</v>
      </c>
      <c r="LN77" s="16"/>
      <c r="LO77" s="16"/>
      <c r="LP77" s="16">
        <v>2.2200000000000002</v>
      </c>
      <c r="LQ77" s="16">
        <v>23.08</v>
      </c>
      <c r="LR77" s="16">
        <v>0</v>
      </c>
      <c r="LS77">
        <v>0</v>
      </c>
      <c r="LT77" t="s">
        <v>255</v>
      </c>
      <c r="LU77">
        <v>41</v>
      </c>
      <c r="LV77" s="16">
        <v>48.6</v>
      </c>
      <c r="LW77" s="16">
        <v>81</v>
      </c>
      <c r="LX77" s="16">
        <v>21.6</v>
      </c>
      <c r="LY77">
        <v>76.16</v>
      </c>
      <c r="LZ77">
        <v>0</v>
      </c>
      <c r="MA77">
        <v>7.0000000000000007E-2</v>
      </c>
      <c r="MB77">
        <v>0.13</v>
      </c>
      <c r="MC77">
        <v>23.64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6.53</v>
      </c>
      <c r="MK77">
        <v>0.2</v>
      </c>
      <c r="ML77">
        <v>27.15</v>
      </c>
      <c r="MM77">
        <v>4.1100000000000003</v>
      </c>
      <c r="MN77">
        <v>0</v>
      </c>
      <c r="MO77">
        <v>3.9</v>
      </c>
      <c r="MP77">
        <v>1</v>
      </c>
      <c r="MQ77">
        <v>10</v>
      </c>
      <c r="MS77">
        <v>1</v>
      </c>
      <c r="NC77">
        <v>0.6</v>
      </c>
      <c r="ND77">
        <v>1</v>
      </c>
      <c r="NE77">
        <v>52</v>
      </c>
      <c r="NF77">
        <v>3</v>
      </c>
      <c r="NG77" s="16">
        <f>0.16+0.13</f>
        <v>0.29000000000000004</v>
      </c>
      <c r="NH77">
        <v>2</v>
      </c>
      <c r="NO77" s="18"/>
      <c r="OG77">
        <v>0</v>
      </c>
      <c r="PR77" s="16">
        <v>0.56999999999999995</v>
      </c>
      <c r="PS77" s="16">
        <v>1</v>
      </c>
      <c r="PT77" s="16">
        <v>1</v>
      </c>
      <c r="PU77" s="16"/>
      <c r="PV77" s="16">
        <f>0.93</f>
        <v>0.93</v>
      </c>
      <c r="PW77" s="16">
        <v>2</v>
      </c>
      <c r="PX77" s="16"/>
      <c r="PY77" s="16">
        <f>0.31+0.22</f>
        <v>0.53</v>
      </c>
      <c r="PZ77" s="16"/>
      <c r="QA77" s="16"/>
      <c r="QB77" s="16"/>
      <c r="QC77" s="16">
        <v>5.72</v>
      </c>
      <c r="QD77" s="16">
        <v>5.75</v>
      </c>
      <c r="QE77" s="16"/>
      <c r="QF77" s="16"/>
      <c r="QG77" s="16">
        <v>7.41</v>
      </c>
      <c r="QH77" s="16">
        <v>0</v>
      </c>
      <c r="QI77" s="16">
        <v>0.22</v>
      </c>
      <c r="QJ77">
        <v>5</v>
      </c>
      <c r="QK77" t="s">
        <v>256</v>
      </c>
      <c r="QL77">
        <v>40</v>
      </c>
      <c r="QM77" s="16">
        <v>89.1</v>
      </c>
      <c r="QN77" s="16">
        <v>81</v>
      </c>
      <c r="QO77" s="16">
        <v>5.4</v>
      </c>
      <c r="QP77">
        <v>99.83</v>
      </c>
      <c r="QQ77">
        <v>0</v>
      </c>
      <c r="QR77">
        <v>0</v>
      </c>
      <c r="QS77">
        <v>0.17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19.8</v>
      </c>
      <c r="RC77">
        <v>8.9499999999999993</v>
      </c>
      <c r="RD77">
        <v>0</v>
      </c>
      <c r="RE77">
        <v>0</v>
      </c>
      <c r="RF77">
        <v>22.5</v>
      </c>
      <c r="RG77">
        <v>1</v>
      </c>
      <c r="RH77">
        <v>5</v>
      </c>
      <c r="RJ77">
        <v>8</v>
      </c>
      <c r="RT77">
        <v>0</v>
      </c>
      <c r="RU77">
        <v>0</v>
      </c>
      <c r="SF77" s="18"/>
      <c r="SX77">
        <v>1</v>
      </c>
      <c r="SY77">
        <v>50</v>
      </c>
      <c r="SZ77">
        <v>4</v>
      </c>
      <c r="TA77">
        <f>0.73*2+0.13*2</f>
        <v>1.72</v>
      </c>
      <c r="TB77">
        <v>3</v>
      </c>
      <c r="UI77" s="16">
        <v>1.48</v>
      </c>
      <c r="UJ77" s="16">
        <v>1</v>
      </c>
      <c r="UK77" s="16">
        <v>1</v>
      </c>
      <c r="UL77" s="16"/>
      <c r="UM77" s="16">
        <f>2.1*2+0.37*2</f>
        <v>4.9400000000000004</v>
      </c>
      <c r="UN77" s="16"/>
      <c r="UO77" s="16"/>
      <c r="UP77" s="16"/>
      <c r="UQ77" s="16"/>
      <c r="UR77" s="16"/>
      <c r="US77" s="16"/>
      <c r="UT77" s="16">
        <v>7.71</v>
      </c>
      <c r="UU77" s="16">
        <v>4.3499999999999996</v>
      </c>
      <c r="UV77" s="16"/>
      <c r="UW77" s="16"/>
      <c r="UX77" s="16">
        <v>0</v>
      </c>
      <c r="UY77" s="16">
        <v>0</v>
      </c>
      <c r="UZ77" s="16">
        <v>0</v>
      </c>
      <c r="VA77">
        <v>0</v>
      </c>
      <c r="VB77" t="s">
        <v>257</v>
      </c>
      <c r="VC77">
        <v>43</v>
      </c>
      <c r="VD77" s="16">
        <v>93.3</v>
      </c>
      <c r="VE77" s="16">
        <v>81</v>
      </c>
      <c r="VF77" s="16">
        <v>6.4</v>
      </c>
      <c r="VG77">
        <v>100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18.510000000000002</v>
      </c>
      <c r="VT77">
        <v>28.46</v>
      </c>
      <c r="VU77">
        <v>0</v>
      </c>
      <c r="VV77">
        <v>0</v>
      </c>
      <c r="VW77">
        <v>0</v>
      </c>
      <c r="VX77">
        <v>0</v>
      </c>
      <c r="WK77">
        <v>33</v>
      </c>
      <c r="WL77">
        <v>0</v>
      </c>
      <c r="WW77" s="18"/>
      <c r="XO77">
        <v>1</v>
      </c>
      <c r="XP77">
        <v>40</v>
      </c>
      <c r="XQ77">
        <v>8</v>
      </c>
      <c r="XR77">
        <f>1.51*2+3.02+0.27*2</f>
        <v>6.58</v>
      </c>
      <c r="XS77">
        <v>3</v>
      </c>
      <c r="XT77">
        <v>60</v>
      </c>
      <c r="XU77">
        <v>20</v>
      </c>
      <c r="XV77">
        <f>3.65*2+0.67*2</f>
        <v>8.64</v>
      </c>
      <c r="XW77">
        <v>3</v>
      </c>
      <c r="YZ77" s="16">
        <v>0</v>
      </c>
      <c r="ZA77" s="16">
        <v>0</v>
      </c>
      <c r="ZB77" s="16"/>
      <c r="ZC77" s="16"/>
      <c r="ZD77" s="16"/>
      <c r="ZE77" s="16"/>
      <c r="ZF77" s="16"/>
      <c r="ZG77" s="16"/>
      <c r="ZH77" s="16"/>
      <c r="ZI77" s="16"/>
      <c r="ZJ77" s="16"/>
      <c r="ZK77" s="16">
        <v>0</v>
      </c>
      <c r="ZL77" s="16">
        <v>0</v>
      </c>
      <c r="ZM77" s="16"/>
      <c r="ZN77" s="16"/>
      <c r="ZO77" s="16">
        <v>0</v>
      </c>
      <c r="ZP77" s="16">
        <v>0</v>
      </c>
      <c r="ZQ77" s="16">
        <v>0</v>
      </c>
      <c r="ZR77">
        <v>0</v>
      </c>
      <c r="ZS77" t="s">
        <v>258</v>
      </c>
      <c r="ZT77">
        <v>40</v>
      </c>
      <c r="ZU77" s="16">
        <v>90.1</v>
      </c>
      <c r="ZV77" s="16">
        <v>81</v>
      </c>
      <c r="ZW77" s="16">
        <v>5.9</v>
      </c>
      <c r="ZX77">
        <v>99.34</v>
      </c>
      <c r="ZY77">
        <v>0</v>
      </c>
      <c r="ZZ77">
        <v>0</v>
      </c>
      <c r="AAA77">
        <v>0.66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19.8</v>
      </c>
      <c r="AAK77">
        <v>8.9499999999999993</v>
      </c>
      <c r="AAL77">
        <v>0</v>
      </c>
      <c r="AAM77">
        <v>0</v>
      </c>
      <c r="AAN77">
        <v>22.3</v>
      </c>
      <c r="AAO77">
        <v>1</v>
      </c>
      <c r="AAP77">
        <v>5</v>
      </c>
      <c r="AAR77">
        <v>8</v>
      </c>
      <c r="ABB77">
        <v>0</v>
      </c>
      <c r="ABC77">
        <v>0</v>
      </c>
      <c r="ABN77" s="18"/>
      <c r="ACF77">
        <v>1</v>
      </c>
      <c r="ACG77">
        <v>50</v>
      </c>
      <c r="ACH77">
        <v>4</v>
      </c>
      <c r="ACI77">
        <f>0.73*2+0.13*2</f>
        <v>1.72</v>
      </c>
      <c r="ACJ77">
        <v>3</v>
      </c>
      <c r="ADQ77" s="16">
        <v>1.48</v>
      </c>
      <c r="ADR77" s="16">
        <v>1</v>
      </c>
      <c r="ADS77" s="16">
        <v>1</v>
      </c>
      <c r="ADT77" s="16"/>
      <c r="ADU77" s="16">
        <f>2.1*2+0.37*2</f>
        <v>4.9400000000000004</v>
      </c>
      <c r="ADV77" s="16"/>
      <c r="ADW77" s="16"/>
      <c r="ADX77" s="16"/>
      <c r="ADY77" s="16"/>
      <c r="ADZ77" s="16"/>
      <c r="AEA77" s="16"/>
      <c r="AEB77" s="16">
        <v>7.71</v>
      </c>
      <c r="AEC77" s="16">
        <v>4.3499999999999996</v>
      </c>
      <c r="AED77" s="16"/>
      <c r="AEE77" s="16"/>
      <c r="AEF77" s="16">
        <v>0</v>
      </c>
      <c r="AEG77" s="16">
        <v>0</v>
      </c>
      <c r="AEH77" s="16">
        <v>0</v>
      </c>
      <c r="AEI77">
        <v>0</v>
      </c>
      <c r="AEJ77" t="s">
        <v>259</v>
      </c>
      <c r="AEK77">
        <v>43</v>
      </c>
      <c r="AEL77" s="16">
        <v>93.3</v>
      </c>
      <c r="AEM77" s="16">
        <v>81</v>
      </c>
      <c r="AEN77" s="16">
        <v>6.4</v>
      </c>
      <c r="AEO77">
        <v>100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18.510000000000002</v>
      </c>
      <c r="AFB77">
        <v>28.46</v>
      </c>
      <c r="AFC77">
        <v>0</v>
      </c>
      <c r="AFD77">
        <v>0</v>
      </c>
      <c r="AFE77">
        <v>0</v>
      </c>
      <c r="AFF77">
        <v>0</v>
      </c>
      <c r="AFS77">
        <v>33</v>
      </c>
      <c r="AFT77">
        <v>0</v>
      </c>
      <c r="AGE77" s="18"/>
      <c r="AGW77">
        <v>1</v>
      </c>
      <c r="AGX77">
        <v>40</v>
      </c>
      <c r="AGY77">
        <v>8</v>
      </c>
      <c r="AGZ77">
        <f>1.51*2+0.27*2+3.02</f>
        <v>6.58</v>
      </c>
      <c r="AHA77">
        <v>3</v>
      </c>
      <c r="AHB77">
        <v>60</v>
      </c>
      <c r="AHC77">
        <v>20</v>
      </c>
      <c r="AHD77">
        <f>3.65*2+0.67*2</f>
        <v>8.64</v>
      </c>
      <c r="AHE77">
        <v>3</v>
      </c>
      <c r="AIH77" s="16">
        <v>0</v>
      </c>
      <c r="AII77" s="16">
        <v>0</v>
      </c>
      <c r="AIJ77" s="16"/>
      <c r="AIK77" s="16"/>
      <c r="AIL77" s="16"/>
      <c r="AIM77" s="16"/>
      <c r="AIN77" s="16"/>
      <c r="AIO77" s="16"/>
      <c r="AIP77" s="16"/>
      <c r="AIQ77" s="16"/>
      <c r="AIR77" s="16"/>
      <c r="AIS77" s="16">
        <v>0</v>
      </c>
      <c r="AIT77" s="16">
        <v>0</v>
      </c>
      <c r="AIU77" s="16"/>
      <c r="AIV77" s="16"/>
      <c r="AIW77" s="16">
        <v>0</v>
      </c>
      <c r="AIX77" s="16">
        <v>0</v>
      </c>
      <c r="AIY77" s="16">
        <v>0</v>
      </c>
      <c r="AIZ77">
        <v>0</v>
      </c>
      <c r="AJA77" t="s">
        <v>435</v>
      </c>
      <c r="AJB77">
        <v>52.5</v>
      </c>
      <c r="AJC77" s="16">
        <v>71.2</v>
      </c>
      <c r="AJD77" s="16">
        <v>81</v>
      </c>
      <c r="AJE77" s="16">
        <v>44.8</v>
      </c>
      <c r="AJF77">
        <v>59.03</v>
      </c>
      <c r="AJG77">
        <v>0</v>
      </c>
      <c r="AJH77">
        <v>22.52</v>
      </c>
      <c r="AJI77">
        <v>17.8</v>
      </c>
      <c r="AJJ77">
        <v>0.65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3.42</v>
      </c>
      <c r="AJS77">
        <v>2.94</v>
      </c>
      <c r="AJT77">
        <v>0</v>
      </c>
      <c r="AJU77">
        <v>0</v>
      </c>
      <c r="AJV77">
        <v>0</v>
      </c>
      <c r="AJW77">
        <v>0</v>
      </c>
      <c r="AKJ77">
        <v>0</v>
      </c>
      <c r="AKK77">
        <v>1</v>
      </c>
      <c r="AKL77">
        <v>34</v>
      </c>
      <c r="AKM77">
        <v>8</v>
      </c>
      <c r="AKN77">
        <v>5.35</v>
      </c>
      <c r="AKO77">
        <v>1</v>
      </c>
      <c r="AKV77" s="18"/>
      <c r="ALN77">
        <v>0</v>
      </c>
    </row>
    <row r="78" spans="1:1018" x14ac:dyDescent="0.2">
      <c r="A78" s="1" t="s">
        <v>442</v>
      </c>
      <c r="B78" s="12">
        <v>42901</v>
      </c>
      <c r="C78">
        <v>1</v>
      </c>
      <c r="D78" s="13">
        <v>42807</v>
      </c>
      <c r="E78" s="12">
        <v>29565</v>
      </c>
      <c r="F78" s="14">
        <f t="shared" si="42"/>
        <v>36.511978097193705</v>
      </c>
      <c r="G78" s="14">
        <f t="shared" si="43"/>
        <v>0.25735797399041754</v>
      </c>
      <c r="H78" s="15" t="s">
        <v>228</v>
      </c>
      <c r="I78" s="15" t="s">
        <v>251</v>
      </c>
      <c r="J78" s="15" t="s">
        <v>181</v>
      </c>
      <c r="K78" s="21">
        <v>8</v>
      </c>
      <c r="L78" s="19">
        <v>63</v>
      </c>
      <c r="M78">
        <v>1.65</v>
      </c>
      <c r="N78" s="16">
        <f t="shared" si="44"/>
        <v>23.140495867768596</v>
      </c>
      <c r="O78" s="19">
        <v>0</v>
      </c>
      <c r="P78" s="19">
        <v>0</v>
      </c>
      <c r="Q78" s="19">
        <v>0</v>
      </c>
      <c r="R78" s="19">
        <v>0</v>
      </c>
      <c r="S78" s="19">
        <v>0</v>
      </c>
      <c r="T78" s="19">
        <v>0</v>
      </c>
      <c r="U78" s="19">
        <v>1</v>
      </c>
      <c r="V78" s="19">
        <v>5</v>
      </c>
      <c r="W78" s="19">
        <v>1</v>
      </c>
      <c r="X78" s="19">
        <v>0</v>
      </c>
      <c r="Y78" s="19">
        <v>0</v>
      </c>
      <c r="Z78" s="19">
        <v>0</v>
      </c>
      <c r="AA78" s="19">
        <v>0</v>
      </c>
      <c r="AB78" s="19">
        <v>0</v>
      </c>
      <c r="AC78" s="19">
        <v>0</v>
      </c>
      <c r="AD78" s="19">
        <v>0</v>
      </c>
      <c r="AE78" s="19">
        <v>0</v>
      </c>
      <c r="AF78" s="19">
        <v>0</v>
      </c>
      <c r="AG78" s="19">
        <v>0</v>
      </c>
      <c r="AH78" s="19">
        <v>0</v>
      </c>
      <c r="AI78" s="19">
        <v>0</v>
      </c>
      <c r="AJ78" s="19">
        <v>0</v>
      </c>
      <c r="AK78" s="19">
        <v>0</v>
      </c>
      <c r="AL78" s="19">
        <v>0</v>
      </c>
      <c r="AM78" s="19">
        <v>0</v>
      </c>
      <c r="AN78" s="19">
        <v>0</v>
      </c>
      <c r="AO78" s="19">
        <v>0</v>
      </c>
      <c r="AP78" s="19">
        <v>0</v>
      </c>
      <c r="AQ78" s="19">
        <v>0</v>
      </c>
      <c r="AR78" s="19">
        <v>0</v>
      </c>
      <c r="AS78" s="19">
        <v>1</v>
      </c>
      <c r="AT78" s="19">
        <v>1</v>
      </c>
      <c r="AU78" s="19">
        <v>0</v>
      </c>
      <c r="AV78" s="19">
        <v>0</v>
      </c>
      <c r="AW78" s="19">
        <v>0</v>
      </c>
      <c r="AX78" s="19">
        <v>0</v>
      </c>
      <c r="AY78" s="19">
        <v>0</v>
      </c>
      <c r="AZ78" s="19">
        <v>0</v>
      </c>
      <c r="BA78" s="19">
        <v>0</v>
      </c>
      <c r="BB78" s="19">
        <v>0</v>
      </c>
      <c r="BC78" s="19">
        <v>0</v>
      </c>
      <c r="BD78" s="19">
        <v>0</v>
      </c>
      <c r="BE78" s="19">
        <v>0</v>
      </c>
      <c r="BF78" s="19">
        <v>0</v>
      </c>
      <c r="BG78" s="19">
        <v>0</v>
      </c>
      <c r="BH78" s="19">
        <v>0</v>
      </c>
      <c r="BI78" s="19">
        <v>0</v>
      </c>
      <c r="BJ78" s="19">
        <v>0</v>
      </c>
      <c r="BK78" s="19">
        <v>0</v>
      </c>
      <c r="BL78" s="19">
        <v>0</v>
      </c>
      <c r="BM78" s="19">
        <v>0</v>
      </c>
      <c r="BN78" s="19">
        <v>0</v>
      </c>
      <c r="BO78" s="19">
        <v>0</v>
      </c>
      <c r="BP78" s="19">
        <v>0</v>
      </c>
      <c r="BQ78" s="19">
        <v>0</v>
      </c>
      <c r="BR78" s="19">
        <v>2</v>
      </c>
      <c r="BS78" s="19">
        <v>3</v>
      </c>
      <c r="BT78" s="19">
        <v>4</v>
      </c>
      <c r="BU78" s="19">
        <v>1</v>
      </c>
      <c r="BV78" s="19">
        <v>1</v>
      </c>
      <c r="BW78" s="19">
        <v>1</v>
      </c>
      <c r="BX78" s="19">
        <v>1</v>
      </c>
      <c r="BY78" s="19">
        <v>3</v>
      </c>
      <c r="BZ78" s="19">
        <v>2</v>
      </c>
      <c r="CA78" s="19">
        <v>2</v>
      </c>
      <c r="CB78" s="19">
        <v>3</v>
      </c>
      <c r="CC78" s="19">
        <v>3</v>
      </c>
      <c r="CD78" s="19">
        <v>2</v>
      </c>
      <c r="CE78" s="19">
        <v>3</v>
      </c>
      <c r="CF78" s="19">
        <v>3</v>
      </c>
      <c r="CG78" s="19">
        <v>4</v>
      </c>
      <c r="CH78" s="19">
        <v>2</v>
      </c>
      <c r="CI78" s="19">
        <v>2</v>
      </c>
      <c r="CJ78" s="19">
        <v>2</v>
      </c>
      <c r="CK78" s="19">
        <v>3</v>
      </c>
      <c r="CL78" t="s">
        <v>253</v>
      </c>
      <c r="CM78">
        <v>30</v>
      </c>
      <c r="CN78" s="16">
        <v>85.5</v>
      </c>
      <c r="CO78" s="16">
        <v>81</v>
      </c>
      <c r="CP78" s="16">
        <v>15.2</v>
      </c>
      <c r="CQ78">
        <v>87.44</v>
      </c>
      <c r="CR78">
        <v>0</v>
      </c>
      <c r="CS78">
        <v>0.94</v>
      </c>
      <c r="CT78">
        <v>1.97</v>
      </c>
      <c r="CU78">
        <v>9.65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2.71</v>
      </c>
      <c r="DC78">
        <v>0.6</v>
      </c>
      <c r="DD78">
        <v>2.17</v>
      </c>
      <c r="DE78">
        <v>5.97</v>
      </c>
      <c r="DF78">
        <v>2.65</v>
      </c>
      <c r="DG78">
        <v>0</v>
      </c>
      <c r="DH78">
        <v>0</v>
      </c>
      <c r="DU78">
        <v>10.6</v>
      </c>
      <c r="DV78">
        <v>1</v>
      </c>
      <c r="DW78">
        <v>60</v>
      </c>
      <c r="DX78">
        <v>2</v>
      </c>
      <c r="DY78">
        <f t="shared" si="45"/>
        <v>0.45</v>
      </c>
      <c r="DZ78">
        <v>1</v>
      </c>
      <c r="EA78">
        <v>68</v>
      </c>
      <c r="EB78">
        <v>1</v>
      </c>
      <c r="EC78" s="16">
        <v>0.31</v>
      </c>
      <c r="ED78">
        <v>1</v>
      </c>
      <c r="EE78">
        <v>85</v>
      </c>
      <c r="EF78">
        <v>2</v>
      </c>
      <c r="EG78" s="18">
        <f t="shared" si="46"/>
        <v>2.83</v>
      </c>
      <c r="EH78">
        <v>2</v>
      </c>
      <c r="EI78">
        <v>25</v>
      </c>
      <c r="EJ78">
        <v>1</v>
      </c>
      <c r="EK78" s="16">
        <v>0.27</v>
      </c>
      <c r="EL78">
        <v>2</v>
      </c>
      <c r="EY78">
        <v>0</v>
      </c>
      <c r="GJ78" s="16">
        <v>0</v>
      </c>
      <c r="GK78" s="16">
        <v>0</v>
      </c>
      <c r="GL78" s="16"/>
      <c r="GM78" s="16"/>
      <c r="GN78" s="16"/>
      <c r="GO78" s="16"/>
      <c r="GP78" s="16"/>
      <c r="GQ78" s="16"/>
      <c r="GR78" s="16"/>
      <c r="GS78" s="16"/>
      <c r="GT78" s="16"/>
      <c r="GU78" s="16">
        <v>4.17</v>
      </c>
      <c r="GV78" s="16">
        <v>2.54</v>
      </c>
      <c r="GW78" s="16"/>
      <c r="GX78" s="16"/>
      <c r="GY78" s="16">
        <v>0</v>
      </c>
      <c r="GZ78" s="16">
        <v>0</v>
      </c>
      <c r="HA78" s="16">
        <v>0</v>
      </c>
      <c r="HB78">
        <v>0</v>
      </c>
      <c r="HC78" t="s">
        <v>256</v>
      </c>
      <c r="HD78">
        <v>40</v>
      </c>
      <c r="HE78" s="16">
        <v>89.1</v>
      </c>
      <c r="HF78" s="16">
        <v>81</v>
      </c>
      <c r="HG78" s="16">
        <v>5.4</v>
      </c>
      <c r="HH78">
        <v>99.83</v>
      </c>
      <c r="HI78">
        <v>0</v>
      </c>
      <c r="HJ78">
        <v>0</v>
      </c>
      <c r="HK78">
        <v>0.17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19.8</v>
      </c>
      <c r="HU78">
        <v>8.9499999999999993</v>
      </c>
      <c r="HV78">
        <v>0</v>
      </c>
      <c r="HW78">
        <v>0</v>
      </c>
      <c r="HX78">
        <v>22.5</v>
      </c>
      <c r="HY78">
        <v>1</v>
      </c>
      <c r="HZ78">
        <v>5</v>
      </c>
      <c r="IB78">
        <v>8</v>
      </c>
      <c r="IL78">
        <v>0</v>
      </c>
      <c r="IM78">
        <v>0</v>
      </c>
      <c r="IX78" s="18"/>
      <c r="JP78">
        <v>1</v>
      </c>
      <c r="JQ78">
        <v>50</v>
      </c>
      <c r="JR78">
        <v>4</v>
      </c>
      <c r="JS78">
        <f>0.73*2+0.13*2</f>
        <v>1.72</v>
      </c>
      <c r="JT78">
        <v>3</v>
      </c>
      <c r="LA78" s="16">
        <v>1.48</v>
      </c>
      <c r="LB78" s="16">
        <v>1</v>
      </c>
      <c r="LC78" s="16">
        <v>1</v>
      </c>
      <c r="LD78" s="16"/>
      <c r="LE78" s="16">
        <f>2.1*2+0.37*2</f>
        <v>4.9400000000000004</v>
      </c>
      <c r="LF78" s="16"/>
      <c r="LG78" s="16"/>
      <c r="LH78" s="16"/>
      <c r="LI78" s="16"/>
      <c r="LJ78" s="16"/>
      <c r="LK78" s="16"/>
      <c r="LL78" s="16">
        <v>7.71</v>
      </c>
      <c r="LM78" s="16">
        <v>4.3499999999999996</v>
      </c>
      <c r="LN78" s="16"/>
      <c r="LO78" s="16"/>
      <c r="LP78" s="16">
        <v>0</v>
      </c>
      <c r="LQ78" s="16">
        <v>0</v>
      </c>
      <c r="LR78" s="16">
        <v>0</v>
      </c>
      <c r="LS78">
        <v>0</v>
      </c>
      <c r="LT78" t="s">
        <v>257</v>
      </c>
      <c r="LU78">
        <v>43</v>
      </c>
      <c r="LV78" s="16">
        <v>93.3</v>
      </c>
      <c r="LW78" s="16">
        <v>81</v>
      </c>
      <c r="LX78" s="16">
        <v>6.4</v>
      </c>
      <c r="LY78">
        <v>100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18.510000000000002</v>
      </c>
      <c r="ML78">
        <v>28.46</v>
      </c>
      <c r="MM78">
        <v>0</v>
      </c>
      <c r="MN78">
        <v>0</v>
      </c>
      <c r="MO78">
        <v>0</v>
      </c>
      <c r="MP78">
        <v>0</v>
      </c>
      <c r="NC78">
        <v>33</v>
      </c>
      <c r="ND78">
        <v>0</v>
      </c>
      <c r="NO78" s="18"/>
      <c r="OG78">
        <v>1</v>
      </c>
      <c r="OH78">
        <v>40</v>
      </c>
      <c r="OI78">
        <v>8</v>
      </c>
      <c r="OJ78">
        <f>1.51*2+3.02+0.27*2</f>
        <v>6.58</v>
      </c>
      <c r="OK78">
        <v>3</v>
      </c>
      <c r="OL78">
        <v>60</v>
      </c>
      <c r="OM78">
        <v>20</v>
      </c>
      <c r="ON78">
        <f>3.65*2+0.67*2</f>
        <v>8.64</v>
      </c>
      <c r="OO78">
        <v>3</v>
      </c>
      <c r="PR78" s="16">
        <v>0</v>
      </c>
      <c r="PS78" s="16">
        <v>0</v>
      </c>
      <c r="PT78" s="16"/>
      <c r="PU78" s="16"/>
      <c r="PV78" s="16"/>
      <c r="PW78" s="16"/>
      <c r="PX78" s="16"/>
      <c r="PY78" s="16"/>
      <c r="PZ78" s="16"/>
      <c r="QA78" s="16"/>
      <c r="QB78" s="16"/>
      <c r="QC78" s="16">
        <v>0</v>
      </c>
      <c r="QD78" s="16">
        <v>0</v>
      </c>
      <c r="QE78" s="16"/>
      <c r="QF78" s="16"/>
      <c r="QG78" s="16">
        <v>0</v>
      </c>
      <c r="QH78" s="16">
        <v>0</v>
      </c>
      <c r="QI78" s="16">
        <v>0</v>
      </c>
      <c r="QJ78">
        <v>0</v>
      </c>
      <c r="QK78" t="s">
        <v>258</v>
      </c>
      <c r="QL78">
        <v>40</v>
      </c>
      <c r="QM78" s="16">
        <v>90.1</v>
      </c>
      <c r="QN78" s="16">
        <v>81</v>
      </c>
      <c r="QO78" s="16">
        <v>5.9</v>
      </c>
      <c r="QP78">
        <v>99.34</v>
      </c>
      <c r="QQ78">
        <v>0</v>
      </c>
      <c r="QR78">
        <v>0</v>
      </c>
      <c r="QS78">
        <v>0.66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19.8</v>
      </c>
      <c r="RC78">
        <v>8.9499999999999993</v>
      </c>
      <c r="RD78">
        <v>0</v>
      </c>
      <c r="RE78">
        <v>0</v>
      </c>
      <c r="RF78">
        <v>22.3</v>
      </c>
      <c r="RG78">
        <v>1</v>
      </c>
      <c r="RH78">
        <v>5</v>
      </c>
      <c r="RJ78">
        <v>8</v>
      </c>
      <c r="RT78">
        <v>0</v>
      </c>
      <c r="RU78">
        <v>0</v>
      </c>
      <c r="SF78" s="18"/>
      <c r="SX78">
        <v>1</v>
      </c>
      <c r="SY78">
        <v>50</v>
      </c>
      <c r="SZ78">
        <v>4</v>
      </c>
      <c r="TA78">
        <f>0.73*2+0.13*2</f>
        <v>1.72</v>
      </c>
      <c r="TB78">
        <v>3</v>
      </c>
      <c r="UI78" s="16">
        <v>1.48</v>
      </c>
      <c r="UJ78" s="16">
        <v>1</v>
      </c>
      <c r="UK78" s="16">
        <v>1</v>
      </c>
      <c r="UL78" s="16"/>
      <c r="UM78" s="16">
        <f>2.1*2+0.37*2</f>
        <v>4.9400000000000004</v>
      </c>
      <c r="UN78" s="16"/>
      <c r="UO78" s="16"/>
      <c r="UP78" s="16"/>
      <c r="UQ78" s="16"/>
      <c r="UR78" s="16"/>
      <c r="US78" s="16"/>
      <c r="UT78" s="16">
        <v>7.71</v>
      </c>
      <c r="UU78" s="16">
        <v>4.3499999999999996</v>
      </c>
      <c r="UV78" s="16"/>
      <c r="UW78" s="16"/>
      <c r="UX78" s="16">
        <v>0</v>
      </c>
      <c r="UY78" s="16">
        <v>0</v>
      </c>
      <c r="UZ78" s="16">
        <v>0</v>
      </c>
      <c r="VA78">
        <v>0</v>
      </c>
      <c r="VB78" t="s">
        <v>259</v>
      </c>
      <c r="VC78">
        <v>43</v>
      </c>
      <c r="VD78" s="16">
        <v>93.3</v>
      </c>
      <c r="VE78" s="16">
        <v>81</v>
      </c>
      <c r="VF78" s="16">
        <v>6.4</v>
      </c>
      <c r="VG78">
        <v>100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18.510000000000002</v>
      </c>
      <c r="VT78">
        <v>28.46</v>
      </c>
      <c r="VU78">
        <v>0</v>
      </c>
      <c r="VV78">
        <v>0</v>
      </c>
      <c r="VW78">
        <v>0</v>
      </c>
      <c r="VX78">
        <v>0</v>
      </c>
      <c r="WK78">
        <v>33</v>
      </c>
      <c r="WL78">
        <v>0</v>
      </c>
      <c r="WW78" s="18"/>
      <c r="XO78">
        <v>1</v>
      </c>
      <c r="XP78">
        <v>40</v>
      </c>
      <c r="XQ78">
        <v>8</v>
      </c>
      <c r="XR78">
        <f>1.51*2+0.27*2+3.02</f>
        <v>6.58</v>
      </c>
      <c r="XS78">
        <v>3</v>
      </c>
      <c r="XT78">
        <v>60</v>
      </c>
      <c r="XU78">
        <v>20</v>
      </c>
      <c r="XV78">
        <f>3.65*2+0.67*2</f>
        <v>8.64</v>
      </c>
      <c r="XW78">
        <v>3</v>
      </c>
      <c r="YZ78" s="16">
        <v>0</v>
      </c>
      <c r="ZA78" s="16">
        <v>0</v>
      </c>
      <c r="ZB78" s="16"/>
      <c r="ZC78" s="16"/>
      <c r="ZD78" s="16"/>
      <c r="ZE78" s="16"/>
      <c r="ZF78" s="16"/>
      <c r="ZG78" s="16"/>
      <c r="ZH78" s="16"/>
      <c r="ZI78" s="16"/>
      <c r="ZJ78" s="16"/>
      <c r="ZK78" s="16">
        <v>0</v>
      </c>
      <c r="ZL78" s="16">
        <v>0</v>
      </c>
      <c r="ZM78" s="16"/>
      <c r="ZN78" s="16"/>
      <c r="ZO78" s="16">
        <v>0</v>
      </c>
      <c r="ZP78" s="16">
        <v>0</v>
      </c>
      <c r="ZQ78" s="16">
        <v>0</v>
      </c>
      <c r="ZR78">
        <v>0</v>
      </c>
      <c r="ZS78" t="s">
        <v>260</v>
      </c>
      <c r="ZT78">
        <v>57.5</v>
      </c>
      <c r="ZU78" s="16">
        <v>91.5</v>
      </c>
      <c r="ZV78" s="16">
        <v>81</v>
      </c>
      <c r="ZW78" s="16">
        <v>49.9</v>
      </c>
      <c r="ZX78">
        <v>47.29</v>
      </c>
      <c r="ZY78">
        <v>0</v>
      </c>
      <c r="ZZ78">
        <v>45.65</v>
      </c>
      <c r="AAA78">
        <v>6.91</v>
      </c>
      <c r="AAB78">
        <v>0.15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9.23</v>
      </c>
      <c r="AAK78">
        <v>4.3499999999999996</v>
      </c>
      <c r="AAL78">
        <v>6.63</v>
      </c>
      <c r="AAM78">
        <v>0</v>
      </c>
      <c r="AAN78">
        <v>0</v>
      </c>
      <c r="AAO78">
        <v>1</v>
      </c>
      <c r="AAP78">
        <v>5</v>
      </c>
      <c r="AAR78">
        <v>2</v>
      </c>
      <c r="ABB78">
        <v>1.1000000000000001</v>
      </c>
      <c r="ABC78">
        <v>0</v>
      </c>
      <c r="ABN78" s="18"/>
      <c r="ACF78">
        <v>1</v>
      </c>
      <c r="ACG78">
        <v>50</v>
      </c>
      <c r="ACH78">
        <v>1</v>
      </c>
      <c r="ACI78">
        <v>0.27</v>
      </c>
      <c r="ACJ78">
        <v>2</v>
      </c>
      <c r="ADQ78" s="16">
        <v>2.82</v>
      </c>
      <c r="ADR78" s="16">
        <v>1</v>
      </c>
      <c r="ADS78" s="16">
        <v>1</v>
      </c>
      <c r="ADT78" s="16"/>
      <c r="ADU78" s="16">
        <f>1.86+1.72+2.1+7.35+1.72+1.48+0.37*3</f>
        <v>17.34</v>
      </c>
      <c r="ADV78" s="16"/>
      <c r="ADW78" s="16"/>
      <c r="ADX78" s="16"/>
      <c r="ADY78" s="16"/>
      <c r="ADZ78" s="16"/>
      <c r="AEA78" s="16"/>
      <c r="AEB78" s="16">
        <v>3.33</v>
      </c>
      <c r="AEC78" s="16">
        <v>3.32</v>
      </c>
      <c r="AED78" s="16"/>
      <c r="AEE78" s="16"/>
      <c r="AEF78" s="16">
        <v>0</v>
      </c>
      <c r="AEG78" s="16">
        <v>0</v>
      </c>
      <c r="AEH78" s="16">
        <v>0</v>
      </c>
      <c r="AEI78">
        <v>0</v>
      </c>
      <c r="AEJ78" t="s">
        <v>435</v>
      </c>
      <c r="AEK78">
        <v>52.5</v>
      </c>
      <c r="AEL78" s="16">
        <v>71.2</v>
      </c>
      <c r="AEM78" s="16">
        <v>81</v>
      </c>
      <c r="AEN78" s="16">
        <v>44.8</v>
      </c>
      <c r="AEO78">
        <v>59.03</v>
      </c>
      <c r="AEP78">
        <v>0</v>
      </c>
      <c r="AEQ78">
        <v>22.52</v>
      </c>
      <c r="AER78">
        <v>17.8</v>
      </c>
      <c r="AES78">
        <v>0.65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3.42</v>
      </c>
      <c r="AFB78">
        <v>2.94</v>
      </c>
      <c r="AFC78">
        <v>0</v>
      </c>
      <c r="AFD78">
        <v>0</v>
      </c>
      <c r="AFE78">
        <v>0</v>
      </c>
      <c r="AFF78">
        <v>0</v>
      </c>
      <c r="AFS78">
        <v>0</v>
      </c>
      <c r="AFT78">
        <v>1</v>
      </c>
      <c r="AFU78">
        <v>34</v>
      </c>
      <c r="AFV78">
        <v>8</v>
      </c>
      <c r="AFW78">
        <v>5.35</v>
      </c>
      <c r="AFX78">
        <v>1</v>
      </c>
      <c r="AGE78" s="18"/>
      <c r="AGW78">
        <v>0</v>
      </c>
      <c r="AIH78" s="16">
        <v>1.96</v>
      </c>
      <c r="AII78" s="16">
        <v>1</v>
      </c>
      <c r="AIJ78" s="16">
        <v>1</v>
      </c>
      <c r="AIK78" s="16"/>
      <c r="AIL78" s="16">
        <f>0.22+4.31+1.48+0.37*2</f>
        <v>6.75</v>
      </c>
      <c r="AIM78" s="16"/>
      <c r="AIN78" s="16"/>
      <c r="AIO78" s="16"/>
      <c r="AIP78" s="16"/>
      <c r="AIQ78" s="16"/>
      <c r="AIR78" s="16"/>
      <c r="AIS78" s="16">
        <v>4.75</v>
      </c>
      <c r="AIT78" s="16">
        <v>4.74</v>
      </c>
      <c r="AIU78" s="16"/>
      <c r="AIV78" s="16"/>
      <c r="AIW78" s="16">
        <v>0</v>
      </c>
      <c r="AIX78" s="16">
        <v>0</v>
      </c>
      <c r="AIY78" s="16">
        <v>0</v>
      </c>
      <c r="AIZ78">
        <v>0</v>
      </c>
      <c r="AJA78" s="15"/>
      <c r="AJB78" s="15"/>
      <c r="AJI78" s="15"/>
      <c r="AJJ78" s="15"/>
      <c r="AJQ78" s="15"/>
      <c r="AJR78" s="15"/>
      <c r="AJY78" s="15"/>
      <c r="AJZ78" s="15"/>
      <c r="AKG78" s="15"/>
      <c r="AKH78" s="15"/>
      <c r="AKO78" s="15"/>
      <c r="AKP78" s="15"/>
      <c r="AKW78" s="15"/>
      <c r="AKX78" s="15"/>
      <c r="ALE78" s="15"/>
      <c r="ALF78" s="15"/>
      <c r="ALM78" s="15"/>
      <c r="ALN78" s="15"/>
      <c r="ALU78" s="15"/>
      <c r="ALV78" s="15"/>
      <c r="AMC78" s="15"/>
      <c r="AMD78" s="15"/>
    </row>
    <row r="79" spans="1:1018" x14ac:dyDescent="0.2">
      <c r="A79" s="1" t="s">
        <v>443</v>
      </c>
      <c r="B79" s="12">
        <v>42903</v>
      </c>
      <c r="C79">
        <v>2</v>
      </c>
      <c r="D79" s="13">
        <v>42811</v>
      </c>
      <c r="E79" s="12">
        <v>35096</v>
      </c>
      <c r="F79" s="14">
        <f t="shared" si="42"/>
        <v>21.374401095140314</v>
      </c>
      <c r="G79" s="14">
        <f t="shared" si="43"/>
        <v>0.2518822724161533</v>
      </c>
      <c r="H79" s="15" t="s">
        <v>228</v>
      </c>
      <c r="I79" s="15" t="s">
        <v>251</v>
      </c>
      <c r="J79" s="15" t="s">
        <v>181</v>
      </c>
      <c r="K79" s="21">
        <v>8</v>
      </c>
      <c r="L79" s="19">
        <v>70</v>
      </c>
      <c r="M79">
        <v>1.74</v>
      </c>
      <c r="N79" s="16">
        <f t="shared" si="44"/>
        <v>23.120623596247853</v>
      </c>
      <c r="O79" s="19">
        <v>0</v>
      </c>
      <c r="P79" s="19">
        <v>0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0</v>
      </c>
      <c r="X79" s="19">
        <v>0</v>
      </c>
      <c r="Y79" s="19">
        <v>1</v>
      </c>
      <c r="Z79" s="19">
        <v>3</v>
      </c>
      <c r="AA79" s="19">
        <v>120</v>
      </c>
      <c r="AB79" s="19" t="s">
        <v>308</v>
      </c>
      <c r="AC79" s="19">
        <v>0</v>
      </c>
      <c r="AD79" s="19">
        <v>0</v>
      </c>
      <c r="AE79" s="19">
        <v>0</v>
      </c>
      <c r="AF79" s="19">
        <v>0</v>
      </c>
      <c r="AG79" s="19">
        <v>0</v>
      </c>
      <c r="AH79" s="19">
        <v>0</v>
      </c>
      <c r="AI79" s="19">
        <v>0</v>
      </c>
      <c r="AJ79" s="19">
        <v>0</v>
      </c>
      <c r="AK79" s="19">
        <v>0</v>
      </c>
      <c r="AL79" s="19">
        <v>0</v>
      </c>
      <c r="AM79" s="19">
        <v>0</v>
      </c>
      <c r="AN79" s="19">
        <v>0</v>
      </c>
      <c r="AO79" s="19">
        <v>0</v>
      </c>
      <c r="AP79" s="19">
        <v>0</v>
      </c>
      <c r="AQ79" s="19">
        <v>0</v>
      </c>
      <c r="AR79" s="19">
        <v>0</v>
      </c>
      <c r="AS79" s="19">
        <v>1</v>
      </c>
      <c r="AT79" s="19">
        <v>1</v>
      </c>
      <c r="AU79" s="19">
        <v>0</v>
      </c>
      <c r="AV79" s="19">
        <v>0</v>
      </c>
      <c r="AW79" s="19">
        <v>0</v>
      </c>
      <c r="AX79" s="19">
        <v>0</v>
      </c>
      <c r="AY79" s="19">
        <v>0</v>
      </c>
      <c r="AZ79" s="19">
        <v>0</v>
      </c>
      <c r="BA79" s="19">
        <v>0</v>
      </c>
      <c r="BB79" s="19">
        <v>0</v>
      </c>
      <c r="BC79" s="19">
        <v>0</v>
      </c>
      <c r="BD79" s="19">
        <v>0</v>
      </c>
      <c r="BE79" s="19">
        <v>0</v>
      </c>
      <c r="BF79" s="19">
        <v>0</v>
      </c>
      <c r="BG79" s="19">
        <v>0</v>
      </c>
      <c r="BH79" s="19">
        <v>0</v>
      </c>
      <c r="BI79" s="19">
        <v>0</v>
      </c>
      <c r="BJ79" s="19">
        <v>0</v>
      </c>
      <c r="BK79" s="19">
        <v>0</v>
      </c>
      <c r="BL79" s="19">
        <v>0</v>
      </c>
      <c r="BM79" s="19">
        <v>0</v>
      </c>
      <c r="BN79" s="19">
        <v>0</v>
      </c>
      <c r="BO79" s="19">
        <v>0</v>
      </c>
      <c r="BP79" s="19">
        <v>0</v>
      </c>
      <c r="BQ79" s="19">
        <v>0</v>
      </c>
      <c r="BR79" s="19">
        <v>1</v>
      </c>
      <c r="BS79" s="19">
        <v>3</v>
      </c>
      <c r="BT79" s="19">
        <v>5</v>
      </c>
      <c r="BU79" s="19">
        <v>5</v>
      </c>
      <c r="BV79" s="19">
        <v>3</v>
      </c>
      <c r="BW79" s="19">
        <v>5</v>
      </c>
      <c r="BX79" s="19">
        <v>3</v>
      </c>
      <c r="BY79" s="19">
        <v>4</v>
      </c>
      <c r="BZ79" s="19">
        <v>4</v>
      </c>
      <c r="CA79" s="19">
        <v>4</v>
      </c>
      <c r="CB79" s="19">
        <v>4</v>
      </c>
      <c r="CC79" s="19">
        <v>5</v>
      </c>
      <c r="CD79" s="19">
        <v>3</v>
      </c>
      <c r="CE79" s="19">
        <v>4</v>
      </c>
      <c r="CF79" s="19">
        <v>5</v>
      </c>
      <c r="CG79" s="19">
        <v>5</v>
      </c>
      <c r="CH79" s="19">
        <v>5</v>
      </c>
      <c r="CI79" s="19">
        <v>5</v>
      </c>
      <c r="CJ79" s="19">
        <v>5</v>
      </c>
      <c r="CK79" s="19">
        <v>9</v>
      </c>
      <c r="CL79" t="s">
        <v>253</v>
      </c>
      <c r="CM79">
        <v>30</v>
      </c>
      <c r="CN79" s="16">
        <v>85.5</v>
      </c>
      <c r="CO79" s="16">
        <v>81</v>
      </c>
      <c r="CP79" s="16">
        <v>15.2</v>
      </c>
      <c r="CQ79">
        <v>87.44</v>
      </c>
      <c r="CR79">
        <v>0</v>
      </c>
      <c r="CS79">
        <v>0.94</v>
      </c>
      <c r="CT79">
        <v>1.97</v>
      </c>
      <c r="CU79">
        <v>9.65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2.71</v>
      </c>
      <c r="DC79">
        <v>0.6</v>
      </c>
      <c r="DD79">
        <v>2.17</v>
      </c>
      <c r="DE79">
        <v>5.97</v>
      </c>
      <c r="DF79">
        <v>2.65</v>
      </c>
      <c r="DG79">
        <v>0</v>
      </c>
      <c r="DH79">
        <v>0</v>
      </c>
      <c r="DU79">
        <v>10.6</v>
      </c>
      <c r="DV79">
        <v>1</v>
      </c>
      <c r="DW79">
        <v>60</v>
      </c>
      <c r="DX79">
        <v>2</v>
      </c>
      <c r="DY79">
        <f t="shared" si="45"/>
        <v>0.45</v>
      </c>
      <c r="DZ79">
        <v>1</v>
      </c>
      <c r="EA79">
        <v>68</v>
      </c>
      <c r="EB79">
        <v>1</v>
      </c>
      <c r="EC79" s="16">
        <v>0.31</v>
      </c>
      <c r="ED79">
        <v>1</v>
      </c>
      <c r="EE79">
        <v>85</v>
      </c>
      <c r="EF79">
        <v>2</v>
      </c>
      <c r="EG79" s="18">
        <f t="shared" si="46"/>
        <v>2.83</v>
      </c>
      <c r="EH79">
        <v>2</v>
      </c>
      <c r="EI79">
        <v>25</v>
      </c>
      <c r="EJ79">
        <v>1</v>
      </c>
      <c r="EK79" s="16">
        <v>0.27</v>
      </c>
      <c r="EL79">
        <v>2</v>
      </c>
      <c r="EY79">
        <v>0</v>
      </c>
      <c r="GJ79" s="16">
        <v>0</v>
      </c>
      <c r="GK79" s="16">
        <v>0</v>
      </c>
      <c r="GL79" s="16"/>
      <c r="GM79" s="16"/>
      <c r="GN79" s="16"/>
      <c r="GO79" s="16"/>
      <c r="GP79" s="16"/>
      <c r="GQ79" s="16"/>
      <c r="GR79" s="16"/>
      <c r="GS79" s="16"/>
      <c r="GT79" s="16"/>
      <c r="GU79" s="16">
        <v>4.17</v>
      </c>
      <c r="GV79" s="16">
        <v>2.54</v>
      </c>
      <c r="GW79" s="16"/>
      <c r="GX79" s="16"/>
      <c r="GY79" s="16">
        <v>0</v>
      </c>
      <c r="GZ79" s="16">
        <v>0</v>
      </c>
      <c r="HA79" s="16">
        <v>0</v>
      </c>
      <c r="HB79">
        <v>0</v>
      </c>
      <c r="HC79" t="s">
        <v>254</v>
      </c>
      <c r="HD79">
        <v>53</v>
      </c>
      <c r="HE79" s="16">
        <v>81.5</v>
      </c>
      <c r="HF79" s="16">
        <v>81</v>
      </c>
      <c r="HG79" s="16">
        <v>36.4</v>
      </c>
      <c r="HH79">
        <v>56.99</v>
      </c>
      <c r="HI79">
        <v>0</v>
      </c>
      <c r="HJ79">
        <v>0</v>
      </c>
      <c r="HK79">
        <v>0.12</v>
      </c>
      <c r="HL79">
        <v>42.89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25.37</v>
      </c>
      <c r="HT79">
        <v>0</v>
      </c>
      <c r="HU79">
        <v>42.65</v>
      </c>
      <c r="HV79">
        <v>6.3</v>
      </c>
      <c r="HW79">
        <v>0</v>
      </c>
      <c r="HX79">
        <v>0</v>
      </c>
      <c r="HY79">
        <v>0</v>
      </c>
      <c r="IL79">
        <v>8.6999999999999993</v>
      </c>
      <c r="IM79">
        <v>1</v>
      </c>
      <c r="IN79">
        <v>137</v>
      </c>
      <c r="IO79">
        <v>2</v>
      </c>
      <c r="IP79">
        <f>0.65+0.05</f>
        <v>0.70000000000000007</v>
      </c>
      <c r="IQ79">
        <v>1</v>
      </c>
      <c r="IR79">
        <v>103</v>
      </c>
      <c r="IS79">
        <v>2</v>
      </c>
      <c r="IT79" s="16">
        <f>0.65+0.05</f>
        <v>0.70000000000000007</v>
      </c>
      <c r="IU79">
        <v>1</v>
      </c>
      <c r="IX79" s="18"/>
      <c r="JP79">
        <v>0</v>
      </c>
      <c r="LA79" s="16">
        <v>2.2799999999999998</v>
      </c>
      <c r="LB79" s="16">
        <v>1</v>
      </c>
      <c r="LC79" s="16">
        <v>3</v>
      </c>
      <c r="LD79" s="16"/>
      <c r="LE79" s="16">
        <f>2.69+0.37+0.74</f>
        <v>3.8</v>
      </c>
      <c r="LF79" s="16"/>
      <c r="LG79" s="16"/>
      <c r="LH79" s="16"/>
      <c r="LI79" s="16"/>
      <c r="LJ79" s="16"/>
      <c r="LK79" s="16"/>
      <c r="LL79" s="16">
        <v>0.48</v>
      </c>
      <c r="LM79" s="16">
        <v>0.48</v>
      </c>
      <c r="LN79" s="16"/>
      <c r="LO79" s="16"/>
      <c r="LP79" s="16">
        <v>2.2200000000000002</v>
      </c>
      <c r="LQ79" s="16">
        <v>23.08</v>
      </c>
      <c r="LR79" s="16">
        <v>0</v>
      </c>
      <c r="LS79">
        <v>0</v>
      </c>
      <c r="LT79" t="s">
        <v>255</v>
      </c>
      <c r="LU79">
        <v>41</v>
      </c>
      <c r="LV79" s="16">
        <v>48.6</v>
      </c>
      <c r="LW79" s="16">
        <v>81</v>
      </c>
      <c r="LX79" s="16">
        <v>21.6</v>
      </c>
      <c r="LY79">
        <v>76.16</v>
      </c>
      <c r="LZ79">
        <v>0</v>
      </c>
      <c r="MA79">
        <v>7.0000000000000007E-2</v>
      </c>
      <c r="MB79">
        <v>0.13</v>
      </c>
      <c r="MC79">
        <v>23.64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6.53</v>
      </c>
      <c r="MK79">
        <v>0.2</v>
      </c>
      <c r="ML79">
        <v>27.15</v>
      </c>
      <c r="MM79">
        <v>4.1100000000000003</v>
      </c>
      <c r="MN79">
        <v>0</v>
      </c>
      <c r="MO79">
        <v>3.9</v>
      </c>
      <c r="MP79">
        <v>1</v>
      </c>
      <c r="MQ79">
        <v>10</v>
      </c>
      <c r="MS79">
        <v>1</v>
      </c>
      <c r="NC79">
        <v>0.6</v>
      </c>
      <c r="ND79">
        <v>1</v>
      </c>
      <c r="NE79">
        <v>52</v>
      </c>
      <c r="NF79">
        <v>3</v>
      </c>
      <c r="NG79" s="16">
        <f>0.16+0.13</f>
        <v>0.29000000000000004</v>
      </c>
      <c r="NH79">
        <v>2</v>
      </c>
      <c r="NO79" s="18"/>
      <c r="OG79">
        <v>0</v>
      </c>
      <c r="PR79" s="16">
        <v>0.56999999999999995</v>
      </c>
      <c r="PS79" s="16">
        <v>1</v>
      </c>
      <c r="PT79" s="16">
        <v>1</v>
      </c>
      <c r="PU79" s="16"/>
      <c r="PV79" s="16">
        <f>0.93</f>
        <v>0.93</v>
      </c>
      <c r="PW79" s="16">
        <v>2</v>
      </c>
      <c r="PX79" s="16"/>
      <c r="PY79" s="16">
        <f>0.31+0.22</f>
        <v>0.53</v>
      </c>
      <c r="PZ79" s="16"/>
      <c r="QA79" s="16"/>
      <c r="QB79" s="16"/>
      <c r="QC79" s="16">
        <v>5.72</v>
      </c>
      <c r="QD79" s="16">
        <v>5.75</v>
      </c>
      <c r="QE79" s="16"/>
      <c r="QF79" s="16"/>
      <c r="QG79" s="16">
        <v>7.41</v>
      </c>
      <c r="QH79" s="16">
        <v>0</v>
      </c>
      <c r="QI79" s="16">
        <v>0.22</v>
      </c>
      <c r="QJ79">
        <v>5</v>
      </c>
      <c r="QK79" t="s">
        <v>256</v>
      </c>
      <c r="QL79">
        <v>40</v>
      </c>
      <c r="QM79" s="16">
        <v>89.1</v>
      </c>
      <c r="QN79" s="16">
        <v>81</v>
      </c>
      <c r="QO79" s="16">
        <v>5.4</v>
      </c>
      <c r="QP79">
        <v>99.83</v>
      </c>
      <c r="QQ79">
        <v>0</v>
      </c>
      <c r="QR79">
        <v>0</v>
      </c>
      <c r="QS79">
        <v>0.17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19.8</v>
      </c>
      <c r="RC79">
        <v>8.9499999999999993</v>
      </c>
      <c r="RD79">
        <v>0</v>
      </c>
      <c r="RE79">
        <v>0</v>
      </c>
      <c r="RF79">
        <v>22.5</v>
      </c>
      <c r="RG79">
        <v>1</v>
      </c>
      <c r="RH79">
        <v>5</v>
      </c>
      <c r="RJ79">
        <v>8</v>
      </c>
      <c r="RT79">
        <v>0</v>
      </c>
      <c r="RU79">
        <v>0</v>
      </c>
      <c r="SF79" s="18"/>
      <c r="SX79">
        <v>1</v>
      </c>
      <c r="SY79">
        <v>50</v>
      </c>
      <c r="SZ79">
        <v>4</v>
      </c>
      <c r="TA79">
        <f>0.73*2+0.13*2</f>
        <v>1.72</v>
      </c>
      <c r="TB79">
        <v>3</v>
      </c>
      <c r="UI79" s="16">
        <v>1.48</v>
      </c>
      <c r="UJ79" s="16">
        <v>1</v>
      </c>
      <c r="UK79" s="16">
        <v>1</v>
      </c>
      <c r="UL79" s="16"/>
      <c r="UM79" s="16">
        <f>2.1*2+0.37*2</f>
        <v>4.9400000000000004</v>
      </c>
      <c r="UN79" s="16"/>
      <c r="UO79" s="16"/>
      <c r="UP79" s="16"/>
      <c r="UQ79" s="16"/>
      <c r="UR79" s="16"/>
      <c r="US79" s="16"/>
      <c r="UT79" s="16">
        <v>7.71</v>
      </c>
      <c r="UU79" s="16">
        <v>4.3499999999999996</v>
      </c>
      <c r="UV79" s="16"/>
      <c r="UW79" s="16"/>
      <c r="UX79" s="16">
        <v>0</v>
      </c>
      <c r="UY79" s="16">
        <v>0</v>
      </c>
      <c r="UZ79" s="16">
        <v>0</v>
      </c>
      <c r="VA79">
        <v>0</v>
      </c>
      <c r="VB79" t="s">
        <v>257</v>
      </c>
      <c r="VC79">
        <v>43</v>
      </c>
      <c r="VD79" s="16">
        <v>93.3</v>
      </c>
      <c r="VE79" s="16">
        <v>81</v>
      </c>
      <c r="VF79" s="16">
        <v>6.4</v>
      </c>
      <c r="VG79">
        <v>100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18.510000000000002</v>
      </c>
      <c r="VT79">
        <v>28.46</v>
      </c>
      <c r="VU79">
        <v>0</v>
      </c>
      <c r="VV79">
        <v>0</v>
      </c>
      <c r="VW79">
        <v>0</v>
      </c>
      <c r="VX79">
        <v>0</v>
      </c>
      <c r="WK79">
        <v>33</v>
      </c>
      <c r="WL79">
        <v>0</v>
      </c>
      <c r="WW79" s="18"/>
      <c r="XO79">
        <v>1</v>
      </c>
      <c r="XP79">
        <v>40</v>
      </c>
      <c r="XQ79">
        <v>8</v>
      </c>
      <c r="XR79">
        <f>1.51*2+3.02+0.27*2</f>
        <v>6.58</v>
      </c>
      <c r="XS79">
        <v>3</v>
      </c>
      <c r="XT79">
        <v>60</v>
      </c>
      <c r="XU79">
        <v>20</v>
      </c>
      <c r="XV79">
        <f>3.65*2+0.67*2</f>
        <v>8.64</v>
      </c>
      <c r="XW79">
        <v>3</v>
      </c>
      <c r="YZ79" s="16">
        <v>0</v>
      </c>
      <c r="ZA79" s="16">
        <v>0</v>
      </c>
      <c r="ZB79" s="16"/>
      <c r="ZC79" s="16"/>
      <c r="ZD79" s="16"/>
      <c r="ZE79" s="16"/>
      <c r="ZF79" s="16"/>
      <c r="ZG79" s="16"/>
      <c r="ZH79" s="16"/>
      <c r="ZI79" s="16"/>
      <c r="ZJ79" s="16"/>
      <c r="ZK79" s="16">
        <v>0</v>
      </c>
      <c r="ZL79" s="16">
        <v>0</v>
      </c>
      <c r="ZM79" s="16"/>
      <c r="ZN79" s="16"/>
      <c r="ZO79" s="16">
        <v>0</v>
      </c>
      <c r="ZP79" s="16">
        <v>0</v>
      </c>
      <c r="ZQ79" s="16">
        <v>0</v>
      </c>
      <c r="ZR79">
        <v>0</v>
      </c>
      <c r="ZS79" t="s">
        <v>257</v>
      </c>
      <c r="ZT79">
        <v>43</v>
      </c>
      <c r="ZU79" s="16">
        <v>93.3</v>
      </c>
      <c r="ZV79" s="16">
        <v>81</v>
      </c>
      <c r="ZW79" s="16">
        <v>6.4</v>
      </c>
      <c r="ZX79">
        <v>100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18.510000000000002</v>
      </c>
      <c r="AAK79">
        <v>28.46</v>
      </c>
      <c r="AAL79">
        <v>0</v>
      </c>
      <c r="AAM79">
        <v>0</v>
      </c>
      <c r="AAN79">
        <v>0</v>
      </c>
      <c r="AAO79">
        <v>0</v>
      </c>
      <c r="ABB79">
        <v>33</v>
      </c>
      <c r="ABC79">
        <v>0</v>
      </c>
      <c r="ABN79" s="18"/>
      <c r="ACF79">
        <v>1</v>
      </c>
      <c r="ACG79">
        <v>40</v>
      </c>
      <c r="ACH79">
        <v>8</v>
      </c>
      <c r="ACI79">
        <f>1.51*2+3.02+0.27*2</f>
        <v>6.58</v>
      </c>
      <c r="ACJ79">
        <v>3</v>
      </c>
      <c r="ACK79">
        <v>60</v>
      </c>
      <c r="ACL79">
        <v>20</v>
      </c>
      <c r="ACM79">
        <f>3.65*2+0.67*2</f>
        <v>8.64</v>
      </c>
      <c r="ACN79">
        <v>3</v>
      </c>
      <c r="ADQ79" s="16">
        <v>0</v>
      </c>
      <c r="ADR79" s="16">
        <v>0</v>
      </c>
      <c r="ADS79" s="16"/>
      <c r="ADT79" s="16"/>
      <c r="ADU79" s="16"/>
      <c r="ADV79" s="16"/>
      <c r="ADW79" s="16"/>
      <c r="ADX79" s="16"/>
      <c r="ADY79" s="16"/>
      <c r="ADZ79" s="16"/>
      <c r="AEA79" s="16"/>
      <c r="AEB79" s="16">
        <v>0</v>
      </c>
      <c r="AEC79" s="16">
        <v>0</v>
      </c>
      <c r="AED79" s="16"/>
      <c r="AEE79" s="16"/>
      <c r="AEF79" s="16">
        <v>0</v>
      </c>
      <c r="AEG79" s="16">
        <v>0</v>
      </c>
      <c r="AEH79" s="16">
        <v>0</v>
      </c>
      <c r="AEI79">
        <v>0</v>
      </c>
      <c r="AEJ79" t="s">
        <v>258</v>
      </c>
      <c r="AEK79">
        <v>40</v>
      </c>
      <c r="AEL79" s="16">
        <v>90.1</v>
      </c>
      <c r="AEM79" s="16">
        <v>81</v>
      </c>
      <c r="AEN79" s="16">
        <v>5.9</v>
      </c>
      <c r="AEO79">
        <v>99.34</v>
      </c>
      <c r="AEP79">
        <v>0</v>
      </c>
      <c r="AEQ79">
        <v>0</v>
      </c>
      <c r="AER79">
        <v>0.66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19.8</v>
      </c>
      <c r="AFB79">
        <v>8.9499999999999993</v>
      </c>
      <c r="AFC79">
        <v>0</v>
      </c>
      <c r="AFD79">
        <v>0</v>
      </c>
      <c r="AFE79">
        <v>22.3</v>
      </c>
      <c r="AFF79">
        <v>1</v>
      </c>
      <c r="AFG79">
        <v>5</v>
      </c>
      <c r="AFI79">
        <v>8</v>
      </c>
      <c r="AFS79">
        <v>0</v>
      </c>
      <c r="AFT79">
        <v>0</v>
      </c>
      <c r="AGE79" s="18"/>
      <c r="AGW79">
        <v>1</v>
      </c>
      <c r="AGX79">
        <v>50</v>
      </c>
      <c r="AGY79">
        <v>4</v>
      </c>
      <c r="AGZ79">
        <f>0.73*2+0.13*2</f>
        <v>1.72</v>
      </c>
      <c r="AHA79">
        <v>3</v>
      </c>
      <c r="AIH79" s="16">
        <v>1.48</v>
      </c>
      <c r="AII79" s="16">
        <v>1</v>
      </c>
      <c r="AIJ79" s="16">
        <v>1</v>
      </c>
      <c r="AIK79" s="16"/>
      <c r="AIL79" s="16">
        <f>2.1*2+0.37*2</f>
        <v>4.9400000000000004</v>
      </c>
      <c r="AIM79" s="16"/>
      <c r="AIN79" s="16"/>
      <c r="AIO79" s="16"/>
      <c r="AIP79" s="16"/>
      <c r="AIQ79" s="16"/>
      <c r="AIR79" s="16"/>
      <c r="AIS79" s="16">
        <v>7.71</v>
      </c>
      <c r="AIT79" s="16">
        <v>4.3499999999999996</v>
      </c>
      <c r="AIU79" s="16"/>
      <c r="AIV79" s="16"/>
      <c r="AIW79" s="16">
        <v>0</v>
      </c>
      <c r="AIX79" s="16">
        <v>0</v>
      </c>
      <c r="AIY79" s="16">
        <v>0</v>
      </c>
      <c r="AIZ79">
        <v>0</v>
      </c>
      <c r="AJA79" t="s">
        <v>259</v>
      </c>
      <c r="AJB79">
        <v>43</v>
      </c>
      <c r="AJC79" s="16">
        <v>93.3</v>
      </c>
      <c r="AJD79" s="16">
        <v>81</v>
      </c>
      <c r="AJE79" s="16">
        <v>6.4</v>
      </c>
      <c r="AJF79">
        <v>100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18.510000000000002</v>
      </c>
      <c r="AJS79">
        <v>28.46</v>
      </c>
      <c r="AJT79">
        <v>0</v>
      </c>
      <c r="AJU79">
        <v>0</v>
      </c>
      <c r="AJV79">
        <v>0</v>
      </c>
      <c r="AJW79">
        <v>0</v>
      </c>
      <c r="AKJ79">
        <v>33</v>
      </c>
      <c r="AKK79">
        <v>0</v>
      </c>
      <c r="AKV79" s="18"/>
      <c r="ALN79">
        <v>1</v>
      </c>
      <c r="ALO79">
        <v>40</v>
      </c>
      <c r="ALP79">
        <v>8</v>
      </c>
      <c r="ALQ79">
        <f>1.51*2+0.27*2+3.02</f>
        <v>6.58</v>
      </c>
      <c r="ALR79">
        <v>3</v>
      </c>
      <c r="ALS79">
        <v>60</v>
      </c>
      <c r="ALT79">
        <v>20</v>
      </c>
      <c r="ALU79">
        <f>3.65*2+0.67*2</f>
        <v>8.64</v>
      </c>
      <c r="ALV79">
        <v>3</v>
      </c>
    </row>
    <row r="80" spans="1:1018" x14ac:dyDescent="0.2">
      <c r="A80" s="1" t="s">
        <v>444</v>
      </c>
      <c r="B80" s="12">
        <v>42899</v>
      </c>
      <c r="C80">
        <v>2</v>
      </c>
      <c r="D80" s="13">
        <v>42793</v>
      </c>
      <c r="E80" s="12">
        <v>32948</v>
      </c>
      <c r="F80" s="14">
        <f t="shared" si="42"/>
        <v>27.244353182751539</v>
      </c>
      <c r="G80" s="14">
        <f t="shared" si="43"/>
        <v>0.29021218343600275</v>
      </c>
      <c r="H80" s="15" t="s">
        <v>228</v>
      </c>
      <c r="I80" s="15" t="s">
        <v>251</v>
      </c>
      <c r="J80" s="15" t="s">
        <v>181</v>
      </c>
      <c r="K80" s="21">
        <v>4</v>
      </c>
      <c r="L80" s="19">
        <v>80</v>
      </c>
      <c r="M80">
        <v>1.78</v>
      </c>
      <c r="N80" s="16">
        <f t="shared" si="44"/>
        <v>25.249337204898371</v>
      </c>
      <c r="O80" s="19">
        <v>0</v>
      </c>
      <c r="P80" s="19">
        <v>0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0</v>
      </c>
      <c r="X80" s="19">
        <v>0</v>
      </c>
      <c r="Y80" s="19">
        <v>1</v>
      </c>
      <c r="Z80" s="19">
        <v>2</v>
      </c>
      <c r="AA80" s="19">
        <v>60</v>
      </c>
      <c r="AB80" s="19" t="s">
        <v>445</v>
      </c>
      <c r="AC80" s="19">
        <v>0</v>
      </c>
      <c r="AD80" s="19">
        <v>0</v>
      </c>
      <c r="AE80" s="19">
        <v>0</v>
      </c>
      <c r="AF80" s="19">
        <v>0</v>
      </c>
      <c r="AG80" s="19">
        <v>0</v>
      </c>
      <c r="AH80" s="19">
        <v>0</v>
      </c>
      <c r="AI80" s="19">
        <v>0</v>
      </c>
      <c r="AJ80" s="19">
        <v>0</v>
      </c>
      <c r="AK80" s="19">
        <v>0</v>
      </c>
      <c r="AL80" s="19">
        <v>0</v>
      </c>
      <c r="AM80" s="19">
        <v>0</v>
      </c>
      <c r="AN80" s="19">
        <v>0</v>
      </c>
      <c r="AO80" s="19">
        <v>0</v>
      </c>
      <c r="AP80" s="19">
        <v>0</v>
      </c>
      <c r="AQ80" s="19">
        <v>0</v>
      </c>
      <c r="AR80" s="19">
        <v>0</v>
      </c>
      <c r="AS80" s="19">
        <v>0</v>
      </c>
      <c r="AT80" s="19">
        <v>0</v>
      </c>
      <c r="AU80" s="19">
        <v>0</v>
      </c>
      <c r="AV80" s="19">
        <v>0</v>
      </c>
      <c r="AW80" s="19">
        <v>0</v>
      </c>
      <c r="AX80" s="19">
        <v>0</v>
      </c>
      <c r="AY80" s="19">
        <v>0</v>
      </c>
      <c r="AZ80" s="19">
        <v>0</v>
      </c>
      <c r="BA80" s="19">
        <v>0</v>
      </c>
      <c r="BB80" s="19">
        <v>0</v>
      </c>
      <c r="BC80" s="19">
        <v>0</v>
      </c>
      <c r="BD80" s="19">
        <v>0</v>
      </c>
      <c r="BE80" s="19">
        <v>0</v>
      </c>
      <c r="BF80" s="19">
        <v>0</v>
      </c>
      <c r="BG80" s="19">
        <v>0</v>
      </c>
      <c r="BH80" s="19">
        <v>0</v>
      </c>
      <c r="BI80" s="19">
        <v>0</v>
      </c>
      <c r="BJ80" s="19">
        <v>0</v>
      </c>
      <c r="BK80" s="19">
        <v>0</v>
      </c>
      <c r="BL80" s="19">
        <v>0</v>
      </c>
      <c r="BM80" s="19">
        <v>0</v>
      </c>
      <c r="BN80" s="19">
        <v>0</v>
      </c>
      <c r="BO80" s="19">
        <v>0</v>
      </c>
      <c r="BP80" s="19">
        <v>0</v>
      </c>
      <c r="BQ80" s="19">
        <v>0</v>
      </c>
      <c r="BR80" s="19">
        <v>2</v>
      </c>
      <c r="BS80" s="19">
        <v>1</v>
      </c>
      <c r="BT80" s="19">
        <v>4</v>
      </c>
      <c r="BU80" s="19">
        <v>4</v>
      </c>
      <c r="BV80" s="19">
        <v>3</v>
      </c>
      <c r="BW80" s="19">
        <v>3</v>
      </c>
      <c r="BX80" s="19">
        <v>3</v>
      </c>
      <c r="BY80" s="19">
        <v>5</v>
      </c>
      <c r="BZ80" s="19">
        <v>5</v>
      </c>
      <c r="CA80" s="19">
        <v>5</v>
      </c>
      <c r="CB80" s="19">
        <v>4</v>
      </c>
      <c r="CC80" s="19">
        <v>4</v>
      </c>
      <c r="CD80" s="19">
        <v>3</v>
      </c>
      <c r="CE80" s="19">
        <v>3</v>
      </c>
      <c r="CF80" s="19">
        <v>4</v>
      </c>
      <c r="CG80" s="19">
        <v>5</v>
      </c>
      <c r="CH80" s="19">
        <v>5</v>
      </c>
      <c r="CI80" s="19">
        <v>4</v>
      </c>
      <c r="CJ80" s="19">
        <v>3</v>
      </c>
      <c r="CK80" s="19">
        <v>8</v>
      </c>
      <c r="CL80" t="s">
        <v>253</v>
      </c>
      <c r="CM80">
        <v>30</v>
      </c>
      <c r="CN80" s="16">
        <v>85.5</v>
      </c>
      <c r="CO80" s="16">
        <v>81</v>
      </c>
      <c r="CP80" s="16">
        <v>15.2</v>
      </c>
      <c r="CQ80">
        <v>87.44</v>
      </c>
      <c r="CR80">
        <v>0</v>
      </c>
      <c r="CS80">
        <v>0.94</v>
      </c>
      <c r="CT80">
        <v>1.97</v>
      </c>
      <c r="CU80">
        <v>9.65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2.71</v>
      </c>
      <c r="DC80">
        <v>0.6</v>
      </c>
      <c r="DD80">
        <v>2.17</v>
      </c>
      <c r="DE80">
        <v>5.97</v>
      </c>
      <c r="DF80">
        <v>2.65</v>
      </c>
      <c r="DG80">
        <v>0</v>
      </c>
      <c r="DH80">
        <v>0</v>
      </c>
      <c r="DU80">
        <v>10.6</v>
      </c>
      <c r="DV80">
        <v>1</v>
      </c>
      <c r="DW80">
        <v>60</v>
      </c>
      <c r="DX80">
        <v>2</v>
      </c>
      <c r="DY80">
        <f t="shared" si="45"/>
        <v>0.45</v>
      </c>
      <c r="DZ80">
        <v>1</v>
      </c>
      <c r="EA80">
        <v>68</v>
      </c>
      <c r="EB80">
        <v>1</v>
      </c>
      <c r="EC80" s="16">
        <v>0.31</v>
      </c>
      <c r="ED80">
        <v>1</v>
      </c>
      <c r="EE80">
        <v>85</v>
      </c>
      <c r="EF80">
        <v>2</v>
      </c>
      <c r="EG80" s="18">
        <f t="shared" si="46"/>
        <v>2.83</v>
      </c>
      <c r="EH80">
        <v>2</v>
      </c>
      <c r="EI80">
        <v>25</v>
      </c>
      <c r="EJ80">
        <v>1</v>
      </c>
      <c r="EK80" s="16">
        <v>0.27</v>
      </c>
      <c r="EL80">
        <v>2</v>
      </c>
      <c r="EY80">
        <v>0</v>
      </c>
      <c r="GJ80" s="16">
        <v>0</v>
      </c>
      <c r="GK80" s="16">
        <v>0</v>
      </c>
      <c r="GL80" s="16"/>
      <c r="GM80" s="16"/>
      <c r="GN80" s="16"/>
      <c r="GO80" s="16"/>
      <c r="GP80" s="16"/>
      <c r="GQ80" s="16"/>
      <c r="GR80" s="16"/>
      <c r="GS80" s="16"/>
      <c r="GT80" s="16"/>
      <c r="GU80" s="16">
        <v>4.17</v>
      </c>
      <c r="GV80" s="16">
        <v>2.54</v>
      </c>
      <c r="GW80" s="16"/>
      <c r="GX80" s="16"/>
      <c r="GY80" s="16">
        <v>0</v>
      </c>
      <c r="GZ80" s="16">
        <v>0</v>
      </c>
      <c r="HA80" s="16">
        <v>0</v>
      </c>
      <c r="HB80">
        <v>0</v>
      </c>
      <c r="HC80" t="s">
        <v>255</v>
      </c>
      <c r="HD80">
        <v>41</v>
      </c>
      <c r="HE80" s="16">
        <v>48.6</v>
      </c>
      <c r="HF80" s="16">
        <v>81</v>
      </c>
      <c r="HG80" s="16">
        <v>21.6</v>
      </c>
      <c r="HH80">
        <v>76.16</v>
      </c>
      <c r="HI80">
        <v>0</v>
      </c>
      <c r="HJ80">
        <v>7.0000000000000007E-2</v>
      </c>
      <c r="HK80">
        <v>0.13</v>
      </c>
      <c r="HL80">
        <v>23.64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6.53</v>
      </c>
      <c r="HT80">
        <v>0.2</v>
      </c>
      <c r="HU80">
        <v>27.15</v>
      </c>
      <c r="HV80">
        <v>4.1100000000000003</v>
      </c>
      <c r="HW80">
        <v>0</v>
      </c>
      <c r="HX80">
        <v>3.9</v>
      </c>
      <c r="HY80">
        <v>1</v>
      </c>
      <c r="HZ80">
        <v>10</v>
      </c>
      <c r="IB80">
        <v>1</v>
      </c>
      <c r="IL80">
        <v>0.6</v>
      </c>
      <c r="IM80">
        <v>1</v>
      </c>
      <c r="IN80">
        <v>52</v>
      </c>
      <c r="IO80">
        <v>3</v>
      </c>
      <c r="IP80" s="16">
        <f>0.16+0.13</f>
        <v>0.29000000000000004</v>
      </c>
      <c r="IQ80">
        <v>2</v>
      </c>
      <c r="IX80" s="18"/>
      <c r="JP80">
        <v>0</v>
      </c>
      <c r="LA80" s="16">
        <v>0.56999999999999995</v>
      </c>
      <c r="LB80" s="16">
        <v>1</v>
      </c>
      <c r="LC80" s="16">
        <v>1</v>
      </c>
      <c r="LD80" s="16"/>
      <c r="LE80" s="16">
        <f>0.93</f>
        <v>0.93</v>
      </c>
      <c r="LF80" s="16">
        <v>2</v>
      </c>
      <c r="LG80" s="16"/>
      <c r="LH80" s="16">
        <f>0.31+0.22</f>
        <v>0.53</v>
      </c>
      <c r="LI80" s="16"/>
      <c r="LJ80" s="16"/>
      <c r="LK80" s="16"/>
      <c r="LL80" s="16">
        <v>5.72</v>
      </c>
      <c r="LM80" s="16">
        <v>5.75</v>
      </c>
      <c r="LN80" s="16"/>
      <c r="LO80" s="16"/>
      <c r="LP80" s="16">
        <v>7.41</v>
      </c>
      <c r="LQ80" s="16">
        <v>0</v>
      </c>
      <c r="LR80" s="16">
        <v>0.22</v>
      </c>
      <c r="LS80">
        <v>5</v>
      </c>
      <c r="LT80" t="s">
        <v>256</v>
      </c>
      <c r="LU80">
        <v>40</v>
      </c>
      <c r="LV80" s="16">
        <v>89.1</v>
      </c>
      <c r="LW80" s="16">
        <v>81</v>
      </c>
      <c r="LX80" s="16">
        <v>5.4</v>
      </c>
      <c r="LY80">
        <v>99.83</v>
      </c>
      <c r="LZ80">
        <v>0</v>
      </c>
      <c r="MA80">
        <v>0</v>
      </c>
      <c r="MB80">
        <v>0.17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19.8</v>
      </c>
      <c r="ML80">
        <v>8.9499999999999993</v>
      </c>
      <c r="MM80">
        <v>0</v>
      </c>
      <c r="MN80">
        <v>0</v>
      </c>
      <c r="MO80">
        <v>22.5</v>
      </c>
      <c r="MP80">
        <v>1</v>
      </c>
      <c r="MQ80">
        <v>5</v>
      </c>
      <c r="MS80">
        <v>8</v>
      </c>
      <c r="NC80">
        <v>0</v>
      </c>
      <c r="ND80">
        <v>0</v>
      </c>
      <c r="NO80" s="18"/>
      <c r="OG80">
        <v>1</v>
      </c>
      <c r="OH80">
        <v>50</v>
      </c>
      <c r="OI80">
        <v>4</v>
      </c>
      <c r="OJ80">
        <f>0.73*2+0.13*2</f>
        <v>1.72</v>
      </c>
      <c r="OK80">
        <v>3</v>
      </c>
      <c r="PR80" s="16">
        <v>1.48</v>
      </c>
      <c r="PS80" s="16">
        <v>1</v>
      </c>
      <c r="PT80" s="16">
        <v>1</v>
      </c>
      <c r="PU80" s="16"/>
      <c r="PV80" s="16">
        <f>2.1*2+0.37*2</f>
        <v>4.9400000000000004</v>
      </c>
      <c r="PW80" s="16"/>
      <c r="PX80" s="16"/>
      <c r="PY80" s="16"/>
      <c r="PZ80" s="16"/>
      <c r="QA80" s="16"/>
      <c r="QB80" s="16"/>
      <c r="QC80" s="16">
        <v>7.71</v>
      </c>
      <c r="QD80" s="16">
        <v>4.3499999999999996</v>
      </c>
      <c r="QE80" s="16"/>
      <c r="QF80" s="16"/>
      <c r="QG80" s="16">
        <v>0</v>
      </c>
      <c r="QH80" s="16">
        <v>0</v>
      </c>
      <c r="QI80" s="16">
        <v>0</v>
      </c>
      <c r="QJ80">
        <v>0</v>
      </c>
      <c r="QK80" t="s">
        <v>257</v>
      </c>
      <c r="QL80">
        <v>43</v>
      </c>
      <c r="QM80" s="16">
        <v>93.3</v>
      </c>
      <c r="QN80" s="16">
        <v>81</v>
      </c>
      <c r="QO80" s="16">
        <v>6.4</v>
      </c>
      <c r="QP80">
        <v>100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18.510000000000002</v>
      </c>
      <c r="RC80">
        <v>28.46</v>
      </c>
      <c r="RD80">
        <v>0</v>
      </c>
      <c r="RE80">
        <v>0</v>
      </c>
      <c r="RF80">
        <v>0</v>
      </c>
      <c r="RG80">
        <v>0</v>
      </c>
      <c r="RT80">
        <v>33</v>
      </c>
      <c r="RU80">
        <v>0</v>
      </c>
      <c r="SF80" s="18"/>
      <c r="SX80">
        <v>1</v>
      </c>
      <c r="SY80">
        <v>40</v>
      </c>
      <c r="SZ80">
        <v>8</v>
      </c>
      <c r="TA80">
        <f>1.51*2+3.02+0.27*2</f>
        <v>6.58</v>
      </c>
      <c r="TB80">
        <v>3</v>
      </c>
      <c r="TC80">
        <v>60</v>
      </c>
      <c r="TD80">
        <v>20</v>
      </c>
      <c r="TE80">
        <f>3.65*2+0.67*2</f>
        <v>8.64</v>
      </c>
      <c r="TF80">
        <v>3</v>
      </c>
      <c r="UI80" s="16">
        <v>0</v>
      </c>
      <c r="UJ80" s="16">
        <v>0</v>
      </c>
      <c r="UK80" s="16"/>
      <c r="UL80" s="16"/>
      <c r="UM80" s="16"/>
      <c r="UN80" s="16"/>
      <c r="UO80" s="16"/>
      <c r="UP80" s="16"/>
      <c r="UQ80" s="16"/>
      <c r="UR80" s="16"/>
      <c r="US80" s="16"/>
      <c r="UT80" s="16">
        <v>0</v>
      </c>
      <c r="UU80" s="16">
        <v>0</v>
      </c>
      <c r="UV80" s="16"/>
      <c r="UW80" s="16"/>
      <c r="UX80" s="16">
        <v>0</v>
      </c>
      <c r="UY80" s="16">
        <v>0</v>
      </c>
      <c r="UZ80" s="16">
        <v>0</v>
      </c>
      <c r="VA80">
        <v>0</v>
      </c>
      <c r="VB80" t="s">
        <v>258</v>
      </c>
      <c r="VC80">
        <v>40</v>
      </c>
      <c r="VD80" s="16">
        <v>90.1</v>
      </c>
      <c r="VE80" s="16">
        <v>81</v>
      </c>
      <c r="VF80" s="16">
        <v>5.9</v>
      </c>
      <c r="VG80">
        <v>99.34</v>
      </c>
      <c r="VH80">
        <v>0</v>
      </c>
      <c r="VI80">
        <v>0</v>
      </c>
      <c r="VJ80">
        <v>0.66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19.8</v>
      </c>
      <c r="VT80">
        <v>8.9499999999999993</v>
      </c>
      <c r="VU80">
        <v>0</v>
      </c>
      <c r="VV80">
        <v>0</v>
      </c>
      <c r="VW80">
        <v>22.3</v>
      </c>
      <c r="VX80">
        <v>1</v>
      </c>
      <c r="VY80">
        <v>5</v>
      </c>
      <c r="WA80">
        <v>8</v>
      </c>
      <c r="WK80">
        <v>0</v>
      </c>
      <c r="WL80">
        <v>0</v>
      </c>
      <c r="WW80" s="18"/>
      <c r="XO80">
        <v>1</v>
      </c>
      <c r="XP80">
        <v>50</v>
      </c>
      <c r="XQ80">
        <v>4</v>
      </c>
      <c r="XR80">
        <f>0.73*2+0.13*2</f>
        <v>1.72</v>
      </c>
      <c r="XS80">
        <v>3</v>
      </c>
      <c r="YZ80" s="16">
        <v>1.48</v>
      </c>
      <c r="ZA80" s="16">
        <v>1</v>
      </c>
      <c r="ZB80" s="16">
        <v>1</v>
      </c>
      <c r="ZC80" s="16"/>
      <c r="ZD80" s="16">
        <f>2.1*2+0.37*2</f>
        <v>4.9400000000000004</v>
      </c>
      <c r="ZE80" s="16"/>
      <c r="ZF80" s="16"/>
      <c r="ZG80" s="16"/>
      <c r="ZH80" s="16"/>
      <c r="ZI80" s="16"/>
      <c r="ZJ80" s="16"/>
      <c r="ZK80" s="16">
        <v>7.71</v>
      </c>
      <c r="ZL80" s="16">
        <v>4.3499999999999996</v>
      </c>
      <c r="ZM80" s="16"/>
      <c r="ZN80" s="16"/>
      <c r="ZO80" s="16">
        <v>0</v>
      </c>
      <c r="ZP80" s="16">
        <v>0</v>
      </c>
      <c r="ZQ80" s="16">
        <v>0</v>
      </c>
      <c r="ZR80">
        <v>0</v>
      </c>
      <c r="ZS80" t="s">
        <v>259</v>
      </c>
      <c r="ZT80">
        <v>43</v>
      </c>
      <c r="ZU80" s="16">
        <v>93.3</v>
      </c>
      <c r="ZV80" s="16">
        <v>81</v>
      </c>
      <c r="ZW80" s="16">
        <v>6.4</v>
      </c>
      <c r="ZX80">
        <v>100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18.510000000000002</v>
      </c>
      <c r="AAK80">
        <v>28.46</v>
      </c>
      <c r="AAL80">
        <v>0</v>
      </c>
      <c r="AAM80">
        <v>0</v>
      </c>
      <c r="AAN80">
        <v>0</v>
      </c>
      <c r="AAO80">
        <v>0</v>
      </c>
      <c r="ABB80">
        <v>33</v>
      </c>
      <c r="ABC80">
        <v>0</v>
      </c>
      <c r="ABN80" s="18"/>
      <c r="ACF80">
        <v>1</v>
      </c>
      <c r="ACG80">
        <v>40</v>
      </c>
      <c r="ACH80">
        <v>8</v>
      </c>
      <c r="ACI80">
        <f>1.51*2+0.27*2+3.02</f>
        <v>6.58</v>
      </c>
      <c r="ACJ80">
        <v>3</v>
      </c>
      <c r="ACK80">
        <v>60</v>
      </c>
      <c r="ACL80">
        <v>20</v>
      </c>
      <c r="ACM80">
        <f>3.65*2+0.67*2</f>
        <v>8.64</v>
      </c>
      <c r="ACN80">
        <v>3</v>
      </c>
      <c r="ADQ80" s="16">
        <v>0</v>
      </c>
      <c r="ADR80" s="16">
        <v>0</v>
      </c>
      <c r="ADS80" s="16"/>
      <c r="ADT80" s="16"/>
      <c r="ADU80" s="16"/>
      <c r="ADV80" s="16"/>
      <c r="ADW80" s="16"/>
      <c r="ADX80" s="16"/>
      <c r="ADY80" s="16"/>
      <c r="ADZ80" s="16"/>
      <c r="AEA80" s="16"/>
      <c r="AEB80" s="16">
        <v>0</v>
      </c>
      <c r="AEC80" s="16">
        <v>0</v>
      </c>
      <c r="AED80" s="16"/>
      <c r="AEE80" s="16"/>
      <c r="AEF80" s="16">
        <v>0</v>
      </c>
      <c r="AEG80" s="16">
        <v>0</v>
      </c>
      <c r="AEH80" s="16">
        <v>0</v>
      </c>
      <c r="AEI80">
        <v>0</v>
      </c>
      <c r="AEJ80" t="s">
        <v>260</v>
      </c>
      <c r="AEK80">
        <v>57.5</v>
      </c>
      <c r="AEL80" s="16">
        <v>91.5</v>
      </c>
      <c r="AEM80" s="16">
        <v>81</v>
      </c>
      <c r="AEN80" s="16">
        <v>49.9</v>
      </c>
      <c r="AEO80">
        <v>47.29</v>
      </c>
      <c r="AEP80">
        <v>0</v>
      </c>
      <c r="AEQ80">
        <v>45.65</v>
      </c>
      <c r="AER80">
        <v>6.91</v>
      </c>
      <c r="AES80">
        <v>0.15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9.23</v>
      </c>
      <c r="AFB80">
        <v>4.3499999999999996</v>
      </c>
      <c r="AFC80">
        <v>6.63</v>
      </c>
      <c r="AFD80">
        <v>0</v>
      </c>
      <c r="AFE80">
        <v>0</v>
      </c>
      <c r="AFF80">
        <v>1</v>
      </c>
      <c r="AFG80">
        <v>5</v>
      </c>
      <c r="AFI80">
        <v>2</v>
      </c>
      <c r="AFS80">
        <v>1.1000000000000001</v>
      </c>
      <c r="AFT80">
        <v>0</v>
      </c>
      <c r="AGE80" s="18"/>
      <c r="AGW80">
        <v>1</v>
      </c>
      <c r="AGX80">
        <v>50</v>
      </c>
      <c r="AGY80">
        <v>1</v>
      </c>
      <c r="AGZ80">
        <v>0.27</v>
      </c>
      <c r="AHA80">
        <v>2</v>
      </c>
      <c r="AIH80" s="16">
        <v>2.82</v>
      </c>
      <c r="AII80" s="16">
        <v>1</v>
      </c>
      <c r="AIJ80" s="16">
        <v>1</v>
      </c>
      <c r="AIK80" s="16"/>
      <c r="AIL80" s="16">
        <f>1.86+1.72+2.1+7.35+1.72+1.48+0.37*3</f>
        <v>17.34</v>
      </c>
      <c r="AIM80" s="16"/>
      <c r="AIN80" s="16"/>
      <c r="AIO80" s="16"/>
      <c r="AIP80" s="16"/>
      <c r="AIQ80" s="16"/>
      <c r="AIR80" s="16"/>
      <c r="AIS80" s="16">
        <v>3.33</v>
      </c>
      <c r="AIT80" s="16">
        <v>3.32</v>
      </c>
      <c r="AIU80" s="16"/>
      <c r="AIV80" s="16"/>
      <c r="AIW80" s="16">
        <v>0</v>
      </c>
      <c r="AIX80" s="16">
        <v>0</v>
      </c>
      <c r="AIY80" s="16">
        <v>0</v>
      </c>
      <c r="AIZ80">
        <v>0</v>
      </c>
      <c r="AJA80" t="s">
        <v>435</v>
      </c>
      <c r="AJB80">
        <v>52.5</v>
      </c>
      <c r="AJC80" s="16">
        <v>71.2</v>
      </c>
      <c r="AJD80" s="16">
        <v>81</v>
      </c>
      <c r="AJE80" s="16">
        <v>44.8</v>
      </c>
      <c r="AJF80">
        <v>59.03</v>
      </c>
      <c r="AJG80">
        <v>0</v>
      </c>
      <c r="AJH80">
        <v>22.52</v>
      </c>
      <c r="AJI80">
        <v>17.8</v>
      </c>
      <c r="AJJ80">
        <v>0.65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3.42</v>
      </c>
      <c r="AJS80">
        <v>2.94</v>
      </c>
      <c r="AJT80">
        <v>0</v>
      </c>
      <c r="AJU80">
        <v>0</v>
      </c>
      <c r="AJV80">
        <v>0</v>
      </c>
      <c r="AJW80">
        <v>0</v>
      </c>
      <c r="AKJ80">
        <v>0</v>
      </c>
      <c r="AKK80">
        <v>1</v>
      </c>
      <c r="AKL80">
        <v>34</v>
      </c>
      <c r="AKM80">
        <v>8</v>
      </c>
      <c r="AKN80">
        <v>5.35</v>
      </c>
      <c r="AKO80">
        <v>1</v>
      </c>
      <c r="AKV80" s="18"/>
      <c r="ALN80">
        <v>0</v>
      </c>
    </row>
    <row r="81" spans="1:1018" x14ac:dyDescent="0.2">
      <c r="A81" s="1" t="s">
        <v>446</v>
      </c>
      <c r="B81" s="12">
        <v>42900</v>
      </c>
      <c r="C81">
        <v>1</v>
      </c>
      <c r="D81" s="13">
        <v>42790</v>
      </c>
      <c r="E81" s="12">
        <v>27940</v>
      </c>
      <c r="F81" s="14">
        <f t="shared" si="42"/>
        <v>40.958247775496233</v>
      </c>
      <c r="G81" s="14">
        <f t="shared" si="43"/>
        <v>0.30116358658453113</v>
      </c>
      <c r="H81" s="15" t="s">
        <v>228</v>
      </c>
      <c r="I81" s="15" t="s">
        <v>447</v>
      </c>
      <c r="J81" s="15" t="s">
        <v>183</v>
      </c>
      <c r="K81" s="21">
        <v>8</v>
      </c>
      <c r="L81" s="19">
        <v>64</v>
      </c>
      <c r="M81">
        <v>1.55</v>
      </c>
      <c r="N81" s="16">
        <f t="shared" si="44"/>
        <v>26.638917793964616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19">
        <v>0</v>
      </c>
      <c r="AI81" s="19">
        <v>0</v>
      </c>
      <c r="AJ81" s="19">
        <v>0</v>
      </c>
      <c r="AK81" s="19">
        <v>0</v>
      </c>
      <c r="AL81" s="19">
        <v>0</v>
      </c>
      <c r="AM81" s="19">
        <v>0</v>
      </c>
      <c r="AN81" s="19">
        <v>0</v>
      </c>
      <c r="AO81" s="19">
        <v>0</v>
      </c>
      <c r="AP81" s="19">
        <v>0</v>
      </c>
      <c r="AQ81" s="19">
        <v>0</v>
      </c>
      <c r="AR81" s="19">
        <v>0</v>
      </c>
      <c r="AS81" s="19">
        <v>0</v>
      </c>
      <c r="AT81" s="19">
        <v>0</v>
      </c>
      <c r="AU81" s="19">
        <v>0</v>
      </c>
      <c r="AV81" s="19">
        <v>0</v>
      </c>
      <c r="AW81" s="19">
        <v>0</v>
      </c>
      <c r="AX81" s="19">
        <v>0</v>
      </c>
      <c r="AY81" s="19">
        <v>0</v>
      </c>
      <c r="AZ81" s="19">
        <v>0</v>
      </c>
      <c r="BA81" s="19">
        <v>0</v>
      </c>
      <c r="BB81" s="19">
        <v>0</v>
      </c>
      <c r="BC81" s="19">
        <v>0</v>
      </c>
      <c r="BD81" s="19">
        <v>0</v>
      </c>
      <c r="BE81" s="19">
        <v>0</v>
      </c>
      <c r="BF81" s="19">
        <v>0</v>
      </c>
      <c r="BG81" s="19">
        <v>0</v>
      </c>
      <c r="BH81" s="19">
        <v>0</v>
      </c>
      <c r="BI81" s="19">
        <v>0</v>
      </c>
      <c r="BJ81" s="19">
        <v>0</v>
      </c>
      <c r="BK81" s="19">
        <v>0</v>
      </c>
      <c r="BL81" s="19">
        <v>0</v>
      </c>
      <c r="BM81" s="19">
        <v>0</v>
      </c>
      <c r="BN81" s="19">
        <v>0</v>
      </c>
      <c r="BO81" s="19">
        <v>0</v>
      </c>
      <c r="BP81" s="19">
        <v>0</v>
      </c>
      <c r="BQ81" s="19">
        <v>0</v>
      </c>
      <c r="BR81" s="19">
        <v>1</v>
      </c>
      <c r="BS81" s="19">
        <v>1</v>
      </c>
      <c r="BT81" s="19">
        <v>1</v>
      </c>
      <c r="BU81" s="19">
        <v>2</v>
      </c>
      <c r="BV81" s="19">
        <v>2</v>
      </c>
      <c r="BW81" s="19">
        <v>1</v>
      </c>
      <c r="BX81" s="19">
        <v>1</v>
      </c>
      <c r="BY81" s="19">
        <v>1</v>
      </c>
      <c r="BZ81" s="19">
        <v>3</v>
      </c>
      <c r="CA81" s="19">
        <v>3</v>
      </c>
      <c r="CB81" s="19">
        <v>4</v>
      </c>
      <c r="CC81" s="19">
        <v>5</v>
      </c>
      <c r="CD81" s="19">
        <v>3</v>
      </c>
      <c r="CE81" s="19">
        <v>5</v>
      </c>
      <c r="CF81" s="19">
        <v>4</v>
      </c>
      <c r="CG81" s="19">
        <v>5</v>
      </c>
      <c r="CH81" s="19">
        <v>3</v>
      </c>
      <c r="CI81" s="19">
        <v>3</v>
      </c>
      <c r="CJ81" s="19">
        <v>4</v>
      </c>
      <c r="CK81" s="19">
        <v>10</v>
      </c>
      <c r="CL81" t="s">
        <v>448</v>
      </c>
      <c r="CM81">
        <v>47</v>
      </c>
      <c r="CN81" s="16">
        <v>90.2</v>
      </c>
      <c r="CO81" s="16">
        <v>80.400000000000006</v>
      </c>
      <c r="CP81" s="16">
        <v>15.2</v>
      </c>
      <c r="CQ81">
        <v>86.39</v>
      </c>
      <c r="CR81">
        <v>0</v>
      </c>
      <c r="CS81">
        <v>0</v>
      </c>
      <c r="CT81">
        <v>0</v>
      </c>
      <c r="CU81">
        <v>13.61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16.36</v>
      </c>
      <c r="DD81">
        <v>23.57</v>
      </c>
      <c r="DE81">
        <v>29.14</v>
      </c>
      <c r="DF81">
        <v>0</v>
      </c>
      <c r="DG81">
        <v>0</v>
      </c>
      <c r="DH81">
        <v>0</v>
      </c>
      <c r="DU81">
        <v>23.6</v>
      </c>
      <c r="DV81">
        <v>1</v>
      </c>
      <c r="DW81">
        <v>68</v>
      </c>
      <c r="DX81">
        <v>8</v>
      </c>
      <c r="DY81">
        <f>0.76+0.03+0.27+0.05+0.03</f>
        <v>1.1400000000000001</v>
      </c>
      <c r="DZ81">
        <v>1</v>
      </c>
      <c r="EA81">
        <v>35</v>
      </c>
      <c r="EB81">
        <v>4</v>
      </c>
      <c r="EC81">
        <f>1.52+0.27</f>
        <v>1.79</v>
      </c>
      <c r="ED81">
        <v>3</v>
      </c>
      <c r="EE81">
        <v>103</v>
      </c>
      <c r="EF81">
        <v>3</v>
      </c>
      <c r="EG81" s="18">
        <v>2.02</v>
      </c>
      <c r="EH81">
        <v>3</v>
      </c>
      <c r="EY81">
        <v>1</v>
      </c>
      <c r="EZ81">
        <v>80</v>
      </c>
      <c r="FA81">
        <v>3</v>
      </c>
      <c r="FB81">
        <f>0.04*2+0.45</f>
        <v>0.53</v>
      </c>
      <c r="FC81">
        <v>3</v>
      </c>
      <c r="GJ81" s="16">
        <v>0.4</v>
      </c>
      <c r="GK81" s="16">
        <v>1</v>
      </c>
      <c r="GL81" s="16">
        <v>1</v>
      </c>
      <c r="GM81" s="16"/>
      <c r="GN81" s="16">
        <f>1.25+0.1</f>
        <v>1.35</v>
      </c>
      <c r="GO81" s="16"/>
      <c r="GP81" s="16"/>
      <c r="GQ81" s="16"/>
      <c r="GR81" s="16"/>
      <c r="GS81" s="16"/>
      <c r="GT81" s="16"/>
      <c r="GU81" s="16">
        <v>4.96</v>
      </c>
      <c r="GV81" s="16">
        <v>2.6</v>
      </c>
      <c r="GW81" s="16"/>
      <c r="GX81" s="16"/>
      <c r="GY81" s="16">
        <v>0</v>
      </c>
      <c r="GZ81" s="16">
        <v>0</v>
      </c>
      <c r="HA81" s="16">
        <v>0</v>
      </c>
      <c r="HB81">
        <v>0</v>
      </c>
      <c r="HC81" t="s">
        <v>449</v>
      </c>
      <c r="HD81">
        <v>46.5</v>
      </c>
      <c r="HE81" s="16">
        <v>82.8</v>
      </c>
      <c r="HF81" s="16">
        <v>80.400000000000006</v>
      </c>
      <c r="HG81" s="16">
        <v>14.9</v>
      </c>
      <c r="HH81">
        <v>82.52</v>
      </c>
      <c r="HI81">
        <v>0</v>
      </c>
      <c r="HJ81">
        <v>0</v>
      </c>
      <c r="HK81">
        <v>0</v>
      </c>
      <c r="HL81">
        <v>17.48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37.299999999999997</v>
      </c>
      <c r="HU81">
        <v>16.79</v>
      </c>
      <c r="HV81">
        <v>15.04</v>
      </c>
      <c r="HW81">
        <v>0</v>
      </c>
      <c r="HX81">
        <v>0</v>
      </c>
      <c r="HY81">
        <v>0</v>
      </c>
      <c r="IL81">
        <v>18.899999999999999</v>
      </c>
      <c r="IM81">
        <v>1</v>
      </c>
      <c r="IN81">
        <v>68</v>
      </c>
      <c r="IO81">
        <v>1</v>
      </c>
      <c r="IP81">
        <v>0.13</v>
      </c>
      <c r="IQ81">
        <v>1</v>
      </c>
      <c r="IR81">
        <v>35</v>
      </c>
      <c r="IS81">
        <v>3</v>
      </c>
      <c r="IT81">
        <v>2.25</v>
      </c>
      <c r="IU81">
        <v>3</v>
      </c>
      <c r="IV81">
        <v>47</v>
      </c>
      <c r="IW81">
        <v>10</v>
      </c>
      <c r="IX81" s="18">
        <f>0.27+0.08+0.08+0.11+0.61+0.04</f>
        <v>1.19</v>
      </c>
      <c r="IY81">
        <v>3</v>
      </c>
      <c r="JP81">
        <v>1</v>
      </c>
      <c r="JQ81">
        <v>80</v>
      </c>
      <c r="JR81">
        <v>1</v>
      </c>
      <c r="JS81">
        <v>0.13</v>
      </c>
      <c r="JT81">
        <v>3</v>
      </c>
      <c r="LA81" s="16">
        <v>1.1499999999999999</v>
      </c>
      <c r="LB81" s="16">
        <v>1</v>
      </c>
      <c r="LC81" s="16">
        <v>3</v>
      </c>
      <c r="LD81" s="16"/>
      <c r="LE81" s="16">
        <f>1.06+0.37*2</f>
        <v>1.8</v>
      </c>
      <c r="LF81" s="16"/>
      <c r="LG81" s="16"/>
      <c r="LH81" s="16"/>
      <c r="LI81" s="16"/>
      <c r="LJ81" s="16"/>
      <c r="LK81" s="16"/>
      <c r="LL81" s="16">
        <v>9.75</v>
      </c>
      <c r="LM81" s="16">
        <v>11.26</v>
      </c>
      <c r="LN81" s="16"/>
      <c r="LO81" s="16"/>
      <c r="LP81" s="16">
        <v>0</v>
      </c>
      <c r="LQ81" s="16">
        <v>0</v>
      </c>
      <c r="LR81" s="16">
        <v>0</v>
      </c>
      <c r="LS81">
        <v>0</v>
      </c>
      <c r="LT81" t="s">
        <v>450</v>
      </c>
      <c r="LU81">
        <v>33.5</v>
      </c>
      <c r="LV81" s="16">
        <v>82.2</v>
      </c>
      <c r="LW81" s="16">
        <v>80.400000000000006</v>
      </c>
      <c r="LX81" s="16">
        <v>19.5</v>
      </c>
      <c r="LY81">
        <v>80.12</v>
      </c>
      <c r="LZ81">
        <v>0</v>
      </c>
      <c r="MA81">
        <v>0</v>
      </c>
      <c r="MB81">
        <v>0</v>
      </c>
      <c r="MC81">
        <v>19.88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16.82</v>
      </c>
      <c r="MM81">
        <v>20.29</v>
      </c>
      <c r="MN81">
        <v>0</v>
      </c>
      <c r="MO81">
        <v>0</v>
      </c>
      <c r="MP81">
        <v>0</v>
      </c>
      <c r="NC81">
        <v>0</v>
      </c>
      <c r="ND81">
        <v>0</v>
      </c>
      <c r="NO81" s="18"/>
      <c r="OG81">
        <v>0</v>
      </c>
      <c r="PR81" s="16">
        <v>2.4300000000000002</v>
      </c>
      <c r="PS81" s="16">
        <v>1</v>
      </c>
      <c r="PT81" s="16">
        <v>2</v>
      </c>
      <c r="PU81" s="16"/>
      <c r="PV81" s="16">
        <f>8.46+0.21+0.37</f>
        <v>9.0400000000000009</v>
      </c>
      <c r="PW81" s="16"/>
      <c r="PX81" s="16"/>
      <c r="PY81" s="16"/>
      <c r="PZ81" s="16"/>
      <c r="QA81" s="16"/>
      <c r="QB81" s="16"/>
      <c r="QC81" s="16">
        <v>9.41</v>
      </c>
      <c r="QD81" s="16">
        <v>22.76</v>
      </c>
      <c r="QE81" s="16"/>
      <c r="QF81" s="16"/>
      <c r="QG81" s="16">
        <v>0</v>
      </c>
      <c r="QH81" s="16">
        <v>0</v>
      </c>
      <c r="QI81" s="16">
        <v>0</v>
      </c>
      <c r="QJ81">
        <v>0</v>
      </c>
      <c r="QK81" t="s">
        <v>451</v>
      </c>
      <c r="QL81">
        <v>48.5</v>
      </c>
      <c r="QM81" s="16">
        <v>83.8</v>
      </c>
      <c r="QN81" s="16">
        <v>80.400000000000006</v>
      </c>
      <c r="QO81" s="16">
        <v>34.299999999999997</v>
      </c>
      <c r="QP81">
        <v>70.08</v>
      </c>
      <c r="QQ81">
        <v>0</v>
      </c>
      <c r="QR81">
        <v>18.239999999999998</v>
      </c>
      <c r="QS81">
        <v>1.05</v>
      </c>
      <c r="QT81">
        <v>1.1399999999999999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19.39</v>
      </c>
      <c r="RB81">
        <v>3.64</v>
      </c>
      <c r="RC81">
        <v>13.61</v>
      </c>
      <c r="RD81">
        <v>5.23</v>
      </c>
      <c r="RE81">
        <v>9.49</v>
      </c>
      <c r="RF81">
        <v>2.6</v>
      </c>
      <c r="RG81">
        <v>2</v>
      </c>
      <c r="RH81">
        <v>3</v>
      </c>
      <c r="RI81">
        <v>1.01</v>
      </c>
      <c r="RN81">
        <v>3</v>
      </c>
      <c r="RO81">
        <v>1.01</v>
      </c>
      <c r="RT81">
        <v>1.7</v>
      </c>
      <c r="RU81">
        <v>0</v>
      </c>
      <c r="SF81" s="18"/>
      <c r="SX81">
        <v>1</v>
      </c>
      <c r="SY81">
        <v>60</v>
      </c>
      <c r="SZ81">
        <v>1</v>
      </c>
      <c r="TA81">
        <v>1.05</v>
      </c>
      <c r="TB81">
        <v>1</v>
      </c>
      <c r="UI81" s="16">
        <v>3.52</v>
      </c>
      <c r="UJ81" s="16">
        <v>1</v>
      </c>
      <c r="UK81" s="16">
        <v>2</v>
      </c>
      <c r="UL81" s="16"/>
      <c r="UM81" s="16">
        <f>4.23+0.13</f>
        <v>4.3600000000000003</v>
      </c>
      <c r="UN81" s="16"/>
      <c r="UO81" s="16"/>
      <c r="UP81" s="16"/>
      <c r="UQ81" s="16"/>
      <c r="UR81" s="16"/>
      <c r="US81" s="16"/>
      <c r="UT81" s="16">
        <v>0</v>
      </c>
      <c r="UU81" s="16">
        <v>0</v>
      </c>
      <c r="UV81" s="16"/>
      <c r="UW81" s="16"/>
      <c r="UX81" s="16">
        <v>5.97</v>
      </c>
      <c r="UY81" s="16">
        <v>0</v>
      </c>
      <c r="UZ81" s="16">
        <v>0</v>
      </c>
      <c r="VA81">
        <v>1</v>
      </c>
      <c r="VB81" t="s">
        <v>452</v>
      </c>
      <c r="VC81">
        <v>48</v>
      </c>
      <c r="VD81" s="16">
        <v>86.2</v>
      </c>
      <c r="VE81" s="16">
        <v>80.400000000000006</v>
      </c>
      <c r="VF81" s="16">
        <v>34.299999999999997</v>
      </c>
      <c r="VG81">
        <v>70.08</v>
      </c>
      <c r="VH81">
        <v>0</v>
      </c>
      <c r="VI81">
        <v>18.239999999999998</v>
      </c>
      <c r="VJ81">
        <v>1.05</v>
      </c>
      <c r="VK81">
        <v>1.1399999999999999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19.39</v>
      </c>
      <c r="VS81">
        <v>3.64</v>
      </c>
      <c r="VT81">
        <v>13.61</v>
      </c>
      <c r="VU81">
        <v>5.23</v>
      </c>
      <c r="VV81">
        <v>9.49</v>
      </c>
      <c r="VW81">
        <v>2.6</v>
      </c>
      <c r="VX81">
        <v>2</v>
      </c>
      <c r="VY81">
        <v>3</v>
      </c>
      <c r="VZ81">
        <v>1.01</v>
      </c>
      <c r="WE81">
        <v>3</v>
      </c>
      <c r="WF81">
        <v>1.01</v>
      </c>
      <c r="WK81">
        <v>1.7</v>
      </c>
      <c r="WL81">
        <v>0</v>
      </c>
      <c r="WW81" s="18"/>
      <c r="XO81">
        <v>1</v>
      </c>
      <c r="XP81">
        <v>60</v>
      </c>
      <c r="XQ81">
        <v>1</v>
      </c>
      <c r="XR81">
        <v>1.05</v>
      </c>
      <c r="XS81">
        <v>1</v>
      </c>
      <c r="YZ81" s="16">
        <v>3.52</v>
      </c>
      <c r="ZA81" s="16">
        <v>1</v>
      </c>
      <c r="ZB81" s="16">
        <v>2</v>
      </c>
      <c r="ZC81" s="16"/>
      <c r="ZD81" s="16">
        <f>4.23+0.13</f>
        <v>4.3600000000000003</v>
      </c>
      <c r="ZE81" s="16"/>
      <c r="ZF81" s="16"/>
      <c r="ZG81" s="16"/>
      <c r="ZH81" s="16"/>
      <c r="ZI81" s="16"/>
      <c r="ZJ81" s="16"/>
      <c r="ZK81" s="16">
        <v>0</v>
      </c>
      <c r="ZL81" s="16">
        <v>0</v>
      </c>
      <c r="ZM81" s="16"/>
      <c r="ZN81" s="16"/>
      <c r="ZO81" s="16">
        <v>5.97</v>
      </c>
      <c r="ZP81" s="16">
        <v>0</v>
      </c>
      <c r="ZQ81" s="16">
        <v>0</v>
      </c>
      <c r="ZR81">
        <v>0</v>
      </c>
      <c r="ZS81" t="s">
        <v>453</v>
      </c>
      <c r="ZT81">
        <v>37.5</v>
      </c>
      <c r="ZU81" s="16">
        <v>79.400000000000006</v>
      </c>
      <c r="ZV81" s="16">
        <v>80.400000000000006</v>
      </c>
      <c r="ZW81" s="16">
        <v>10.9</v>
      </c>
      <c r="ZX81">
        <v>97.51</v>
      </c>
      <c r="ZY81">
        <v>0</v>
      </c>
      <c r="ZZ81">
        <v>2.4900000000000002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7.79</v>
      </c>
      <c r="AAK81">
        <v>20.079999999999998</v>
      </c>
      <c r="AAL81">
        <v>23.98</v>
      </c>
      <c r="AAM81">
        <v>0</v>
      </c>
      <c r="AAN81">
        <v>0</v>
      </c>
      <c r="AAO81">
        <v>0</v>
      </c>
      <c r="ABB81">
        <v>5.0999999999999996</v>
      </c>
      <c r="ABC81">
        <v>1</v>
      </c>
      <c r="ABD81">
        <v>52</v>
      </c>
      <c r="ABE81">
        <v>3</v>
      </c>
      <c r="ABF81">
        <v>0.14000000000000001</v>
      </c>
      <c r="ABG81">
        <v>2</v>
      </c>
      <c r="ABH81">
        <v>47</v>
      </c>
      <c r="ABI81">
        <v>7</v>
      </c>
      <c r="ABJ81">
        <f>0.13+0.27+0.04+0.04+0.13+0.13</f>
        <v>0.74</v>
      </c>
      <c r="ABK81">
        <v>3</v>
      </c>
      <c r="ABN81" s="18"/>
      <c r="ACF81">
        <v>0</v>
      </c>
      <c r="ADQ81" s="16">
        <v>4.4800000000000004</v>
      </c>
      <c r="ADR81" s="16">
        <v>1</v>
      </c>
      <c r="ADS81" s="16">
        <v>2</v>
      </c>
      <c r="ADT81" s="16"/>
      <c r="ADU81" s="16">
        <f>3.17+6.34+0.56+1.12</f>
        <v>11.190000000000001</v>
      </c>
      <c r="ADV81" s="16"/>
      <c r="ADW81" s="16"/>
      <c r="ADX81" s="16"/>
      <c r="ADY81" s="16"/>
      <c r="ADZ81" s="16"/>
      <c r="AEA81" s="16"/>
      <c r="AEB81" s="16">
        <v>13.79</v>
      </c>
      <c r="AEC81" s="16">
        <v>38.270000000000003</v>
      </c>
      <c r="AED81" s="16"/>
      <c r="AEE81" s="16"/>
      <c r="AEF81" s="16">
        <v>0</v>
      </c>
      <c r="AEG81" s="16">
        <v>0</v>
      </c>
      <c r="AEH81" s="16">
        <v>0</v>
      </c>
      <c r="AEI81">
        <v>0</v>
      </c>
      <c r="AEK81" s="15"/>
      <c r="AEL81" s="15"/>
      <c r="AES81" s="15"/>
      <c r="AET81" s="15"/>
      <c r="AFA81" s="15"/>
      <c r="AFB81" s="15"/>
      <c r="AFI81" s="15"/>
      <c r="AFJ81" s="15"/>
      <c r="AFQ81" s="15"/>
      <c r="AFR81" s="15"/>
      <c r="AFY81" s="15"/>
      <c r="AFZ81" s="15"/>
      <c r="AGG81" s="15"/>
      <c r="AGH81" s="15"/>
      <c r="AGO81" s="15"/>
      <c r="AGP81" s="15"/>
      <c r="AGW81" s="15"/>
      <c r="AGX81" s="15"/>
      <c r="AHE81" s="15"/>
      <c r="AHF81" s="15"/>
      <c r="AHM81" s="15"/>
      <c r="AHN81" s="15"/>
      <c r="AHU81" s="15"/>
      <c r="AHV81" s="15"/>
      <c r="AIC81" s="15"/>
      <c r="AID81" s="15"/>
      <c r="AIK81" s="15"/>
      <c r="AIL81" s="15"/>
      <c r="AIS81" s="15"/>
      <c r="AIT81" s="15"/>
      <c r="AJA81" s="15"/>
      <c r="AJB81" s="15"/>
      <c r="AJI81" s="15"/>
      <c r="AJJ81" s="15"/>
      <c r="AJQ81" s="15"/>
      <c r="AJR81" s="15"/>
      <c r="AJY81" s="15"/>
      <c r="AJZ81" s="15"/>
      <c r="AKG81" s="15"/>
      <c r="AKH81" s="15"/>
      <c r="AKO81" s="15"/>
      <c r="AKP81" s="15"/>
      <c r="AKW81" s="15"/>
      <c r="AKX81" s="15"/>
      <c r="ALE81" s="15"/>
      <c r="ALF81" s="15"/>
      <c r="ALM81" s="15"/>
      <c r="ALN81" s="15"/>
      <c r="ALU81" s="15"/>
      <c r="ALV81" s="15"/>
      <c r="AMC81" s="15"/>
      <c r="AMD81" s="15"/>
    </row>
    <row r="82" spans="1:1018" x14ac:dyDescent="0.2">
      <c r="A82" s="1" t="s">
        <v>454</v>
      </c>
      <c r="B82" s="12">
        <v>42899</v>
      </c>
      <c r="C82">
        <v>2</v>
      </c>
      <c r="D82" s="13">
        <v>40700</v>
      </c>
      <c r="E82" s="12">
        <v>28414</v>
      </c>
      <c r="F82" s="14">
        <f t="shared" si="42"/>
        <v>39.657768651608485</v>
      </c>
      <c r="G82" s="14">
        <f t="shared" si="43"/>
        <v>6.020533880903491</v>
      </c>
      <c r="H82" s="15" t="s">
        <v>228</v>
      </c>
      <c r="I82" s="15" t="s">
        <v>447</v>
      </c>
      <c r="J82" s="15" t="s">
        <v>181</v>
      </c>
      <c r="K82" s="21">
        <v>4</v>
      </c>
      <c r="L82" s="19">
        <v>68</v>
      </c>
      <c r="M82">
        <v>1.67</v>
      </c>
      <c r="N82" s="16">
        <f t="shared" si="44"/>
        <v>24.382372978593711</v>
      </c>
      <c r="O82" s="19">
        <v>0</v>
      </c>
      <c r="P82" s="19">
        <v>0</v>
      </c>
      <c r="Q82" s="19">
        <v>0</v>
      </c>
      <c r="R82" s="19">
        <v>0</v>
      </c>
      <c r="S82" s="19">
        <v>0</v>
      </c>
      <c r="T82" s="19">
        <v>0</v>
      </c>
      <c r="U82" s="19">
        <v>0</v>
      </c>
      <c r="V82" s="19">
        <v>0</v>
      </c>
      <c r="W82" s="19">
        <v>1</v>
      </c>
      <c r="X82" s="19">
        <v>0</v>
      </c>
      <c r="Y82" s="19">
        <v>0</v>
      </c>
      <c r="Z82" s="19">
        <v>0</v>
      </c>
      <c r="AA82" s="19">
        <v>0</v>
      </c>
      <c r="AB82" s="19">
        <v>0</v>
      </c>
      <c r="AC82" s="19">
        <v>0</v>
      </c>
      <c r="AD82" s="19">
        <v>0</v>
      </c>
      <c r="AE82" s="19">
        <v>0</v>
      </c>
      <c r="AF82" s="19">
        <v>0</v>
      </c>
      <c r="AG82" s="19">
        <v>0</v>
      </c>
      <c r="AH82" s="19">
        <v>0</v>
      </c>
      <c r="AI82" s="19">
        <v>0</v>
      </c>
      <c r="AJ82" s="19">
        <v>0</v>
      </c>
      <c r="AK82" s="19">
        <v>0</v>
      </c>
      <c r="AL82" s="19">
        <v>0</v>
      </c>
      <c r="AM82" s="19">
        <v>0</v>
      </c>
      <c r="AN82" s="19">
        <v>0</v>
      </c>
      <c r="AO82" s="19">
        <v>0</v>
      </c>
      <c r="AP82" s="19">
        <v>0</v>
      </c>
      <c r="AQ82" s="19">
        <v>0</v>
      </c>
      <c r="AR82" s="19">
        <v>0</v>
      </c>
      <c r="AS82" s="19">
        <v>1</v>
      </c>
      <c r="AT82" s="19">
        <v>1</v>
      </c>
      <c r="AU82" s="19">
        <v>1</v>
      </c>
      <c r="AV82" s="19">
        <v>3</v>
      </c>
      <c r="AW82" s="19">
        <v>0</v>
      </c>
      <c r="AX82" s="19">
        <v>0</v>
      </c>
      <c r="AY82" s="19">
        <v>0</v>
      </c>
      <c r="AZ82" s="19">
        <v>0</v>
      </c>
      <c r="BA82" s="19">
        <v>0</v>
      </c>
      <c r="BB82" s="19">
        <v>1</v>
      </c>
      <c r="BC82" s="19">
        <v>1</v>
      </c>
      <c r="BD82" s="19">
        <v>1</v>
      </c>
      <c r="BE82" s="19">
        <v>2</v>
      </c>
      <c r="BF82" s="19">
        <v>0</v>
      </c>
      <c r="BG82" s="19">
        <v>0</v>
      </c>
      <c r="BH82" s="19">
        <v>0</v>
      </c>
      <c r="BI82" s="19">
        <v>0</v>
      </c>
      <c r="BJ82" s="19">
        <v>0</v>
      </c>
      <c r="BK82" s="19">
        <v>0</v>
      </c>
      <c r="BL82" s="19">
        <v>0</v>
      </c>
      <c r="BM82" s="19">
        <v>0</v>
      </c>
      <c r="BN82" s="19">
        <v>0</v>
      </c>
      <c r="BO82" s="19">
        <v>0</v>
      </c>
      <c r="BP82" s="19">
        <v>0</v>
      </c>
      <c r="BQ82" s="19">
        <v>0</v>
      </c>
      <c r="BR82" s="19">
        <v>1</v>
      </c>
      <c r="BS82" s="19">
        <v>1</v>
      </c>
      <c r="BT82" s="19">
        <v>1</v>
      </c>
      <c r="BU82" s="19">
        <v>3</v>
      </c>
      <c r="BV82" s="19">
        <v>1</v>
      </c>
      <c r="BW82" s="19">
        <v>1</v>
      </c>
      <c r="BX82" s="19">
        <v>1</v>
      </c>
      <c r="BY82" s="19">
        <v>3</v>
      </c>
      <c r="BZ82" s="19">
        <v>3</v>
      </c>
      <c r="CA82" s="19">
        <v>3</v>
      </c>
      <c r="CB82" s="19">
        <v>5</v>
      </c>
      <c r="CC82" s="19">
        <v>5</v>
      </c>
      <c r="CD82" s="19">
        <v>3</v>
      </c>
      <c r="CE82" s="19">
        <v>5</v>
      </c>
      <c r="CF82" s="19">
        <v>5</v>
      </c>
      <c r="CG82" s="19">
        <v>5</v>
      </c>
      <c r="CH82" s="19">
        <v>3</v>
      </c>
      <c r="CI82" s="19">
        <v>3</v>
      </c>
      <c r="CJ82" s="19">
        <v>5</v>
      </c>
      <c r="CK82" s="19"/>
      <c r="CL82">
        <v>57</v>
      </c>
      <c r="CM82">
        <v>24.5</v>
      </c>
      <c r="CN82" s="16">
        <v>70</v>
      </c>
      <c r="CO82" s="16">
        <v>80.400000000000006</v>
      </c>
      <c r="CP82" s="16">
        <v>15.5</v>
      </c>
      <c r="CQ82">
        <v>85.6</v>
      </c>
      <c r="CR82">
        <v>0</v>
      </c>
      <c r="CS82">
        <v>0</v>
      </c>
      <c r="CT82">
        <v>0</v>
      </c>
      <c r="CU82">
        <v>14.4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6.46</v>
      </c>
      <c r="DD82">
        <v>24.97</v>
      </c>
      <c r="DE82">
        <v>15</v>
      </c>
      <c r="DF82">
        <v>0</v>
      </c>
      <c r="DG82">
        <v>0</v>
      </c>
      <c r="DH82">
        <v>0</v>
      </c>
      <c r="DU82">
        <v>3.6</v>
      </c>
      <c r="DV82">
        <v>1</v>
      </c>
      <c r="DW82">
        <v>35</v>
      </c>
      <c r="DX82">
        <v>1</v>
      </c>
      <c r="DY82">
        <v>0.76</v>
      </c>
      <c r="DZ82">
        <v>3</v>
      </c>
      <c r="EG82" s="18"/>
      <c r="EY82">
        <v>1</v>
      </c>
      <c r="EZ82">
        <v>60</v>
      </c>
      <c r="FA82">
        <v>5</v>
      </c>
      <c r="FB82">
        <f>2.04+0.14</f>
        <v>2.1800000000000002</v>
      </c>
      <c r="FC82">
        <v>3</v>
      </c>
      <c r="GJ82" s="16">
        <v>0.63</v>
      </c>
      <c r="GK82" s="16">
        <v>1</v>
      </c>
      <c r="GL82" s="16">
        <v>1</v>
      </c>
      <c r="GM82" s="16"/>
      <c r="GN82" s="16">
        <v>4.2300000000000004</v>
      </c>
      <c r="GO82" s="16"/>
      <c r="GP82" s="16"/>
      <c r="GQ82" s="16"/>
      <c r="GR82" s="16"/>
      <c r="GS82" s="16"/>
      <c r="GT82" s="16"/>
      <c r="GU82" s="16">
        <v>3.25</v>
      </c>
      <c r="GV82" s="16">
        <v>3.26</v>
      </c>
      <c r="GW82" s="16"/>
      <c r="GX82" s="16"/>
      <c r="GY82" s="16">
        <v>0</v>
      </c>
      <c r="GZ82" s="16">
        <v>0</v>
      </c>
      <c r="HA82" s="16">
        <v>0</v>
      </c>
      <c r="HB82">
        <v>0</v>
      </c>
      <c r="HC82" t="s">
        <v>455</v>
      </c>
      <c r="HD82">
        <v>48.5</v>
      </c>
      <c r="HE82" s="16">
        <v>90.8</v>
      </c>
      <c r="HF82" s="16">
        <v>80.400000000000006</v>
      </c>
      <c r="HG82" s="16">
        <v>27.5</v>
      </c>
      <c r="HH82">
        <v>74.34</v>
      </c>
      <c r="HI82">
        <v>0</v>
      </c>
      <c r="HJ82">
        <v>12.29</v>
      </c>
      <c r="HK82">
        <v>0</v>
      </c>
      <c r="HL82">
        <v>13.37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14.01</v>
      </c>
      <c r="HV82">
        <v>63.09</v>
      </c>
      <c r="HW82">
        <v>0</v>
      </c>
      <c r="HX82">
        <v>0</v>
      </c>
      <c r="HY82">
        <v>0</v>
      </c>
      <c r="IL82">
        <v>13</v>
      </c>
      <c r="IM82">
        <v>1</v>
      </c>
      <c r="IN82">
        <v>34</v>
      </c>
      <c r="IO82">
        <v>11</v>
      </c>
      <c r="IP82">
        <f>11.42+1.34</f>
        <v>12.76</v>
      </c>
      <c r="IQ82">
        <v>1</v>
      </c>
      <c r="IR82">
        <v>68</v>
      </c>
      <c r="IS82">
        <v>15</v>
      </c>
      <c r="IT82">
        <v>2.8</v>
      </c>
      <c r="IU82">
        <v>1</v>
      </c>
      <c r="IX82" s="18"/>
      <c r="JP82">
        <v>1</v>
      </c>
      <c r="JQ82">
        <v>60</v>
      </c>
      <c r="JR82">
        <v>20</v>
      </c>
      <c r="JS82">
        <v>15.23</v>
      </c>
      <c r="JT82">
        <v>3</v>
      </c>
      <c r="LA82" s="16">
        <v>0</v>
      </c>
      <c r="LB82" s="16">
        <v>0</v>
      </c>
      <c r="LC82" s="16"/>
      <c r="LD82" s="16"/>
      <c r="LE82" s="16"/>
      <c r="LF82" s="16"/>
      <c r="LG82" s="16"/>
      <c r="LH82" s="16"/>
      <c r="LI82" s="16"/>
      <c r="LJ82" s="16"/>
      <c r="LK82" s="16"/>
      <c r="LL82" s="16">
        <v>0</v>
      </c>
      <c r="LM82" s="16">
        <v>0</v>
      </c>
      <c r="LN82" s="16"/>
      <c r="LO82" s="16"/>
      <c r="LP82" s="16">
        <v>7.46</v>
      </c>
      <c r="LQ82" s="16">
        <v>0</v>
      </c>
      <c r="LR82" s="16">
        <v>0</v>
      </c>
      <c r="LS82">
        <v>1</v>
      </c>
      <c r="LT82" t="s">
        <v>448</v>
      </c>
      <c r="LU82">
        <v>47</v>
      </c>
      <c r="LV82" s="16">
        <v>90.2</v>
      </c>
      <c r="LW82" s="16">
        <v>80.400000000000006</v>
      </c>
      <c r="LX82" s="16">
        <v>15.2</v>
      </c>
      <c r="LY82">
        <v>86.39</v>
      </c>
      <c r="LZ82">
        <v>0</v>
      </c>
      <c r="MA82">
        <v>0</v>
      </c>
      <c r="MB82">
        <v>0</v>
      </c>
      <c r="MC82">
        <v>13.61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16.36</v>
      </c>
      <c r="ML82">
        <v>23.57</v>
      </c>
      <c r="MM82">
        <v>29.14</v>
      </c>
      <c r="MN82">
        <v>0</v>
      </c>
      <c r="MO82">
        <v>0</v>
      </c>
      <c r="MP82">
        <v>0</v>
      </c>
      <c r="NC82">
        <v>23.6</v>
      </c>
      <c r="ND82">
        <v>1</v>
      </c>
      <c r="NE82">
        <v>68</v>
      </c>
      <c r="NF82">
        <v>8</v>
      </c>
      <c r="NG82">
        <f>0.76+0.03+0.27+0.05+0.03</f>
        <v>1.1400000000000001</v>
      </c>
      <c r="NH82">
        <v>1</v>
      </c>
      <c r="NI82">
        <v>35</v>
      </c>
      <c r="NJ82">
        <v>4</v>
      </c>
      <c r="NK82">
        <f>1.52+0.27</f>
        <v>1.79</v>
      </c>
      <c r="NL82">
        <v>3</v>
      </c>
      <c r="NM82">
        <v>103</v>
      </c>
      <c r="NN82">
        <v>3</v>
      </c>
      <c r="NO82" s="18">
        <v>2.02</v>
      </c>
      <c r="NP82">
        <v>3</v>
      </c>
      <c r="OG82">
        <v>1</v>
      </c>
      <c r="OH82">
        <v>80</v>
      </c>
      <c r="OI82">
        <v>3</v>
      </c>
      <c r="OJ82">
        <f>0.04*2+0.45</f>
        <v>0.53</v>
      </c>
      <c r="OK82">
        <v>3</v>
      </c>
      <c r="PR82" s="16">
        <v>0.4</v>
      </c>
      <c r="PS82" s="16">
        <v>1</v>
      </c>
      <c r="PT82" s="16">
        <v>1</v>
      </c>
      <c r="PU82" s="16"/>
      <c r="PV82" s="16">
        <f>1.25+0.1</f>
        <v>1.35</v>
      </c>
      <c r="PW82" s="16"/>
      <c r="PX82" s="16"/>
      <c r="PY82" s="16"/>
      <c r="PZ82" s="16"/>
      <c r="QA82" s="16"/>
      <c r="QB82" s="16"/>
      <c r="QC82" s="16">
        <v>4.96</v>
      </c>
      <c r="QD82" s="16">
        <v>2.6</v>
      </c>
      <c r="QE82" s="16"/>
      <c r="QF82" s="16"/>
      <c r="QG82" s="16">
        <v>0</v>
      </c>
      <c r="QH82" s="16">
        <v>0</v>
      </c>
      <c r="QI82" s="16">
        <v>0</v>
      </c>
      <c r="QJ82">
        <v>0</v>
      </c>
      <c r="QK82" t="s">
        <v>449</v>
      </c>
      <c r="QL82">
        <v>46.5</v>
      </c>
      <c r="QM82" s="16">
        <v>82.8</v>
      </c>
      <c r="QN82" s="16">
        <v>80.400000000000006</v>
      </c>
      <c r="QO82" s="16">
        <v>14.9</v>
      </c>
      <c r="QP82">
        <v>82.52</v>
      </c>
      <c r="QQ82">
        <v>0</v>
      </c>
      <c r="QR82">
        <v>0</v>
      </c>
      <c r="QS82">
        <v>0</v>
      </c>
      <c r="QT82">
        <v>17.48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37.299999999999997</v>
      </c>
      <c r="RC82">
        <v>16.79</v>
      </c>
      <c r="RD82">
        <v>15.04</v>
      </c>
      <c r="RE82">
        <v>0</v>
      </c>
      <c r="RF82">
        <v>0</v>
      </c>
      <c r="RG82">
        <v>0</v>
      </c>
      <c r="RT82">
        <v>18.899999999999999</v>
      </c>
      <c r="RU82">
        <v>1</v>
      </c>
      <c r="RV82">
        <v>68</v>
      </c>
      <c r="RW82">
        <v>1</v>
      </c>
      <c r="RX82">
        <v>0.13</v>
      </c>
      <c r="RY82">
        <v>1</v>
      </c>
      <c r="RZ82">
        <v>35</v>
      </c>
      <c r="SA82">
        <v>3</v>
      </c>
      <c r="SB82">
        <v>2.25</v>
      </c>
      <c r="SC82">
        <v>3</v>
      </c>
      <c r="SD82">
        <v>47</v>
      </c>
      <c r="SE82">
        <v>10</v>
      </c>
      <c r="SF82" s="18">
        <f>0.27+0.08+0.08+0.11+0.61+0.04</f>
        <v>1.19</v>
      </c>
      <c r="SG82">
        <v>3</v>
      </c>
      <c r="SX82">
        <v>1</v>
      </c>
      <c r="SY82">
        <v>80</v>
      </c>
      <c r="SZ82">
        <v>1</v>
      </c>
      <c r="TA82">
        <v>0.13</v>
      </c>
      <c r="TB82">
        <v>3</v>
      </c>
      <c r="UI82" s="16">
        <v>1.1499999999999999</v>
      </c>
      <c r="UJ82" s="16">
        <v>1</v>
      </c>
      <c r="UK82" s="16">
        <v>3</v>
      </c>
      <c r="UL82" s="16"/>
      <c r="UM82" s="16">
        <f>1.06+0.37*2</f>
        <v>1.8</v>
      </c>
      <c r="UN82" s="16"/>
      <c r="UO82" s="16"/>
      <c r="UP82" s="16"/>
      <c r="UQ82" s="16"/>
      <c r="UR82" s="16"/>
      <c r="US82" s="16"/>
      <c r="UT82" s="16">
        <v>9.75</v>
      </c>
      <c r="UU82" s="16">
        <v>11.26</v>
      </c>
      <c r="UV82" s="16"/>
      <c r="UW82" s="16"/>
      <c r="UX82" s="16">
        <v>0</v>
      </c>
      <c r="UY82" s="16">
        <v>0</v>
      </c>
      <c r="UZ82" s="16">
        <v>0</v>
      </c>
      <c r="VA82">
        <v>0</v>
      </c>
      <c r="VB82" t="s">
        <v>456</v>
      </c>
      <c r="VC82">
        <v>79.5</v>
      </c>
      <c r="VD82" s="16">
        <v>92.6</v>
      </c>
      <c r="VE82" s="16">
        <v>80.400000000000006</v>
      </c>
      <c r="VF82" s="16">
        <v>25.3</v>
      </c>
      <c r="VG82">
        <v>77.91</v>
      </c>
      <c r="VH82">
        <v>0</v>
      </c>
      <c r="VI82">
        <v>0.76</v>
      </c>
      <c r="VJ82">
        <v>0</v>
      </c>
      <c r="VK82">
        <v>21.33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4.99</v>
      </c>
      <c r="VS82">
        <v>0</v>
      </c>
      <c r="VT82">
        <v>5.93</v>
      </c>
      <c r="VU82">
        <v>41.31</v>
      </c>
      <c r="VV82">
        <v>0</v>
      </c>
      <c r="VW82">
        <v>10.6</v>
      </c>
      <c r="VX82">
        <v>2</v>
      </c>
      <c r="VY82">
        <v>3</v>
      </c>
      <c r="VZ82">
        <v>6.39</v>
      </c>
      <c r="WE82">
        <v>3</v>
      </c>
      <c r="WF82">
        <v>6.39</v>
      </c>
      <c r="WK82">
        <v>19.899999999999999</v>
      </c>
      <c r="WL82">
        <v>1</v>
      </c>
      <c r="WM82">
        <v>52</v>
      </c>
      <c r="WN82">
        <v>2</v>
      </c>
      <c r="WO82">
        <f>0.05+0.08</f>
        <v>0.13</v>
      </c>
      <c r="WP82">
        <v>2</v>
      </c>
      <c r="WQ82">
        <v>47</v>
      </c>
      <c r="WR82">
        <v>12</v>
      </c>
      <c r="WS82">
        <f>1.52+0.11+0.27+0.07+0.1+0.16+0.13+0.13</f>
        <v>2.4900000000000002</v>
      </c>
      <c r="WT82">
        <v>3</v>
      </c>
      <c r="WW82" s="18"/>
      <c r="XO82">
        <v>0</v>
      </c>
      <c r="YZ82" s="16">
        <v>6.39</v>
      </c>
      <c r="ZA82" s="16">
        <v>1</v>
      </c>
      <c r="ZB82" s="16">
        <v>2</v>
      </c>
      <c r="ZC82" s="16"/>
      <c r="ZD82" s="16">
        <f>2.11+1.52+2.11+0.3+0.22*2</f>
        <v>6.48</v>
      </c>
      <c r="ZE82" s="16"/>
      <c r="ZF82" s="16"/>
      <c r="ZG82" s="16"/>
      <c r="ZH82" s="16"/>
      <c r="ZI82" s="16"/>
      <c r="ZJ82" s="16"/>
      <c r="ZK82" s="16">
        <v>14.55</v>
      </c>
      <c r="ZL82" s="16">
        <v>28.78</v>
      </c>
      <c r="ZM82" s="16"/>
      <c r="ZN82" s="16"/>
      <c r="ZO82" s="16">
        <v>0</v>
      </c>
      <c r="ZP82" s="16">
        <v>0</v>
      </c>
      <c r="ZQ82" s="16">
        <v>0</v>
      </c>
      <c r="ZR82">
        <v>0</v>
      </c>
      <c r="ZS82" t="s">
        <v>450</v>
      </c>
      <c r="ZT82">
        <v>33.5</v>
      </c>
      <c r="ZU82" s="16">
        <v>82.2</v>
      </c>
      <c r="ZV82" s="16">
        <v>80.400000000000006</v>
      </c>
      <c r="ZW82" s="16">
        <v>19.5</v>
      </c>
      <c r="ZX82">
        <v>80.12</v>
      </c>
      <c r="ZY82">
        <v>0</v>
      </c>
      <c r="ZZ82">
        <v>0</v>
      </c>
      <c r="AAA82">
        <v>0</v>
      </c>
      <c r="AAB82">
        <v>19.88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16.82</v>
      </c>
      <c r="AAL82">
        <v>20.29</v>
      </c>
      <c r="AAM82">
        <v>0</v>
      </c>
      <c r="AAN82">
        <v>0</v>
      </c>
      <c r="AAO82">
        <v>0</v>
      </c>
      <c r="ABB82">
        <v>0</v>
      </c>
      <c r="ABC82">
        <v>0</v>
      </c>
      <c r="ABN82" s="18"/>
      <c r="ACF82">
        <v>0</v>
      </c>
      <c r="ADQ82" s="16">
        <v>2.4300000000000002</v>
      </c>
      <c r="ADR82" s="16">
        <v>1</v>
      </c>
      <c r="ADS82" s="16">
        <v>2</v>
      </c>
      <c r="ADT82" s="16"/>
      <c r="ADU82" s="16">
        <f>8.46+0.21+0.37</f>
        <v>9.0400000000000009</v>
      </c>
      <c r="ADV82" s="16"/>
      <c r="ADW82" s="16"/>
      <c r="ADX82" s="16"/>
      <c r="ADY82" s="16"/>
      <c r="ADZ82" s="16"/>
      <c r="AEA82" s="16"/>
      <c r="AEB82" s="16">
        <v>9.41</v>
      </c>
      <c r="AEC82" s="16">
        <v>22.76</v>
      </c>
      <c r="AED82" s="16"/>
      <c r="AEE82" s="16"/>
      <c r="AEF82" s="16">
        <v>0</v>
      </c>
      <c r="AEG82" s="16">
        <v>0</v>
      </c>
      <c r="AEH82" s="16">
        <v>0</v>
      </c>
      <c r="AEI82">
        <v>0</v>
      </c>
      <c r="AEJ82" t="s">
        <v>457</v>
      </c>
      <c r="AEK82">
        <v>21</v>
      </c>
      <c r="AEL82" s="16">
        <v>68.8</v>
      </c>
      <c r="AEM82" s="16">
        <v>80.400000000000006</v>
      </c>
      <c r="AEN82" s="16">
        <v>11.1</v>
      </c>
      <c r="AEO82">
        <v>92.71</v>
      </c>
      <c r="AEP82">
        <v>0</v>
      </c>
      <c r="AEQ82">
        <v>0</v>
      </c>
      <c r="AER82">
        <v>0</v>
      </c>
      <c r="AES82">
        <v>7.29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2.4300000000000002</v>
      </c>
      <c r="AFC82">
        <v>9.89</v>
      </c>
      <c r="AFD82">
        <v>0</v>
      </c>
      <c r="AFE82">
        <v>0</v>
      </c>
      <c r="AFF82">
        <v>0</v>
      </c>
      <c r="AFS82">
        <v>1</v>
      </c>
      <c r="AFT82">
        <v>1</v>
      </c>
      <c r="AFU82">
        <v>68</v>
      </c>
      <c r="AFV82">
        <v>7</v>
      </c>
      <c r="AFW82">
        <f>0.05+0.03+0.27+0.03</f>
        <v>0.38</v>
      </c>
      <c r="AFX82">
        <v>1</v>
      </c>
      <c r="AGE82" s="18"/>
      <c r="AGW82">
        <v>0</v>
      </c>
      <c r="AIH82" s="16">
        <v>0.67</v>
      </c>
      <c r="AII82" s="16">
        <v>1</v>
      </c>
      <c r="AIJ82" s="16">
        <v>2</v>
      </c>
      <c r="AIK82" s="16"/>
      <c r="AIL82" s="16">
        <f>0.28*2</f>
        <v>0.56000000000000005</v>
      </c>
      <c r="AIM82" s="16"/>
      <c r="AIN82" s="16"/>
      <c r="AIO82" s="16"/>
      <c r="AIP82" s="16"/>
      <c r="AIQ82" s="16"/>
      <c r="AIR82" s="16"/>
      <c r="AIS82" s="16">
        <v>7.38</v>
      </c>
      <c r="AIT82" s="16">
        <v>10.32</v>
      </c>
      <c r="AIU82" s="16"/>
      <c r="AIV82" s="16"/>
      <c r="AIW82" s="16">
        <v>0</v>
      </c>
      <c r="AIX82" s="16">
        <v>0</v>
      </c>
      <c r="AIY82" s="16">
        <v>0</v>
      </c>
      <c r="AIZ82">
        <v>0</v>
      </c>
      <c r="AJA82" t="s">
        <v>451</v>
      </c>
      <c r="AJB82">
        <v>48.5</v>
      </c>
      <c r="AJC82" s="16">
        <v>83.8</v>
      </c>
      <c r="AJD82" s="16">
        <v>80.400000000000006</v>
      </c>
      <c r="AJE82" s="16">
        <v>34.299999999999997</v>
      </c>
      <c r="AJF82">
        <v>70.08</v>
      </c>
      <c r="AJG82">
        <v>0</v>
      </c>
      <c r="AJH82">
        <v>18.239999999999998</v>
      </c>
      <c r="AJI82">
        <v>1.05</v>
      </c>
      <c r="AJJ82">
        <v>1.1399999999999999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19.39</v>
      </c>
      <c r="AJR82">
        <v>3.64</v>
      </c>
      <c r="AJS82">
        <v>13.61</v>
      </c>
      <c r="AJT82">
        <v>5.23</v>
      </c>
      <c r="AJU82">
        <v>9.49</v>
      </c>
      <c r="AJV82">
        <v>2.6</v>
      </c>
      <c r="AJW82">
        <v>2</v>
      </c>
      <c r="AJX82">
        <v>3</v>
      </c>
      <c r="AJY82">
        <v>1.01</v>
      </c>
      <c r="AKD82">
        <v>3</v>
      </c>
      <c r="AKE82">
        <v>1.01</v>
      </c>
      <c r="AKJ82">
        <v>1.7</v>
      </c>
      <c r="AKK82">
        <v>0</v>
      </c>
      <c r="AKV82" s="18"/>
      <c r="ALN82">
        <v>1</v>
      </c>
      <c r="ALO82">
        <v>60</v>
      </c>
      <c r="ALP82">
        <v>1</v>
      </c>
      <c r="ALQ82">
        <v>1.05</v>
      </c>
      <c r="ALR82">
        <v>1</v>
      </c>
    </row>
    <row r="83" spans="1:1018" x14ac:dyDescent="0.2">
      <c r="A83" s="1" t="s">
        <v>458</v>
      </c>
      <c r="B83" s="12">
        <v>42900</v>
      </c>
      <c r="C83">
        <v>2</v>
      </c>
      <c r="D83" s="13">
        <v>36487</v>
      </c>
      <c r="E83" s="12">
        <v>28502</v>
      </c>
      <c r="F83" s="14">
        <f t="shared" si="42"/>
        <v>39.419575633127998</v>
      </c>
      <c r="G83" s="14">
        <f t="shared" si="43"/>
        <v>17.557837097878167</v>
      </c>
      <c r="H83" s="15" t="s">
        <v>228</v>
      </c>
      <c r="I83" s="15" t="s">
        <v>447</v>
      </c>
      <c r="J83" s="15" t="s">
        <v>183</v>
      </c>
      <c r="K83" s="21">
        <v>8</v>
      </c>
      <c r="L83" s="19">
        <v>75</v>
      </c>
      <c r="M83">
        <v>1.7</v>
      </c>
      <c r="N83" s="16">
        <f t="shared" si="44"/>
        <v>25.95155709342561</v>
      </c>
      <c r="O83" s="19">
        <v>0</v>
      </c>
      <c r="P83" s="19">
        <v>0</v>
      </c>
      <c r="Q83" s="19">
        <v>0</v>
      </c>
      <c r="R83" s="19">
        <v>0</v>
      </c>
      <c r="S83" s="19">
        <v>0</v>
      </c>
      <c r="T83" s="19">
        <v>0</v>
      </c>
      <c r="U83" s="19">
        <v>0</v>
      </c>
      <c r="V83" s="19">
        <v>0</v>
      </c>
      <c r="W83" s="19">
        <v>1</v>
      </c>
      <c r="X83" s="19"/>
      <c r="Y83" s="19">
        <v>1</v>
      </c>
      <c r="Z83" s="19">
        <v>1</v>
      </c>
      <c r="AA83" s="19">
        <v>40</v>
      </c>
      <c r="AB83" s="19" t="s">
        <v>459</v>
      </c>
      <c r="AC83" s="19">
        <v>0</v>
      </c>
      <c r="AD83" s="19">
        <v>0</v>
      </c>
      <c r="AE83" s="19">
        <v>1</v>
      </c>
      <c r="AF83" s="19">
        <v>1</v>
      </c>
      <c r="AG83" s="19">
        <v>0</v>
      </c>
      <c r="AH83" s="19">
        <v>0</v>
      </c>
      <c r="AI83" s="19"/>
      <c r="AJ83" s="19">
        <v>1</v>
      </c>
      <c r="AK83" s="19">
        <v>0</v>
      </c>
      <c r="AL83" s="19">
        <v>0</v>
      </c>
      <c r="AM83" s="19">
        <v>0</v>
      </c>
      <c r="AN83" s="19">
        <v>1</v>
      </c>
      <c r="AO83" s="19">
        <v>0</v>
      </c>
      <c r="AP83" s="19">
        <v>1</v>
      </c>
      <c r="AQ83" s="19">
        <v>6</v>
      </c>
      <c r="AR83" s="19">
        <v>0</v>
      </c>
      <c r="AS83" s="19">
        <v>0</v>
      </c>
      <c r="AT83" s="19"/>
      <c r="AU83" s="19"/>
      <c r="AV83" s="19"/>
      <c r="AW83" s="19"/>
      <c r="AX83" s="19">
        <v>0</v>
      </c>
      <c r="AY83" s="19">
        <v>0</v>
      </c>
      <c r="AZ83" s="19">
        <v>0</v>
      </c>
      <c r="BA83" s="19">
        <v>0</v>
      </c>
      <c r="BB83" s="19">
        <v>0</v>
      </c>
      <c r="BC83" s="19">
        <v>0</v>
      </c>
      <c r="BD83" s="19">
        <v>0</v>
      </c>
      <c r="BE83" s="19">
        <v>0</v>
      </c>
      <c r="BF83" s="19">
        <v>0</v>
      </c>
      <c r="BG83" s="19">
        <v>0</v>
      </c>
      <c r="BH83" s="19">
        <v>0</v>
      </c>
      <c r="BI83" s="19">
        <v>0</v>
      </c>
      <c r="BJ83" s="19">
        <v>1</v>
      </c>
      <c r="BK83" s="19">
        <v>0</v>
      </c>
      <c r="BL83" s="19">
        <v>1</v>
      </c>
      <c r="BM83" s="19">
        <v>5</v>
      </c>
      <c r="BN83" s="19">
        <v>0</v>
      </c>
      <c r="BO83" s="19">
        <v>0</v>
      </c>
      <c r="BP83" s="19">
        <v>0</v>
      </c>
      <c r="BQ83" s="19">
        <v>0</v>
      </c>
      <c r="BR83" s="19">
        <v>4</v>
      </c>
      <c r="BS83" s="19">
        <v>3</v>
      </c>
      <c r="BT83" s="19">
        <v>3</v>
      </c>
      <c r="BU83" s="19">
        <v>5</v>
      </c>
      <c r="BV83" s="19">
        <v>3</v>
      </c>
      <c r="BW83" s="19">
        <v>3</v>
      </c>
      <c r="BX83" s="19">
        <v>2</v>
      </c>
      <c r="BY83" s="19">
        <v>1</v>
      </c>
      <c r="BZ83" s="19">
        <v>1</v>
      </c>
      <c r="CA83" s="19">
        <v>1</v>
      </c>
      <c r="CB83" s="19">
        <v>3</v>
      </c>
      <c r="CC83" s="19">
        <v>5</v>
      </c>
      <c r="CD83" s="19">
        <v>3</v>
      </c>
      <c r="CE83" s="19">
        <v>2</v>
      </c>
      <c r="CF83" s="19">
        <v>3</v>
      </c>
      <c r="CG83" s="19">
        <v>4</v>
      </c>
      <c r="CH83" s="19">
        <v>3</v>
      </c>
      <c r="CI83" s="19">
        <v>3</v>
      </c>
      <c r="CJ83" s="19">
        <v>4</v>
      </c>
      <c r="CK83" s="19">
        <v>6</v>
      </c>
      <c r="CL83">
        <v>57</v>
      </c>
      <c r="CM83">
        <v>24.5</v>
      </c>
      <c r="CN83" s="16">
        <v>70</v>
      </c>
      <c r="CO83" s="16">
        <v>80.400000000000006</v>
      </c>
      <c r="CP83" s="16">
        <v>15.5</v>
      </c>
      <c r="CQ83">
        <v>85.6</v>
      </c>
      <c r="CR83">
        <v>0</v>
      </c>
      <c r="CS83">
        <v>0</v>
      </c>
      <c r="CT83">
        <v>0</v>
      </c>
      <c r="CU83">
        <v>14.4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6.46</v>
      </c>
      <c r="DD83">
        <v>24.97</v>
      </c>
      <c r="DE83">
        <v>15</v>
      </c>
      <c r="DF83">
        <v>0</v>
      </c>
      <c r="DG83">
        <v>0</v>
      </c>
      <c r="DH83">
        <v>0</v>
      </c>
      <c r="DU83">
        <v>3.6</v>
      </c>
      <c r="DV83">
        <v>1</v>
      </c>
      <c r="DW83">
        <v>35</v>
      </c>
      <c r="DX83">
        <v>1</v>
      </c>
      <c r="DY83">
        <v>0.76</v>
      </c>
      <c r="DZ83">
        <v>3</v>
      </c>
      <c r="EG83" s="18"/>
      <c r="EY83">
        <v>1</v>
      </c>
      <c r="EZ83">
        <v>60</v>
      </c>
      <c r="FA83">
        <v>5</v>
      </c>
      <c r="FB83">
        <f>2.04+0.14</f>
        <v>2.1800000000000002</v>
      </c>
      <c r="FC83">
        <v>3</v>
      </c>
      <c r="GJ83" s="16">
        <v>0.63</v>
      </c>
      <c r="GK83" s="16">
        <v>1</v>
      </c>
      <c r="GL83" s="16">
        <v>1</v>
      </c>
      <c r="GM83" s="16"/>
      <c r="GN83" s="16">
        <v>4.2300000000000004</v>
      </c>
      <c r="GO83" s="16"/>
      <c r="GP83" s="16"/>
      <c r="GQ83" s="16"/>
      <c r="GR83" s="16"/>
      <c r="GS83" s="16"/>
      <c r="GT83" s="16"/>
      <c r="GU83" s="16">
        <v>3.25</v>
      </c>
      <c r="GV83" s="16">
        <v>3.26</v>
      </c>
      <c r="GW83" s="16"/>
      <c r="GX83" s="16"/>
      <c r="GY83" s="16">
        <v>0</v>
      </c>
      <c r="GZ83" s="16">
        <v>0</v>
      </c>
      <c r="HA83" s="16">
        <v>0</v>
      </c>
      <c r="HB83">
        <v>0</v>
      </c>
      <c r="HC83" t="s">
        <v>455</v>
      </c>
      <c r="HD83">
        <v>48.5</v>
      </c>
      <c r="HE83" s="16">
        <v>90.8</v>
      </c>
      <c r="HF83" s="16">
        <v>80.400000000000006</v>
      </c>
      <c r="HG83" s="16">
        <v>27.5</v>
      </c>
      <c r="HH83">
        <v>74.34</v>
      </c>
      <c r="HI83">
        <v>0</v>
      </c>
      <c r="HJ83">
        <v>12.29</v>
      </c>
      <c r="HK83">
        <v>0</v>
      </c>
      <c r="HL83">
        <v>13.37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14.01</v>
      </c>
      <c r="HV83">
        <v>63.09</v>
      </c>
      <c r="HW83">
        <v>0</v>
      </c>
      <c r="HX83">
        <v>0</v>
      </c>
      <c r="HY83">
        <v>0</v>
      </c>
      <c r="IL83">
        <v>13</v>
      </c>
      <c r="IM83">
        <v>1</v>
      </c>
      <c r="IN83">
        <v>34</v>
      </c>
      <c r="IO83">
        <v>11</v>
      </c>
      <c r="IP83">
        <f>11.42+1.34</f>
        <v>12.76</v>
      </c>
      <c r="IQ83">
        <v>1</v>
      </c>
      <c r="IR83">
        <v>68</v>
      </c>
      <c r="IS83">
        <v>15</v>
      </c>
      <c r="IT83">
        <v>2.8</v>
      </c>
      <c r="IU83">
        <v>1</v>
      </c>
      <c r="IX83" s="18"/>
      <c r="JP83">
        <v>1</v>
      </c>
      <c r="JQ83">
        <v>60</v>
      </c>
      <c r="JR83">
        <v>20</v>
      </c>
      <c r="JS83">
        <v>15.23</v>
      </c>
      <c r="JT83">
        <v>3</v>
      </c>
      <c r="LA83" s="16">
        <v>0</v>
      </c>
      <c r="LB83" s="16">
        <v>0</v>
      </c>
      <c r="LC83" s="16"/>
      <c r="LD83" s="16"/>
      <c r="LE83" s="16"/>
      <c r="LF83" s="16"/>
      <c r="LG83" s="16"/>
      <c r="LH83" s="16"/>
      <c r="LI83" s="16"/>
      <c r="LJ83" s="16"/>
      <c r="LK83" s="16"/>
      <c r="LL83" s="16">
        <v>0</v>
      </c>
      <c r="LM83" s="16">
        <v>0</v>
      </c>
      <c r="LN83" s="16"/>
      <c r="LO83" s="16"/>
      <c r="LP83" s="16">
        <v>7.46</v>
      </c>
      <c r="LQ83" s="16">
        <v>0</v>
      </c>
      <c r="LR83" s="16">
        <v>0</v>
      </c>
      <c r="LS83">
        <v>1</v>
      </c>
      <c r="LT83" t="s">
        <v>448</v>
      </c>
      <c r="LU83">
        <v>47</v>
      </c>
      <c r="LV83" s="16">
        <v>90.2</v>
      </c>
      <c r="LW83" s="16">
        <v>80.400000000000006</v>
      </c>
      <c r="LX83" s="16">
        <v>15.2</v>
      </c>
      <c r="LY83">
        <v>86.39</v>
      </c>
      <c r="LZ83">
        <v>0</v>
      </c>
      <c r="MA83">
        <v>0</v>
      </c>
      <c r="MB83">
        <v>0</v>
      </c>
      <c r="MC83">
        <v>13.61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16.36</v>
      </c>
      <c r="ML83">
        <v>23.57</v>
      </c>
      <c r="MM83">
        <v>29.14</v>
      </c>
      <c r="MN83">
        <v>0</v>
      </c>
      <c r="MO83">
        <v>0</v>
      </c>
      <c r="MP83">
        <v>0</v>
      </c>
      <c r="NC83">
        <v>23.6</v>
      </c>
      <c r="ND83">
        <v>1</v>
      </c>
      <c r="NE83">
        <v>68</v>
      </c>
      <c r="NF83">
        <v>8</v>
      </c>
      <c r="NG83">
        <f>0.76+0.03+0.27+0.05+0.03</f>
        <v>1.1400000000000001</v>
      </c>
      <c r="NH83">
        <v>1</v>
      </c>
      <c r="NI83">
        <v>35</v>
      </c>
      <c r="NJ83">
        <v>4</v>
      </c>
      <c r="NK83">
        <f>1.52+0.27</f>
        <v>1.79</v>
      </c>
      <c r="NL83">
        <v>3</v>
      </c>
      <c r="NM83">
        <v>103</v>
      </c>
      <c r="NN83">
        <v>3</v>
      </c>
      <c r="NO83" s="18">
        <v>2.02</v>
      </c>
      <c r="NP83">
        <v>3</v>
      </c>
      <c r="OG83">
        <v>1</v>
      </c>
      <c r="OH83">
        <v>80</v>
      </c>
      <c r="OI83">
        <v>3</v>
      </c>
      <c r="OJ83">
        <f>0.04*2+0.45</f>
        <v>0.53</v>
      </c>
      <c r="OK83">
        <v>3</v>
      </c>
      <c r="PR83" s="16">
        <v>0.4</v>
      </c>
      <c r="PS83" s="16">
        <v>1</v>
      </c>
      <c r="PT83" s="16">
        <v>1</v>
      </c>
      <c r="PU83" s="16"/>
      <c r="PV83" s="16">
        <f>1.25+0.1</f>
        <v>1.35</v>
      </c>
      <c r="PW83" s="16"/>
      <c r="PX83" s="16"/>
      <c r="PY83" s="16"/>
      <c r="PZ83" s="16"/>
      <c r="QA83" s="16"/>
      <c r="QB83" s="16"/>
      <c r="QC83" s="16">
        <v>4.96</v>
      </c>
      <c r="QD83" s="16">
        <v>2.6</v>
      </c>
      <c r="QE83" s="16"/>
      <c r="QF83" s="16"/>
      <c r="QG83" s="16">
        <v>0</v>
      </c>
      <c r="QH83" s="16">
        <v>0</v>
      </c>
      <c r="QI83" s="16">
        <v>0</v>
      </c>
      <c r="QJ83">
        <v>0</v>
      </c>
      <c r="QK83" t="s">
        <v>449</v>
      </c>
      <c r="QL83">
        <v>46.5</v>
      </c>
      <c r="QM83" s="16">
        <v>82.8</v>
      </c>
      <c r="QN83" s="16">
        <v>80.400000000000006</v>
      </c>
      <c r="QO83" s="16">
        <v>14.9</v>
      </c>
      <c r="QP83">
        <v>82.52</v>
      </c>
      <c r="QQ83">
        <v>0</v>
      </c>
      <c r="QR83">
        <v>0</v>
      </c>
      <c r="QS83">
        <v>0</v>
      </c>
      <c r="QT83">
        <v>17.48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37.299999999999997</v>
      </c>
      <c r="RC83">
        <v>16.79</v>
      </c>
      <c r="RD83">
        <v>15.04</v>
      </c>
      <c r="RE83">
        <v>0</v>
      </c>
      <c r="RF83">
        <v>0</v>
      </c>
      <c r="RG83">
        <v>0</v>
      </c>
      <c r="RT83">
        <v>18.899999999999999</v>
      </c>
      <c r="RU83">
        <v>1</v>
      </c>
      <c r="RV83">
        <v>68</v>
      </c>
      <c r="RW83">
        <v>1</v>
      </c>
      <c r="RX83">
        <v>0.13</v>
      </c>
      <c r="RY83">
        <v>1</v>
      </c>
      <c r="RZ83">
        <v>35</v>
      </c>
      <c r="SA83">
        <v>3</v>
      </c>
      <c r="SB83">
        <v>2.25</v>
      </c>
      <c r="SC83">
        <v>3</v>
      </c>
      <c r="SD83">
        <v>47</v>
      </c>
      <c r="SE83">
        <v>10</v>
      </c>
      <c r="SF83" s="18">
        <f>0.27+0.08+0.08+0.11+0.61+0.04</f>
        <v>1.19</v>
      </c>
      <c r="SG83">
        <v>3</v>
      </c>
      <c r="SX83">
        <v>1</v>
      </c>
      <c r="SY83">
        <v>80</v>
      </c>
      <c r="SZ83">
        <v>1</v>
      </c>
      <c r="TA83">
        <v>0.13</v>
      </c>
      <c r="TB83">
        <v>3</v>
      </c>
      <c r="UI83" s="16">
        <v>1.1499999999999999</v>
      </c>
      <c r="UJ83" s="16">
        <v>1</v>
      </c>
      <c r="UK83" s="16">
        <v>3</v>
      </c>
      <c r="UL83" s="16"/>
      <c r="UM83" s="16">
        <f>1.06+0.37*2</f>
        <v>1.8</v>
      </c>
      <c r="UN83" s="16"/>
      <c r="UO83" s="16"/>
      <c r="UP83" s="16"/>
      <c r="UQ83" s="16"/>
      <c r="UR83" s="16"/>
      <c r="US83" s="16"/>
      <c r="UT83" s="16">
        <v>9.75</v>
      </c>
      <c r="UU83" s="16">
        <v>11.26</v>
      </c>
      <c r="UV83" s="16"/>
      <c r="UW83" s="16"/>
      <c r="UX83" s="16">
        <v>0</v>
      </c>
      <c r="UY83" s="16">
        <v>0</v>
      </c>
      <c r="UZ83" s="16">
        <v>0</v>
      </c>
      <c r="VA83">
        <v>0</v>
      </c>
      <c r="VB83" t="s">
        <v>456</v>
      </c>
      <c r="VC83">
        <v>79.5</v>
      </c>
      <c r="VD83" s="16">
        <v>92.6</v>
      </c>
      <c r="VE83" s="16">
        <v>80.400000000000006</v>
      </c>
      <c r="VF83" s="16">
        <v>25.3</v>
      </c>
      <c r="VG83">
        <v>77.91</v>
      </c>
      <c r="VH83">
        <v>0</v>
      </c>
      <c r="VI83">
        <v>0.76</v>
      </c>
      <c r="VJ83">
        <v>0</v>
      </c>
      <c r="VK83">
        <v>21.33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4.99</v>
      </c>
      <c r="VS83">
        <v>0</v>
      </c>
      <c r="VT83">
        <v>5.93</v>
      </c>
      <c r="VU83">
        <v>41.31</v>
      </c>
      <c r="VV83">
        <v>0</v>
      </c>
      <c r="VW83">
        <v>10.6</v>
      </c>
      <c r="VX83">
        <v>2</v>
      </c>
      <c r="VY83">
        <v>3</v>
      </c>
      <c r="VZ83">
        <v>6.39</v>
      </c>
      <c r="WE83">
        <v>3</v>
      </c>
      <c r="WF83">
        <v>6.39</v>
      </c>
      <c r="WK83">
        <v>19.899999999999999</v>
      </c>
      <c r="WL83">
        <v>1</v>
      </c>
      <c r="WM83">
        <v>52</v>
      </c>
      <c r="WN83">
        <v>2</v>
      </c>
      <c r="WO83">
        <f>0.05+0.08</f>
        <v>0.13</v>
      </c>
      <c r="WP83">
        <v>2</v>
      </c>
      <c r="WQ83">
        <v>47</v>
      </c>
      <c r="WR83">
        <v>12</v>
      </c>
      <c r="WS83">
        <f>1.52+0.11+0.27+0.07+0.1+0.16+0.13+0.13</f>
        <v>2.4900000000000002</v>
      </c>
      <c r="WT83">
        <v>3</v>
      </c>
      <c r="WW83" s="18"/>
      <c r="XO83">
        <v>0</v>
      </c>
      <c r="YZ83" s="16">
        <v>6.39</v>
      </c>
      <c r="ZA83" s="16">
        <v>1</v>
      </c>
      <c r="ZB83" s="16">
        <v>2</v>
      </c>
      <c r="ZC83" s="16"/>
      <c r="ZD83" s="16">
        <f>2.11+1.52+2.11+0.3+0.22*2</f>
        <v>6.48</v>
      </c>
      <c r="ZE83" s="16"/>
      <c r="ZF83" s="16"/>
      <c r="ZG83" s="16"/>
      <c r="ZH83" s="16"/>
      <c r="ZI83" s="16"/>
      <c r="ZJ83" s="16"/>
      <c r="ZK83" s="16">
        <v>14.55</v>
      </c>
      <c r="ZL83" s="16">
        <v>28.78</v>
      </c>
      <c r="ZM83" s="16"/>
      <c r="ZN83" s="16"/>
      <c r="ZO83" s="16">
        <v>0</v>
      </c>
      <c r="ZP83" s="16">
        <v>0</v>
      </c>
      <c r="ZQ83" s="16">
        <v>0</v>
      </c>
      <c r="ZR83">
        <v>0</v>
      </c>
      <c r="ZS83" t="s">
        <v>450</v>
      </c>
      <c r="ZT83">
        <v>33.5</v>
      </c>
      <c r="ZU83" s="16">
        <v>82.2</v>
      </c>
      <c r="ZV83" s="16">
        <v>80.400000000000006</v>
      </c>
      <c r="ZW83" s="16">
        <v>19.5</v>
      </c>
      <c r="ZX83">
        <v>80.12</v>
      </c>
      <c r="ZY83">
        <v>0</v>
      </c>
      <c r="ZZ83">
        <v>0</v>
      </c>
      <c r="AAA83">
        <v>0</v>
      </c>
      <c r="AAB83">
        <v>19.88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16.82</v>
      </c>
      <c r="AAL83">
        <v>20.29</v>
      </c>
      <c r="AAM83">
        <v>0</v>
      </c>
      <c r="AAN83">
        <v>0</v>
      </c>
      <c r="AAO83">
        <v>0</v>
      </c>
      <c r="ABB83">
        <v>0</v>
      </c>
      <c r="ABC83">
        <v>0</v>
      </c>
      <c r="ABN83" s="18"/>
      <c r="ACF83">
        <v>0</v>
      </c>
      <c r="ADQ83" s="16">
        <v>2.4300000000000002</v>
      </c>
      <c r="ADR83" s="16">
        <v>1</v>
      </c>
      <c r="ADS83" s="16">
        <v>2</v>
      </c>
      <c r="ADT83" s="16"/>
      <c r="ADU83" s="16">
        <f>8.46+0.21+0.37</f>
        <v>9.0400000000000009</v>
      </c>
      <c r="ADV83" s="16"/>
      <c r="ADW83" s="16"/>
      <c r="ADX83" s="16"/>
      <c r="ADY83" s="16"/>
      <c r="ADZ83" s="16"/>
      <c r="AEA83" s="16"/>
      <c r="AEB83" s="16">
        <v>9.41</v>
      </c>
      <c r="AEC83" s="16">
        <v>22.76</v>
      </c>
      <c r="AED83" s="16"/>
      <c r="AEE83" s="16"/>
      <c r="AEF83" s="16">
        <v>0</v>
      </c>
      <c r="AEG83" s="16">
        <v>0</v>
      </c>
      <c r="AEH83" s="16">
        <v>0</v>
      </c>
      <c r="AEI83">
        <v>0</v>
      </c>
      <c r="AEJ83" t="s">
        <v>457</v>
      </c>
      <c r="AEK83">
        <v>21</v>
      </c>
      <c r="AEL83" s="16">
        <v>68.8</v>
      </c>
      <c r="AEM83" s="16">
        <v>80.400000000000006</v>
      </c>
      <c r="AEN83" s="16">
        <v>11.1</v>
      </c>
      <c r="AEO83">
        <v>92.71</v>
      </c>
      <c r="AEP83">
        <v>0</v>
      </c>
      <c r="AEQ83">
        <v>0</v>
      </c>
      <c r="AER83">
        <v>0</v>
      </c>
      <c r="AES83">
        <v>7.29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2.4300000000000002</v>
      </c>
      <c r="AFC83">
        <v>9.89</v>
      </c>
      <c r="AFD83">
        <v>0</v>
      </c>
      <c r="AFE83">
        <v>0</v>
      </c>
      <c r="AFF83">
        <v>0</v>
      </c>
      <c r="AFS83">
        <v>1</v>
      </c>
      <c r="AFT83">
        <v>1</v>
      </c>
      <c r="AFU83">
        <v>68</v>
      </c>
      <c r="AFV83">
        <v>7</v>
      </c>
      <c r="AFW83">
        <f>0.05+0.03+0.27+0.03</f>
        <v>0.38</v>
      </c>
      <c r="AFX83">
        <v>1</v>
      </c>
      <c r="AGE83" s="18"/>
      <c r="AGW83">
        <v>0</v>
      </c>
      <c r="AIH83" s="16">
        <v>0.67</v>
      </c>
      <c r="AII83" s="16">
        <v>1</v>
      </c>
      <c r="AIJ83" s="16">
        <v>2</v>
      </c>
      <c r="AIK83" s="16"/>
      <c r="AIL83" s="16">
        <f>0.28*2</f>
        <v>0.56000000000000005</v>
      </c>
      <c r="AIM83" s="16"/>
      <c r="AIN83" s="16"/>
      <c r="AIO83" s="16"/>
      <c r="AIP83" s="16"/>
      <c r="AIQ83" s="16"/>
      <c r="AIR83" s="16"/>
      <c r="AIS83" s="16">
        <v>7.38</v>
      </c>
      <c r="AIT83" s="16">
        <v>10.32</v>
      </c>
      <c r="AIU83" s="16"/>
      <c r="AIV83" s="16"/>
      <c r="AIW83" s="16">
        <v>0</v>
      </c>
      <c r="AIX83" s="16">
        <v>0</v>
      </c>
      <c r="AIY83" s="16">
        <v>0</v>
      </c>
      <c r="AIZ83">
        <v>0</v>
      </c>
      <c r="AJA83" t="s">
        <v>451</v>
      </c>
      <c r="AJB83">
        <v>48.5</v>
      </c>
      <c r="AJC83" s="16">
        <v>83.8</v>
      </c>
      <c r="AJD83" s="16">
        <v>80.400000000000006</v>
      </c>
      <c r="AJE83" s="16">
        <v>34.299999999999997</v>
      </c>
      <c r="AJF83">
        <v>70.08</v>
      </c>
      <c r="AJG83">
        <v>0</v>
      </c>
      <c r="AJH83">
        <v>18.239999999999998</v>
      </c>
      <c r="AJI83">
        <v>1.05</v>
      </c>
      <c r="AJJ83">
        <v>1.1399999999999999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19.39</v>
      </c>
      <c r="AJR83">
        <v>3.64</v>
      </c>
      <c r="AJS83">
        <v>13.61</v>
      </c>
      <c r="AJT83">
        <v>5.23</v>
      </c>
      <c r="AJU83">
        <v>9.49</v>
      </c>
      <c r="AJV83">
        <v>2.6</v>
      </c>
      <c r="AJW83">
        <v>2</v>
      </c>
      <c r="AJX83">
        <v>3</v>
      </c>
      <c r="AJY83">
        <v>1.01</v>
      </c>
      <c r="AKD83">
        <v>3</v>
      </c>
      <c r="AKE83">
        <v>1.01</v>
      </c>
      <c r="AKJ83">
        <v>1.7</v>
      </c>
      <c r="AKK83">
        <v>0</v>
      </c>
      <c r="AKV83" s="18"/>
      <c r="ALN83">
        <v>1</v>
      </c>
      <c r="ALO83">
        <v>60</v>
      </c>
      <c r="ALP83">
        <v>1</v>
      </c>
      <c r="ALQ83">
        <v>1.05</v>
      </c>
      <c r="ALR83">
        <v>1</v>
      </c>
    </row>
    <row r="84" spans="1:1018" x14ac:dyDescent="0.2">
      <c r="A84" s="1" t="s">
        <v>460</v>
      </c>
      <c r="B84" s="12">
        <v>42900</v>
      </c>
      <c r="C84">
        <v>2</v>
      </c>
      <c r="D84" s="13">
        <v>35103</v>
      </c>
      <c r="E84" s="12">
        <v>21653</v>
      </c>
      <c r="F84" s="14">
        <f t="shared" si="42"/>
        <v>58.171115674195754</v>
      </c>
      <c r="G84" s="14">
        <f t="shared" si="43"/>
        <v>21.347022587268995</v>
      </c>
      <c r="H84" s="15" t="s">
        <v>228</v>
      </c>
      <c r="I84" s="15" t="s">
        <v>447</v>
      </c>
      <c r="J84" s="15" t="s">
        <v>183</v>
      </c>
      <c r="K84" s="21">
        <v>8</v>
      </c>
      <c r="L84" s="19">
        <v>68</v>
      </c>
      <c r="M84">
        <v>1.61</v>
      </c>
      <c r="N84" s="16">
        <f t="shared" si="44"/>
        <v>26.23355580417422</v>
      </c>
      <c r="O84" s="19">
        <v>1</v>
      </c>
      <c r="P84" s="19">
        <v>1</v>
      </c>
      <c r="Q84" s="19"/>
      <c r="R84" s="19"/>
      <c r="S84" s="19"/>
      <c r="T84" s="19"/>
      <c r="U84" s="19">
        <v>0</v>
      </c>
      <c r="V84" s="19">
        <v>0</v>
      </c>
      <c r="W84" s="19">
        <v>0</v>
      </c>
      <c r="X84" s="19"/>
      <c r="Y84" s="19">
        <v>0</v>
      </c>
      <c r="Z84" s="19">
        <v>0</v>
      </c>
      <c r="AA84" s="19">
        <v>0</v>
      </c>
      <c r="AB84" s="19">
        <v>0</v>
      </c>
      <c r="AC84" s="19">
        <v>0</v>
      </c>
      <c r="AD84" s="19">
        <v>0</v>
      </c>
      <c r="AE84" s="19"/>
      <c r="AF84" s="19"/>
      <c r="AG84" s="19"/>
      <c r="AH84" s="19"/>
      <c r="AI84" s="19"/>
      <c r="AJ84" s="19"/>
      <c r="AK84" s="19"/>
      <c r="AL84" s="19"/>
      <c r="AM84" s="19">
        <v>0</v>
      </c>
      <c r="AN84" s="19"/>
      <c r="AO84" s="19"/>
      <c r="AP84" s="19"/>
      <c r="AQ84" s="19"/>
      <c r="AR84" s="19"/>
      <c r="AS84" s="19">
        <v>1</v>
      </c>
      <c r="AT84" s="19"/>
      <c r="AU84" s="19"/>
      <c r="AV84" s="19"/>
      <c r="AW84" s="19"/>
      <c r="AX84" s="19"/>
      <c r="AY84" s="19"/>
      <c r="AZ84" s="19"/>
      <c r="BA84" s="19"/>
      <c r="BB84" s="19"/>
      <c r="BC84" s="19"/>
      <c r="BD84" s="19"/>
      <c r="BE84" s="19"/>
      <c r="BF84" s="19"/>
      <c r="BG84" s="19"/>
      <c r="BH84" s="19"/>
      <c r="BI84" s="19"/>
      <c r="BJ84" s="19">
        <v>1</v>
      </c>
      <c r="BK84" s="19"/>
      <c r="BL84" s="19"/>
      <c r="BM84" s="19"/>
      <c r="BN84" s="19"/>
      <c r="BO84" s="19"/>
      <c r="BP84" s="19"/>
      <c r="BQ84" s="19"/>
      <c r="BR84" s="19">
        <v>3</v>
      </c>
      <c r="BS84" s="19">
        <v>3</v>
      </c>
      <c r="BT84" s="19">
        <v>4</v>
      </c>
      <c r="BU84" s="19">
        <v>4</v>
      </c>
      <c r="BV84" s="19">
        <v>1</v>
      </c>
      <c r="BW84" s="19">
        <v>1</v>
      </c>
      <c r="BX84" s="19">
        <v>3</v>
      </c>
      <c r="BY84" s="19">
        <v>1</v>
      </c>
      <c r="BZ84" s="19">
        <v>1</v>
      </c>
      <c r="CA84" s="19">
        <v>1</v>
      </c>
      <c r="CB84" s="19">
        <v>1</v>
      </c>
      <c r="CC84" s="19">
        <v>4</v>
      </c>
      <c r="CD84" s="19">
        <v>1</v>
      </c>
      <c r="CE84" s="19">
        <v>1</v>
      </c>
      <c r="CF84" s="19">
        <v>3</v>
      </c>
      <c r="CG84" s="19">
        <v>4</v>
      </c>
      <c r="CH84" s="19">
        <v>2</v>
      </c>
      <c r="CI84" s="19">
        <v>3</v>
      </c>
      <c r="CJ84" s="19">
        <v>2</v>
      </c>
      <c r="CK84" s="19"/>
      <c r="CL84" t="s">
        <v>230</v>
      </c>
      <c r="CM84">
        <v>64</v>
      </c>
      <c r="CN84" s="16">
        <v>74.3</v>
      </c>
      <c r="CO84" s="16">
        <v>81</v>
      </c>
      <c r="CP84" s="16">
        <v>58.5</v>
      </c>
      <c r="CQ84">
        <v>49.17</v>
      </c>
      <c r="CR84">
        <v>0</v>
      </c>
      <c r="CS84">
        <v>34.450000000000003</v>
      </c>
      <c r="CT84">
        <v>16.22</v>
      </c>
      <c r="CU84">
        <v>0.16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2.52</v>
      </c>
      <c r="DE84">
        <v>9.18</v>
      </c>
      <c r="DF84">
        <v>0</v>
      </c>
      <c r="DG84">
        <v>0</v>
      </c>
      <c r="DH84">
        <v>0</v>
      </c>
      <c r="DU84">
        <v>0.3</v>
      </c>
      <c r="DV84">
        <v>1</v>
      </c>
      <c r="DW84">
        <v>34</v>
      </c>
      <c r="DX84">
        <v>8</v>
      </c>
      <c r="DY84">
        <v>0.43</v>
      </c>
      <c r="DZ84">
        <v>1</v>
      </c>
      <c r="EA84">
        <v>47</v>
      </c>
      <c r="EB84">
        <v>1</v>
      </c>
      <c r="EC84">
        <v>0.04</v>
      </c>
      <c r="ED84">
        <v>3</v>
      </c>
      <c r="EG84" s="18"/>
      <c r="EY84">
        <v>0</v>
      </c>
      <c r="GJ84" s="16">
        <v>2.89</v>
      </c>
      <c r="GK84" s="16">
        <v>1</v>
      </c>
      <c r="GL84" s="16">
        <v>1</v>
      </c>
      <c r="GM84" s="16"/>
      <c r="GN84" s="16">
        <v>7.35</v>
      </c>
      <c r="GO84" s="16"/>
      <c r="GP84" s="16"/>
      <c r="GQ84" s="16"/>
      <c r="GR84" s="16"/>
      <c r="GS84" s="16"/>
      <c r="GT84" s="16"/>
      <c r="GU84" s="16">
        <v>0</v>
      </c>
      <c r="GV84" s="16">
        <v>0</v>
      </c>
      <c r="GW84" s="16"/>
      <c r="GX84" s="16"/>
      <c r="GY84" s="16">
        <v>0</v>
      </c>
      <c r="GZ84" s="16">
        <v>0</v>
      </c>
      <c r="HA84" s="16">
        <v>0</v>
      </c>
      <c r="HB84">
        <v>0</v>
      </c>
      <c r="HC84" t="s">
        <v>237</v>
      </c>
      <c r="HD84">
        <v>46</v>
      </c>
      <c r="HE84" s="16">
        <v>92.7</v>
      </c>
      <c r="HF84" s="16">
        <v>81</v>
      </c>
      <c r="HG84" s="16">
        <v>20.8</v>
      </c>
      <c r="HH84">
        <v>76.44</v>
      </c>
      <c r="HI84">
        <v>0</v>
      </c>
      <c r="HJ84">
        <v>0</v>
      </c>
      <c r="HK84">
        <v>0</v>
      </c>
      <c r="HL84">
        <v>23.56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0.23</v>
      </c>
      <c r="HT84">
        <v>0.51</v>
      </c>
      <c r="HU84">
        <v>26.55</v>
      </c>
      <c r="HV84">
        <v>36.69</v>
      </c>
      <c r="HW84">
        <v>0</v>
      </c>
      <c r="HX84">
        <v>10.6</v>
      </c>
      <c r="HY84">
        <v>1</v>
      </c>
      <c r="HZ84">
        <v>6</v>
      </c>
      <c r="IB84">
        <v>1</v>
      </c>
      <c r="IF84">
        <v>6</v>
      </c>
      <c r="IH84">
        <v>1</v>
      </c>
      <c r="IL84">
        <v>7.1</v>
      </c>
      <c r="IM84">
        <v>1</v>
      </c>
      <c r="IN84">
        <v>35</v>
      </c>
      <c r="IO84">
        <v>2</v>
      </c>
      <c r="IP84">
        <f>0.76*2</f>
        <v>1.52</v>
      </c>
      <c r="IQ84">
        <v>3</v>
      </c>
      <c r="IX84" s="18"/>
      <c r="JP84">
        <v>0</v>
      </c>
      <c r="LA84" s="16">
        <v>2.41</v>
      </c>
      <c r="LB84" s="16">
        <v>1</v>
      </c>
      <c r="LC84" s="16">
        <v>1</v>
      </c>
      <c r="LD84" s="16"/>
      <c r="LE84" s="16">
        <f>0.41+1.67+5+0.33+0.45+0.15</f>
        <v>8.01</v>
      </c>
      <c r="LF84" s="16"/>
      <c r="LG84" s="16"/>
      <c r="LH84" s="16"/>
      <c r="LI84" s="16"/>
      <c r="LJ84" s="16"/>
      <c r="LK84" s="16"/>
      <c r="LL84" s="16">
        <v>0.33</v>
      </c>
      <c r="LM84" s="16">
        <v>0.33</v>
      </c>
      <c r="LN84" s="16"/>
      <c r="LO84" s="16"/>
      <c r="LP84" s="16">
        <v>0</v>
      </c>
      <c r="LQ84" s="16">
        <v>0</v>
      </c>
      <c r="LR84" s="16">
        <v>0</v>
      </c>
      <c r="LS84">
        <v>0</v>
      </c>
      <c r="LT84" t="s">
        <v>461</v>
      </c>
      <c r="LU84">
        <v>38</v>
      </c>
      <c r="LV84" s="16">
        <v>84.5</v>
      </c>
      <c r="LW84" s="16">
        <v>81</v>
      </c>
      <c r="LX84" s="16">
        <v>11.8</v>
      </c>
      <c r="LY84">
        <v>99.78</v>
      </c>
      <c r="LZ84">
        <v>0</v>
      </c>
      <c r="MA84">
        <v>0</v>
      </c>
      <c r="MB84">
        <v>0</v>
      </c>
      <c r="MC84">
        <v>0.22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7.31</v>
      </c>
      <c r="MK84">
        <v>0</v>
      </c>
      <c r="ML84">
        <v>30.29</v>
      </c>
      <c r="MM84">
        <v>31.72</v>
      </c>
      <c r="MN84">
        <v>0</v>
      </c>
      <c r="MO84">
        <v>0</v>
      </c>
      <c r="MP84">
        <v>0</v>
      </c>
      <c r="NC84">
        <v>14</v>
      </c>
      <c r="ND84">
        <v>1</v>
      </c>
      <c r="NE84">
        <v>52</v>
      </c>
      <c r="NF84">
        <v>6</v>
      </c>
      <c r="NG84">
        <v>4.53</v>
      </c>
      <c r="NH84">
        <v>2</v>
      </c>
      <c r="NO84" s="18"/>
      <c r="OG84">
        <v>1</v>
      </c>
      <c r="OH84">
        <v>50</v>
      </c>
      <c r="OI84">
        <v>3</v>
      </c>
      <c r="OJ84">
        <v>0.4</v>
      </c>
      <c r="OK84">
        <v>6</v>
      </c>
      <c r="PR84" s="16">
        <v>3.9</v>
      </c>
      <c r="PS84" s="16">
        <v>1</v>
      </c>
      <c r="PT84" s="16">
        <v>1</v>
      </c>
      <c r="PU84" s="16"/>
      <c r="PV84" s="16">
        <f>1.7*3+4.53+2.64*2+0.6</f>
        <v>15.51</v>
      </c>
      <c r="PW84" s="16"/>
      <c r="PX84" s="16"/>
      <c r="PY84" s="16"/>
      <c r="PZ84" s="16"/>
      <c r="QA84" s="16"/>
      <c r="QB84" s="16"/>
      <c r="QC84" s="16">
        <v>8.14</v>
      </c>
      <c r="QD84" s="16">
        <v>15.87</v>
      </c>
      <c r="QE84" s="16"/>
      <c r="QF84" s="16"/>
      <c r="QG84" s="16">
        <v>0</v>
      </c>
      <c r="QH84" s="16">
        <v>0</v>
      </c>
      <c r="QI84" s="16">
        <v>0</v>
      </c>
      <c r="QJ84">
        <v>0</v>
      </c>
      <c r="QK84" t="s">
        <v>462</v>
      </c>
      <c r="QL84">
        <v>47.5</v>
      </c>
      <c r="QM84" s="16">
        <v>85.1</v>
      </c>
      <c r="QN84" s="16">
        <v>81</v>
      </c>
      <c r="QO84" s="16">
        <v>33.200000000000003</v>
      </c>
      <c r="QP84">
        <v>52.89</v>
      </c>
      <c r="QQ84">
        <v>0</v>
      </c>
      <c r="QR84">
        <v>0</v>
      </c>
      <c r="QS84">
        <v>0</v>
      </c>
      <c r="QT84">
        <v>47.11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3.65</v>
      </c>
      <c r="RB84">
        <v>0</v>
      </c>
      <c r="RC84">
        <v>19.66</v>
      </c>
      <c r="RD84">
        <v>48.22</v>
      </c>
      <c r="RE84">
        <v>0</v>
      </c>
      <c r="RF84">
        <v>5.3</v>
      </c>
      <c r="RG84">
        <v>1</v>
      </c>
      <c r="RH84">
        <v>5</v>
      </c>
      <c r="RJ84">
        <v>1</v>
      </c>
      <c r="RN84">
        <v>5</v>
      </c>
      <c r="RP84">
        <v>1</v>
      </c>
      <c r="RT84">
        <v>1.5</v>
      </c>
      <c r="RU84">
        <v>0</v>
      </c>
      <c r="SF84" s="18"/>
      <c r="SX84">
        <v>1</v>
      </c>
      <c r="SY84">
        <v>60</v>
      </c>
      <c r="SZ84">
        <v>1</v>
      </c>
      <c r="TA84">
        <v>3.97</v>
      </c>
      <c r="TB84">
        <v>4</v>
      </c>
      <c r="TC84">
        <v>60</v>
      </c>
      <c r="TD84">
        <v>1</v>
      </c>
      <c r="TE84">
        <v>0.2</v>
      </c>
      <c r="TF84">
        <v>3</v>
      </c>
      <c r="UI84" s="16">
        <v>1.3</v>
      </c>
      <c r="UJ84" s="16">
        <v>1</v>
      </c>
      <c r="UK84" s="16">
        <v>1</v>
      </c>
      <c r="UL84" s="16"/>
      <c r="UM84" s="16">
        <f>1.05*2+0.15</f>
        <v>2.25</v>
      </c>
      <c r="UN84" s="16"/>
      <c r="UO84" s="16"/>
      <c r="UP84" s="16"/>
      <c r="UQ84" s="16"/>
      <c r="UR84" s="16"/>
      <c r="US84" s="16"/>
      <c r="UT84" s="16">
        <v>0.69</v>
      </c>
      <c r="UU84" s="16">
        <v>0.33</v>
      </c>
      <c r="UV84" s="16"/>
      <c r="UW84" s="16"/>
      <c r="UX84" s="16">
        <v>0</v>
      </c>
      <c r="UY84" s="16">
        <v>0</v>
      </c>
      <c r="UZ84" s="16">
        <v>0</v>
      </c>
      <c r="VA84">
        <v>0</v>
      </c>
      <c r="VB84" t="s">
        <v>463</v>
      </c>
      <c r="VC84">
        <v>50</v>
      </c>
      <c r="VD84" s="16">
        <v>86.6</v>
      </c>
      <c r="VE84" s="16">
        <v>81</v>
      </c>
      <c r="VF84" s="16">
        <v>31.6</v>
      </c>
      <c r="VG84">
        <v>51.98</v>
      </c>
      <c r="VH84">
        <v>0</v>
      </c>
      <c r="VI84">
        <v>0</v>
      </c>
      <c r="VJ84">
        <v>0</v>
      </c>
      <c r="VK84">
        <v>48.02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34.880000000000003</v>
      </c>
      <c r="VU84">
        <v>40.97</v>
      </c>
      <c r="VV84">
        <v>0</v>
      </c>
      <c r="VW84">
        <v>12</v>
      </c>
      <c r="VX84">
        <v>1</v>
      </c>
      <c r="VY84">
        <v>7</v>
      </c>
      <c r="WA84">
        <v>1</v>
      </c>
      <c r="WE84">
        <v>7</v>
      </c>
      <c r="WG84">
        <v>1</v>
      </c>
      <c r="WK84">
        <v>0.4</v>
      </c>
      <c r="WL84">
        <v>0</v>
      </c>
      <c r="WW84" s="18"/>
      <c r="XO84">
        <v>1</v>
      </c>
      <c r="XP84">
        <v>60</v>
      </c>
      <c r="XQ84">
        <v>1</v>
      </c>
      <c r="XR84">
        <v>0.53</v>
      </c>
      <c r="XS84">
        <v>4</v>
      </c>
      <c r="XT84">
        <v>60</v>
      </c>
      <c r="XU84">
        <v>1</v>
      </c>
      <c r="XV84">
        <v>0.6</v>
      </c>
      <c r="XW84">
        <v>3</v>
      </c>
      <c r="YZ84" s="16">
        <v>0.22</v>
      </c>
      <c r="ZA84" s="16">
        <v>1</v>
      </c>
      <c r="ZB84" s="16">
        <v>1</v>
      </c>
      <c r="ZC84" s="16"/>
      <c r="ZD84" s="16">
        <f>0.37*2</f>
        <v>0.74</v>
      </c>
      <c r="ZE84" s="16"/>
      <c r="ZF84" s="16"/>
      <c r="ZG84" s="16"/>
      <c r="ZH84" s="16"/>
      <c r="ZI84" s="16"/>
      <c r="ZJ84" s="16"/>
      <c r="ZK84" s="16">
        <v>0</v>
      </c>
      <c r="ZL84" s="16">
        <v>0</v>
      </c>
      <c r="ZM84" s="16"/>
      <c r="ZN84" s="16"/>
      <c r="ZO84" s="16">
        <v>0</v>
      </c>
      <c r="ZP84" s="16">
        <v>0</v>
      </c>
      <c r="ZQ84" s="16">
        <v>0</v>
      </c>
      <c r="ZR84">
        <v>0</v>
      </c>
      <c r="ZU84" s="15"/>
      <c r="ZV84" s="15"/>
      <c r="AAC84" s="15"/>
      <c r="AAD84" s="15"/>
      <c r="AAK84" s="15"/>
      <c r="AAL84" s="15"/>
      <c r="AAS84" s="15"/>
      <c r="AAT84" s="15"/>
      <c r="ABA84" s="15"/>
      <c r="ABB84" s="15"/>
      <c r="ABI84" s="15"/>
      <c r="ABJ84" s="15"/>
      <c r="ABQ84" s="15"/>
      <c r="ABR84" s="15"/>
      <c r="ABY84" s="15"/>
      <c r="ABZ84" s="15"/>
      <c r="ACG84" s="15"/>
      <c r="ACH84" s="15"/>
      <c r="ACO84" s="15"/>
      <c r="ACP84" s="15"/>
      <c r="ACW84" s="15"/>
      <c r="ACX84" s="15"/>
      <c r="ADE84" s="15"/>
      <c r="ADF84" s="15"/>
      <c r="ADM84" s="15"/>
      <c r="ADN84" s="15"/>
      <c r="ADU84" s="15"/>
      <c r="ADV84" s="15"/>
      <c r="AEC84" s="15"/>
      <c r="AED84" s="15"/>
      <c r="AEK84" s="15"/>
      <c r="AEL84" s="15"/>
      <c r="AES84" s="15"/>
      <c r="AET84" s="15"/>
      <c r="AFA84" s="15"/>
      <c r="AFB84" s="15"/>
      <c r="AFI84" s="15"/>
      <c r="AFJ84" s="15"/>
      <c r="AFQ84" s="15"/>
      <c r="AFR84" s="15"/>
      <c r="AFY84" s="15"/>
      <c r="AFZ84" s="15"/>
      <c r="AGG84" s="15"/>
      <c r="AGH84" s="15"/>
      <c r="AGO84" s="15"/>
      <c r="AGP84" s="15"/>
      <c r="AGW84" s="15"/>
      <c r="AGX84" s="15"/>
      <c r="AHE84" s="15"/>
      <c r="AHF84" s="15"/>
      <c r="AHM84" s="15"/>
      <c r="AHN84" s="15"/>
      <c r="AHU84" s="15"/>
      <c r="AHV84" s="15"/>
      <c r="AIC84" s="15"/>
      <c r="AID84" s="15"/>
      <c r="AIK84" s="15"/>
      <c r="AIL84" s="15"/>
      <c r="AIS84" s="15"/>
      <c r="AIT84" s="15"/>
      <c r="AJA84" s="15"/>
      <c r="AJB84" s="15"/>
      <c r="AJI84" s="15"/>
      <c r="AJJ84" s="15"/>
      <c r="AJQ84" s="15"/>
      <c r="AJR84" s="15"/>
      <c r="AJY84" s="15"/>
      <c r="AJZ84" s="15"/>
      <c r="AKG84" s="15"/>
      <c r="AKH84" s="15"/>
      <c r="AKO84" s="15"/>
      <c r="AKP84" s="15"/>
      <c r="AKW84" s="15"/>
      <c r="AKX84" s="15"/>
      <c r="ALE84" s="15"/>
      <c r="ALF84" s="15"/>
      <c r="ALM84" s="15"/>
      <c r="ALN84" s="15"/>
      <c r="ALU84" s="15"/>
      <c r="ALV84" s="15"/>
      <c r="AMC84" s="15"/>
      <c r="AMD84" s="15"/>
    </row>
    <row r="85" spans="1:1018" x14ac:dyDescent="0.2">
      <c r="A85" s="1" t="s">
        <v>464</v>
      </c>
      <c r="B85" s="12">
        <v>42901</v>
      </c>
      <c r="C85">
        <v>2</v>
      </c>
      <c r="D85" s="13">
        <v>42814</v>
      </c>
      <c r="E85" s="12">
        <v>31826</v>
      </c>
      <c r="F85" s="14">
        <f t="shared" si="42"/>
        <v>30.321697467488022</v>
      </c>
      <c r="G85" s="14">
        <f t="shared" si="43"/>
        <v>0.23819301848049282</v>
      </c>
      <c r="H85" s="15" t="s">
        <v>228</v>
      </c>
      <c r="I85" s="15" t="s">
        <v>447</v>
      </c>
      <c r="J85" s="15" t="s">
        <v>181</v>
      </c>
      <c r="K85" s="21">
        <v>8</v>
      </c>
      <c r="L85" s="19">
        <v>65</v>
      </c>
      <c r="M85">
        <v>1.78</v>
      </c>
      <c r="N85" s="16">
        <f t="shared" si="44"/>
        <v>20.515086478979924</v>
      </c>
      <c r="O85" s="19">
        <v>0</v>
      </c>
      <c r="P85" s="19">
        <v>0</v>
      </c>
      <c r="Q85" s="19">
        <v>0</v>
      </c>
      <c r="R85" s="19">
        <v>0</v>
      </c>
      <c r="S85" s="19">
        <v>0</v>
      </c>
      <c r="T85" s="19">
        <v>0</v>
      </c>
      <c r="U85" s="19">
        <v>0</v>
      </c>
      <c r="V85" s="19">
        <v>0</v>
      </c>
      <c r="W85" s="19">
        <v>0</v>
      </c>
      <c r="X85" s="19">
        <v>0</v>
      </c>
      <c r="Y85" s="19">
        <v>0</v>
      </c>
      <c r="Z85" s="19">
        <v>0</v>
      </c>
      <c r="AA85" s="19">
        <v>0</v>
      </c>
      <c r="AB85" s="19">
        <v>0</v>
      </c>
      <c r="AC85" s="19">
        <v>0</v>
      </c>
      <c r="AD85" s="19">
        <v>0</v>
      </c>
      <c r="AE85" s="19">
        <v>0</v>
      </c>
      <c r="AF85" s="19">
        <v>0</v>
      </c>
      <c r="AG85" s="19">
        <v>0</v>
      </c>
      <c r="AH85" s="19">
        <v>0</v>
      </c>
      <c r="AI85" s="19">
        <v>0</v>
      </c>
      <c r="AJ85" s="19">
        <v>0</v>
      </c>
      <c r="AK85" s="19">
        <v>0</v>
      </c>
      <c r="AL85" s="19">
        <v>0</v>
      </c>
      <c r="AM85" s="19">
        <v>0</v>
      </c>
      <c r="AN85" s="19">
        <v>0</v>
      </c>
      <c r="AO85" s="19">
        <v>0</v>
      </c>
      <c r="AP85" s="19">
        <v>0</v>
      </c>
      <c r="AQ85" s="19">
        <v>0</v>
      </c>
      <c r="AR85" s="19">
        <v>0</v>
      </c>
      <c r="AS85" s="19">
        <v>3</v>
      </c>
      <c r="AT85" s="19"/>
      <c r="AU85" s="19"/>
      <c r="AV85" s="19"/>
      <c r="AW85" s="19"/>
      <c r="AX85" s="19">
        <v>0</v>
      </c>
      <c r="AY85" s="19">
        <v>0</v>
      </c>
      <c r="AZ85" s="19">
        <v>0</v>
      </c>
      <c r="BA85" s="19">
        <v>0</v>
      </c>
      <c r="BB85" s="19">
        <v>0</v>
      </c>
      <c r="BC85" s="19">
        <v>0</v>
      </c>
      <c r="BD85" s="19">
        <v>0</v>
      </c>
      <c r="BE85" s="19">
        <v>0</v>
      </c>
      <c r="BF85" s="19">
        <v>0</v>
      </c>
      <c r="BG85" s="19">
        <v>0</v>
      </c>
      <c r="BH85" s="19">
        <v>0</v>
      </c>
      <c r="BI85" s="19">
        <v>0</v>
      </c>
      <c r="BJ85" s="19">
        <v>0</v>
      </c>
      <c r="BK85" s="19">
        <v>0</v>
      </c>
      <c r="BL85" s="19">
        <v>0</v>
      </c>
      <c r="BM85" s="19">
        <v>0</v>
      </c>
      <c r="BN85" s="19">
        <v>0</v>
      </c>
      <c r="BO85" s="19">
        <v>0</v>
      </c>
      <c r="BP85" s="19">
        <v>0</v>
      </c>
      <c r="BQ85" s="19">
        <v>0</v>
      </c>
      <c r="BR85" s="19">
        <v>3</v>
      </c>
      <c r="BS85" s="19">
        <v>1</v>
      </c>
      <c r="BT85" s="19">
        <v>3</v>
      </c>
      <c r="BU85" s="19">
        <v>5</v>
      </c>
      <c r="BV85" s="19">
        <v>3</v>
      </c>
      <c r="BW85" s="19">
        <v>1</v>
      </c>
      <c r="BX85" s="19">
        <v>4</v>
      </c>
      <c r="BY85" s="19">
        <v>4</v>
      </c>
      <c r="BZ85" s="19">
        <v>5</v>
      </c>
      <c r="CA85" s="19">
        <v>5</v>
      </c>
      <c r="CB85" s="19">
        <v>5</v>
      </c>
      <c r="CC85" s="19">
        <v>5</v>
      </c>
      <c r="CD85" s="19">
        <v>3</v>
      </c>
      <c r="CE85" s="19">
        <v>3</v>
      </c>
      <c r="CF85" s="19">
        <v>3</v>
      </c>
      <c r="CG85" s="19">
        <v>5</v>
      </c>
      <c r="CH85" s="19">
        <v>5</v>
      </c>
      <c r="CI85" s="19">
        <v>4</v>
      </c>
      <c r="CJ85" s="19">
        <v>4</v>
      </c>
      <c r="CK85" s="19">
        <v>10</v>
      </c>
      <c r="CL85" t="s">
        <v>230</v>
      </c>
      <c r="CM85">
        <v>64</v>
      </c>
      <c r="CN85" s="16">
        <v>74.3</v>
      </c>
      <c r="CO85" s="16">
        <v>81</v>
      </c>
      <c r="CP85" s="16">
        <v>58.5</v>
      </c>
      <c r="CQ85">
        <v>49.17</v>
      </c>
      <c r="CR85">
        <v>0</v>
      </c>
      <c r="CS85">
        <v>34.450000000000003</v>
      </c>
      <c r="CT85">
        <v>16.22</v>
      </c>
      <c r="CU85">
        <v>0.16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2.52</v>
      </c>
      <c r="DE85">
        <v>9.18</v>
      </c>
      <c r="DF85">
        <v>0</v>
      </c>
      <c r="DG85">
        <v>0</v>
      </c>
      <c r="DH85">
        <v>0</v>
      </c>
      <c r="DU85">
        <v>0.3</v>
      </c>
      <c r="DV85">
        <v>1</v>
      </c>
      <c r="DW85">
        <v>34</v>
      </c>
      <c r="DX85">
        <v>8</v>
      </c>
      <c r="DY85">
        <v>0.43</v>
      </c>
      <c r="DZ85">
        <v>1</v>
      </c>
      <c r="EA85">
        <v>47</v>
      </c>
      <c r="EB85">
        <v>1</v>
      </c>
      <c r="EC85">
        <v>0.04</v>
      </c>
      <c r="ED85">
        <v>3</v>
      </c>
      <c r="EG85" s="18"/>
      <c r="EY85">
        <v>0</v>
      </c>
      <c r="GJ85" s="16">
        <v>2.89</v>
      </c>
      <c r="GK85" s="16">
        <v>1</v>
      </c>
      <c r="GL85" s="16">
        <v>1</v>
      </c>
      <c r="GM85" s="16"/>
      <c r="GN85" s="16">
        <v>7.35</v>
      </c>
      <c r="GO85" s="16"/>
      <c r="GP85" s="16"/>
      <c r="GQ85" s="16"/>
      <c r="GR85" s="16"/>
      <c r="GS85" s="16"/>
      <c r="GT85" s="16"/>
      <c r="GU85" s="16">
        <v>0</v>
      </c>
      <c r="GV85" s="16">
        <v>0</v>
      </c>
      <c r="GW85" s="16"/>
      <c r="GX85" s="16"/>
      <c r="GY85" s="16">
        <v>0</v>
      </c>
      <c r="GZ85" s="16">
        <v>0</v>
      </c>
      <c r="HA85" s="16">
        <v>0</v>
      </c>
      <c r="HB85">
        <v>0</v>
      </c>
      <c r="HC85" t="s">
        <v>231</v>
      </c>
      <c r="HD85">
        <v>64.5</v>
      </c>
      <c r="HE85" s="16">
        <v>77.8</v>
      </c>
      <c r="HF85" s="16">
        <v>81</v>
      </c>
      <c r="HG85" s="16">
        <v>52.5</v>
      </c>
      <c r="HH85">
        <v>50.19</v>
      </c>
      <c r="HI85">
        <v>0</v>
      </c>
      <c r="HJ85">
        <v>26.36</v>
      </c>
      <c r="HK85">
        <v>23.45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1.91</v>
      </c>
      <c r="HU85">
        <v>2.12</v>
      </c>
      <c r="HV85">
        <v>0</v>
      </c>
      <c r="HW85">
        <v>0</v>
      </c>
      <c r="HX85">
        <v>0</v>
      </c>
      <c r="HY85">
        <v>0</v>
      </c>
      <c r="IL85">
        <v>5.4</v>
      </c>
      <c r="IM85">
        <v>1</v>
      </c>
      <c r="IN85">
        <v>68</v>
      </c>
      <c r="IO85">
        <v>8</v>
      </c>
      <c r="IP85">
        <f>1.4*2+0.13</f>
        <v>2.9299999999999997</v>
      </c>
      <c r="IQ85">
        <v>1</v>
      </c>
      <c r="IR85">
        <v>34</v>
      </c>
      <c r="IS85">
        <v>1</v>
      </c>
      <c r="IT85">
        <v>0.13</v>
      </c>
      <c r="IU85">
        <v>1</v>
      </c>
      <c r="IX85" s="18"/>
      <c r="JP85">
        <v>1</v>
      </c>
      <c r="JQ85">
        <v>60</v>
      </c>
      <c r="JR85">
        <v>1</v>
      </c>
      <c r="JS85">
        <v>0.22</v>
      </c>
      <c r="JT85">
        <v>3</v>
      </c>
      <c r="LA85" s="16">
        <v>3.48</v>
      </c>
      <c r="LB85" s="16">
        <v>1</v>
      </c>
      <c r="LC85" s="16">
        <v>1</v>
      </c>
      <c r="LD85" s="16"/>
      <c r="LE85" s="16">
        <f>7.35+1.4*2+0.62+0.74+0.03+0.7+0.18+0.03+0.05+0.01</f>
        <v>12.509999999999996</v>
      </c>
      <c r="LF85" s="16"/>
      <c r="LG85" s="16"/>
      <c r="LH85" s="16"/>
      <c r="LI85" s="16"/>
      <c r="LJ85" s="16"/>
      <c r="LK85" s="16"/>
      <c r="LL85" s="16">
        <v>0.13</v>
      </c>
      <c r="LM85" s="16">
        <v>0.13</v>
      </c>
      <c r="LN85" s="16"/>
      <c r="LO85" s="16"/>
      <c r="LP85" s="16">
        <v>0</v>
      </c>
      <c r="LQ85" s="16">
        <v>0</v>
      </c>
      <c r="LR85" s="16">
        <v>0</v>
      </c>
      <c r="LS85">
        <v>0</v>
      </c>
      <c r="LT85" t="s">
        <v>232</v>
      </c>
      <c r="LU85">
        <v>40</v>
      </c>
      <c r="LV85" s="16">
        <v>84.9</v>
      </c>
      <c r="LW85" s="16">
        <v>81</v>
      </c>
      <c r="LX85" s="16">
        <v>13.2</v>
      </c>
      <c r="LY85">
        <v>93.04</v>
      </c>
      <c r="LZ85">
        <v>0</v>
      </c>
      <c r="MA85">
        <v>0</v>
      </c>
      <c r="MB85">
        <v>3.59</v>
      </c>
      <c r="MC85">
        <v>3.38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1.7</v>
      </c>
      <c r="MK85">
        <v>3.97</v>
      </c>
      <c r="ML85">
        <v>39.76</v>
      </c>
      <c r="MM85">
        <v>0.13</v>
      </c>
      <c r="MN85">
        <v>0</v>
      </c>
      <c r="MO85">
        <v>0</v>
      </c>
      <c r="MP85">
        <v>0</v>
      </c>
      <c r="NC85">
        <v>15.9</v>
      </c>
      <c r="ND85">
        <v>1</v>
      </c>
      <c r="NE85">
        <v>47</v>
      </c>
      <c r="NF85">
        <v>2</v>
      </c>
      <c r="NG85">
        <v>1.51</v>
      </c>
      <c r="NH85">
        <v>3</v>
      </c>
      <c r="NO85" s="18"/>
      <c r="OG85">
        <v>1</v>
      </c>
      <c r="OH85">
        <v>40</v>
      </c>
      <c r="OI85">
        <v>7</v>
      </c>
      <c r="OJ85">
        <f>2.27+3.02</f>
        <v>5.29</v>
      </c>
      <c r="OK85">
        <v>3</v>
      </c>
      <c r="PR85" s="16">
        <v>1.48</v>
      </c>
      <c r="PS85" s="16">
        <v>1</v>
      </c>
      <c r="PT85" s="16">
        <v>1</v>
      </c>
      <c r="PU85" s="16"/>
      <c r="PV85" s="16">
        <f>2.1+1.7+0.37+0.74</f>
        <v>4.91</v>
      </c>
      <c r="PW85" s="16"/>
      <c r="PX85" s="16"/>
      <c r="PY85" s="16"/>
      <c r="PZ85" s="16"/>
      <c r="QA85" s="16"/>
      <c r="QB85" s="16"/>
      <c r="QC85" s="16">
        <v>7.34</v>
      </c>
      <c r="QD85" s="16">
        <v>5.01</v>
      </c>
      <c r="QE85" s="16"/>
      <c r="QF85" s="16"/>
      <c r="QG85" s="16">
        <v>0</v>
      </c>
      <c r="QH85" s="16">
        <v>0</v>
      </c>
      <c r="QI85" s="16">
        <v>0</v>
      </c>
      <c r="QJ85">
        <v>0</v>
      </c>
      <c r="QK85" t="s">
        <v>233</v>
      </c>
      <c r="QL85">
        <v>39.5</v>
      </c>
      <c r="QM85" s="16">
        <v>85</v>
      </c>
      <c r="QN85" s="16">
        <v>81</v>
      </c>
      <c r="QO85" s="16">
        <v>12.7</v>
      </c>
      <c r="QP85">
        <v>93.14</v>
      </c>
      <c r="QQ85">
        <v>0</v>
      </c>
      <c r="QR85">
        <v>1.57</v>
      </c>
      <c r="QS85">
        <v>2.08</v>
      </c>
      <c r="QT85">
        <v>3.21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1.7</v>
      </c>
      <c r="RB85">
        <v>6.54</v>
      </c>
      <c r="RC85">
        <v>37.880000000000003</v>
      </c>
      <c r="RD85">
        <v>3</v>
      </c>
      <c r="RE85">
        <v>0</v>
      </c>
      <c r="RF85">
        <v>0</v>
      </c>
      <c r="RG85">
        <v>0</v>
      </c>
      <c r="RT85">
        <v>15.7</v>
      </c>
      <c r="RU85">
        <v>1</v>
      </c>
      <c r="RV85">
        <v>47</v>
      </c>
      <c r="RW85">
        <v>2</v>
      </c>
      <c r="RX85">
        <v>1.51</v>
      </c>
      <c r="RY85">
        <v>3</v>
      </c>
      <c r="SF85" s="18"/>
      <c r="SX85">
        <v>1</v>
      </c>
      <c r="SY85">
        <v>50</v>
      </c>
      <c r="SZ85">
        <v>3</v>
      </c>
      <c r="TA85">
        <v>0.4</v>
      </c>
      <c r="TB85">
        <v>3</v>
      </c>
      <c r="TC85">
        <v>40</v>
      </c>
      <c r="TD85">
        <v>7</v>
      </c>
      <c r="TE85">
        <f>2.27+3.02</f>
        <v>5.29</v>
      </c>
      <c r="TF85">
        <v>3</v>
      </c>
      <c r="UI85" s="16">
        <v>1.76</v>
      </c>
      <c r="UJ85" s="16">
        <v>1</v>
      </c>
      <c r="UK85" s="16">
        <v>1</v>
      </c>
      <c r="UL85" s="16"/>
      <c r="UM85" s="16">
        <f>2.1+1.7+0.4+0.37+0.74</f>
        <v>5.3100000000000005</v>
      </c>
      <c r="UN85" s="16"/>
      <c r="UO85" s="16"/>
      <c r="UP85" s="16"/>
      <c r="UQ85" s="16"/>
      <c r="UR85" s="16"/>
      <c r="US85" s="16"/>
      <c r="UT85" s="16">
        <v>7.31</v>
      </c>
      <c r="UU85" s="16">
        <v>6.99</v>
      </c>
      <c r="UV85" s="16"/>
      <c r="UW85" s="16"/>
      <c r="UX85" s="16">
        <v>0</v>
      </c>
      <c r="UY85" s="16">
        <v>0</v>
      </c>
      <c r="UZ85" s="16">
        <v>0</v>
      </c>
      <c r="VA85">
        <v>0</v>
      </c>
      <c r="VB85" t="s">
        <v>234</v>
      </c>
      <c r="VC85">
        <v>22.5</v>
      </c>
      <c r="VD85" s="16">
        <v>60.3</v>
      </c>
      <c r="VE85" s="16">
        <v>81</v>
      </c>
      <c r="VF85" s="16">
        <v>13.3</v>
      </c>
      <c r="VG85">
        <v>92.98</v>
      </c>
      <c r="VH85">
        <v>0</v>
      </c>
      <c r="VI85">
        <v>0</v>
      </c>
      <c r="VJ85">
        <v>0</v>
      </c>
      <c r="VK85">
        <v>7.02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0.72</v>
      </c>
      <c r="VT85">
        <v>23.12</v>
      </c>
      <c r="VU85">
        <v>24.81</v>
      </c>
      <c r="VV85">
        <v>0</v>
      </c>
      <c r="VW85">
        <v>0</v>
      </c>
      <c r="VX85">
        <v>0</v>
      </c>
      <c r="WK85">
        <v>0</v>
      </c>
      <c r="WL85">
        <v>1</v>
      </c>
      <c r="WM85">
        <v>23</v>
      </c>
      <c r="WN85">
        <v>1</v>
      </c>
      <c r="WO85">
        <v>0.3</v>
      </c>
      <c r="WP85">
        <v>3</v>
      </c>
      <c r="WW85" s="18"/>
      <c r="XO85">
        <v>0</v>
      </c>
      <c r="YZ85" s="16">
        <v>1.26</v>
      </c>
      <c r="ZA85" s="16">
        <v>1</v>
      </c>
      <c r="ZB85" s="16">
        <v>1</v>
      </c>
      <c r="ZC85" s="16"/>
      <c r="ZD85" s="16">
        <f>2.1+1.7+0.4+0.37+0.74</f>
        <v>5.3100000000000005</v>
      </c>
      <c r="ZE85" s="16"/>
      <c r="ZF85" s="16"/>
      <c r="ZG85" s="16"/>
      <c r="ZH85" s="16"/>
      <c r="ZI85" s="16"/>
      <c r="ZJ85" s="16"/>
      <c r="ZK85" s="16">
        <v>6.24</v>
      </c>
      <c r="ZL85" s="16">
        <v>6.99</v>
      </c>
      <c r="ZM85" s="16"/>
      <c r="ZN85" s="16"/>
      <c r="ZO85" s="16">
        <v>0</v>
      </c>
      <c r="ZP85" s="16">
        <v>0</v>
      </c>
      <c r="ZQ85" s="16">
        <v>0</v>
      </c>
      <c r="ZR85">
        <v>0</v>
      </c>
      <c r="ZS85" t="s">
        <v>235</v>
      </c>
      <c r="ZT85">
        <v>37</v>
      </c>
      <c r="ZU85" s="16">
        <v>81.900000000000006</v>
      </c>
      <c r="ZV85" s="16">
        <v>81</v>
      </c>
      <c r="ZW85" s="16">
        <v>26.3</v>
      </c>
      <c r="ZX85">
        <v>68.540000000000006</v>
      </c>
      <c r="ZY85">
        <v>0</v>
      </c>
      <c r="ZZ85">
        <v>0</v>
      </c>
      <c r="AAA85">
        <v>0</v>
      </c>
      <c r="AAB85">
        <v>31.46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5.42</v>
      </c>
      <c r="AAK85">
        <v>17.37</v>
      </c>
      <c r="AAL85">
        <v>41.85</v>
      </c>
      <c r="AAM85">
        <v>0</v>
      </c>
      <c r="AAN85">
        <v>0</v>
      </c>
      <c r="AAO85">
        <v>0</v>
      </c>
      <c r="ABB85">
        <v>0</v>
      </c>
      <c r="ABC85">
        <v>1</v>
      </c>
      <c r="ABD85">
        <v>23</v>
      </c>
      <c r="ABE85">
        <v>2</v>
      </c>
      <c r="ABF85">
        <v>2.11</v>
      </c>
      <c r="ABG85">
        <v>3</v>
      </c>
      <c r="ABN85" s="18"/>
      <c r="ACF85">
        <v>0</v>
      </c>
      <c r="ADQ85" s="16">
        <v>2.64</v>
      </c>
      <c r="ADR85" s="16">
        <v>1</v>
      </c>
      <c r="ADS85" s="16">
        <v>1</v>
      </c>
      <c r="ADT85" s="16"/>
      <c r="ADU85" s="16">
        <f>4.2*2+1.7+5.1+0.37+0.74</f>
        <v>16.309999999999999</v>
      </c>
      <c r="ADV85" s="16"/>
      <c r="ADW85" s="16"/>
      <c r="ADX85" s="16"/>
      <c r="ADY85" s="16"/>
      <c r="ADZ85" s="16"/>
      <c r="AEA85" s="16"/>
      <c r="AEB85" s="16">
        <v>5.32</v>
      </c>
      <c r="AEC85" s="16">
        <v>8.0399999999999991</v>
      </c>
      <c r="AED85" s="16"/>
      <c r="AEE85" s="16"/>
      <c r="AEF85" s="16">
        <v>0</v>
      </c>
      <c r="AEG85" s="16">
        <v>0</v>
      </c>
      <c r="AEH85" s="16">
        <v>0</v>
      </c>
      <c r="AEI85">
        <v>0</v>
      </c>
      <c r="AEJ85" t="s">
        <v>236</v>
      </c>
      <c r="AEK85">
        <v>51</v>
      </c>
      <c r="AEL85" s="16">
        <v>93.4</v>
      </c>
      <c r="AEM85" s="16">
        <v>81</v>
      </c>
      <c r="AEN85" s="16">
        <v>29.5</v>
      </c>
      <c r="AEO85">
        <v>55.24</v>
      </c>
      <c r="AEP85">
        <v>0</v>
      </c>
      <c r="AEQ85">
        <v>0</v>
      </c>
      <c r="AER85">
        <v>0</v>
      </c>
      <c r="AES85">
        <v>44.76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0.67</v>
      </c>
      <c r="AFA85">
        <v>5.0999999999999996</v>
      </c>
      <c r="AFB85">
        <v>47.22</v>
      </c>
      <c r="AFC85">
        <v>18.3</v>
      </c>
      <c r="AFD85">
        <v>0</v>
      </c>
      <c r="AFE85">
        <v>7.5</v>
      </c>
      <c r="AFF85">
        <v>1</v>
      </c>
      <c r="AFG85">
        <v>3.6</v>
      </c>
      <c r="AFI85">
        <v>1</v>
      </c>
      <c r="AFM85">
        <v>3.6</v>
      </c>
      <c r="AFO85">
        <v>1</v>
      </c>
      <c r="AFS85">
        <v>0</v>
      </c>
      <c r="AFT85">
        <v>0</v>
      </c>
      <c r="AGE85" s="18"/>
      <c r="AGW85">
        <v>0</v>
      </c>
      <c r="AIH85" s="16">
        <v>1.95</v>
      </c>
      <c r="AII85" s="16">
        <v>1</v>
      </c>
      <c r="AIJ85" s="16">
        <v>1</v>
      </c>
      <c r="AIK85" s="16"/>
      <c r="AIL85" s="16">
        <f>2.42+1.67+5+0.22+0.66+0.22</f>
        <v>10.190000000000001</v>
      </c>
      <c r="AIM85" s="16"/>
      <c r="AIN85" s="16"/>
      <c r="AIO85" s="16"/>
      <c r="AIP85" s="16"/>
      <c r="AIQ85" s="16"/>
      <c r="AIR85" s="16"/>
      <c r="AIS85" s="16">
        <v>5.63</v>
      </c>
      <c r="AIT85" s="16">
        <v>11.04</v>
      </c>
      <c r="AIU85" s="16"/>
      <c r="AIV85" s="16"/>
      <c r="AIW85" s="16">
        <v>0</v>
      </c>
      <c r="AIX85" s="16">
        <v>0</v>
      </c>
      <c r="AIY85" s="16">
        <v>0</v>
      </c>
      <c r="AIZ85">
        <v>0</v>
      </c>
      <c r="AJA85" t="s">
        <v>237</v>
      </c>
      <c r="AJB85">
        <v>46</v>
      </c>
      <c r="AJC85" s="16">
        <v>92.7</v>
      </c>
      <c r="AJD85" s="16">
        <v>81</v>
      </c>
      <c r="AJE85" s="16">
        <v>20.8</v>
      </c>
      <c r="AJF85">
        <v>76.44</v>
      </c>
      <c r="AJG85">
        <v>0</v>
      </c>
      <c r="AJH85">
        <v>0</v>
      </c>
      <c r="AJI85">
        <v>0</v>
      </c>
      <c r="AJJ85">
        <v>23.56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0.23</v>
      </c>
      <c r="AJR85">
        <v>0.51</v>
      </c>
      <c r="AJS85">
        <v>26.55</v>
      </c>
      <c r="AJT85">
        <v>36.69</v>
      </c>
      <c r="AJU85">
        <v>0</v>
      </c>
      <c r="AJV85">
        <v>10.6</v>
      </c>
      <c r="AJW85">
        <v>1</v>
      </c>
      <c r="AJX85">
        <v>6</v>
      </c>
      <c r="AJZ85">
        <v>1</v>
      </c>
      <c r="AKD85">
        <v>6</v>
      </c>
      <c r="AKF85">
        <v>1</v>
      </c>
      <c r="AKJ85">
        <v>7.1</v>
      </c>
      <c r="AKK85">
        <v>1</v>
      </c>
      <c r="AKL85">
        <v>35</v>
      </c>
      <c r="AKM85">
        <v>2</v>
      </c>
      <c r="AKN85">
        <f>0.76*2</f>
        <v>1.52</v>
      </c>
      <c r="AKO85">
        <v>3</v>
      </c>
      <c r="AKV85" s="18"/>
      <c r="ALN85">
        <v>0</v>
      </c>
    </row>
    <row r="86" spans="1:1018" x14ac:dyDescent="0.2">
      <c r="A86" s="1" t="s">
        <v>465</v>
      </c>
      <c r="B86" s="12">
        <v>42900</v>
      </c>
      <c r="C86">
        <v>2</v>
      </c>
      <c r="D86" s="13">
        <v>34624</v>
      </c>
      <c r="E86" s="12">
        <v>25367</v>
      </c>
      <c r="F86" s="14">
        <f t="shared" si="42"/>
        <v>48.002737850787135</v>
      </c>
      <c r="G86" s="14">
        <f t="shared" si="43"/>
        <v>22.658453114305271</v>
      </c>
      <c r="H86" s="15" t="s">
        <v>228</v>
      </c>
      <c r="I86" s="15" t="s">
        <v>447</v>
      </c>
      <c r="J86" s="15" t="s">
        <v>183</v>
      </c>
      <c r="K86" s="21">
        <v>8</v>
      </c>
      <c r="L86" s="19">
        <v>78</v>
      </c>
      <c r="M86">
        <v>1.72</v>
      </c>
      <c r="N86" s="16">
        <f t="shared" si="44"/>
        <v>26.365603028664147</v>
      </c>
      <c r="O86" s="19">
        <v>0</v>
      </c>
      <c r="P86" s="19">
        <v>0</v>
      </c>
      <c r="Q86" s="19">
        <v>0</v>
      </c>
      <c r="R86" s="19">
        <v>0</v>
      </c>
      <c r="S86" s="19">
        <v>0</v>
      </c>
      <c r="T86" s="19">
        <v>0</v>
      </c>
      <c r="U86" s="19">
        <v>0</v>
      </c>
      <c r="V86" s="19">
        <v>0</v>
      </c>
      <c r="W86" s="19">
        <v>1</v>
      </c>
      <c r="X86" s="19">
        <v>0</v>
      </c>
      <c r="Y86" s="19">
        <v>0</v>
      </c>
      <c r="Z86" s="19">
        <v>0</v>
      </c>
      <c r="AA86" s="19">
        <v>0</v>
      </c>
      <c r="AB86" s="19">
        <v>0</v>
      </c>
      <c r="AC86" s="19">
        <v>0</v>
      </c>
      <c r="AD86" s="19">
        <v>0</v>
      </c>
      <c r="AE86" s="19">
        <v>1</v>
      </c>
      <c r="AF86" s="19">
        <v>0</v>
      </c>
      <c r="AG86" s="19">
        <v>1</v>
      </c>
      <c r="AH86" s="19">
        <v>5</v>
      </c>
      <c r="AI86" s="19">
        <v>3</v>
      </c>
      <c r="AJ86" s="19">
        <v>0</v>
      </c>
      <c r="AK86" s="19">
        <v>0</v>
      </c>
      <c r="AL86" s="19">
        <v>0</v>
      </c>
      <c r="AM86" s="19">
        <v>0</v>
      </c>
      <c r="AN86" s="19">
        <v>0</v>
      </c>
      <c r="AO86" s="19">
        <v>0</v>
      </c>
      <c r="AP86" s="19">
        <v>0</v>
      </c>
      <c r="AQ86" s="19">
        <v>0</v>
      </c>
      <c r="AR86" s="19">
        <v>0</v>
      </c>
      <c r="AS86" s="19">
        <v>3</v>
      </c>
      <c r="AT86" s="19">
        <v>3</v>
      </c>
      <c r="AU86" s="19">
        <v>3</v>
      </c>
      <c r="AV86" s="19">
        <v>8</v>
      </c>
      <c r="AW86" s="19">
        <v>8</v>
      </c>
      <c r="AX86" s="19">
        <v>0</v>
      </c>
      <c r="AY86" s="19">
        <v>0</v>
      </c>
      <c r="AZ86" s="19">
        <v>0</v>
      </c>
      <c r="BA86" s="19">
        <v>0</v>
      </c>
      <c r="BB86" s="19">
        <v>1</v>
      </c>
      <c r="BC86" s="19">
        <v>1</v>
      </c>
      <c r="BD86" s="19">
        <v>1</v>
      </c>
      <c r="BE86" s="19">
        <v>8</v>
      </c>
      <c r="BF86" s="19">
        <v>0</v>
      </c>
      <c r="BG86" s="19">
        <v>0</v>
      </c>
      <c r="BH86" s="19">
        <v>0</v>
      </c>
      <c r="BI86" s="19">
        <v>0</v>
      </c>
      <c r="BJ86" s="19">
        <v>1</v>
      </c>
      <c r="BK86" s="19">
        <v>1</v>
      </c>
      <c r="BL86" s="19">
        <v>0</v>
      </c>
      <c r="BM86" s="19">
        <v>0</v>
      </c>
      <c r="BN86" s="19">
        <v>1</v>
      </c>
      <c r="BO86" s="19">
        <v>0</v>
      </c>
      <c r="BP86" s="19">
        <v>1</v>
      </c>
      <c r="BQ86" s="19">
        <v>8</v>
      </c>
      <c r="BR86" s="19">
        <v>3</v>
      </c>
      <c r="BS86" s="19">
        <v>2</v>
      </c>
      <c r="BT86" s="19">
        <v>5</v>
      </c>
      <c r="BU86" s="19">
        <v>5</v>
      </c>
      <c r="BV86" s="19">
        <v>4</v>
      </c>
      <c r="BW86" s="19">
        <v>3</v>
      </c>
      <c r="BX86" s="19">
        <v>3</v>
      </c>
      <c r="BY86" s="19">
        <v>3</v>
      </c>
      <c r="BZ86" s="19">
        <v>2</v>
      </c>
      <c r="CA86" s="19">
        <v>2</v>
      </c>
      <c r="CB86" s="19">
        <v>4</v>
      </c>
      <c r="CC86" s="19">
        <v>5</v>
      </c>
      <c r="CD86" s="19">
        <v>4</v>
      </c>
      <c r="CE86" s="19">
        <v>2</v>
      </c>
      <c r="CF86" s="19">
        <v>5</v>
      </c>
      <c r="CG86" s="19">
        <v>4</v>
      </c>
      <c r="CH86" s="19">
        <v>4</v>
      </c>
      <c r="CI86" s="19">
        <v>4</v>
      </c>
      <c r="CJ86" s="19">
        <v>4</v>
      </c>
      <c r="CK86" s="19">
        <v>4</v>
      </c>
      <c r="CL86" t="s">
        <v>449</v>
      </c>
      <c r="CM86">
        <v>46.5</v>
      </c>
      <c r="CN86" s="16">
        <v>82.8</v>
      </c>
      <c r="CO86" s="16">
        <v>80.400000000000006</v>
      </c>
      <c r="CP86" s="16">
        <v>14.9</v>
      </c>
      <c r="CQ86">
        <v>82.52</v>
      </c>
      <c r="CR86">
        <v>0</v>
      </c>
      <c r="CS86">
        <v>0</v>
      </c>
      <c r="CT86">
        <v>0</v>
      </c>
      <c r="CU86">
        <v>17.48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37.299999999999997</v>
      </c>
      <c r="DD86">
        <v>16.79</v>
      </c>
      <c r="DE86">
        <v>15.04</v>
      </c>
      <c r="DF86">
        <v>0</v>
      </c>
      <c r="DG86">
        <v>0</v>
      </c>
      <c r="DH86">
        <v>0</v>
      </c>
      <c r="DU86">
        <v>18.899999999999999</v>
      </c>
      <c r="DV86">
        <v>1</v>
      </c>
      <c r="DW86">
        <v>68</v>
      </c>
      <c r="DX86">
        <v>1</v>
      </c>
      <c r="DY86">
        <v>0.13</v>
      </c>
      <c r="DZ86">
        <v>1</v>
      </c>
      <c r="EA86">
        <v>35</v>
      </c>
      <c r="EB86">
        <v>3</v>
      </c>
      <c r="EC86">
        <v>2.25</v>
      </c>
      <c r="ED86">
        <v>3</v>
      </c>
      <c r="EE86">
        <v>47</v>
      </c>
      <c r="EF86">
        <v>10</v>
      </c>
      <c r="EG86" s="18">
        <f>0.27+0.08+0.08+0.11+0.61+0.04</f>
        <v>1.19</v>
      </c>
      <c r="EH86">
        <v>3</v>
      </c>
      <c r="EY86">
        <v>1</v>
      </c>
      <c r="EZ86">
        <v>80</v>
      </c>
      <c r="FA86">
        <v>1</v>
      </c>
      <c r="FB86">
        <v>0.13</v>
      </c>
      <c r="FC86">
        <v>3</v>
      </c>
      <c r="GJ86" s="16">
        <v>1.1499999999999999</v>
      </c>
      <c r="GK86" s="16">
        <v>1</v>
      </c>
      <c r="GL86" s="16">
        <v>3</v>
      </c>
      <c r="GM86" s="16"/>
      <c r="GN86" s="16">
        <f>1.06+0.37*2</f>
        <v>1.8</v>
      </c>
      <c r="GO86" s="16"/>
      <c r="GP86" s="16"/>
      <c r="GQ86" s="16"/>
      <c r="GR86" s="16"/>
      <c r="GS86" s="16"/>
      <c r="GT86" s="16"/>
      <c r="GU86" s="16">
        <v>9.75</v>
      </c>
      <c r="GV86" s="16">
        <v>11.26</v>
      </c>
      <c r="GW86" s="16"/>
      <c r="GX86" s="16"/>
      <c r="GY86" s="16">
        <v>0</v>
      </c>
      <c r="GZ86" s="16">
        <v>0</v>
      </c>
      <c r="HA86" s="16">
        <v>0</v>
      </c>
      <c r="HB86">
        <v>0</v>
      </c>
      <c r="HC86" t="s">
        <v>456</v>
      </c>
      <c r="HD86">
        <v>79.5</v>
      </c>
      <c r="HE86" s="16">
        <v>92.6</v>
      </c>
      <c r="HF86" s="16">
        <v>80.400000000000006</v>
      </c>
      <c r="HG86" s="16">
        <v>25.3</v>
      </c>
      <c r="HH86">
        <v>77.91</v>
      </c>
      <c r="HI86">
        <v>0</v>
      </c>
      <c r="HJ86">
        <v>0.76</v>
      </c>
      <c r="HK86">
        <v>0</v>
      </c>
      <c r="HL86">
        <v>21.33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4.99</v>
      </c>
      <c r="HT86">
        <v>0</v>
      </c>
      <c r="HU86">
        <v>5.93</v>
      </c>
      <c r="HV86">
        <v>41.31</v>
      </c>
      <c r="HW86">
        <v>0</v>
      </c>
      <c r="HX86">
        <v>10.6</v>
      </c>
      <c r="HY86">
        <v>2</v>
      </c>
      <c r="HZ86">
        <v>3</v>
      </c>
      <c r="IA86">
        <v>6.39</v>
      </c>
      <c r="IF86">
        <v>3</v>
      </c>
      <c r="IG86">
        <v>6.39</v>
      </c>
      <c r="IL86">
        <v>19.899999999999999</v>
      </c>
      <c r="IM86">
        <v>1</v>
      </c>
      <c r="IN86">
        <v>52</v>
      </c>
      <c r="IO86">
        <v>2</v>
      </c>
      <c r="IP86">
        <f>0.05+0.08</f>
        <v>0.13</v>
      </c>
      <c r="IQ86">
        <v>2</v>
      </c>
      <c r="IR86">
        <v>47</v>
      </c>
      <c r="IS86">
        <v>12</v>
      </c>
      <c r="IT86">
        <f>1.52+0.11+0.27+0.07+0.1+0.16+0.13+0.13</f>
        <v>2.4900000000000002</v>
      </c>
      <c r="IU86">
        <v>3</v>
      </c>
      <c r="IX86" s="18"/>
      <c r="JP86">
        <v>0</v>
      </c>
      <c r="LA86" s="16">
        <v>6.39</v>
      </c>
      <c r="LB86" s="16">
        <v>1</v>
      </c>
      <c r="LC86" s="16">
        <v>2</v>
      </c>
      <c r="LD86" s="16"/>
      <c r="LE86" s="16">
        <f>2.11+1.52+2.11+0.3+0.22*2</f>
        <v>6.48</v>
      </c>
      <c r="LF86" s="16"/>
      <c r="LG86" s="16"/>
      <c r="LH86" s="16"/>
      <c r="LI86" s="16"/>
      <c r="LJ86" s="16"/>
      <c r="LK86" s="16"/>
      <c r="LL86" s="16">
        <v>14.55</v>
      </c>
      <c r="LM86" s="16">
        <v>28.78</v>
      </c>
      <c r="LN86" s="16"/>
      <c r="LO86" s="16"/>
      <c r="LP86" s="16">
        <v>0</v>
      </c>
      <c r="LQ86" s="16">
        <v>0</v>
      </c>
      <c r="LR86" s="16">
        <v>0</v>
      </c>
      <c r="LS86">
        <v>0</v>
      </c>
      <c r="LT86" t="s">
        <v>457</v>
      </c>
      <c r="LU86">
        <v>21</v>
      </c>
      <c r="LV86" s="16">
        <v>68.8</v>
      </c>
      <c r="LW86" s="16">
        <v>80.400000000000006</v>
      </c>
      <c r="LX86" s="16">
        <v>11.1</v>
      </c>
      <c r="LY86">
        <v>92.71</v>
      </c>
      <c r="LZ86">
        <v>0</v>
      </c>
      <c r="MA86">
        <v>0</v>
      </c>
      <c r="MB86">
        <v>0</v>
      </c>
      <c r="MC86">
        <v>7.29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2.4300000000000002</v>
      </c>
      <c r="MM86">
        <v>9.89</v>
      </c>
      <c r="MN86">
        <v>0</v>
      </c>
      <c r="MO86">
        <v>0</v>
      </c>
      <c r="MP86">
        <v>0</v>
      </c>
      <c r="NC86">
        <v>1</v>
      </c>
      <c r="ND86">
        <v>1</v>
      </c>
      <c r="NE86">
        <v>68</v>
      </c>
      <c r="NF86">
        <v>7</v>
      </c>
      <c r="NG86">
        <f>0.05+0.03+0.27+0.03</f>
        <v>0.38</v>
      </c>
      <c r="NH86">
        <v>1</v>
      </c>
      <c r="NO86" s="18"/>
      <c r="OG86">
        <v>0</v>
      </c>
      <c r="PR86" s="16">
        <v>0.67</v>
      </c>
      <c r="PS86" s="16">
        <v>1</v>
      </c>
      <c r="PT86" s="16">
        <v>2</v>
      </c>
      <c r="PU86" s="16"/>
      <c r="PV86" s="16">
        <f>0.28*2</f>
        <v>0.56000000000000005</v>
      </c>
      <c r="PW86" s="16"/>
      <c r="PX86" s="16"/>
      <c r="PY86" s="16"/>
      <c r="PZ86" s="16"/>
      <c r="QA86" s="16"/>
      <c r="QB86" s="16"/>
      <c r="QC86" s="16">
        <v>7.38</v>
      </c>
      <c r="QD86" s="16">
        <v>10.32</v>
      </c>
      <c r="QE86" s="16"/>
      <c r="QF86" s="16"/>
      <c r="QG86" s="16">
        <v>0</v>
      </c>
      <c r="QH86" s="16">
        <v>0</v>
      </c>
      <c r="QI86" s="16">
        <v>0</v>
      </c>
      <c r="QJ86">
        <v>0</v>
      </c>
      <c r="QK86" t="s">
        <v>451</v>
      </c>
      <c r="QL86">
        <v>48.5</v>
      </c>
      <c r="QM86" s="16">
        <v>83.8</v>
      </c>
      <c r="QN86" s="16">
        <v>80.400000000000006</v>
      </c>
      <c r="QO86" s="16">
        <v>34.299999999999997</v>
      </c>
      <c r="QP86">
        <v>70.08</v>
      </c>
      <c r="QQ86">
        <v>0</v>
      </c>
      <c r="QR86">
        <v>18.239999999999998</v>
      </c>
      <c r="QS86">
        <v>1.05</v>
      </c>
      <c r="QT86">
        <v>1.1399999999999999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19.39</v>
      </c>
      <c r="RB86">
        <v>3.64</v>
      </c>
      <c r="RC86">
        <v>13.61</v>
      </c>
      <c r="RD86">
        <v>5.23</v>
      </c>
      <c r="RE86">
        <v>9.49</v>
      </c>
      <c r="RF86">
        <v>2.6</v>
      </c>
      <c r="RG86">
        <v>2</v>
      </c>
      <c r="RH86">
        <v>3</v>
      </c>
      <c r="RI86">
        <v>1.01</v>
      </c>
      <c r="RN86">
        <v>3</v>
      </c>
      <c r="RO86">
        <v>1.01</v>
      </c>
      <c r="RT86">
        <v>1.7</v>
      </c>
      <c r="RU86">
        <v>0</v>
      </c>
      <c r="SF86" s="18"/>
      <c r="SX86">
        <v>1</v>
      </c>
      <c r="SY86">
        <v>60</v>
      </c>
      <c r="SZ86">
        <v>1</v>
      </c>
      <c r="TA86">
        <v>1.05</v>
      </c>
      <c r="TB86">
        <v>1</v>
      </c>
      <c r="UI86" s="16">
        <v>3.52</v>
      </c>
      <c r="UJ86" s="16">
        <v>1</v>
      </c>
      <c r="UK86" s="16">
        <v>2</v>
      </c>
      <c r="UL86" s="16"/>
      <c r="UM86" s="16">
        <f>4.23+0.13</f>
        <v>4.3600000000000003</v>
      </c>
      <c r="UN86" s="16"/>
      <c r="UO86" s="16"/>
      <c r="UP86" s="16"/>
      <c r="UQ86" s="16"/>
      <c r="UR86" s="16"/>
      <c r="US86" s="16"/>
      <c r="UT86" s="16">
        <v>0</v>
      </c>
      <c r="UU86" s="16">
        <v>0</v>
      </c>
      <c r="UV86" s="16"/>
      <c r="UW86" s="16"/>
      <c r="UX86" s="16">
        <v>5.97</v>
      </c>
      <c r="UY86" s="16">
        <v>0</v>
      </c>
      <c r="UZ86" s="16">
        <v>0</v>
      </c>
      <c r="VA86">
        <v>1</v>
      </c>
      <c r="VB86" t="s">
        <v>452</v>
      </c>
      <c r="VC86">
        <v>48</v>
      </c>
      <c r="VD86" s="16">
        <v>86.2</v>
      </c>
      <c r="VE86" s="16">
        <v>80.400000000000006</v>
      </c>
      <c r="VF86" s="16">
        <v>34.299999999999997</v>
      </c>
      <c r="VG86">
        <v>70.08</v>
      </c>
      <c r="VH86">
        <v>0</v>
      </c>
      <c r="VI86">
        <v>18.239999999999998</v>
      </c>
      <c r="VJ86">
        <v>1.05</v>
      </c>
      <c r="VK86">
        <v>1.1399999999999999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19.39</v>
      </c>
      <c r="VS86">
        <v>3.64</v>
      </c>
      <c r="VT86">
        <v>13.61</v>
      </c>
      <c r="VU86">
        <v>5.23</v>
      </c>
      <c r="VV86">
        <v>9.49</v>
      </c>
      <c r="VW86">
        <v>2.6</v>
      </c>
      <c r="VX86">
        <v>2</v>
      </c>
      <c r="VY86">
        <v>3</v>
      </c>
      <c r="VZ86">
        <v>1.01</v>
      </c>
      <c r="WE86">
        <v>3</v>
      </c>
      <c r="WF86">
        <v>1.01</v>
      </c>
      <c r="WK86">
        <v>1.7</v>
      </c>
      <c r="WL86">
        <v>0</v>
      </c>
      <c r="WW86" s="18"/>
      <c r="XO86">
        <v>1</v>
      </c>
      <c r="XP86">
        <v>60</v>
      </c>
      <c r="XQ86">
        <v>1</v>
      </c>
      <c r="XR86">
        <v>1.05</v>
      </c>
      <c r="XS86">
        <v>1</v>
      </c>
      <c r="YZ86" s="16">
        <v>3.52</v>
      </c>
      <c r="ZA86" s="16">
        <v>1</v>
      </c>
      <c r="ZB86" s="16">
        <v>2</v>
      </c>
      <c r="ZC86" s="16"/>
      <c r="ZD86" s="16">
        <f>4.23+0.13</f>
        <v>4.3600000000000003</v>
      </c>
      <c r="ZE86" s="16"/>
      <c r="ZF86" s="16"/>
      <c r="ZG86" s="16"/>
      <c r="ZH86" s="16"/>
      <c r="ZI86" s="16"/>
      <c r="ZJ86" s="16"/>
      <c r="ZK86" s="16">
        <v>0</v>
      </c>
      <c r="ZL86" s="16">
        <v>0</v>
      </c>
      <c r="ZM86" s="16"/>
      <c r="ZN86" s="16"/>
      <c r="ZO86" s="16">
        <v>5.97</v>
      </c>
      <c r="ZP86" s="16">
        <v>0</v>
      </c>
      <c r="ZQ86" s="16">
        <v>0</v>
      </c>
      <c r="ZR86">
        <v>0</v>
      </c>
      <c r="ZS86" t="s">
        <v>466</v>
      </c>
      <c r="ZT86">
        <v>37</v>
      </c>
      <c r="ZU86" s="16">
        <v>76.599999999999994</v>
      </c>
      <c r="ZV86" s="16">
        <v>80.400000000000006</v>
      </c>
      <c r="ZW86" s="16">
        <v>11</v>
      </c>
      <c r="ZX86">
        <v>100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8.99</v>
      </c>
      <c r="AAL86">
        <v>26.1</v>
      </c>
      <c r="AAM86">
        <v>0</v>
      </c>
      <c r="AAN86">
        <v>0</v>
      </c>
      <c r="AAO86">
        <v>0</v>
      </c>
      <c r="ABB86">
        <v>8</v>
      </c>
      <c r="ABC86">
        <v>1</v>
      </c>
      <c r="ABD86">
        <v>68</v>
      </c>
      <c r="ABE86">
        <v>12</v>
      </c>
      <c r="ABF86">
        <f>0.34+0.19+0.76+0.03+0.03+0.03</f>
        <v>1.3800000000000001</v>
      </c>
      <c r="ABG86">
        <v>1</v>
      </c>
      <c r="ABH86">
        <v>47</v>
      </c>
      <c r="ABI86">
        <v>3</v>
      </c>
      <c r="ABJ86">
        <f>0.1+0.03+0.03</f>
        <v>0.16</v>
      </c>
      <c r="ABK86">
        <v>3</v>
      </c>
      <c r="ABN86" s="18"/>
      <c r="ACF86">
        <v>0</v>
      </c>
      <c r="ADQ86" s="16">
        <v>0</v>
      </c>
      <c r="ADR86" s="16">
        <v>0</v>
      </c>
      <c r="ADS86" s="16"/>
      <c r="ADT86" s="16"/>
      <c r="ADU86" s="16"/>
      <c r="ADV86" s="16"/>
      <c r="ADW86" s="16"/>
      <c r="ADX86" s="16"/>
      <c r="ADY86" s="16"/>
      <c r="ADZ86" s="16"/>
      <c r="AEA86" s="16"/>
      <c r="AEB86" s="16">
        <v>15.3</v>
      </c>
      <c r="AEC86" s="16">
        <f>0.34+2.02*2+1.35+2.02+0.67+1.35+0.22+0.67+0.45+0.68+0.45+0.19+0.76+2.09+1.14+0.76*2+0.67+0.45+2.24+0.22+0.03+0.16*2+0.11+0.16+0.05+0.1+0+0.03+0.05*2+0.03+0.04+0.03*2+0.04+0.02*4+0.03</f>
        <v>22.7</v>
      </c>
      <c r="AED86" s="16"/>
      <c r="AEE86" s="16"/>
      <c r="AEF86" s="16">
        <v>0</v>
      </c>
      <c r="AEG86" s="16">
        <v>0</v>
      </c>
      <c r="AEH86" s="16">
        <v>0</v>
      </c>
      <c r="AEI86">
        <v>0</v>
      </c>
      <c r="AEJ86" t="s">
        <v>453</v>
      </c>
      <c r="AEK86">
        <v>37.5</v>
      </c>
      <c r="AEL86" s="16">
        <v>79.400000000000006</v>
      </c>
      <c r="AEM86" s="16">
        <v>80.400000000000006</v>
      </c>
      <c r="AEN86" s="16">
        <v>10.9</v>
      </c>
      <c r="AEO86">
        <v>97.51</v>
      </c>
      <c r="AEP86">
        <v>0</v>
      </c>
      <c r="AEQ86">
        <v>2.4900000000000002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7.79</v>
      </c>
      <c r="AFB86">
        <v>20.079999999999998</v>
      </c>
      <c r="AFC86">
        <v>23.98</v>
      </c>
      <c r="AFD86">
        <v>0</v>
      </c>
      <c r="AFE86">
        <v>0</v>
      </c>
      <c r="AFF86">
        <v>0</v>
      </c>
      <c r="AFS86">
        <v>5.0999999999999996</v>
      </c>
      <c r="AFT86">
        <v>1</v>
      </c>
      <c r="AFU86">
        <v>52</v>
      </c>
      <c r="AFV86">
        <v>3</v>
      </c>
      <c r="AFW86">
        <v>0.14000000000000001</v>
      </c>
      <c r="AFX86">
        <v>2</v>
      </c>
      <c r="AFY86">
        <v>47</v>
      </c>
      <c r="AFZ86">
        <v>7</v>
      </c>
      <c r="AGA86">
        <f>0.13+0.27+0.04+0.04+0.13+0.13</f>
        <v>0.74</v>
      </c>
      <c r="AGB86">
        <v>3</v>
      </c>
      <c r="AGE86" s="18"/>
      <c r="AGW86">
        <v>0</v>
      </c>
      <c r="AIH86" s="16">
        <v>4.4800000000000004</v>
      </c>
      <c r="AII86" s="16">
        <v>1</v>
      </c>
      <c r="AIJ86" s="16">
        <v>2</v>
      </c>
      <c r="AIK86" s="16"/>
      <c r="AIL86" s="16">
        <f>3.17+6.34+0.56+1.12</f>
        <v>11.190000000000001</v>
      </c>
      <c r="AIM86" s="16"/>
      <c r="AIN86" s="16"/>
      <c r="AIO86" s="16"/>
      <c r="AIP86" s="16"/>
      <c r="AIQ86" s="16"/>
      <c r="AIR86" s="16"/>
      <c r="AIS86" s="16">
        <v>13.79</v>
      </c>
      <c r="AIT86" s="16">
        <v>38.270000000000003</v>
      </c>
      <c r="AIU86" s="16"/>
      <c r="AIV86" s="16"/>
      <c r="AIW86" s="16">
        <v>0</v>
      </c>
      <c r="AIX86" s="16">
        <v>0</v>
      </c>
      <c r="AIY86" s="16">
        <v>0</v>
      </c>
      <c r="AIZ86">
        <v>0</v>
      </c>
      <c r="AJA86" s="15"/>
      <c r="AJB86" s="15"/>
      <c r="AJI86" s="15"/>
      <c r="AJJ86" s="15"/>
      <c r="AJQ86" s="15"/>
      <c r="AJR86" s="15"/>
      <c r="AJY86" s="15"/>
      <c r="AJZ86" s="15"/>
      <c r="AKG86" s="15"/>
      <c r="AKH86" s="15"/>
      <c r="AKO86" s="15"/>
      <c r="AKP86" s="15"/>
      <c r="AKW86" s="15"/>
      <c r="AKX86" s="15"/>
      <c r="ALE86" s="15"/>
      <c r="ALF86" s="15"/>
      <c r="ALM86" s="15"/>
      <c r="ALN86" s="15"/>
      <c r="ALU86" s="15"/>
      <c r="ALV86" s="15"/>
      <c r="AMC86" s="15"/>
      <c r="AMD86" s="15"/>
    </row>
    <row r="87" spans="1:1018" x14ac:dyDescent="0.2">
      <c r="A87" s="1" t="s">
        <v>467</v>
      </c>
      <c r="B87" s="12">
        <v>42894</v>
      </c>
      <c r="C87">
        <v>2</v>
      </c>
      <c r="D87" s="13">
        <v>42821</v>
      </c>
      <c r="E87" s="12">
        <v>28622</v>
      </c>
      <c r="F87" s="14">
        <f t="shared" si="42"/>
        <v>39.074606433949349</v>
      </c>
      <c r="G87" s="14">
        <f t="shared" si="43"/>
        <v>0.1998631074606434</v>
      </c>
      <c r="H87" s="15" t="s">
        <v>183</v>
      </c>
      <c r="I87" s="15" t="s">
        <v>347</v>
      </c>
      <c r="J87" s="15" t="s">
        <v>183</v>
      </c>
      <c r="K87" s="21">
        <v>8</v>
      </c>
      <c r="L87" s="19">
        <v>80</v>
      </c>
      <c r="M87">
        <v>1.8</v>
      </c>
      <c r="N87" s="16">
        <f t="shared" si="44"/>
        <v>24.691358024691358</v>
      </c>
      <c r="O87" s="19">
        <v>0</v>
      </c>
      <c r="P87" s="19">
        <v>0</v>
      </c>
      <c r="Q87" s="19">
        <v>0</v>
      </c>
      <c r="R87" s="19">
        <v>0</v>
      </c>
      <c r="S87" s="19">
        <v>0</v>
      </c>
      <c r="T87" s="19">
        <v>0</v>
      </c>
      <c r="U87" s="19">
        <v>0</v>
      </c>
      <c r="V87" s="19">
        <v>0</v>
      </c>
      <c r="W87" s="19">
        <v>1</v>
      </c>
      <c r="X87" s="19">
        <v>0</v>
      </c>
      <c r="Y87" s="19">
        <v>1</v>
      </c>
      <c r="Z87" s="19">
        <v>2</v>
      </c>
      <c r="AA87" s="19">
        <v>60</v>
      </c>
      <c r="AB87" s="19" t="s">
        <v>468</v>
      </c>
      <c r="AC87" s="19">
        <v>0</v>
      </c>
      <c r="AD87" s="19">
        <v>0</v>
      </c>
      <c r="AE87" s="19">
        <v>0</v>
      </c>
      <c r="AF87" s="19">
        <v>0</v>
      </c>
      <c r="AG87" s="19">
        <v>0</v>
      </c>
      <c r="AH87" s="19">
        <v>0</v>
      </c>
      <c r="AI87" s="19">
        <v>0</v>
      </c>
      <c r="AJ87" s="19">
        <v>0</v>
      </c>
      <c r="AK87" s="19">
        <v>0</v>
      </c>
      <c r="AL87" s="19">
        <v>0</v>
      </c>
      <c r="AM87" s="19">
        <v>0</v>
      </c>
      <c r="AN87" s="19">
        <v>0</v>
      </c>
      <c r="AO87" s="19">
        <v>0</v>
      </c>
      <c r="AP87" s="19">
        <v>0</v>
      </c>
      <c r="AQ87" s="19">
        <v>0</v>
      </c>
      <c r="AR87" s="19">
        <v>0</v>
      </c>
      <c r="AS87" s="19">
        <v>0</v>
      </c>
      <c r="AT87" s="19">
        <v>0</v>
      </c>
      <c r="AU87" s="19">
        <v>0</v>
      </c>
      <c r="AV87" s="19">
        <v>0</v>
      </c>
      <c r="AW87" s="19">
        <v>0</v>
      </c>
      <c r="AX87" s="19">
        <v>0</v>
      </c>
      <c r="AY87" s="19">
        <v>0</v>
      </c>
      <c r="AZ87" s="19">
        <v>0</v>
      </c>
      <c r="BA87" s="19">
        <v>0</v>
      </c>
      <c r="BB87" s="19">
        <v>0</v>
      </c>
      <c r="BC87" s="19">
        <v>0</v>
      </c>
      <c r="BD87" s="19">
        <v>0</v>
      </c>
      <c r="BE87" s="19">
        <v>0</v>
      </c>
      <c r="BF87" s="19">
        <v>0</v>
      </c>
      <c r="BG87" s="19">
        <v>0</v>
      </c>
      <c r="BH87" s="19">
        <v>0</v>
      </c>
      <c r="BI87" s="19">
        <v>0</v>
      </c>
      <c r="BJ87" s="19">
        <v>0</v>
      </c>
      <c r="BK87" s="19">
        <v>0</v>
      </c>
      <c r="BL87" s="19">
        <v>0</v>
      </c>
      <c r="BM87" s="19">
        <v>0</v>
      </c>
      <c r="BN87" s="19">
        <v>0</v>
      </c>
      <c r="BO87" s="19">
        <v>0</v>
      </c>
      <c r="BP87" s="19">
        <v>0</v>
      </c>
      <c r="BQ87" s="19">
        <v>0</v>
      </c>
      <c r="BR87" s="19">
        <v>2</v>
      </c>
      <c r="BS87" s="19">
        <v>2</v>
      </c>
      <c r="BT87" s="19">
        <v>4</v>
      </c>
      <c r="BU87" s="19">
        <v>4</v>
      </c>
      <c r="BV87" s="19">
        <v>2</v>
      </c>
      <c r="BW87" s="19">
        <v>2</v>
      </c>
      <c r="BX87" s="19">
        <v>2</v>
      </c>
      <c r="BY87" s="19">
        <v>2</v>
      </c>
      <c r="BZ87" s="19">
        <v>2</v>
      </c>
      <c r="CA87" s="19">
        <v>4</v>
      </c>
      <c r="CB87" s="19">
        <v>4</v>
      </c>
      <c r="CC87" s="19">
        <v>4</v>
      </c>
      <c r="CD87" s="19">
        <v>3</v>
      </c>
      <c r="CE87" s="19">
        <v>2</v>
      </c>
      <c r="CF87" s="19">
        <v>2</v>
      </c>
      <c r="CG87" s="19">
        <v>5</v>
      </c>
      <c r="CH87" s="19">
        <v>4</v>
      </c>
      <c r="CI87" s="19">
        <v>4</v>
      </c>
      <c r="CJ87" s="19">
        <v>4</v>
      </c>
      <c r="CK87" s="19">
        <v>10</v>
      </c>
      <c r="CL87" t="s">
        <v>364</v>
      </c>
      <c r="CM87">
        <v>32</v>
      </c>
      <c r="CN87" s="16">
        <v>75</v>
      </c>
      <c r="CO87" s="16">
        <v>80.400000000000006</v>
      </c>
      <c r="CP87" s="16">
        <v>22.6</v>
      </c>
      <c r="CQ87">
        <v>76.239999999999995</v>
      </c>
      <c r="CS87">
        <v>15.36</v>
      </c>
      <c r="CT87">
        <v>1.93</v>
      </c>
      <c r="CU87">
        <v>6.47</v>
      </c>
      <c r="CV87">
        <v>0</v>
      </c>
      <c r="CW87">
        <v>0</v>
      </c>
      <c r="CY87">
        <v>0</v>
      </c>
      <c r="CZ87">
        <v>0</v>
      </c>
      <c r="DA87">
        <v>0</v>
      </c>
      <c r="DB87">
        <v>0</v>
      </c>
      <c r="DC87">
        <v>32.86</v>
      </c>
      <c r="DD87">
        <v>26.39</v>
      </c>
      <c r="DE87">
        <v>0</v>
      </c>
      <c r="DF87">
        <v>0</v>
      </c>
      <c r="DG87">
        <v>0</v>
      </c>
      <c r="DH87">
        <v>0</v>
      </c>
      <c r="DU87">
        <v>5.6</v>
      </c>
      <c r="DV87">
        <v>1</v>
      </c>
      <c r="DW87">
        <v>35</v>
      </c>
      <c r="DX87">
        <v>1</v>
      </c>
      <c r="DY87">
        <v>0.5</v>
      </c>
      <c r="DZ87">
        <v>3</v>
      </c>
      <c r="EG87" s="20"/>
      <c r="EY87">
        <v>1</v>
      </c>
      <c r="EZ87">
        <v>60</v>
      </c>
      <c r="FA87">
        <v>5</v>
      </c>
      <c r="FB87">
        <v>3.13</v>
      </c>
      <c r="FC87">
        <v>2</v>
      </c>
      <c r="FD87">
        <v>50</v>
      </c>
      <c r="FE87">
        <v>2</v>
      </c>
      <c r="FF87">
        <v>0.67</v>
      </c>
      <c r="FG87">
        <v>2</v>
      </c>
      <c r="GJ87" s="16">
        <v>1.43</v>
      </c>
      <c r="GK87" s="16">
        <v>1</v>
      </c>
      <c r="GL87" s="16">
        <v>1</v>
      </c>
      <c r="GM87" s="16"/>
      <c r="GN87" s="16">
        <v>17.43</v>
      </c>
      <c r="GO87" s="16"/>
      <c r="GP87" s="16"/>
      <c r="GQ87" s="16"/>
      <c r="GR87" s="16"/>
      <c r="GS87" s="16"/>
      <c r="GT87" s="16"/>
      <c r="GU87" s="16">
        <v>1.7</v>
      </c>
      <c r="GV87" s="16">
        <v>1.7</v>
      </c>
      <c r="GW87" s="16">
        <v>0</v>
      </c>
      <c r="GX87" s="16">
        <v>0</v>
      </c>
      <c r="GY87" s="16">
        <v>0</v>
      </c>
      <c r="GZ87" s="16">
        <v>0</v>
      </c>
      <c r="HA87" s="16">
        <v>0</v>
      </c>
      <c r="HB87">
        <v>0</v>
      </c>
      <c r="HC87" t="s">
        <v>356</v>
      </c>
      <c r="HD87">
        <v>39.5</v>
      </c>
      <c r="HE87" s="16">
        <v>85.1</v>
      </c>
      <c r="HF87" s="16">
        <v>80.400000000000006</v>
      </c>
      <c r="HG87" s="16">
        <v>13.6</v>
      </c>
      <c r="HH87">
        <v>87.38</v>
      </c>
      <c r="HJ87">
        <v>8.0500000000000007</v>
      </c>
      <c r="HK87">
        <v>0</v>
      </c>
      <c r="HL87">
        <v>4.57</v>
      </c>
      <c r="HM87">
        <v>0</v>
      </c>
      <c r="HN87">
        <v>0</v>
      </c>
      <c r="HP87">
        <v>0</v>
      </c>
      <c r="HQ87">
        <v>0</v>
      </c>
      <c r="HR87">
        <v>0</v>
      </c>
      <c r="HS87">
        <v>0</v>
      </c>
      <c r="HT87">
        <v>45</v>
      </c>
      <c r="HU87">
        <v>10.1</v>
      </c>
      <c r="HV87">
        <v>11.8</v>
      </c>
      <c r="HW87">
        <v>0</v>
      </c>
      <c r="HX87">
        <v>0</v>
      </c>
      <c r="HY87">
        <v>0</v>
      </c>
      <c r="IL87">
        <v>17.8</v>
      </c>
      <c r="IM87">
        <v>1</v>
      </c>
      <c r="IN87">
        <v>30</v>
      </c>
      <c r="IO87">
        <v>7</v>
      </c>
      <c r="IP87">
        <v>5.33</v>
      </c>
      <c r="IQ87">
        <v>3</v>
      </c>
      <c r="IX87" s="20"/>
      <c r="JP87">
        <v>1</v>
      </c>
      <c r="JQ87">
        <v>50</v>
      </c>
      <c r="JR87">
        <v>1</v>
      </c>
      <c r="JS87">
        <v>0.03</v>
      </c>
      <c r="JT87">
        <v>1</v>
      </c>
      <c r="LA87" s="16">
        <v>3.96</v>
      </c>
      <c r="LB87" s="16">
        <v>1</v>
      </c>
      <c r="LC87" s="16">
        <v>1</v>
      </c>
      <c r="LD87" s="16"/>
      <c r="LE87" s="16">
        <v>41.03</v>
      </c>
      <c r="LF87" s="16">
        <v>2</v>
      </c>
      <c r="LG87" s="16">
        <v>3.73</v>
      </c>
      <c r="LH87" s="16"/>
      <c r="LI87" s="16"/>
      <c r="LJ87" s="16"/>
      <c r="LK87" s="16"/>
      <c r="LL87" s="16">
        <v>0</v>
      </c>
      <c r="LM87" s="16">
        <v>0</v>
      </c>
      <c r="LN87" s="16">
        <v>0</v>
      </c>
      <c r="LO87" s="16">
        <v>0</v>
      </c>
      <c r="LP87" s="16">
        <v>0</v>
      </c>
      <c r="LQ87" s="16">
        <v>0</v>
      </c>
      <c r="LR87" s="16">
        <v>0</v>
      </c>
      <c r="LS87">
        <v>0</v>
      </c>
      <c r="LT87" t="s">
        <v>352</v>
      </c>
      <c r="LU87">
        <v>49</v>
      </c>
      <c r="LV87" s="16">
        <v>65.5</v>
      </c>
      <c r="LW87" s="16">
        <v>80.400000000000006</v>
      </c>
      <c r="LX87" s="16">
        <v>8.1999999999999993</v>
      </c>
      <c r="LY87">
        <v>84.28</v>
      </c>
      <c r="MA87">
        <v>0</v>
      </c>
      <c r="MB87">
        <v>0</v>
      </c>
      <c r="MC87">
        <v>15.72</v>
      </c>
      <c r="MD87">
        <v>0</v>
      </c>
      <c r="ME87">
        <v>0</v>
      </c>
      <c r="MG87">
        <v>0</v>
      </c>
      <c r="MH87">
        <v>0</v>
      </c>
      <c r="MI87">
        <v>0</v>
      </c>
      <c r="MJ87">
        <v>0</v>
      </c>
      <c r="MK87">
        <v>21.31</v>
      </c>
      <c r="ML87">
        <v>26.03</v>
      </c>
      <c r="MM87">
        <v>0</v>
      </c>
      <c r="MN87">
        <v>0</v>
      </c>
      <c r="MO87">
        <v>8.1999999999999993</v>
      </c>
      <c r="MP87">
        <v>5</v>
      </c>
      <c r="MQ87">
        <v>50</v>
      </c>
      <c r="MR87">
        <v>2</v>
      </c>
      <c r="MW87">
        <v>50</v>
      </c>
      <c r="MX87">
        <v>2</v>
      </c>
      <c r="NC87">
        <v>25.5</v>
      </c>
      <c r="ND87">
        <v>1</v>
      </c>
      <c r="NE87">
        <v>35</v>
      </c>
      <c r="NF87">
        <v>21</v>
      </c>
      <c r="NG87">
        <v>7.69</v>
      </c>
      <c r="NH87">
        <v>3</v>
      </c>
      <c r="NO87" s="20"/>
      <c r="OG87">
        <v>0</v>
      </c>
      <c r="PR87" s="16">
        <v>0</v>
      </c>
      <c r="PS87" s="16">
        <v>0</v>
      </c>
      <c r="PT87" s="16"/>
      <c r="PU87" s="16"/>
      <c r="PV87" s="16"/>
      <c r="PW87" s="16"/>
      <c r="PX87" s="16"/>
      <c r="PY87" s="16"/>
      <c r="PZ87" s="16"/>
      <c r="QA87" s="16"/>
      <c r="QB87" s="16"/>
      <c r="QC87" s="16">
        <v>0</v>
      </c>
      <c r="QD87" s="16">
        <v>0</v>
      </c>
      <c r="QE87" s="16">
        <v>0</v>
      </c>
      <c r="QF87" s="16">
        <v>0</v>
      </c>
      <c r="QG87" s="16">
        <v>0</v>
      </c>
      <c r="QH87" s="16">
        <v>0</v>
      </c>
      <c r="QI87" s="16">
        <v>0</v>
      </c>
      <c r="QJ87">
        <v>0</v>
      </c>
      <c r="QO87" s="15"/>
      <c r="QP87" s="15"/>
      <c r="QW87" s="15"/>
      <c r="QX87" s="15"/>
      <c r="RE87" s="15"/>
      <c r="RF87" s="15"/>
      <c r="RM87" s="15"/>
      <c r="RN87" s="15"/>
      <c r="RU87" s="15"/>
      <c r="RV87" s="15"/>
      <c r="SC87" s="15"/>
      <c r="SD87" s="15"/>
      <c r="SK87" s="15"/>
      <c r="SL87" s="15"/>
      <c r="SS87" s="15"/>
      <c r="ST87" s="15"/>
      <c r="TA87" s="15"/>
      <c r="TB87" s="15"/>
      <c r="TI87" s="15"/>
      <c r="TJ87" s="15"/>
      <c r="TQ87" s="15"/>
      <c r="TR87" s="15"/>
      <c r="TY87" s="15"/>
      <c r="TZ87" s="15"/>
      <c r="UG87" s="15"/>
      <c r="UH87" s="15"/>
      <c r="UO87" s="15"/>
      <c r="UP87" s="15"/>
      <c r="UW87" s="15"/>
      <c r="UX87" s="15"/>
      <c r="VE87" s="15"/>
      <c r="VF87" s="15"/>
      <c r="VM87" s="15"/>
      <c r="VN87" s="15"/>
      <c r="VU87" s="15"/>
      <c r="VV87" s="15"/>
      <c r="WC87" s="15"/>
      <c r="WD87" s="15"/>
      <c r="WK87" s="15"/>
      <c r="WL87" s="15"/>
      <c r="WS87" s="15"/>
      <c r="WT87" s="15"/>
      <c r="XA87" s="15"/>
      <c r="XB87" s="15"/>
      <c r="XI87" s="15"/>
      <c r="XJ87" s="15"/>
      <c r="XQ87" s="15"/>
      <c r="XR87" s="15"/>
      <c r="XY87" s="15"/>
      <c r="XZ87" s="15"/>
      <c r="YG87" s="15"/>
      <c r="YH87" s="15"/>
      <c r="YO87" s="15"/>
      <c r="YP87" s="15"/>
      <c r="YW87" s="15"/>
      <c r="YX87" s="15"/>
      <c r="ZE87" s="15"/>
      <c r="ZF87" s="15"/>
      <c r="ZM87" s="15"/>
      <c r="ZN87" s="15"/>
      <c r="ZU87" s="15"/>
      <c r="ZV87" s="15"/>
      <c r="AAC87" s="15"/>
      <c r="AAD87" s="15"/>
      <c r="AAK87" s="15"/>
      <c r="AAL87" s="15"/>
      <c r="AAS87" s="15"/>
      <c r="AAT87" s="15"/>
      <c r="ABA87" s="15"/>
      <c r="ABB87" s="15"/>
      <c r="ABI87" s="15"/>
      <c r="ABJ87" s="15"/>
      <c r="ABQ87" s="15"/>
      <c r="ABR87" s="15"/>
      <c r="ABY87" s="15"/>
      <c r="ABZ87" s="15"/>
      <c r="ACG87" s="15"/>
      <c r="ACH87" s="15"/>
      <c r="ACO87" s="15"/>
      <c r="ACP87" s="15"/>
      <c r="ACW87" s="15"/>
      <c r="ACX87" s="15"/>
      <c r="ADE87" s="15"/>
      <c r="ADF87" s="15"/>
      <c r="ADM87" s="15"/>
      <c r="ADN87" s="15"/>
      <c r="ADU87" s="15"/>
      <c r="ADV87" s="15"/>
      <c r="AEC87" s="15"/>
      <c r="AED87" s="15"/>
      <c r="AEK87" s="15"/>
      <c r="AEL87" s="15"/>
      <c r="AES87" s="15"/>
      <c r="AET87" s="15"/>
      <c r="AFA87" s="15"/>
      <c r="AFB87" s="15"/>
      <c r="AFI87" s="15"/>
      <c r="AFJ87" s="15"/>
      <c r="AFQ87" s="15"/>
      <c r="AFR87" s="15"/>
      <c r="AFY87" s="15"/>
      <c r="AFZ87" s="15"/>
      <c r="AGG87" s="15"/>
      <c r="AGH87" s="15"/>
      <c r="AGO87" s="15"/>
      <c r="AGP87" s="15"/>
      <c r="AGW87" s="15"/>
      <c r="AGX87" s="15"/>
      <c r="AHE87" s="15"/>
      <c r="AHF87" s="15"/>
      <c r="AHM87" s="15"/>
      <c r="AHN87" s="15"/>
      <c r="AHU87" s="15"/>
      <c r="AHV87" s="15"/>
      <c r="AIC87" s="15"/>
      <c r="AID87" s="15"/>
      <c r="AIK87" s="15"/>
      <c r="AIL87" s="15"/>
      <c r="AIS87" s="15"/>
      <c r="AIT87" s="15"/>
      <c r="AJA87" s="15"/>
      <c r="AJB87" s="15"/>
      <c r="AJI87" s="15"/>
      <c r="AJJ87" s="15"/>
      <c r="AJQ87" s="15"/>
      <c r="AJR87" s="15"/>
      <c r="AJY87" s="15"/>
      <c r="AJZ87" s="15"/>
      <c r="AKG87" s="15"/>
      <c r="AKH87" s="15"/>
      <c r="AKO87" s="15"/>
      <c r="AKP87" s="15"/>
      <c r="AKW87" s="15"/>
      <c r="AKX87" s="15"/>
      <c r="ALE87" s="15"/>
      <c r="ALF87" s="15"/>
      <c r="ALM87" s="15"/>
      <c r="ALN87" s="15"/>
      <c r="ALU87" s="15"/>
      <c r="ALV87" s="15"/>
      <c r="AMC87" s="15"/>
      <c r="AMD87" s="15"/>
    </row>
    <row r="88" spans="1:1018" x14ac:dyDescent="0.2">
      <c r="A88" s="1" t="s">
        <v>469</v>
      </c>
      <c r="B88" s="12">
        <v>42894</v>
      </c>
      <c r="C88">
        <v>2</v>
      </c>
      <c r="D88" s="13">
        <v>42783</v>
      </c>
      <c r="E88" s="12">
        <v>34296</v>
      </c>
      <c r="F88" s="14">
        <f t="shared" si="42"/>
        <v>23.540041067761805</v>
      </c>
      <c r="G88" s="14">
        <f t="shared" si="43"/>
        <v>0.30390143737166325</v>
      </c>
      <c r="H88" s="15" t="s">
        <v>183</v>
      </c>
      <c r="I88" s="15" t="s">
        <v>347</v>
      </c>
      <c r="J88" s="15" t="s">
        <v>183</v>
      </c>
      <c r="K88" s="21">
        <v>8</v>
      </c>
      <c r="L88" s="19">
        <v>69</v>
      </c>
      <c r="M88">
        <v>1.73</v>
      </c>
      <c r="N88" s="16">
        <f t="shared" si="44"/>
        <v>23.054562464499313</v>
      </c>
      <c r="O88" s="19">
        <v>0</v>
      </c>
      <c r="P88" s="19">
        <v>0</v>
      </c>
      <c r="Q88" s="19">
        <v>0</v>
      </c>
      <c r="R88" s="19">
        <v>0</v>
      </c>
      <c r="S88" s="19">
        <v>0</v>
      </c>
      <c r="T88" s="19">
        <v>0</v>
      </c>
      <c r="U88" s="19">
        <v>0</v>
      </c>
      <c r="V88" s="19">
        <v>0</v>
      </c>
      <c r="W88" s="19">
        <v>1</v>
      </c>
      <c r="X88" s="19">
        <v>0</v>
      </c>
      <c r="Y88" s="19">
        <v>1</v>
      </c>
      <c r="Z88" s="19">
        <v>3</v>
      </c>
      <c r="AA88" s="19">
        <v>90</v>
      </c>
      <c r="AB88" s="19" t="s">
        <v>470</v>
      </c>
      <c r="AC88" s="19">
        <v>0</v>
      </c>
      <c r="AD88" s="19">
        <v>0</v>
      </c>
      <c r="AE88" s="19">
        <v>0</v>
      </c>
      <c r="AF88" s="19">
        <v>0</v>
      </c>
      <c r="AG88" s="19">
        <v>0</v>
      </c>
      <c r="AH88" s="19">
        <v>0</v>
      </c>
      <c r="AI88" s="19">
        <v>0</v>
      </c>
      <c r="AJ88" s="19">
        <v>0</v>
      </c>
      <c r="AK88" s="19">
        <v>0</v>
      </c>
      <c r="AL88" s="19">
        <v>0</v>
      </c>
      <c r="AM88" s="19">
        <v>0</v>
      </c>
      <c r="AN88" s="19">
        <v>1</v>
      </c>
      <c r="AO88" s="19">
        <v>0</v>
      </c>
      <c r="AP88" s="19">
        <v>1</v>
      </c>
      <c r="AQ88" s="19">
        <v>4</v>
      </c>
      <c r="AR88" s="19">
        <v>0</v>
      </c>
      <c r="AS88" s="19">
        <v>0</v>
      </c>
      <c r="AT88" s="19">
        <v>0</v>
      </c>
      <c r="AU88" s="19">
        <v>0</v>
      </c>
      <c r="AV88" s="19">
        <v>0</v>
      </c>
      <c r="AW88" s="19">
        <v>0</v>
      </c>
      <c r="AX88" s="19">
        <v>0</v>
      </c>
      <c r="AY88" s="19">
        <v>0</v>
      </c>
      <c r="AZ88" s="19">
        <v>0</v>
      </c>
      <c r="BA88" s="19">
        <v>0</v>
      </c>
      <c r="BB88" s="19">
        <v>0</v>
      </c>
      <c r="BC88" s="19">
        <v>0</v>
      </c>
      <c r="BD88" s="19">
        <v>0</v>
      </c>
      <c r="BE88" s="19">
        <v>0</v>
      </c>
      <c r="BF88" s="19">
        <v>0</v>
      </c>
      <c r="BG88" s="19">
        <v>0</v>
      </c>
      <c r="BH88" s="19">
        <v>0</v>
      </c>
      <c r="BI88" s="19">
        <v>0</v>
      </c>
      <c r="BJ88" s="19">
        <v>0</v>
      </c>
      <c r="BK88" s="19">
        <v>0</v>
      </c>
      <c r="BL88" s="19">
        <v>0</v>
      </c>
      <c r="BM88" s="19">
        <v>0</v>
      </c>
      <c r="BN88" s="19">
        <v>0</v>
      </c>
      <c r="BO88" s="19">
        <v>0</v>
      </c>
      <c r="BP88" s="19">
        <v>0</v>
      </c>
      <c r="BQ88" s="19">
        <v>0</v>
      </c>
      <c r="BR88" s="19">
        <v>3</v>
      </c>
      <c r="BS88" s="19">
        <v>2</v>
      </c>
      <c r="BT88" s="19">
        <v>3</v>
      </c>
      <c r="BU88" s="19">
        <v>5</v>
      </c>
      <c r="BV88" s="19">
        <v>2</v>
      </c>
      <c r="BW88" s="19">
        <v>1</v>
      </c>
      <c r="BX88" s="19">
        <v>2</v>
      </c>
      <c r="BY88" s="19">
        <v>3</v>
      </c>
      <c r="BZ88" s="19">
        <v>5</v>
      </c>
      <c r="CA88" s="19">
        <v>5</v>
      </c>
      <c r="CB88" s="19">
        <v>5</v>
      </c>
      <c r="CC88" s="19">
        <v>5</v>
      </c>
      <c r="CD88" s="19">
        <v>5</v>
      </c>
      <c r="CE88" s="19">
        <v>5</v>
      </c>
      <c r="CF88" s="19">
        <v>5</v>
      </c>
      <c r="CG88" s="19">
        <v>5</v>
      </c>
      <c r="CH88" s="19">
        <v>4</v>
      </c>
      <c r="CI88" s="19">
        <v>4</v>
      </c>
      <c r="CJ88" s="19">
        <v>4</v>
      </c>
      <c r="CK88" s="19">
        <v>8</v>
      </c>
      <c r="CL88" t="s">
        <v>363</v>
      </c>
      <c r="CM88">
        <v>34.5</v>
      </c>
      <c r="CN88" s="16">
        <v>88.3</v>
      </c>
      <c r="CO88" s="16">
        <v>80.400000000000006</v>
      </c>
      <c r="CP88" s="16">
        <v>22.8</v>
      </c>
      <c r="CQ88">
        <v>73.89</v>
      </c>
      <c r="CS88">
        <v>14.94</v>
      </c>
      <c r="CT88">
        <v>0.5</v>
      </c>
      <c r="CU88">
        <v>10.66</v>
      </c>
      <c r="CV88">
        <v>0</v>
      </c>
      <c r="CW88">
        <v>0</v>
      </c>
      <c r="CY88">
        <v>0</v>
      </c>
      <c r="CZ88">
        <v>0</v>
      </c>
      <c r="DA88">
        <v>0</v>
      </c>
      <c r="DB88">
        <v>0</v>
      </c>
      <c r="DC88">
        <v>46.29</v>
      </c>
      <c r="DD88">
        <v>23.15</v>
      </c>
      <c r="DE88">
        <v>0</v>
      </c>
      <c r="DF88">
        <v>0</v>
      </c>
      <c r="DG88">
        <v>0</v>
      </c>
      <c r="DH88">
        <v>0</v>
      </c>
      <c r="DU88">
        <v>2.8</v>
      </c>
      <c r="DV88">
        <v>1</v>
      </c>
      <c r="DW88">
        <v>35</v>
      </c>
      <c r="DX88">
        <v>1</v>
      </c>
      <c r="DY88">
        <v>0.5</v>
      </c>
      <c r="DZ88">
        <v>3</v>
      </c>
      <c r="EG88" s="20"/>
      <c r="EY88">
        <v>1</v>
      </c>
      <c r="EZ88">
        <v>60</v>
      </c>
      <c r="FA88">
        <v>4</v>
      </c>
      <c r="FB88">
        <v>0.54</v>
      </c>
      <c r="FC88">
        <v>3</v>
      </c>
      <c r="GJ88" s="16">
        <v>3.05</v>
      </c>
      <c r="GK88" s="16">
        <v>1</v>
      </c>
      <c r="GL88" s="16">
        <v>1</v>
      </c>
      <c r="GM88" s="16"/>
      <c r="GN88" s="16">
        <v>8.7100000000000009</v>
      </c>
      <c r="GO88" s="16">
        <v>2</v>
      </c>
      <c r="GP88" s="16"/>
      <c r="GQ88" s="16">
        <v>12.44</v>
      </c>
      <c r="GR88" s="16"/>
      <c r="GS88" s="16"/>
      <c r="GT88" s="16"/>
      <c r="GU88" s="16">
        <v>4.5</v>
      </c>
      <c r="GV88" s="16">
        <v>1.2</v>
      </c>
      <c r="GW88" s="16">
        <v>0</v>
      </c>
      <c r="GX88" s="16">
        <v>0</v>
      </c>
      <c r="GY88" s="16">
        <v>0</v>
      </c>
      <c r="GZ88" s="16">
        <v>0</v>
      </c>
      <c r="HA88" s="16">
        <v>0</v>
      </c>
      <c r="HB88">
        <v>0</v>
      </c>
      <c r="HC88" t="s">
        <v>364</v>
      </c>
      <c r="HD88">
        <v>32</v>
      </c>
      <c r="HE88" s="16">
        <v>75</v>
      </c>
      <c r="HF88" s="16">
        <v>80.400000000000006</v>
      </c>
      <c r="HG88" s="16">
        <v>22.6</v>
      </c>
      <c r="HH88">
        <v>76.239999999999995</v>
      </c>
      <c r="HJ88">
        <v>15.36</v>
      </c>
      <c r="HK88">
        <v>1.93</v>
      </c>
      <c r="HL88">
        <v>6.47</v>
      </c>
      <c r="HM88">
        <v>0</v>
      </c>
      <c r="HN88">
        <v>0</v>
      </c>
      <c r="HP88">
        <v>0</v>
      </c>
      <c r="HQ88">
        <v>0</v>
      </c>
      <c r="HR88">
        <v>0</v>
      </c>
      <c r="HS88">
        <v>0</v>
      </c>
      <c r="HT88">
        <v>32.86</v>
      </c>
      <c r="HU88">
        <v>26.39</v>
      </c>
      <c r="HV88">
        <v>0</v>
      </c>
      <c r="HW88">
        <v>0</v>
      </c>
      <c r="HX88">
        <v>0</v>
      </c>
      <c r="HY88">
        <v>0</v>
      </c>
      <c r="IL88">
        <v>5.6</v>
      </c>
      <c r="IM88">
        <v>1</v>
      </c>
      <c r="IN88">
        <v>35</v>
      </c>
      <c r="IO88">
        <v>1</v>
      </c>
      <c r="IP88">
        <v>0.5</v>
      </c>
      <c r="IQ88">
        <v>3</v>
      </c>
      <c r="IX88" s="20"/>
      <c r="JP88">
        <v>1</v>
      </c>
      <c r="JQ88">
        <v>60</v>
      </c>
      <c r="JR88">
        <v>5</v>
      </c>
      <c r="JS88">
        <v>3.13</v>
      </c>
      <c r="JT88">
        <v>2</v>
      </c>
      <c r="JU88">
        <v>50</v>
      </c>
      <c r="JV88">
        <v>2</v>
      </c>
      <c r="JW88">
        <v>0.67</v>
      </c>
      <c r="JX88">
        <v>2</v>
      </c>
      <c r="LA88" s="16">
        <v>1.43</v>
      </c>
      <c r="LB88" s="16">
        <v>1</v>
      </c>
      <c r="LC88" s="16">
        <v>1</v>
      </c>
      <c r="LD88" s="16"/>
      <c r="LE88" s="16">
        <v>17.43</v>
      </c>
      <c r="LF88" s="16"/>
      <c r="LG88" s="16"/>
      <c r="LH88" s="16"/>
      <c r="LI88" s="16"/>
      <c r="LJ88" s="16"/>
      <c r="LK88" s="16"/>
      <c r="LL88" s="16">
        <v>1.7</v>
      </c>
      <c r="LM88" s="16">
        <v>1.7</v>
      </c>
      <c r="LN88" s="16">
        <v>0</v>
      </c>
      <c r="LO88" s="16">
        <v>0</v>
      </c>
      <c r="LP88" s="16">
        <v>0</v>
      </c>
      <c r="LQ88" s="16">
        <v>0</v>
      </c>
      <c r="LR88" s="16">
        <v>0</v>
      </c>
      <c r="LS88">
        <v>0</v>
      </c>
      <c r="LT88" t="s">
        <v>350</v>
      </c>
      <c r="LU88">
        <v>75</v>
      </c>
      <c r="LV88" s="16">
        <v>87.9</v>
      </c>
      <c r="LW88" s="16">
        <v>80.400000000000006</v>
      </c>
      <c r="LX88" s="16">
        <v>45.2</v>
      </c>
      <c r="LY88">
        <v>50.83</v>
      </c>
      <c r="LZ88">
        <v>0.05</v>
      </c>
      <c r="MA88">
        <v>46.44</v>
      </c>
      <c r="MB88">
        <v>2.67</v>
      </c>
      <c r="MC88">
        <v>0</v>
      </c>
      <c r="MD88">
        <v>0</v>
      </c>
      <c r="ME88">
        <v>0</v>
      </c>
      <c r="MG88">
        <v>0</v>
      </c>
      <c r="MH88">
        <v>0</v>
      </c>
      <c r="MI88">
        <v>0</v>
      </c>
      <c r="MJ88">
        <v>0</v>
      </c>
      <c r="MK88">
        <v>25.21</v>
      </c>
      <c r="ML88">
        <v>43.57</v>
      </c>
      <c r="MM88">
        <v>6.27</v>
      </c>
      <c r="MN88">
        <v>0</v>
      </c>
      <c r="MO88">
        <v>0</v>
      </c>
      <c r="MP88">
        <v>0</v>
      </c>
      <c r="NC88">
        <v>17.8</v>
      </c>
      <c r="ND88">
        <v>1</v>
      </c>
      <c r="NE88">
        <v>35</v>
      </c>
      <c r="NF88">
        <v>9</v>
      </c>
      <c r="NG88">
        <v>2.5499999999999998</v>
      </c>
      <c r="NH88">
        <v>3</v>
      </c>
      <c r="NO88" s="20"/>
      <c r="OG88">
        <v>1</v>
      </c>
      <c r="OH88">
        <v>50</v>
      </c>
      <c r="OI88">
        <v>8</v>
      </c>
      <c r="OJ88">
        <v>2.12</v>
      </c>
      <c r="OK88">
        <v>3</v>
      </c>
      <c r="PR88" s="16">
        <v>3.43</v>
      </c>
      <c r="PS88" s="16">
        <v>1</v>
      </c>
      <c r="PT88" s="16">
        <v>1</v>
      </c>
      <c r="PU88" s="16"/>
      <c r="PV88" s="16">
        <v>26.11</v>
      </c>
      <c r="PW88" s="16">
        <v>2</v>
      </c>
      <c r="PX88" s="16"/>
      <c r="PY88" s="16">
        <v>11.19</v>
      </c>
      <c r="PZ88" s="16"/>
      <c r="QA88" s="16"/>
      <c r="QB88" s="16"/>
      <c r="QC88" s="16">
        <v>6.39</v>
      </c>
      <c r="QD88" s="16">
        <v>3.31</v>
      </c>
      <c r="QE88" s="16">
        <v>0</v>
      </c>
      <c r="QF88" s="16">
        <v>0</v>
      </c>
      <c r="QG88" s="16">
        <v>0</v>
      </c>
      <c r="QH88" s="16">
        <v>0</v>
      </c>
      <c r="QI88" s="16">
        <v>0</v>
      </c>
      <c r="QJ88">
        <v>0</v>
      </c>
      <c r="QK88" t="s">
        <v>351</v>
      </c>
      <c r="QL88">
        <v>30.5</v>
      </c>
      <c r="QM88" s="16">
        <v>68.400000000000006</v>
      </c>
      <c r="QN88" s="16">
        <v>80.400000000000006</v>
      </c>
      <c r="QO88" s="16">
        <v>19.8</v>
      </c>
      <c r="QP88">
        <v>72.42</v>
      </c>
      <c r="QR88">
        <v>0.94</v>
      </c>
      <c r="QS88">
        <v>0.94</v>
      </c>
      <c r="QT88">
        <v>25.7</v>
      </c>
      <c r="QU88">
        <v>0</v>
      </c>
      <c r="QV88">
        <v>0</v>
      </c>
      <c r="QX88">
        <v>0</v>
      </c>
      <c r="QY88">
        <v>0</v>
      </c>
      <c r="QZ88">
        <v>0</v>
      </c>
      <c r="RA88">
        <v>0</v>
      </c>
      <c r="RB88">
        <v>28.26</v>
      </c>
      <c r="RC88">
        <v>10.55</v>
      </c>
      <c r="RD88">
        <v>14.21</v>
      </c>
      <c r="RE88">
        <v>0</v>
      </c>
      <c r="RF88">
        <v>0</v>
      </c>
      <c r="RG88">
        <v>0</v>
      </c>
      <c r="RT88">
        <v>3.3</v>
      </c>
      <c r="RU88">
        <v>1</v>
      </c>
      <c r="RV88">
        <v>68</v>
      </c>
      <c r="RW88">
        <v>2</v>
      </c>
      <c r="RX88">
        <v>1.52</v>
      </c>
      <c r="RY88">
        <v>1</v>
      </c>
      <c r="SF88" s="20"/>
      <c r="SX88">
        <v>0</v>
      </c>
      <c r="UI88" s="16">
        <v>0</v>
      </c>
      <c r="UJ88" s="16">
        <v>0</v>
      </c>
      <c r="UK88" s="16"/>
      <c r="UL88" s="16"/>
      <c r="UM88" s="16"/>
      <c r="UN88" s="16"/>
      <c r="UO88" s="16"/>
      <c r="UP88" s="16"/>
      <c r="UQ88" s="16"/>
      <c r="UR88" s="16"/>
      <c r="US88" s="16"/>
      <c r="UT88" s="16">
        <v>0.81</v>
      </c>
      <c r="UU88" s="16">
        <v>0.8</v>
      </c>
      <c r="UV88" s="16">
        <v>0</v>
      </c>
      <c r="UW88" s="16">
        <v>0</v>
      </c>
      <c r="UX88" s="16">
        <v>2.99</v>
      </c>
      <c r="UY88" s="16">
        <v>5.71</v>
      </c>
      <c r="UZ88" s="16">
        <v>0</v>
      </c>
      <c r="VA88">
        <v>0</v>
      </c>
      <c r="VB88" t="s">
        <v>352</v>
      </c>
      <c r="VC88">
        <v>49</v>
      </c>
      <c r="VD88" s="16">
        <v>65.5</v>
      </c>
      <c r="VE88" s="16">
        <v>80.400000000000006</v>
      </c>
      <c r="VF88" s="16">
        <v>8.1999999999999993</v>
      </c>
      <c r="VG88">
        <v>84.28</v>
      </c>
      <c r="VI88">
        <v>0</v>
      </c>
      <c r="VJ88">
        <v>0</v>
      </c>
      <c r="VK88">
        <v>15.72</v>
      </c>
      <c r="VL88">
        <v>0</v>
      </c>
      <c r="VM88">
        <v>0</v>
      </c>
      <c r="VO88">
        <v>0</v>
      </c>
      <c r="VP88">
        <v>0</v>
      </c>
      <c r="VQ88">
        <v>0</v>
      </c>
      <c r="VR88">
        <v>0</v>
      </c>
      <c r="VS88">
        <v>21.31</v>
      </c>
      <c r="VT88">
        <v>26.03</v>
      </c>
      <c r="VU88">
        <v>0</v>
      </c>
      <c r="VV88">
        <v>0</v>
      </c>
      <c r="VW88">
        <v>8.1999999999999993</v>
      </c>
      <c r="VX88">
        <v>5</v>
      </c>
      <c r="VY88">
        <v>50</v>
      </c>
      <c r="VZ88">
        <v>2</v>
      </c>
      <c r="WE88">
        <v>50</v>
      </c>
      <c r="WF88">
        <v>2</v>
      </c>
      <c r="WK88">
        <v>25.5</v>
      </c>
      <c r="WL88">
        <v>1</v>
      </c>
      <c r="WM88">
        <v>35</v>
      </c>
      <c r="WN88">
        <v>21</v>
      </c>
      <c r="WO88">
        <v>7.69</v>
      </c>
      <c r="WP88">
        <v>3</v>
      </c>
      <c r="WW88" s="20"/>
      <c r="XO88">
        <v>0</v>
      </c>
      <c r="YZ88" s="16">
        <v>0</v>
      </c>
      <c r="ZA88" s="16">
        <v>0</v>
      </c>
      <c r="ZB88" s="16"/>
      <c r="ZC88" s="16"/>
      <c r="ZD88" s="16"/>
      <c r="ZE88" s="16"/>
      <c r="ZF88" s="16"/>
      <c r="ZG88" s="16"/>
      <c r="ZH88" s="16"/>
      <c r="ZI88" s="16"/>
      <c r="ZJ88" s="16"/>
      <c r="ZK88" s="16">
        <v>0</v>
      </c>
      <c r="ZL88" s="16">
        <v>0</v>
      </c>
      <c r="ZM88" s="16">
        <v>0</v>
      </c>
      <c r="ZN88" s="16">
        <v>0</v>
      </c>
      <c r="ZO88" s="16">
        <v>0</v>
      </c>
      <c r="ZP88" s="16">
        <v>0</v>
      </c>
      <c r="ZQ88" s="16">
        <v>0</v>
      </c>
      <c r="ZR88">
        <v>0</v>
      </c>
      <c r="ZS88" t="s">
        <v>356</v>
      </c>
      <c r="ZT88">
        <v>39.5</v>
      </c>
      <c r="ZU88" s="16">
        <v>85.1</v>
      </c>
      <c r="ZV88" s="16">
        <v>80.400000000000006</v>
      </c>
      <c r="ZW88" s="16">
        <v>13.6</v>
      </c>
      <c r="ZX88">
        <v>87.38</v>
      </c>
      <c r="ZZ88">
        <v>8.0500000000000007</v>
      </c>
      <c r="AAA88">
        <v>0</v>
      </c>
      <c r="AAB88">
        <v>4.57</v>
      </c>
      <c r="AAC88">
        <v>0</v>
      </c>
      <c r="AAD88">
        <v>0</v>
      </c>
      <c r="AAF88">
        <v>0</v>
      </c>
      <c r="AAG88">
        <v>0</v>
      </c>
      <c r="AAH88">
        <v>0</v>
      </c>
      <c r="AAI88">
        <v>0</v>
      </c>
      <c r="AAJ88">
        <v>45</v>
      </c>
      <c r="AAK88">
        <v>10.1</v>
      </c>
      <c r="AAL88">
        <v>11.8</v>
      </c>
      <c r="AAM88">
        <v>0</v>
      </c>
      <c r="AAN88">
        <v>0</v>
      </c>
      <c r="AAO88">
        <v>0</v>
      </c>
      <c r="ABB88">
        <v>17.8</v>
      </c>
      <c r="ABC88">
        <v>1</v>
      </c>
      <c r="ABD88">
        <v>30</v>
      </c>
      <c r="ABE88">
        <v>7</v>
      </c>
      <c r="ABF88">
        <v>5.33</v>
      </c>
      <c r="ABG88">
        <v>3</v>
      </c>
      <c r="ABN88" s="20"/>
      <c r="ACF88">
        <v>1</v>
      </c>
      <c r="ACG88">
        <v>50</v>
      </c>
      <c r="ACH88">
        <v>1</v>
      </c>
      <c r="ACI88">
        <v>0.03</v>
      </c>
      <c r="ACJ88">
        <v>1</v>
      </c>
      <c r="ADQ88" s="16">
        <v>3.96</v>
      </c>
      <c r="ADR88" s="16">
        <v>1</v>
      </c>
      <c r="ADS88" s="16">
        <v>1</v>
      </c>
      <c r="ADT88" s="16"/>
      <c r="ADU88" s="16">
        <v>41.03</v>
      </c>
      <c r="ADV88" s="16">
        <v>2</v>
      </c>
      <c r="ADW88" s="16">
        <v>3.73</v>
      </c>
      <c r="ADX88" s="16"/>
      <c r="ADY88" s="16"/>
      <c r="ADZ88" s="16"/>
      <c r="AEA88" s="16"/>
      <c r="AEB88" s="16">
        <v>0</v>
      </c>
      <c r="AEC88" s="16">
        <v>0</v>
      </c>
      <c r="AED88" s="16">
        <v>0</v>
      </c>
      <c r="AEE88" s="16">
        <v>0</v>
      </c>
      <c r="AEF88" s="16">
        <v>0</v>
      </c>
      <c r="AEG88" s="16">
        <v>0</v>
      </c>
      <c r="AEH88" s="16">
        <v>0</v>
      </c>
      <c r="AEI88">
        <v>0</v>
      </c>
      <c r="AEJ88" t="s">
        <v>373</v>
      </c>
      <c r="AEK88">
        <v>27.5</v>
      </c>
      <c r="AEL88" s="16">
        <v>79.099999999999994</v>
      </c>
      <c r="AEM88" s="16">
        <v>80.400000000000006</v>
      </c>
      <c r="AEN88" s="16">
        <v>15.3</v>
      </c>
      <c r="AEO88">
        <v>87.64</v>
      </c>
      <c r="AEQ88">
        <v>0</v>
      </c>
      <c r="AER88">
        <v>0</v>
      </c>
      <c r="AES88">
        <v>12.36</v>
      </c>
      <c r="AET88">
        <v>0</v>
      </c>
      <c r="AEU88">
        <v>0</v>
      </c>
      <c r="AEW88">
        <v>0</v>
      </c>
      <c r="AEX88">
        <v>0</v>
      </c>
      <c r="AEY88">
        <v>0</v>
      </c>
      <c r="AEZ88">
        <v>24.9</v>
      </c>
      <c r="AFA88">
        <v>31.79</v>
      </c>
      <c r="AFB88">
        <v>18.86</v>
      </c>
      <c r="AFC88">
        <v>0</v>
      </c>
      <c r="AFD88">
        <v>0</v>
      </c>
      <c r="AFE88">
        <v>4.8</v>
      </c>
      <c r="AFF88">
        <v>5</v>
      </c>
      <c r="AFG88">
        <v>50</v>
      </c>
      <c r="AFH88">
        <v>4</v>
      </c>
      <c r="AFM88">
        <v>50</v>
      </c>
      <c r="AFN88">
        <v>4</v>
      </c>
      <c r="AFS88">
        <v>5.5</v>
      </c>
      <c r="AFT88">
        <v>0</v>
      </c>
      <c r="AGE88" s="20"/>
      <c r="AGW88">
        <v>1</v>
      </c>
      <c r="AGX88">
        <v>50</v>
      </c>
      <c r="AGY88">
        <v>4</v>
      </c>
      <c r="AGZ88">
        <v>3.59</v>
      </c>
      <c r="AHA88">
        <v>3</v>
      </c>
      <c r="AHB88">
        <v>70</v>
      </c>
      <c r="AHC88">
        <v>14</v>
      </c>
      <c r="AHD88">
        <v>4.93</v>
      </c>
      <c r="AHE88">
        <v>2</v>
      </c>
      <c r="AIH88" s="16">
        <v>0.75</v>
      </c>
      <c r="AII88" s="16">
        <v>1</v>
      </c>
      <c r="AIJ88" s="16">
        <v>1</v>
      </c>
      <c r="AIK88" s="16"/>
      <c r="AIL88" s="16">
        <v>9.9600000000000009</v>
      </c>
      <c r="AIM88" s="16"/>
      <c r="AIN88" s="16"/>
      <c r="AIO88" s="16"/>
      <c r="AIP88" s="16"/>
      <c r="AIQ88" s="16"/>
      <c r="AIR88" s="16"/>
      <c r="AIS88" s="16">
        <v>0</v>
      </c>
      <c r="AIT88" s="16">
        <v>0</v>
      </c>
      <c r="AIU88" s="16">
        <v>0</v>
      </c>
      <c r="AIV88" s="16">
        <v>0</v>
      </c>
      <c r="AIW88" s="16">
        <v>0</v>
      </c>
      <c r="AIX88" s="16">
        <v>0</v>
      </c>
      <c r="AIY88" s="16">
        <v>0</v>
      </c>
      <c r="AIZ88">
        <v>0</v>
      </c>
      <c r="AJA88" t="s">
        <v>357</v>
      </c>
      <c r="AJB88">
        <v>27.5</v>
      </c>
      <c r="AJC88" s="16">
        <v>76.2</v>
      </c>
      <c r="AJD88" s="16">
        <v>80.400000000000006</v>
      </c>
      <c r="AJE88" s="16">
        <v>15.3</v>
      </c>
      <c r="AJF88">
        <v>87.64</v>
      </c>
      <c r="AJH88">
        <v>0</v>
      </c>
      <c r="AJI88">
        <v>0</v>
      </c>
      <c r="AJJ88">
        <v>12.36</v>
      </c>
      <c r="AJK88">
        <v>0</v>
      </c>
      <c r="AJL88">
        <v>0</v>
      </c>
      <c r="AJN88">
        <v>0</v>
      </c>
      <c r="AJO88">
        <v>0</v>
      </c>
      <c r="AJP88">
        <v>0</v>
      </c>
      <c r="AJQ88">
        <v>24.9</v>
      </c>
      <c r="AJR88">
        <v>31.99</v>
      </c>
      <c r="AJS88">
        <v>18.66</v>
      </c>
      <c r="AJT88">
        <v>0</v>
      </c>
      <c r="AJU88">
        <v>0</v>
      </c>
      <c r="AJV88">
        <v>4.8</v>
      </c>
      <c r="AJW88">
        <v>5</v>
      </c>
      <c r="AJX88">
        <v>50</v>
      </c>
      <c r="AJY88">
        <v>4</v>
      </c>
      <c r="AKD88">
        <v>50</v>
      </c>
      <c r="AKE88">
        <v>4</v>
      </c>
      <c r="AKJ88">
        <v>5.5</v>
      </c>
      <c r="AKK88">
        <v>0</v>
      </c>
      <c r="AKV88" s="20"/>
      <c r="ALN88">
        <v>1</v>
      </c>
      <c r="ALO88">
        <v>50</v>
      </c>
      <c r="ALP88">
        <v>4</v>
      </c>
      <c r="ALQ88">
        <v>3.59</v>
      </c>
      <c r="ALR88">
        <v>3</v>
      </c>
      <c r="ALS88">
        <v>70</v>
      </c>
      <c r="ALT88">
        <v>14</v>
      </c>
      <c r="ALU88">
        <v>4.93</v>
      </c>
      <c r="ALV88">
        <v>2</v>
      </c>
    </row>
    <row r="89" spans="1:1018" x14ac:dyDescent="0.2">
      <c r="A89" s="1" t="s">
        <v>471</v>
      </c>
      <c r="B89" s="12">
        <v>42894</v>
      </c>
      <c r="C89">
        <v>2</v>
      </c>
      <c r="D89" s="13">
        <v>42828</v>
      </c>
      <c r="E89" s="12">
        <v>35992</v>
      </c>
      <c r="F89" s="14">
        <f t="shared" si="42"/>
        <v>18.896646132785762</v>
      </c>
      <c r="G89" s="14">
        <f t="shared" si="43"/>
        <v>0.1806981519507187</v>
      </c>
      <c r="H89" s="15" t="s">
        <v>183</v>
      </c>
      <c r="I89" s="15" t="s">
        <v>347</v>
      </c>
      <c r="J89" s="15" t="s">
        <v>183</v>
      </c>
      <c r="K89" s="21">
        <v>8</v>
      </c>
      <c r="L89" s="19">
        <v>58</v>
      </c>
      <c r="M89">
        <v>1.75</v>
      </c>
      <c r="N89" s="16">
        <f t="shared" si="44"/>
        <v>18.938775510204081</v>
      </c>
      <c r="O89" s="19">
        <v>0</v>
      </c>
      <c r="P89" s="19">
        <v>0</v>
      </c>
      <c r="Q89" s="19">
        <v>0</v>
      </c>
      <c r="R89" s="19">
        <v>0</v>
      </c>
      <c r="S89" s="19">
        <v>0</v>
      </c>
      <c r="T89" s="19">
        <v>0</v>
      </c>
      <c r="U89" s="19">
        <v>0</v>
      </c>
      <c r="V89" s="19">
        <v>0</v>
      </c>
      <c r="W89" s="19">
        <v>1</v>
      </c>
      <c r="X89" s="19">
        <v>0</v>
      </c>
      <c r="Y89" s="19">
        <v>1</v>
      </c>
      <c r="Z89" s="19">
        <v>1</v>
      </c>
      <c r="AA89" s="19">
        <v>60</v>
      </c>
      <c r="AB89" s="19" t="s">
        <v>284</v>
      </c>
      <c r="AC89" s="19">
        <v>0</v>
      </c>
      <c r="AD89" s="19">
        <v>0</v>
      </c>
      <c r="AE89" s="19">
        <v>0</v>
      </c>
      <c r="AF89" s="19">
        <v>0</v>
      </c>
      <c r="AG89" s="19">
        <v>0</v>
      </c>
      <c r="AH89" s="19">
        <v>0</v>
      </c>
      <c r="AI89" s="19">
        <v>1</v>
      </c>
      <c r="AJ89" s="19"/>
      <c r="AK89" s="19"/>
      <c r="AL89" s="19"/>
      <c r="AM89" s="19"/>
      <c r="AN89" s="19">
        <v>0</v>
      </c>
      <c r="AO89" s="19">
        <v>0</v>
      </c>
      <c r="AP89" s="19">
        <v>0</v>
      </c>
      <c r="AQ89" s="19">
        <v>0</v>
      </c>
      <c r="AR89" s="19">
        <v>0</v>
      </c>
      <c r="AS89" s="19">
        <v>1</v>
      </c>
      <c r="AT89" s="19"/>
      <c r="AU89" s="19"/>
      <c r="AV89" s="19"/>
      <c r="AW89" s="19"/>
      <c r="AX89" s="19">
        <v>0</v>
      </c>
      <c r="AY89" s="19">
        <v>0</v>
      </c>
      <c r="AZ89" s="19">
        <v>0</v>
      </c>
      <c r="BA89" s="19">
        <v>0</v>
      </c>
      <c r="BB89" s="19">
        <v>0</v>
      </c>
      <c r="BC89" s="19">
        <v>0</v>
      </c>
      <c r="BD89" s="19">
        <v>0</v>
      </c>
      <c r="BE89" s="19">
        <v>0</v>
      </c>
      <c r="BF89" s="19">
        <v>0</v>
      </c>
      <c r="BG89" s="19">
        <v>0</v>
      </c>
      <c r="BH89" s="19">
        <v>0</v>
      </c>
      <c r="BI89" s="19">
        <v>0</v>
      </c>
      <c r="BJ89" s="19">
        <v>0</v>
      </c>
      <c r="BK89" s="19">
        <v>0</v>
      </c>
      <c r="BL89" s="19">
        <v>0</v>
      </c>
      <c r="BM89" s="19">
        <v>0</v>
      </c>
      <c r="BN89" s="19">
        <v>0</v>
      </c>
      <c r="BO89" s="19">
        <v>0</v>
      </c>
      <c r="BP89" s="19">
        <v>0</v>
      </c>
      <c r="BQ89" s="19">
        <v>0</v>
      </c>
      <c r="BR89" s="19">
        <v>3</v>
      </c>
      <c r="BS89" s="19">
        <v>3</v>
      </c>
      <c r="BT89" s="19">
        <v>3</v>
      </c>
      <c r="BU89" s="19">
        <v>4</v>
      </c>
      <c r="BV89" s="19">
        <v>2</v>
      </c>
      <c r="BW89" s="19">
        <v>3</v>
      </c>
      <c r="BX89" s="19">
        <v>3</v>
      </c>
      <c r="BY89" s="19">
        <v>4</v>
      </c>
      <c r="BZ89" s="19">
        <v>4</v>
      </c>
      <c r="CA89" s="19">
        <v>4</v>
      </c>
      <c r="CB89" s="19">
        <v>4</v>
      </c>
      <c r="CC89" s="19">
        <v>3</v>
      </c>
      <c r="CD89" s="19">
        <v>3</v>
      </c>
      <c r="CE89" s="19">
        <v>4</v>
      </c>
      <c r="CF89" s="19">
        <v>4</v>
      </c>
      <c r="CG89" s="19">
        <v>4</v>
      </c>
      <c r="CH89" s="19">
        <v>3</v>
      </c>
      <c r="CI89" s="19">
        <v>4</v>
      </c>
      <c r="CJ89" s="19">
        <v>4</v>
      </c>
      <c r="CK89" s="19">
        <v>9</v>
      </c>
      <c r="CL89" t="s">
        <v>363</v>
      </c>
      <c r="CM89">
        <v>34.5</v>
      </c>
      <c r="CN89" s="16">
        <v>88.3</v>
      </c>
      <c r="CO89" s="16">
        <v>80.400000000000006</v>
      </c>
      <c r="CP89" s="16">
        <v>22.8</v>
      </c>
      <c r="CQ89">
        <v>73.89</v>
      </c>
      <c r="CS89">
        <v>14.94</v>
      </c>
      <c r="CT89">
        <v>0.5</v>
      </c>
      <c r="CU89">
        <v>10.66</v>
      </c>
      <c r="CV89">
        <v>0</v>
      </c>
      <c r="CW89">
        <v>0</v>
      </c>
      <c r="CY89">
        <v>0</v>
      </c>
      <c r="CZ89">
        <v>0</v>
      </c>
      <c r="DA89">
        <v>0</v>
      </c>
      <c r="DB89">
        <v>0</v>
      </c>
      <c r="DC89">
        <v>46.29</v>
      </c>
      <c r="DD89">
        <v>23.15</v>
      </c>
      <c r="DE89">
        <v>0</v>
      </c>
      <c r="DF89">
        <v>0</v>
      </c>
      <c r="DG89">
        <v>0</v>
      </c>
      <c r="DH89">
        <v>0</v>
      </c>
      <c r="DU89">
        <v>2.8</v>
      </c>
      <c r="DV89">
        <v>1</v>
      </c>
      <c r="DW89">
        <v>35</v>
      </c>
      <c r="DX89">
        <v>1</v>
      </c>
      <c r="DY89">
        <v>0.5</v>
      </c>
      <c r="DZ89">
        <v>3</v>
      </c>
      <c r="EG89" s="20"/>
      <c r="EY89">
        <v>1</v>
      </c>
      <c r="EZ89">
        <v>60</v>
      </c>
      <c r="FA89">
        <v>4</v>
      </c>
      <c r="FB89">
        <v>0.54</v>
      </c>
      <c r="FC89">
        <v>3</v>
      </c>
      <c r="GJ89" s="16">
        <v>3.05</v>
      </c>
      <c r="GK89" s="16">
        <v>1</v>
      </c>
      <c r="GL89" s="16">
        <v>1</v>
      </c>
      <c r="GM89" s="16"/>
      <c r="GN89" s="16">
        <v>8.7100000000000009</v>
      </c>
      <c r="GO89" s="16">
        <v>2</v>
      </c>
      <c r="GP89" s="16"/>
      <c r="GQ89" s="16">
        <v>12.44</v>
      </c>
      <c r="GR89" s="16"/>
      <c r="GS89" s="16"/>
      <c r="GT89" s="16"/>
      <c r="GU89" s="16">
        <v>4.5</v>
      </c>
      <c r="GV89" s="16">
        <v>1.2</v>
      </c>
      <c r="GW89" s="16">
        <v>0</v>
      </c>
      <c r="GX89" s="16">
        <v>0</v>
      </c>
      <c r="GY89" s="16">
        <v>0</v>
      </c>
      <c r="GZ89" s="16">
        <v>0</v>
      </c>
      <c r="HA89" s="16">
        <v>0</v>
      </c>
      <c r="HB89">
        <v>0</v>
      </c>
      <c r="HC89" t="s">
        <v>364</v>
      </c>
      <c r="HD89">
        <v>32</v>
      </c>
      <c r="HE89" s="16">
        <v>75</v>
      </c>
      <c r="HF89" s="16">
        <v>80.400000000000006</v>
      </c>
      <c r="HG89" s="16">
        <v>22.6</v>
      </c>
      <c r="HH89">
        <v>76.239999999999995</v>
      </c>
      <c r="HJ89">
        <v>15.36</v>
      </c>
      <c r="HK89">
        <v>1.93</v>
      </c>
      <c r="HL89">
        <v>6.47</v>
      </c>
      <c r="HM89">
        <v>0</v>
      </c>
      <c r="HN89">
        <v>0</v>
      </c>
      <c r="HP89">
        <v>0</v>
      </c>
      <c r="HQ89">
        <v>0</v>
      </c>
      <c r="HR89">
        <v>0</v>
      </c>
      <c r="HS89">
        <v>0</v>
      </c>
      <c r="HT89">
        <v>32.86</v>
      </c>
      <c r="HU89">
        <v>26.39</v>
      </c>
      <c r="HV89">
        <v>0</v>
      </c>
      <c r="HW89">
        <v>0</v>
      </c>
      <c r="HX89">
        <v>0</v>
      </c>
      <c r="HY89">
        <v>0</v>
      </c>
      <c r="IL89">
        <v>5.6</v>
      </c>
      <c r="IM89">
        <v>1</v>
      </c>
      <c r="IN89">
        <v>35</v>
      </c>
      <c r="IO89">
        <v>1</v>
      </c>
      <c r="IP89">
        <v>0.5</v>
      </c>
      <c r="IQ89">
        <v>3</v>
      </c>
      <c r="IX89" s="20"/>
      <c r="JP89">
        <v>1</v>
      </c>
      <c r="JQ89">
        <v>60</v>
      </c>
      <c r="JR89">
        <v>5</v>
      </c>
      <c r="JS89">
        <v>3.13</v>
      </c>
      <c r="JT89">
        <v>2</v>
      </c>
      <c r="JU89">
        <v>50</v>
      </c>
      <c r="JV89">
        <v>2</v>
      </c>
      <c r="JW89">
        <v>0.67</v>
      </c>
      <c r="JX89">
        <v>2</v>
      </c>
      <c r="LA89" s="16">
        <v>1.43</v>
      </c>
      <c r="LB89" s="16">
        <v>1</v>
      </c>
      <c r="LC89" s="16">
        <v>1</v>
      </c>
      <c r="LD89" s="16"/>
      <c r="LE89" s="16">
        <v>17.43</v>
      </c>
      <c r="LF89" s="16"/>
      <c r="LG89" s="16"/>
      <c r="LH89" s="16"/>
      <c r="LI89" s="16"/>
      <c r="LJ89" s="16"/>
      <c r="LK89" s="16"/>
      <c r="LL89" s="16">
        <v>1.7</v>
      </c>
      <c r="LM89" s="16">
        <v>1.7</v>
      </c>
      <c r="LN89" s="16">
        <v>0</v>
      </c>
      <c r="LO89" s="16">
        <v>0</v>
      </c>
      <c r="LP89" s="16">
        <v>0</v>
      </c>
      <c r="LQ89" s="16">
        <v>0</v>
      </c>
      <c r="LR89" s="16">
        <v>0</v>
      </c>
      <c r="LS89">
        <v>0</v>
      </c>
      <c r="LT89" t="s">
        <v>352</v>
      </c>
      <c r="LU89">
        <v>49</v>
      </c>
      <c r="LV89" s="16">
        <v>65.5</v>
      </c>
      <c r="LW89" s="16">
        <v>80.400000000000006</v>
      </c>
      <c r="LX89" s="16">
        <v>8.1999999999999993</v>
      </c>
      <c r="LY89">
        <v>84.28</v>
      </c>
      <c r="MA89">
        <v>0</v>
      </c>
      <c r="MB89">
        <v>0</v>
      </c>
      <c r="MC89">
        <v>15.72</v>
      </c>
      <c r="MD89">
        <v>0</v>
      </c>
      <c r="ME89">
        <v>0</v>
      </c>
      <c r="MG89">
        <v>0</v>
      </c>
      <c r="MH89">
        <v>0</v>
      </c>
      <c r="MI89">
        <v>0</v>
      </c>
      <c r="MJ89">
        <v>0</v>
      </c>
      <c r="MK89">
        <v>21.31</v>
      </c>
      <c r="ML89">
        <v>26.03</v>
      </c>
      <c r="MM89">
        <v>0</v>
      </c>
      <c r="MN89">
        <v>0</v>
      </c>
      <c r="MO89">
        <v>8.1999999999999993</v>
      </c>
      <c r="MP89">
        <v>5</v>
      </c>
      <c r="MQ89">
        <v>50</v>
      </c>
      <c r="MR89">
        <v>2</v>
      </c>
      <c r="MW89">
        <v>50</v>
      </c>
      <c r="MX89">
        <v>2</v>
      </c>
      <c r="NC89">
        <v>25.5</v>
      </c>
      <c r="ND89">
        <v>1</v>
      </c>
      <c r="NE89">
        <v>35</v>
      </c>
      <c r="NF89">
        <v>21</v>
      </c>
      <c r="NG89">
        <v>7.69</v>
      </c>
      <c r="NH89">
        <v>3</v>
      </c>
      <c r="NO89" s="20"/>
      <c r="OG89">
        <v>0</v>
      </c>
      <c r="PR89" s="16">
        <v>0</v>
      </c>
      <c r="PS89" s="16">
        <v>0</v>
      </c>
      <c r="PT89" s="16"/>
      <c r="PU89" s="16"/>
      <c r="PV89" s="16"/>
      <c r="PW89" s="16"/>
      <c r="PX89" s="16"/>
      <c r="PY89" s="16"/>
      <c r="PZ89" s="16"/>
      <c r="QA89" s="16"/>
      <c r="QB89" s="16"/>
      <c r="QC89" s="16">
        <v>0</v>
      </c>
      <c r="QD89" s="16">
        <v>0</v>
      </c>
      <c r="QE89" s="16">
        <v>0</v>
      </c>
      <c r="QF89" s="16">
        <v>0</v>
      </c>
      <c r="QG89" s="16">
        <v>0</v>
      </c>
      <c r="QH89" s="16">
        <v>0</v>
      </c>
      <c r="QI89" s="16">
        <v>0</v>
      </c>
      <c r="QJ89">
        <v>0</v>
      </c>
      <c r="QK89" t="s">
        <v>356</v>
      </c>
      <c r="QL89">
        <v>39.5</v>
      </c>
      <c r="QM89" s="16">
        <v>85.1</v>
      </c>
      <c r="QN89" s="16">
        <v>80.400000000000006</v>
      </c>
      <c r="QO89" s="16">
        <v>13.6</v>
      </c>
      <c r="QP89">
        <v>87.38</v>
      </c>
      <c r="QR89">
        <v>8.0500000000000007</v>
      </c>
      <c r="QS89">
        <v>0</v>
      </c>
      <c r="QT89">
        <v>4.57</v>
      </c>
      <c r="QU89">
        <v>0</v>
      </c>
      <c r="QV89">
        <v>0</v>
      </c>
      <c r="QX89">
        <v>0</v>
      </c>
      <c r="QY89">
        <v>0</v>
      </c>
      <c r="QZ89">
        <v>0</v>
      </c>
      <c r="RA89">
        <v>0</v>
      </c>
      <c r="RB89">
        <v>45</v>
      </c>
      <c r="RC89">
        <v>10.1</v>
      </c>
      <c r="RD89">
        <v>11.8</v>
      </c>
      <c r="RE89">
        <v>0</v>
      </c>
      <c r="RF89">
        <v>0</v>
      </c>
      <c r="RG89">
        <v>0</v>
      </c>
      <c r="RT89">
        <v>17.8</v>
      </c>
      <c r="RU89">
        <v>1</v>
      </c>
      <c r="RV89">
        <v>30</v>
      </c>
      <c r="RW89">
        <v>7</v>
      </c>
      <c r="RX89">
        <v>5.33</v>
      </c>
      <c r="RY89">
        <v>3</v>
      </c>
      <c r="SF89" s="20"/>
      <c r="SX89">
        <v>1</v>
      </c>
      <c r="SY89">
        <v>50</v>
      </c>
      <c r="SZ89">
        <v>1</v>
      </c>
      <c r="TA89">
        <v>0.03</v>
      </c>
      <c r="TB89">
        <v>1</v>
      </c>
      <c r="UI89" s="16">
        <v>3.96</v>
      </c>
      <c r="UJ89" s="16">
        <v>1</v>
      </c>
      <c r="UK89" s="16">
        <v>1</v>
      </c>
      <c r="UL89" s="16"/>
      <c r="UM89" s="16">
        <v>41.03</v>
      </c>
      <c r="UN89" s="16">
        <v>2</v>
      </c>
      <c r="UO89" s="16">
        <v>3.73</v>
      </c>
      <c r="UP89" s="16"/>
      <c r="UQ89" s="16"/>
      <c r="UR89" s="16"/>
      <c r="US89" s="16"/>
      <c r="UT89" s="16">
        <v>0</v>
      </c>
      <c r="UU89" s="16">
        <v>0</v>
      </c>
      <c r="UV89" s="16">
        <v>0</v>
      </c>
      <c r="UW89" s="16">
        <v>0</v>
      </c>
      <c r="UX89" s="16">
        <v>0</v>
      </c>
      <c r="UY89" s="16">
        <v>0</v>
      </c>
      <c r="UZ89" s="16">
        <v>0</v>
      </c>
      <c r="VA89">
        <v>0</v>
      </c>
      <c r="VB89" t="s">
        <v>358</v>
      </c>
      <c r="VC89">
        <v>41</v>
      </c>
      <c r="VD89" s="16">
        <v>91.1</v>
      </c>
      <c r="VE89" s="16">
        <v>80.400000000000006</v>
      </c>
      <c r="VF89" s="16">
        <v>6.5</v>
      </c>
      <c r="VG89">
        <v>94.94</v>
      </c>
      <c r="VI89">
        <v>0</v>
      </c>
      <c r="VJ89">
        <v>0</v>
      </c>
      <c r="VK89">
        <v>5.0599999999999996</v>
      </c>
      <c r="VL89">
        <v>0</v>
      </c>
      <c r="VM89">
        <v>0</v>
      </c>
      <c r="VO89">
        <v>0</v>
      </c>
      <c r="VP89">
        <v>0</v>
      </c>
      <c r="VQ89">
        <v>0</v>
      </c>
      <c r="VR89">
        <v>0</v>
      </c>
      <c r="VS89">
        <v>64.349999999999994</v>
      </c>
      <c r="VT89">
        <v>9.2899999999999991</v>
      </c>
      <c r="VU89">
        <v>0</v>
      </c>
      <c r="VV89">
        <v>0</v>
      </c>
      <c r="VW89">
        <v>15.7</v>
      </c>
      <c r="VX89">
        <v>1</v>
      </c>
      <c r="VY89">
        <v>3</v>
      </c>
      <c r="WA89">
        <v>1</v>
      </c>
      <c r="WE89">
        <v>3</v>
      </c>
      <c r="WG89">
        <v>1</v>
      </c>
      <c r="WK89">
        <v>10.8</v>
      </c>
      <c r="WL89">
        <v>1</v>
      </c>
      <c r="WM89">
        <v>34</v>
      </c>
      <c r="WN89">
        <v>4</v>
      </c>
      <c r="WO89">
        <v>1.68</v>
      </c>
      <c r="WP89">
        <v>1</v>
      </c>
      <c r="WW89" s="20"/>
      <c r="XO89">
        <v>1</v>
      </c>
      <c r="XP89">
        <v>50</v>
      </c>
      <c r="XQ89">
        <v>2</v>
      </c>
      <c r="XR89">
        <v>2.2400000000000002</v>
      </c>
      <c r="XS89">
        <v>3</v>
      </c>
      <c r="XT89">
        <v>50</v>
      </c>
      <c r="XU89">
        <v>12</v>
      </c>
      <c r="XV89">
        <v>8.51</v>
      </c>
      <c r="XW89">
        <v>4</v>
      </c>
      <c r="YZ89" s="16">
        <v>0.86</v>
      </c>
      <c r="ZA89" s="16">
        <v>1</v>
      </c>
      <c r="ZB89" s="16">
        <v>1</v>
      </c>
      <c r="ZC89" s="16"/>
      <c r="ZD89" s="16">
        <v>12.44</v>
      </c>
      <c r="ZE89" s="16"/>
      <c r="ZF89" s="16"/>
      <c r="ZG89" s="16"/>
      <c r="ZH89" s="16"/>
      <c r="ZI89" s="16"/>
      <c r="ZJ89" s="16"/>
      <c r="ZK89" s="16">
        <v>5.31</v>
      </c>
      <c r="ZL89" s="16">
        <v>7.99</v>
      </c>
      <c r="ZM89" s="16">
        <v>0</v>
      </c>
      <c r="ZN89" s="16">
        <v>0</v>
      </c>
      <c r="ZO89" s="16">
        <v>0</v>
      </c>
      <c r="ZP89" s="16">
        <v>0</v>
      </c>
      <c r="ZQ89" s="16">
        <v>0</v>
      </c>
      <c r="ZR89">
        <v>0</v>
      </c>
      <c r="ZU89" s="15"/>
      <c r="ZV89" s="15"/>
      <c r="AAC89" s="15"/>
      <c r="AAD89" s="15"/>
      <c r="AAK89" s="15"/>
      <c r="AAL89" s="15"/>
      <c r="AAS89" s="15"/>
      <c r="AAT89" s="15"/>
      <c r="ABA89" s="15"/>
      <c r="ABB89" s="15"/>
      <c r="ABI89" s="15"/>
      <c r="ABJ89" s="15"/>
      <c r="ABQ89" s="15"/>
      <c r="ABR89" s="15"/>
      <c r="ABY89" s="15"/>
      <c r="ABZ89" s="15"/>
      <c r="ACG89" s="15"/>
      <c r="ACH89" s="15"/>
      <c r="ACO89" s="15"/>
      <c r="ACP89" s="15"/>
      <c r="ACW89" s="15"/>
      <c r="ACX89" s="15"/>
      <c r="ADE89" s="15"/>
      <c r="ADF89" s="15"/>
      <c r="ADM89" s="15"/>
      <c r="ADN89" s="15"/>
      <c r="ADU89" s="15"/>
      <c r="ADV89" s="15"/>
      <c r="AEC89" s="15"/>
      <c r="AED89" s="15"/>
      <c r="AEK89" s="15"/>
      <c r="AEL89" s="15"/>
      <c r="AES89" s="15"/>
      <c r="AET89" s="15"/>
      <c r="AFA89" s="15"/>
      <c r="AFB89" s="15"/>
      <c r="AFI89" s="15"/>
      <c r="AFJ89" s="15"/>
      <c r="AFQ89" s="15"/>
      <c r="AFR89" s="15"/>
      <c r="AFY89" s="15"/>
      <c r="AFZ89" s="15"/>
      <c r="AGG89" s="15"/>
      <c r="AGH89" s="15"/>
      <c r="AGO89" s="15"/>
      <c r="AGP89" s="15"/>
      <c r="AGW89" s="15"/>
      <c r="AGX89" s="15"/>
      <c r="AHE89" s="15"/>
      <c r="AHF89" s="15"/>
      <c r="AHM89" s="15"/>
      <c r="AHN89" s="15"/>
      <c r="AHU89" s="15"/>
      <c r="AHV89" s="15"/>
      <c r="AIC89" s="15"/>
      <c r="AID89" s="15"/>
      <c r="AIK89" s="15"/>
      <c r="AIL89" s="15"/>
      <c r="AIS89" s="15"/>
      <c r="AIT89" s="15"/>
      <c r="AJA89" s="15"/>
      <c r="AJB89" s="15"/>
      <c r="AJI89" s="15"/>
      <c r="AJJ89" s="15"/>
      <c r="AJQ89" s="15"/>
      <c r="AJR89" s="15"/>
      <c r="AJY89" s="15"/>
      <c r="AJZ89" s="15"/>
      <c r="AKG89" s="15"/>
      <c r="AKH89" s="15"/>
      <c r="AKO89" s="15"/>
      <c r="AKP89" s="15"/>
      <c r="AKW89" s="15"/>
      <c r="AKX89" s="15"/>
      <c r="ALE89" s="15"/>
      <c r="ALF89" s="15"/>
      <c r="ALM89" s="15"/>
      <c r="ALN89" s="15"/>
      <c r="ALU89" s="15"/>
      <c r="ALV89" s="15"/>
      <c r="AMC89" s="15"/>
      <c r="AMD89" s="15"/>
    </row>
    <row r="90" spans="1:1018" x14ac:dyDescent="0.2">
      <c r="A90" s="1" t="s">
        <v>472</v>
      </c>
      <c r="B90" s="12">
        <v>42894</v>
      </c>
      <c r="C90">
        <v>2</v>
      </c>
      <c r="D90" s="13">
        <v>42811</v>
      </c>
      <c r="E90" s="12">
        <v>32195</v>
      </c>
      <c r="F90" s="14">
        <f t="shared" si="42"/>
        <v>29.29226557152635</v>
      </c>
      <c r="G90" s="14">
        <f t="shared" si="43"/>
        <v>0.22724161533196441</v>
      </c>
      <c r="H90" s="15" t="s">
        <v>183</v>
      </c>
      <c r="I90" s="15" t="s">
        <v>347</v>
      </c>
      <c r="J90" s="15" t="s">
        <v>183</v>
      </c>
      <c r="K90" s="21">
        <v>8</v>
      </c>
      <c r="L90" s="19">
        <v>71</v>
      </c>
      <c r="M90">
        <v>1.75</v>
      </c>
      <c r="N90" s="16">
        <f t="shared" si="44"/>
        <v>23.183673469387756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1</v>
      </c>
      <c r="X90" s="19">
        <v>0</v>
      </c>
      <c r="Y90" s="19">
        <v>1</v>
      </c>
      <c r="Z90" s="19">
        <v>1</v>
      </c>
      <c r="AA90" s="19"/>
      <c r="AB90" s="19" t="s">
        <v>284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0</v>
      </c>
      <c r="AI90" s="19">
        <v>0</v>
      </c>
      <c r="AJ90" s="19">
        <v>0</v>
      </c>
      <c r="AK90" s="19">
        <v>0</v>
      </c>
      <c r="AL90" s="19">
        <v>0</v>
      </c>
      <c r="AM90" s="19">
        <v>0</v>
      </c>
      <c r="AN90" s="19">
        <v>0</v>
      </c>
      <c r="AO90" s="19">
        <v>0</v>
      </c>
      <c r="AP90" s="19">
        <v>0</v>
      </c>
      <c r="AQ90" s="19">
        <v>0</v>
      </c>
      <c r="AR90" s="19">
        <v>0</v>
      </c>
      <c r="AS90" s="19">
        <v>0</v>
      </c>
      <c r="AT90" s="19">
        <v>0</v>
      </c>
      <c r="AU90" s="19">
        <v>0</v>
      </c>
      <c r="AV90" s="19">
        <v>0</v>
      </c>
      <c r="AW90" s="19">
        <v>0</v>
      </c>
      <c r="AX90" s="19">
        <v>0</v>
      </c>
      <c r="AY90" s="19">
        <v>0</v>
      </c>
      <c r="AZ90" s="19">
        <v>0</v>
      </c>
      <c r="BA90" s="19">
        <v>0</v>
      </c>
      <c r="BB90" s="19">
        <v>0</v>
      </c>
      <c r="BC90" s="19">
        <v>0</v>
      </c>
      <c r="BD90" s="19">
        <v>0</v>
      </c>
      <c r="BE90" s="19">
        <v>0</v>
      </c>
      <c r="BF90" s="19">
        <v>0</v>
      </c>
      <c r="BG90" s="19">
        <v>0</v>
      </c>
      <c r="BH90" s="19">
        <v>0</v>
      </c>
      <c r="BI90" s="19">
        <v>0</v>
      </c>
      <c r="BJ90" s="19">
        <v>0</v>
      </c>
      <c r="BK90" s="19">
        <v>0</v>
      </c>
      <c r="BL90" s="19">
        <v>0</v>
      </c>
      <c r="BM90" s="19">
        <v>0</v>
      </c>
      <c r="BN90" s="19">
        <v>0</v>
      </c>
      <c r="BO90" s="19">
        <v>0</v>
      </c>
      <c r="BP90" s="19">
        <v>0</v>
      </c>
      <c r="BQ90" s="19">
        <v>0</v>
      </c>
      <c r="BR90" s="19">
        <v>2</v>
      </c>
      <c r="BS90" s="19">
        <v>1</v>
      </c>
      <c r="BT90" s="19">
        <v>3</v>
      </c>
      <c r="BU90" s="19">
        <v>2</v>
      </c>
      <c r="BV90" s="19">
        <v>2</v>
      </c>
      <c r="BW90" s="19">
        <v>1</v>
      </c>
      <c r="BX90" s="19">
        <v>1</v>
      </c>
      <c r="BY90" s="19">
        <v>1</v>
      </c>
      <c r="BZ90" s="19">
        <v>3</v>
      </c>
      <c r="CA90" s="19">
        <v>5</v>
      </c>
      <c r="CB90" s="19">
        <v>5</v>
      </c>
      <c r="CC90" s="19">
        <v>5</v>
      </c>
      <c r="CD90" s="19">
        <v>1</v>
      </c>
      <c r="CE90" s="19">
        <v>4</v>
      </c>
      <c r="CF90" s="19">
        <v>5</v>
      </c>
      <c r="CG90" s="19">
        <v>4</v>
      </c>
      <c r="CH90" s="19">
        <v>4</v>
      </c>
      <c r="CI90" s="19">
        <v>4</v>
      </c>
      <c r="CJ90" s="19">
        <v>3</v>
      </c>
      <c r="CK90" s="19">
        <v>10</v>
      </c>
      <c r="CL90" t="s">
        <v>364</v>
      </c>
      <c r="CM90">
        <v>32</v>
      </c>
      <c r="CN90" s="16">
        <v>75</v>
      </c>
      <c r="CO90" s="16">
        <v>80.400000000000006</v>
      </c>
      <c r="CP90" s="16">
        <v>22.6</v>
      </c>
      <c r="CQ90">
        <v>76.239999999999995</v>
      </c>
      <c r="CS90">
        <v>15.36</v>
      </c>
      <c r="CT90">
        <v>1.93</v>
      </c>
      <c r="CU90">
        <v>6.47</v>
      </c>
      <c r="CV90">
        <v>0</v>
      </c>
      <c r="CW90">
        <v>0</v>
      </c>
      <c r="CY90">
        <v>0</v>
      </c>
      <c r="CZ90">
        <v>0</v>
      </c>
      <c r="DA90">
        <v>0</v>
      </c>
      <c r="DB90">
        <v>0</v>
      </c>
      <c r="DC90">
        <v>32.86</v>
      </c>
      <c r="DD90">
        <v>26.39</v>
      </c>
      <c r="DE90">
        <v>0</v>
      </c>
      <c r="DF90">
        <v>0</v>
      </c>
      <c r="DG90">
        <v>0</v>
      </c>
      <c r="DH90">
        <v>0</v>
      </c>
      <c r="DU90">
        <v>5.6</v>
      </c>
      <c r="DV90">
        <v>1</v>
      </c>
      <c r="DW90">
        <v>35</v>
      </c>
      <c r="DX90">
        <v>1</v>
      </c>
      <c r="DY90">
        <v>0.5</v>
      </c>
      <c r="DZ90">
        <v>3</v>
      </c>
      <c r="EG90" s="20"/>
      <c r="EY90">
        <v>1</v>
      </c>
      <c r="EZ90">
        <v>60</v>
      </c>
      <c r="FA90">
        <v>5</v>
      </c>
      <c r="FB90">
        <v>3.13</v>
      </c>
      <c r="FC90">
        <v>2</v>
      </c>
      <c r="FD90">
        <v>50</v>
      </c>
      <c r="FE90">
        <v>2</v>
      </c>
      <c r="FF90">
        <v>0.67</v>
      </c>
      <c r="FG90">
        <v>2</v>
      </c>
      <c r="GJ90" s="16">
        <v>1.43</v>
      </c>
      <c r="GK90" s="16">
        <v>1</v>
      </c>
      <c r="GL90" s="16">
        <v>1</v>
      </c>
      <c r="GM90" s="16"/>
      <c r="GN90" s="16">
        <v>17.43</v>
      </c>
      <c r="GO90" s="16"/>
      <c r="GP90" s="16"/>
      <c r="GQ90" s="16"/>
      <c r="GR90" s="16"/>
      <c r="GS90" s="16"/>
      <c r="GT90" s="16"/>
      <c r="GU90" s="16">
        <v>1.7</v>
      </c>
      <c r="GV90" s="16">
        <v>1.7</v>
      </c>
      <c r="GW90" s="16">
        <v>0</v>
      </c>
      <c r="GX90" s="16">
        <v>0</v>
      </c>
      <c r="GY90" s="16">
        <v>0</v>
      </c>
      <c r="GZ90" s="16">
        <v>0</v>
      </c>
      <c r="HA90" s="16">
        <v>0</v>
      </c>
      <c r="HB90">
        <v>0</v>
      </c>
      <c r="HC90" t="s">
        <v>350</v>
      </c>
      <c r="HD90">
        <v>75</v>
      </c>
      <c r="HE90" s="16">
        <v>87.9</v>
      </c>
      <c r="HF90" s="16">
        <v>80.400000000000006</v>
      </c>
      <c r="HG90" s="16">
        <v>45.2</v>
      </c>
      <c r="HH90">
        <v>50.83</v>
      </c>
      <c r="HI90">
        <v>0.05</v>
      </c>
      <c r="HJ90">
        <v>46.44</v>
      </c>
      <c r="HK90">
        <v>2.67</v>
      </c>
      <c r="HL90">
        <v>0</v>
      </c>
      <c r="HM90">
        <v>0</v>
      </c>
      <c r="HN90">
        <v>0</v>
      </c>
      <c r="HP90">
        <v>0</v>
      </c>
      <c r="HQ90">
        <v>0</v>
      </c>
      <c r="HR90">
        <v>0</v>
      </c>
      <c r="HS90">
        <v>0</v>
      </c>
      <c r="HT90">
        <v>25.21</v>
      </c>
      <c r="HU90">
        <v>43.57</v>
      </c>
      <c r="HV90">
        <v>6.27</v>
      </c>
      <c r="HW90">
        <v>0</v>
      </c>
      <c r="HX90">
        <v>0</v>
      </c>
      <c r="HY90">
        <v>0</v>
      </c>
      <c r="IL90">
        <v>17.8</v>
      </c>
      <c r="IM90">
        <v>1</v>
      </c>
      <c r="IN90">
        <v>35</v>
      </c>
      <c r="IO90">
        <v>9</v>
      </c>
      <c r="IP90">
        <v>2.5499999999999998</v>
      </c>
      <c r="IQ90">
        <v>3</v>
      </c>
      <c r="IX90" s="20"/>
      <c r="JP90">
        <v>1</v>
      </c>
      <c r="JQ90">
        <v>50</v>
      </c>
      <c r="JR90">
        <v>8</v>
      </c>
      <c r="JS90">
        <v>2.12</v>
      </c>
      <c r="JT90">
        <v>3</v>
      </c>
      <c r="LA90" s="16">
        <v>3.43</v>
      </c>
      <c r="LB90" s="16">
        <v>1</v>
      </c>
      <c r="LC90" s="16">
        <v>1</v>
      </c>
      <c r="LD90" s="16"/>
      <c r="LE90" s="16">
        <v>26.11</v>
      </c>
      <c r="LF90" s="16">
        <v>2</v>
      </c>
      <c r="LG90" s="16"/>
      <c r="LH90" s="16">
        <v>11.19</v>
      </c>
      <c r="LI90" s="16"/>
      <c r="LJ90" s="16"/>
      <c r="LK90" s="16"/>
      <c r="LL90" s="16">
        <v>6.39</v>
      </c>
      <c r="LM90" s="16">
        <v>3.31</v>
      </c>
      <c r="LN90" s="16">
        <v>0</v>
      </c>
      <c r="LO90" s="16">
        <v>0</v>
      </c>
      <c r="LP90" s="16">
        <v>0</v>
      </c>
      <c r="LQ90" s="16">
        <v>0</v>
      </c>
      <c r="LR90" s="16">
        <v>0</v>
      </c>
      <c r="LS90">
        <v>0</v>
      </c>
      <c r="LT90" t="s">
        <v>361</v>
      </c>
      <c r="LU90">
        <v>74.5</v>
      </c>
      <c r="LV90" s="16">
        <v>76.2</v>
      </c>
      <c r="LW90" s="16">
        <v>80.400000000000006</v>
      </c>
      <c r="LX90" s="16">
        <v>42.8</v>
      </c>
      <c r="LY90">
        <v>57.15</v>
      </c>
      <c r="LZ90">
        <v>0.45</v>
      </c>
      <c r="MA90">
        <v>39.090000000000003</v>
      </c>
      <c r="MB90">
        <v>3.3</v>
      </c>
      <c r="MC90">
        <v>0</v>
      </c>
      <c r="MD90">
        <v>0</v>
      </c>
      <c r="ME90">
        <v>0</v>
      </c>
      <c r="MG90">
        <v>0</v>
      </c>
      <c r="MH90">
        <v>0</v>
      </c>
      <c r="MI90">
        <v>0</v>
      </c>
      <c r="MJ90">
        <v>0</v>
      </c>
      <c r="MK90">
        <v>18.260000000000002</v>
      </c>
      <c r="ML90">
        <v>34.4</v>
      </c>
      <c r="MM90">
        <v>6.27</v>
      </c>
      <c r="MN90">
        <v>0</v>
      </c>
      <c r="MO90">
        <v>0</v>
      </c>
      <c r="MP90">
        <v>0</v>
      </c>
      <c r="NC90">
        <v>18.2</v>
      </c>
      <c r="ND90">
        <v>1</v>
      </c>
      <c r="NE90">
        <v>35</v>
      </c>
      <c r="NF90">
        <v>9</v>
      </c>
      <c r="NG90">
        <v>2.5499999999999998</v>
      </c>
      <c r="NH90">
        <v>3</v>
      </c>
      <c r="NO90" s="20"/>
      <c r="OG90">
        <v>1</v>
      </c>
      <c r="OH90">
        <v>50</v>
      </c>
      <c r="OI90">
        <v>8</v>
      </c>
      <c r="OJ90">
        <v>2.54</v>
      </c>
      <c r="OK90">
        <v>3</v>
      </c>
      <c r="PR90" s="16">
        <v>7.59</v>
      </c>
      <c r="PS90" s="16">
        <v>1</v>
      </c>
      <c r="PT90" s="16">
        <v>1</v>
      </c>
      <c r="PU90" s="16"/>
      <c r="PV90" s="16">
        <v>22.38</v>
      </c>
      <c r="PW90" s="16">
        <v>2</v>
      </c>
      <c r="PX90" s="16"/>
      <c r="PY90" s="16">
        <v>14.92</v>
      </c>
      <c r="PZ90" s="16"/>
      <c r="QA90" s="16"/>
      <c r="QB90" s="16"/>
      <c r="QC90" s="16">
        <v>5.05</v>
      </c>
      <c r="QD90" s="16">
        <v>1.54</v>
      </c>
      <c r="QE90" s="16">
        <v>0</v>
      </c>
      <c r="QF90" s="16">
        <v>0</v>
      </c>
      <c r="QG90" s="16">
        <v>0</v>
      </c>
      <c r="QH90" s="16">
        <v>0</v>
      </c>
      <c r="QI90" s="16">
        <v>0</v>
      </c>
      <c r="QJ90">
        <v>0</v>
      </c>
      <c r="QK90" t="s">
        <v>351</v>
      </c>
      <c r="QL90">
        <v>30.5</v>
      </c>
      <c r="QM90" s="16">
        <v>68.400000000000006</v>
      </c>
      <c r="QN90" s="16">
        <v>80.400000000000006</v>
      </c>
      <c r="QO90" s="16">
        <v>19.8</v>
      </c>
      <c r="QP90">
        <v>72.42</v>
      </c>
      <c r="QR90">
        <v>0.94</v>
      </c>
      <c r="QS90">
        <v>0.94</v>
      </c>
      <c r="QT90">
        <v>25.7</v>
      </c>
      <c r="QU90">
        <v>0</v>
      </c>
      <c r="QV90">
        <v>0</v>
      </c>
      <c r="QX90">
        <v>0</v>
      </c>
      <c r="QY90">
        <v>0</v>
      </c>
      <c r="QZ90">
        <v>0</v>
      </c>
      <c r="RA90">
        <v>0</v>
      </c>
      <c r="RB90">
        <v>28.26</v>
      </c>
      <c r="RC90">
        <v>10.55</v>
      </c>
      <c r="RD90">
        <v>14.21</v>
      </c>
      <c r="RE90">
        <v>0</v>
      </c>
      <c r="RF90">
        <v>0</v>
      </c>
      <c r="RG90">
        <v>0</v>
      </c>
      <c r="RT90">
        <v>3.3</v>
      </c>
      <c r="RU90">
        <v>1</v>
      </c>
      <c r="RV90">
        <v>68</v>
      </c>
      <c r="RW90">
        <v>2</v>
      </c>
      <c r="RX90">
        <v>1.52</v>
      </c>
      <c r="RY90">
        <v>1</v>
      </c>
      <c r="SF90" s="20"/>
      <c r="SX90">
        <v>0</v>
      </c>
      <c r="UI90" s="16">
        <v>0</v>
      </c>
      <c r="UJ90" s="16">
        <v>0</v>
      </c>
      <c r="UK90" s="16"/>
      <c r="UL90" s="16"/>
      <c r="UM90" s="16"/>
      <c r="UN90" s="16"/>
      <c r="UO90" s="16"/>
      <c r="UP90" s="16"/>
      <c r="UQ90" s="16"/>
      <c r="UR90" s="16"/>
      <c r="US90" s="16"/>
      <c r="UT90" s="16">
        <v>0.81</v>
      </c>
      <c r="UU90" s="16">
        <v>0.8</v>
      </c>
      <c r="UV90" s="16">
        <v>0</v>
      </c>
      <c r="UW90" s="16">
        <v>0</v>
      </c>
      <c r="UX90" s="16">
        <v>2.99</v>
      </c>
      <c r="UY90" s="16">
        <v>5.71</v>
      </c>
      <c r="UZ90" s="16">
        <v>0</v>
      </c>
      <c r="VA90">
        <v>0</v>
      </c>
      <c r="VB90" t="s">
        <v>356</v>
      </c>
      <c r="VC90">
        <v>39.5</v>
      </c>
      <c r="VD90" s="16">
        <v>85.1</v>
      </c>
      <c r="VE90" s="16">
        <v>80.400000000000006</v>
      </c>
      <c r="VF90" s="16">
        <v>13.6</v>
      </c>
      <c r="VG90">
        <v>87.38</v>
      </c>
      <c r="VI90">
        <v>8.0500000000000007</v>
      </c>
      <c r="VJ90">
        <v>0</v>
      </c>
      <c r="VK90">
        <v>4.57</v>
      </c>
      <c r="VL90">
        <v>0</v>
      </c>
      <c r="VM90">
        <v>0</v>
      </c>
      <c r="VO90">
        <v>0</v>
      </c>
      <c r="VP90">
        <v>0</v>
      </c>
      <c r="VQ90">
        <v>0</v>
      </c>
      <c r="VR90">
        <v>0</v>
      </c>
      <c r="VS90">
        <v>45</v>
      </c>
      <c r="VT90">
        <v>10.1</v>
      </c>
      <c r="VU90">
        <v>11.8</v>
      </c>
      <c r="VV90">
        <v>0</v>
      </c>
      <c r="VW90">
        <v>0</v>
      </c>
      <c r="VX90">
        <v>0</v>
      </c>
      <c r="WK90">
        <v>17.8</v>
      </c>
      <c r="WL90">
        <v>1</v>
      </c>
      <c r="WM90">
        <v>30</v>
      </c>
      <c r="WN90">
        <v>7</v>
      </c>
      <c r="WO90">
        <v>5.33</v>
      </c>
      <c r="WP90">
        <v>3</v>
      </c>
      <c r="WW90" s="20"/>
      <c r="XO90">
        <v>1</v>
      </c>
      <c r="XP90">
        <v>50</v>
      </c>
      <c r="XQ90">
        <v>1</v>
      </c>
      <c r="XR90">
        <v>0.03</v>
      </c>
      <c r="XS90">
        <v>1</v>
      </c>
      <c r="YZ90" s="16">
        <v>3.96</v>
      </c>
      <c r="ZA90" s="16">
        <v>1</v>
      </c>
      <c r="ZB90" s="16">
        <v>1</v>
      </c>
      <c r="ZC90" s="16"/>
      <c r="ZD90" s="16">
        <v>41.03</v>
      </c>
      <c r="ZE90" s="16">
        <v>2</v>
      </c>
      <c r="ZF90" s="16">
        <v>3.73</v>
      </c>
      <c r="ZG90" s="16"/>
      <c r="ZH90" s="16"/>
      <c r="ZI90" s="16"/>
      <c r="ZJ90" s="16"/>
      <c r="ZK90" s="16">
        <v>0</v>
      </c>
      <c r="ZL90" s="16">
        <v>0</v>
      </c>
      <c r="ZM90" s="16">
        <v>0</v>
      </c>
      <c r="ZN90" s="16">
        <v>0</v>
      </c>
      <c r="ZO90" s="16">
        <v>0</v>
      </c>
      <c r="ZP90" s="16">
        <v>0</v>
      </c>
      <c r="ZQ90" s="16">
        <v>0</v>
      </c>
      <c r="ZR90">
        <v>0</v>
      </c>
      <c r="ZU90" s="15"/>
      <c r="ZV90" s="15"/>
      <c r="AAC90" s="15"/>
      <c r="AAD90" s="15"/>
      <c r="AAK90" s="15"/>
      <c r="AAL90" s="15"/>
      <c r="AAS90" s="15"/>
      <c r="AAT90" s="15"/>
      <c r="ABA90" s="15"/>
      <c r="ABB90" s="15"/>
      <c r="ABI90" s="15"/>
      <c r="ABJ90" s="15"/>
      <c r="ABQ90" s="15"/>
      <c r="ABR90" s="15"/>
      <c r="ABY90" s="15"/>
      <c r="ABZ90" s="15"/>
      <c r="ACG90" s="15"/>
      <c r="ACH90" s="15"/>
      <c r="ACO90" s="15"/>
      <c r="ACP90" s="15"/>
      <c r="ACW90" s="15"/>
      <c r="ACX90" s="15"/>
      <c r="ADE90" s="15"/>
      <c r="ADF90" s="15"/>
      <c r="ADM90" s="15"/>
      <c r="ADN90" s="15"/>
      <c r="ADU90" s="15"/>
      <c r="ADV90" s="15"/>
      <c r="AEC90" s="15"/>
      <c r="AED90" s="15"/>
      <c r="AEK90" s="15"/>
      <c r="AEL90" s="15"/>
      <c r="AES90" s="15"/>
      <c r="AET90" s="15"/>
      <c r="AFA90" s="15"/>
      <c r="AFB90" s="15"/>
      <c r="AFI90" s="15"/>
      <c r="AFJ90" s="15"/>
      <c r="AFQ90" s="15"/>
      <c r="AFR90" s="15"/>
      <c r="AFY90" s="15"/>
      <c r="AFZ90" s="15"/>
      <c r="AGG90" s="15"/>
      <c r="AGH90" s="15"/>
      <c r="AGO90" s="15"/>
      <c r="AGP90" s="15"/>
      <c r="AGW90" s="15"/>
      <c r="AGX90" s="15"/>
      <c r="AHE90" s="15"/>
      <c r="AHF90" s="15"/>
      <c r="AHM90" s="15"/>
      <c r="AHN90" s="15"/>
      <c r="AHU90" s="15"/>
      <c r="AHV90" s="15"/>
      <c r="AIC90" s="15"/>
      <c r="AID90" s="15"/>
      <c r="AIK90" s="15"/>
      <c r="AIL90" s="15"/>
      <c r="AIS90" s="15"/>
      <c r="AIT90" s="15"/>
      <c r="AJA90" s="15"/>
      <c r="AJB90" s="15"/>
      <c r="AJI90" s="15"/>
      <c r="AJJ90" s="15"/>
      <c r="AJQ90" s="15"/>
      <c r="AJR90" s="15"/>
      <c r="AJY90" s="15"/>
      <c r="AJZ90" s="15"/>
      <c r="AKG90" s="15"/>
      <c r="AKH90" s="15"/>
      <c r="AKO90" s="15"/>
      <c r="AKP90" s="15"/>
      <c r="AKW90" s="15"/>
      <c r="AKX90" s="15"/>
      <c r="ALE90" s="15"/>
      <c r="ALF90" s="15"/>
      <c r="ALM90" s="15"/>
      <c r="ALN90" s="15"/>
      <c r="ALU90" s="15"/>
      <c r="ALV90" s="15"/>
      <c r="AMC90" s="15"/>
      <c r="AMD90" s="15"/>
    </row>
    <row r="91" spans="1:1018" x14ac:dyDescent="0.2">
      <c r="A91" s="1" t="s">
        <v>473</v>
      </c>
      <c r="B91" s="12">
        <v>42894</v>
      </c>
      <c r="C91">
        <v>2</v>
      </c>
      <c r="D91" s="13">
        <v>34785</v>
      </c>
      <c r="E91" s="12">
        <v>27122</v>
      </c>
      <c r="F91" s="14">
        <f t="shared" si="42"/>
        <v>43.181382614647504</v>
      </c>
      <c r="G91" s="14">
        <f t="shared" si="43"/>
        <v>22.201232032854211</v>
      </c>
      <c r="H91" s="15" t="s">
        <v>183</v>
      </c>
      <c r="I91" s="15" t="s">
        <v>347</v>
      </c>
      <c r="J91" s="15" t="s">
        <v>183</v>
      </c>
      <c r="K91" s="15"/>
      <c r="L91" s="19">
        <v>72</v>
      </c>
      <c r="M91">
        <v>1.81</v>
      </c>
      <c r="N91" s="16">
        <f t="shared" si="44"/>
        <v>21.977351118708221</v>
      </c>
      <c r="O91" s="19">
        <v>0</v>
      </c>
      <c r="P91" s="19">
        <v>0</v>
      </c>
      <c r="Q91" s="19">
        <v>0</v>
      </c>
      <c r="R91" s="19">
        <v>1</v>
      </c>
      <c r="S91" s="19">
        <v>1</v>
      </c>
      <c r="T91" s="19" t="s">
        <v>474</v>
      </c>
      <c r="U91" s="19">
        <v>0</v>
      </c>
      <c r="V91" s="19">
        <v>0</v>
      </c>
      <c r="W91" s="19">
        <v>0</v>
      </c>
      <c r="X91" s="19">
        <v>0</v>
      </c>
      <c r="Y91" s="19">
        <v>0</v>
      </c>
      <c r="Z91" s="19">
        <v>0</v>
      </c>
      <c r="AA91" s="19">
        <v>0</v>
      </c>
      <c r="AB91" s="19">
        <v>0</v>
      </c>
      <c r="AC91" s="19">
        <v>0</v>
      </c>
      <c r="AD91" s="19">
        <v>0</v>
      </c>
      <c r="AE91" s="19">
        <v>0</v>
      </c>
      <c r="AF91" s="19">
        <v>0</v>
      </c>
      <c r="AG91" s="19">
        <v>0</v>
      </c>
      <c r="AH91" s="19">
        <v>0</v>
      </c>
      <c r="AI91" s="19">
        <v>0</v>
      </c>
      <c r="AJ91" s="19">
        <v>0</v>
      </c>
      <c r="AK91" s="19">
        <v>0</v>
      </c>
      <c r="AL91" s="19">
        <v>0</v>
      </c>
      <c r="AM91" s="19">
        <v>0</v>
      </c>
      <c r="AN91" s="19">
        <v>2</v>
      </c>
      <c r="AO91" s="19">
        <v>2</v>
      </c>
      <c r="AP91" s="19">
        <v>0</v>
      </c>
      <c r="AQ91" s="19">
        <v>0</v>
      </c>
      <c r="AR91" s="19">
        <v>0</v>
      </c>
      <c r="AS91" s="19">
        <v>0</v>
      </c>
      <c r="AT91" s="19">
        <v>0</v>
      </c>
      <c r="AU91" s="19">
        <v>0</v>
      </c>
      <c r="AV91" s="19">
        <v>0</v>
      </c>
      <c r="AW91" s="19">
        <v>0</v>
      </c>
      <c r="AX91" s="19">
        <v>0</v>
      </c>
      <c r="AY91" s="19">
        <v>0</v>
      </c>
      <c r="AZ91" s="19">
        <v>0</v>
      </c>
      <c r="BA91" s="19">
        <v>0</v>
      </c>
      <c r="BB91" s="19">
        <v>0</v>
      </c>
      <c r="BC91" s="19">
        <v>0</v>
      </c>
      <c r="BD91" s="19">
        <v>0</v>
      </c>
      <c r="BE91" s="19">
        <v>0</v>
      </c>
      <c r="BF91" s="19">
        <v>0</v>
      </c>
      <c r="BG91" s="19">
        <v>0</v>
      </c>
      <c r="BH91" s="19">
        <v>0</v>
      </c>
      <c r="BI91" s="19">
        <v>0</v>
      </c>
      <c r="BJ91" s="19">
        <v>0</v>
      </c>
      <c r="BK91" s="19">
        <v>0</v>
      </c>
      <c r="BL91" s="19">
        <v>0</v>
      </c>
      <c r="BM91" s="19">
        <v>0</v>
      </c>
      <c r="BN91" s="19">
        <v>0</v>
      </c>
      <c r="BO91" s="19">
        <v>0</v>
      </c>
      <c r="BP91" s="19">
        <v>0</v>
      </c>
      <c r="BQ91" s="19">
        <v>0</v>
      </c>
      <c r="BR91" s="19">
        <v>1</v>
      </c>
      <c r="BS91" s="19">
        <v>2</v>
      </c>
      <c r="BT91" s="19">
        <v>2</v>
      </c>
      <c r="BU91" s="19">
        <v>5</v>
      </c>
      <c r="BV91" s="19">
        <v>5</v>
      </c>
      <c r="BW91" s="19">
        <v>5</v>
      </c>
      <c r="BX91" s="19">
        <v>4</v>
      </c>
      <c r="BY91" s="19">
        <v>5</v>
      </c>
      <c r="BZ91" s="19">
        <v>4</v>
      </c>
      <c r="CA91" s="19">
        <v>4</v>
      </c>
      <c r="CB91" s="19">
        <v>4</v>
      </c>
      <c r="CC91" s="19">
        <v>5</v>
      </c>
      <c r="CD91" s="19">
        <v>4</v>
      </c>
      <c r="CE91" s="19">
        <v>4</v>
      </c>
      <c r="CF91" s="19">
        <v>3</v>
      </c>
      <c r="CG91" s="19">
        <v>4</v>
      </c>
      <c r="CH91" s="19">
        <v>4</v>
      </c>
      <c r="CI91" s="19">
        <v>4</v>
      </c>
      <c r="CJ91" s="19">
        <v>4</v>
      </c>
      <c r="CK91" s="19">
        <v>10</v>
      </c>
      <c r="CL91" s="19"/>
      <c r="CM91" s="19"/>
      <c r="CN91" s="19"/>
      <c r="CO91" s="19"/>
      <c r="CP91" s="19"/>
      <c r="CQ91" s="19"/>
      <c r="CR91" s="19"/>
      <c r="CS91" s="19"/>
      <c r="CT91" s="19"/>
      <c r="CU91" s="19"/>
      <c r="CV91" s="19"/>
      <c r="CW91" s="19"/>
      <c r="CX91" s="19"/>
      <c r="CY91" s="19"/>
      <c r="CZ91" s="19"/>
      <c r="DA91" s="19"/>
      <c r="DB91" s="19"/>
      <c r="DC91" s="19"/>
      <c r="DD91" s="19"/>
      <c r="DE91" s="19"/>
      <c r="DF91" s="19"/>
      <c r="DG91" s="19"/>
      <c r="DH91" s="19"/>
      <c r="DI91" s="19"/>
      <c r="DJ91" s="19"/>
      <c r="DK91" s="19"/>
      <c r="DL91" s="19"/>
      <c r="DM91" s="19"/>
      <c r="DN91" s="19"/>
      <c r="DO91" s="19"/>
      <c r="DP91" s="19"/>
      <c r="DQ91" s="19"/>
      <c r="DR91" s="19"/>
      <c r="DS91" s="19"/>
      <c r="DY91" s="15"/>
      <c r="DZ91" s="15"/>
      <c r="EG91" s="15"/>
      <c r="EH91" s="15"/>
      <c r="EO91" s="15"/>
      <c r="EP91" s="15"/>
      <c r="EW91" s="15"/>
      <c r="EX91" s="15"/>
      <c r="FE91" s="15"/>
      <c r="FF91" s="15"/>
      <c r="FM91" s="15"/>
      <c r="FN91" s="15"/>
      <c r="FU91" s="15"/>
      <c r="FV91" s="15"/>
      <c r="GC91" s="15"/>
      <c r="GD91" s="15"/>
      <c r="GK91" s="15"/>
      <c r="GL91" s="15"/>
      <c r="GS91" s="15"/>
      <c r="GT91" s="15"/>
      <c r="HA91" s="15"/>
      <c r="HB91" s="15"/>
      <c r="HI91" s="15"/>
      <c r="HJ91" s="15"/>
      <c r="HQ91" s="15"/>
      <c r="HR91" s="15"/>
      <c r="HY91" s="15"/>
      <c r="HZ91" s="15"/>
      <c r="IG91" s="15"/>
      <c r="IH91" s="15"/>
      <c r="IO91" s="15"/>
      <c r="IP91" s="15"/>
      <c r="IW91" s="15"/>
      <c r="IX91" s="15"/>
      <c r="JE91" s="15"/>
      <c r="JF91" s="15"/>
      <c r="JM91" s="15"/>
      <c r="JN91" s="15"/>
      <c r="JU91" s="15"/>
      <c r="JV91" s="15"/>
      <c r="KC91" s="15"/>
      <c r="KD91" s="15"/>
      <c r="KK91" s="15"/>
      <c r="KL91" s="15"/>
      <c r="KS91" s="15"/>
      <c r="KT91" s="15"/>
      <c r="LA91" s="15"/>
      <c r="LB91" s="15"/>
      <c r="LI91" s="15"/>
      <c r="LJ91" s="15"/>
      <c r="LQ91" s="15"/>
      <c r="LR91" s="15"/>
      <c r="LY91" s="15"/>
      <c r="LZ91" s="15"/>
      <c r="MG91" s="15"/>
      <c r="MH91" s="15"/>
      <c r="MO91" s="15"/>
      <c r="MP91" s="15"/>
      <c r="MW91" s="15"/>
      <c r="MX91" s="15"/>
      <c r="NE91" s="15"/>
      <c r="NF91" s="15"/>
      <c r="NM91" s="15"/>
      <c r="NN91" s="15"/>
      <c r="NU91" s="15"/>
      <c r="NV91" s="15"/>
      <c r="OC91" s="15"/>
      <c r="OD91" s="15"/>
      <c r="OK91" s="15"/>
      <c r="OL91" s="15"/>
      <c r="OS91" s="15"/>
      <c r="OT91" s="15"/>
      <c r="PA91" s="15"/>
      <c r="PB91" s="15"/>
      <c r="PI91" s="15"/>
      <c r="PJ91" s="15"/>
      <c r="PQ91" s="15"/>
      <c r="PR91" s="15"/>
      <c r="PY91" s="15"/>
      <c r="PZ91" s="15"/>
      <c r="QG91" s="15"/>
      <c r="QH91" s="15"/>
      <c r="QO91" s="15"/>
      <c r="QP91" s="15"/>
      <c r="QW91" s="15"/>
      <c r="QX91" s="15"/>
      <c r="RE91" s="15"/>
      <c r="RF91" s="15"/>
      <c r="RM91" s="15"/>
      <c r="RN91" s="15"/>
      <c r="RU91" s="15"/>
      <c r="RV91" s="15"/>
      <c r="SC91" s="15"/>
      <c r="SD91" s="15"/>
      <c r="SK91" s="15"/>
      <c r="SL91" s="15"/>
      <c r="SS91" s="15"/>
      <c r="ST91" s="15"/>
      <c r="TA91" s="15"/>
      <c r="TB91" s="15"/>
      <c r="TI91" s="15"/>
      <c r="TJ91" s="15"/>
      <c r="TQ91" s="15"/>
      <c r="TR91" s="15"/>
      <c r="TY91" s="15"/>
      <c r="TZ91" s="15"/>
      <c r="UG91" s="15"/>
      <c r="UH91" s="15"/>
      <c r="UO91" s="15"/>
      <c r="UP91" s="15"/>
      <c r="UW91" s="15"/>
      <c r="UX91" s="15"/>
      <c r="VE91" s="15"/>
      <c r="VF91" s="15"/>
      <c r="VM91" s="15"/>
      <c r="VN91" s="15"/>
      <c r="VU91" s="15"/>
      <c r="VV91" s="15"/>
      <c r="WC91" s="15"/>
      <c r="WD91" s="15"/>
      <c r="WK91" s="15"/>
      <c r="WL91" s="15"/>
      <c r="WS91" s="15"/>
      <c r="WT91" s="15"/>
      <c r="XA91" s="15"/>
      <c r="XB91" s="15"/>
      <c r="XI91" s="15"/>
      <c r="XJ91" s="15"/>
      <c r="XQ91" s="15"/>
      <c r="XR91" s="15"/>
      <c r="XY91" s="15"/>
      <c r="XZ91" s="15"/>
      <c r="YG91" s="15"/>
      <c r="YH91" s="15"/>
      <c r="YO91" s="15"/>
      <c r="YP91" s="15"/>
      <c r="YW91" s="15"/>
      <c r="YX91" s="15"/>
      <c r="ZE91" s="15"/>
      <c r="ZF91" s="15"/>
      <c r="ZM91" s="15"/>
      <c r="ZN91" s="15"/>
      <c r="ZU91" s="15"/>
      <c r="ZV91" s="15"/>
      <c r="AAC91" s="15"/>
      <c r="AAD91" s="15"/>
      <c r="AAK91" s="15"/>
      <c r="AAL91" s="15"/>
      <c r="AAS91" s="15"/>
      <c r="AAT91" s="15"/>
      <c r="ABA91" s="15"/>
      <c r="ABB91" s="15"/>
      <c r="ABI91" s="15"/>
      <c r="ABJ91" s="15"/>
      <c r="ABQ91" s="15"/>
      <c r="ABR91" s="15"/>
      <c r="ABY91" s="15"/>
      <c r="ABZ91" s="15"/>
      <c r="ACG91" s="15"/>
      <c r="ACH91" s="15"/>
      <c r="ACO91" s="15"/>
      <c r="ACP91" s="15"/>
      <c r="ACW91" s="15"/>
      <c r="ACX91" s="15"/>
      <c r="ADE91" s="15"/>
      <c r="ADF91" s="15"/>
      <c r="ADM91" s="15"/>
      <c r="ADN91" s="15"/>
      <c r="ADU91" s="15"/>
      <c r="ADV91" s="15"/>
      <c r="AEC91" s="15"/>
      <c r="AED91" s="15"/>
      <c r="AEK91" s="15"/>
      <c r="AEL91" s="15"/>
      <c r="AES91" s="15"/>
      <c r="AET91" s="15"/>
      <c r="AFA91" s="15"/>
      <c r="AFB91" s="15"/>
      <c r="AFI91" s="15"/>
      <c r="AFJ91" s="15"/>
      <c r="AFQ91" s="15"/>
      <c r="AFR91" s="15"/>
      <c r="AFY91" s="15"/>
      <c r="AFZ91" s="15"/>
      <c r="AGG91" s="15"/>
      <c r="AGH91" s="15"/>
      <c r="AGO91" s="15"/>
      <c r="AGP91" s="15"/>
      <c r="AGW91" s="15"/>
      <c r="AGX91" s="15"/>
      <c r="AHE91" s="15"/>
      <c r="AHF91" s="15"/>
      <c r="AHM91" s="15"/>
      <c r="AHN91" s="15"/>
      <c r="AHU91" s="15"/>
      <c r="AHV91" s="15"/>
      <c r="AIC91" s="15"/>
      <c r="AID91" s="15"/>
      <c r="AIK91" s="15"/>
      <c r="AIL91" s="15"/>
      <c r="AIS91" s="15"/>
      <c r="AIT91" s="15"/>
      <c r="AJA91" s="15"/>
      <c r="AJB91" s="15"/>
      <c r="AJI91" s="15"/>
      <c r="AJJ91" s="15"/>
      <c r="AJQ91" s="15"/>
      <c r="AJR91" s="15"/>
      <c r="AJY91" s="15"/>
      <c r="AJZ91" s="15"/>
      <c r="AKG91" s="15"/>
      <c r="AKH91" s="15"/>
      <c r="AKO91" s="15"/>
      <c r="AKP91" s="15"/>
      <c r="AKW91" s="15"/>
      <c r="AKX91" s="15"/>
      <c r="ALE91" s="15"/>
      <c r="ALF91" s="15"/>
      <c r="ALM91" s="15"/>
      <c r="ALN91" s="15"/>
      <c r="ALU91" s="15"/>
      <c r="ALV91" s="15"/>
      <c r="AMC91" s="15"/>
      <c r="AMD91" s="15"/>
    </row>
    <row r="92" spans="1:1018" x14ac:dyDescent="0.2">
      <c r="A92" s="1" t="s">
        <v>475</v>
      </c>
      <c r="B92" s="12">
        <v>42901</v>
      </c>
      <c r="C92">
        <v>2</v>
      </c>
      <c r="D92" s="13">
        <v>42793</v>
      </c>
      <c r="E92" s="12">
        <v>34393</v>
      </c>
      <c r="F92" s="14">
        <f t="shared" si="42"/>
        <v>23.293634496919918</v>
      </c>
      <c r="G92" s="14">
        <f t="shared" si="43"/>
        <v>0.29568788501026694</v>
      </c>
      <c r="H92" s="15" t="s">
        <v>217</v>
      </c>
      <c r="I92" s="15" t="s">
        <v>272</v>
      </c>
      <c r="J92" s="15" t="s">
        <v>181</v>
      </c>
      <c r="K92" s="21">
        <v>8</v>
      </c>
      <c r="L92" s="19">
        <v>70</v>
      </c>
      <c r="M92">
        <v>1.83</v>
      </c>
      <c r="N92" s="16">
        <f t="shared" si="44"/>
        <v>20.902385858042937</v>
      </c>
      <c r="O92" s="19">
        <v>0</v>
      </c>
      <c r="P92" s="19">
        <v>0</v>
      </c>
      <c r="Q92" s="19">
        <v>0</v>
      </c>
      <c r="R92" s="19">
        <v>0</v>
      </c>
      <c r="S92" s="19">
        <v>0</v>
      </c>
      <c r="T92" s="19">
        <v>0</v>
      </c>
      <c r="U92" s="19">
        <v>0</v>
      </c>
      <c r="V92" s="19">
        <v>0</v>
      </c>
      <c r="W92" s="19">
        <v>0</v>
      </c>
      <c r="X92" s="19">
        <v>0</v>
      </c>
      <c r="Y92" s="19">
        <v>1</v>
      </c>
      <c r="Z92" s="19">
        <v>1</v>
      </c>
      <c r="AA92" s="19"/>
      <c r="AB92" s="19" t="s">
        <v>368</v>
      </c>
      <c r="AC92" s="19">
        <v>1</v>
      </c>
      <c r="AD92" s="19">
        <v>5</v>
      </c>
      <c r="AE92" s="19">
        <v>0</v>
      </c>
      <c r="AF92" s="19">
        <v>0</v>
      </c>
      <c r="AG92" s="19">
        <v>0</v>
      </c>
      <c r="AH92" s="19">
        <v>0</v>
      </c>
      <c r="AI92" s="19">
        <v>0</v>
      </c>
      <c r="AJ92" s="19">
        <v>0</v>
      </c>
      <c r="AK92" s="19">
        <v>0</v>
      </c>
      <c r="AL92" s="19">
        <v>0</v>
      </c>
      <c r="AM92" s="19">
        <v>0</v>
      </c>
      <c r="AN92" s="19">
        <v>0</v>
      </c>
      <c r="AO92" s="19">
        <v>0</v>
      </c>
      <c r="AP92" s="19">
        <v>0</v>
      </c>
      <c r="AQ92" s="19">
        <v>0</v>
      </c>
      <c r="AR92" s="19">
        <v>0</v>
      </c>
      <c r="AS92" s="19">
        <v>0</v>
      </c>
      <c r="AT92" s="19">
        <v>0</v>
      </c>
      <c r="AU92" s="19">
        <v>0</v>
      </c>
      <c r="AV92" s="19">
        <v>0</v>
      </c>
      <c r="AW92" s="19">
        <v>0</v>
      </c>
      <c r="AX92" s="19">
        <v>0</v>
      </c>
      <c r="AY92" s="19">
        <v>0</v>
      </c>
      <c r="AZ92" s="19">
        <v>0</v>
      </c>
      <c r="BA92" s="19">
        <v>0</v>
      </c>
      <c r="BB92" s="19">
        <v>0</v>
      </c>
      <c r="BC92" s="19">
        <v>0</v>
      </c>
      <c r="BD92" s="19">
        <v>0</v>
      </c>
      <c r="BE92" s="19">
        <v>0</v>
      </c>
      <c r="BF92" s="19">
        <v>0</v>
      </c>
      <c r="BG92" s="19">
        <v>0</v>
      </c>
      <c r="BH92" s="19">
        <v>0</v>
      </c>
      <c r="BI92" s="19">
        <v>0</v>
      </c>
      <c r="BJ92" s="19">
        <v>0</v>
      </c>
      <c r="BK92" s="19">
        <v>0</v>
      </c>
      <c r="BL92" s="19">
        <v>0</v>
      </c>
      <c r="BM92" s="19">
        <v>0</v>
      </c>
      <c r="BN92" s="19">
        <v>0</v>
      </c>
      <c r="BO92" s="19">
        <v>0</v>
      </c>
      <c r="BP92" s="19">
        <v>0</v>
      </c>
      <c r="BQ92" s="19">
        <v>0</v>
      </c>
      <c r="BR92" s="19">
        <v>2</v>
      </c>
      <c r="BS92" s="19">
        <v>2</v>
      </c>
      <c r="BT92" s="19">
        <v>3</v>
      </c>
      <c r="BU92" s="19">
        <v>5</v>
      </c>
      <c r="BV92" s="19">
        <v>1</v>
      </c>
      <c r="BW92" s="19">
        <v>2</v>
      </c>
      <c r="BX92" s="19">
        <v>3</v>
      </c>
      <c r="BY92" s="19">
        <v>2</v>
      </c>
      <c r="BZ92" s="19">
        <v>1</v>
      </c>
      <c r="CA92" s="19">
        <v>4</v>
      </c>
      <c r="CB92" s="19">
        <v>4</v>
      </c>
      <c r="CC92" s="19">
        <v>5</v>
      </c>
      <c r="CD92" s="19">
        <v>1</v>
      </c>
      <c r="CE92" s="19">
        <v>3</v>
      </c>
      <c r="CF92" s="19">
        <v>2</v>
      </c>
      <c r="CG92" s="19">
        <v>5</v>
      </c>
      <c r="CH92" s="19">
        <v>2</v>
      </c>
      <c r="CI92" s="19">
        <v>2</v>
      </c>
      <c r="CJ92" s="19">
        <v>4</v>
      </c>
      <c r="CK92" s="19">
        <v>7</v>
      </c>
      <c r="CL92" t="s">
        <v>274</v>
      </c>
      <c r="CM92">
        <v>19.5</v>
      </c>
      <c r="CN92" s="16">
        <v>74.3</v>
      </c>
      <c r="CO92" s="16">
        <v>80.400000000000006</v>
      </c>
      <c r="CP92" s="16">
        <v>7.8</v>
      </c>
      <c r="CQ92">
        <v>89.52</v>
      </c>
      <c r="CR92">
        <v>8.69</v>
      </c>
      <c r="CS92">
        <v>1.79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18.73</v>
      </c>
      <c r="DD92">
        <v>9.35</v>
      </c>
      <c r="DE92">
        <v>0</v>
      </c>
      <c r="DF92">
        <v>0</v>
      </c>
      <c r="DG92">
        <v>0</v>
      </c>
      <c r="DU92">
        <v>3.92</v>
      </c>
      <c r="DV92">
        <v>1</v>
      </c>
      <c r="DW92">
        <v>52</v>
      </c>
      <c r="DX92">
        <v>4</v>
      </c>
      <c r="DY92">
        <f>1.01*2+0.56+0.9</f>
        <v>3.48</v>
      </c>
      <c r="DZ92">
        <v>2</v>
      </c>
      <c r="EG92" s="18"/>
      <c r="EY92">
        <v>1</v>
      </c>
      <c r="EZ92">
        <v>50</v>
      </c>
      <c r="FA92">
        <v>1</v>
      </c>
      <c r="FB92">
        <v>1.9</v>
      </c>
      <c r="FC92">
        <v>3</v>
      </c>
      <c r="GJ92" s="16">
        <v>2.2400000000000002</v>
      </c>
      <c r="GK92" s="16">
        <v>1</v>
      </c>
      <c r="GL92" s="16">
        <v>2</v>
      </c>
      <c r="GM92" s="16"/>
      <c r="GN92" s="16">
        <f>1.87*2</f>
        <v>3.74</v>
      </c>
      <c r="GO92" s="16"/>
      <c r="GP92" s="16"/>
      <c r="GQ92" s="16"/>
      <c r="GR92" s="16"/>
      <c r="GS92" s="16"/>
      <c r="GT92" s="16"/>
      <c r="GU92" s="16">
        <v>5.49</v>
      </c>
      <c r="GV92" s="16">
        <f>1.01*2+0.56+1.87*2+0.9</f>
        <v>7.2200000000000006</v>
      </c>
      <c r="GW92" s="16"/>
      <c r="GX92" s="16"/>
      <c r="GY92" s="16">
        <v>0</v>
      </c>
      <c r="GZ92" s="16">
        <v>0</v>
      </c>
      <c r="HA92" s="16">
        <v>0</v>
      </c>
      <c r="HB92">
        <v>0</v>
      </c>
      <c r="HC92" t="s">
        <v>275</v>
      </c>
      <c r="HD92">
        <v>19.5</v>
      </c>
      <c r="HE92" s="16">
        <v>74.599999999999994</v>
      </c>
      <c r="HF92" s="16">
        <v>80.400000000000006</v>
      </c>
      <c r="HG92" s="16">
        <v>7.8</v>
      </c>
      <c r="HH92">
        <v>89.29</v>
      </c>
      <c r="HI92">
        <v>8.92</v>
      </c>
      <c r="HJ92">
        <v>1.79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18.95</v>
      </c>
      <c r="HU92">
        <v>9.35</v>
      </c>
      <c r="HV92">
        <v>0</v>
      </c>
      <c r="HW92">
        <v>0</v>
      </c>
      <c r="HX92">
        <v>0</v>
      </c>
      <c r="IL92">
        <v>3.9</v>
      </c>
      <c r="IM92">
        <v>1</v>
      </c>
      <c r="IN92">
        <v>52</v>
      </c>
      <c r="IO92">
        <v>4</v>
      </c>
      <c r="IP92">
        <f>1.01*2+0.56+0.9</f>
        <v>3.48</v>
      </c>
      <c r="IQ92">
        <v>3</v>
      </c>
      <c r="IX92" s="18"/>
      <c r="JP92">
        <v>1</v>
      </c>
      <c r="JQ92">
        <v>50</v>
      </c>
      <c r="JR92">
        <v>1</v>
      </c>
      <c r="JS92">
        <v>1.9</v>
      </c>
      <c r="JT92">
        <v>3</v>
      </c>
      <c r="LA92" s="16">
        <v>2.2400000000000002</v>
      </c>
      <c r="LB92" s="16">
        <v>1</v>
      </c>
      <c r="LC92" s="16">
        <v>2</v>
      </c>
      <c r="LD92" s="16"/>
      <c r="LE92" s="16">
        <f>1.87*2</f>
        <v>3.74</v>
      </c>
      <c r="LF92" s="16"/>
      <c r="LG92" s="16"/>
      <c r="LH92" s="16"/>
      <c r="LI92" s="16"/>
      <c r="LJ92" s="16"/>
      <c r="LK92" s="16"/>
      <c r="LL92" s="16">
        <v>6.49</v>
      </c>
      <c r="LM92" s="16">
        <f>1.01*2+0.56+1.87*2+0.9</f>
        <v>7.2200000000000006</v>
      </c>
      <c r="LN92" s="16"/>
      <c r="LO92" s="16"/>
      <c r="LP92" s="16">
        <v>0</v>
      </c>
      <c r="LQ92" s="16">
        <v>0</v>
      </c>
      <c r="LR92" s="16">
        <v>0</v>
      </c>
      <c r="LS92">
        <v>0</v>
      </c>
      <c r="LT92" t="s">
        <v>276</v>
      </c>
      <c r="LU92">
        <v>22.5</v>
      </c>
      <c r="LV92" s="16">
        <v>73.400000000000006</v>
      </c>
      <c r="LW92" s="16">
        <v>80.400000000000006</v>
      </c>
      <c r="LX92" s="16">
        <v>10.4</v>
      </c>
      <c r="LY92">
        <v>88.12</v>
      </c>
      <c r="LZ92">
        <v>6.29</v>
      </c>
      <c r="MA92">
        <v>4.25</v>
      </c>
      <c r="MB92">
        <v>0</v>
      </c>
      <c r="MC92">
        <v>1.34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2.46</v>
      </c>
      <c r="ML92">
        <v>13.2</v>
      </c>
      <c r="MM92">
        <v>0</v>
      </c>
      <c r="MN92">
        <v>0</v>
      </c>
      <c r="MO92">
        <v>0</v>
      </c>
      <c r="NC92">
        <v>0</v>
      </c>
      <c r="NO92" s="18"/>
      <c r="PR92" s="16">
        <v>2.2400000000000002</v>
      </c>
      <c r="PS92" s="16">
        <v>1</v>
      </c>
      <c r="PT92" s="16">
        <v>2</v>
      </c>
      <c r="PU92" s="16">
        <v>3.73</v>
      </c>
      <c r="PV92" s="16"/>
      <c r="PW92" s="16"/>
      <c r="PX92" s="16"/>
      <c r="PY92" s="16"/>
      <c r="PZ92" s="16"/>
      <c r="QA92" s="16"/>
      <c r="QB92" s="16"/>
      <c r="QC92" s="16">
        <v>9.68</v>
      </c>
      <c r="QD92" s="16">
        <f>2.01+1.34+2.69+3.73+0.81</f>
        <v>10.58</v>
      </c>
      <c r="QE92" s="16"/>
      <c r="QF92" s="16"/>
      <c r="QG92" s="16">
        <v>0</v>
      </c>
      <c r="QH92" s="16">
        <v>0</v>
      </c>
      <c r="QI92" s="16">
        <v>0.16</v>
      </c>
      <c r="QJ92">
        <v>0</v>
      </c>
      <c r="QK92" t="s">
        <v>277</v>
      </c>
      <c r="QL92">
        <v>29.5</v>
      </c>
      <c r="QM92" s="16">
        <v>53.8</v>
      </c>
      <c r="QN92" s="16">
        <v>80.400000000000006</v>
      </c>
      <c r="QO92" s="16">
        <v>12.1</v>
      </c>
      <c r="QP92">
        <v>86.6</v>
      </c>
      <c r="QQ92">
        <v>8.48</v>
      </c>
      <c r="QR92">
        <v>4.93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2.02</v>
      </c>
      <c r="RC92">
        <v>19.559999999999999</v>
      </c>
      <c r="RD92">
        <v>0.25</v>
      </c>
      <c r="RE92">
        <v>0</v>
      </c>
      <c r="RF92">
        <v>0</v>
      </c>
      <c r="RG92">
        <v>0</v>
      </c>
      <c r="RH92">
        <v>0</v>
      </c>
      <c r="RN92">
        <v>0</v>
      </c>
      <c r="RT92">
        <v>0</v>
      </c>
      <c r="RU92">
        <v>0</v>
      </c>
      <c r="SF92" s="18"/>
      <c r="SX92">
        <v>0</v>
      </c>
      <c r="UI92" s="16">
        <v>6.72</v>
      </c>
      <c r="UJ92" s="16">
        <v>1</v>
      </c>
      <c r="UK92" s="16">
        <v>2</v>
      </c>
      <c r="UL92" s="16"/>
      <c r="UM92" s="16">
        <f>3.73*3</f>
        <v>11.19</v>
      </c>
      <c r="UN92" s="16"/>
      <c r="UO92" s="16"/>
      <c r="UP92" s="16"/>
      <c r="UQ92" s="16"/>
      <c r="UR92" s="16"/>
      <c r="US92" s="16"/>
      <c r="UT92" s="16">
        <v>10.6</v>
      </c>
      <c r="UU92" s="16">
        <v>12.44</v>
      </c>
      <c r="UV92" s="16"/>
      <c r="UW92" s="16"/>
      <c r="UX92" s="16">
        <v>0</v>
      </c>
      <c r="UY92" s="16">
        <v>0</v>
      </c>
      <c r="UZ92" s="16">
        <v>0</v>
      </c>
      <c r="VA92">
        <v>0</v>
      </c>
      <c r="VB92" t="s">
        <v>278</v>
      </c>
      <c r="VC92">
        <v>51.5</v>
      </c>
      <c r="VD92" s="16">
        <v>63.4</v>
      </c>
      <c r="VE92" s="16">
        <v>80.400000000000006</v>
      </c>
      <c r="VF92" s="16">
        <v>18.100000000000001</v>
      </c>
      <c r="VG92">
        <v>83.5</v>
      </c>
      <c r="VH92">
        <v>5.36</v>
      </c>
      <c r="VI92">
        <v>8.4600000000000009</v>
      </c>
      <c r="VJ92">
        <v>0</v>
      </c>
      <c r="VK92">
        <v>2.69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0.99</v>
      </c>
      <c r="VT92">
        <v>13.55</v>
      </c>
      <c r="VU92">
        <v>16.2</v>
      </c>
      <c r="VV92">
        <v>0</v>
      </c>
      <c r="VW92">
        <v>0</v>
      </c>
      <c r="VX92">
        <v>0</v>
      </c>
      <c r="WK92">
        <v>18.399999999999999</v>
      </c>
      <c r="WL92">
        <v>1</v>
      </c>
      <c r="WM92">
        <v>47</v>
      </c>
      <c r="WN92">
        <v>1</v>
      </c>
      <c r="WO92">
        <v>0.9</v>
      </c>
      <c r="WP92">
        <v>3</v>
      </c>
      <c r="WQ92">
        <v>35</v>
      </c>
      <c r="WR92">
        <v>3</v>
      </c>
      <c r="WS92">
        <f>0.94</f>
        <v>0.94</v>
      </c>
      <c r="WT92">
        <v>3</v>
      </c>
      <c r="WU92">
        <v>68</v>
      </c>
      <c r="WV92">
        <v>1</v>
      </c>
      <c r="WW92" s="18">
        <v>6.22</v>
      </c>
      <c r="WX92">
        <v>1</v>
      </c>
      <c r="XO92">
        <v>0</v>
      </c>
      <c r="YZ92" s="16">
        <v>3.75</v>
      </c>
      <c r="ZA92" s="16">
        <v>1</v>
      </c>
      <c r="ZB92" s="16">
        <v>1</v>
      </c>
      <c r="ZC92" s="16"/>
      <c r="ZD92" s="16">
        <f>2.49+0.05+0.03</f>
        <v>2.57</v>
      </c>
      <c r="ZE92" s="16">
        <v>2</v>
      </c>
      <c r="ZF92" s="16"/>
      <c r="ZG92" s="16">
        <v>2.4900000000000002</v>
      </c>
      <c r="ZH92" s="16"/>
      <c r="ZI92" s="16"/>
      <c r="ZJ92" s="16"/>
      <c r="ZK92" s="16">
        <v>11.1</v>
      </c>
      <c r="ZL92" s="16">
        <v>18.47</v>
      </c>
      <c r="ZM92" s="16"/>
      <c r="ZN92" s="16"/>
      <c r="ZO92" s="16">
        <v>0</v>
      </c>
      <c r="ZP92" s="16">
        <v>0</v>
      </c>
      <c r="ZQ92" s="16">
        <v>0</v>
      </c>
      <c r="ZR92">
        <v>0</v>
      </c>
      <c r="ZS92" t="s">
        <v>279</v>
      </c>
      <c r="ZT92">
        <v>33.5</v>
      </c>
      <c r="ZU92" s="16">
        <v>54</v>
      </c>
      <c r="ZV92" s="16">
        <v>80.400000000000006</v>
      </c>
      <c r="ZW92" s="16">
        <v>9.6</v>
      </c>
      <c r="ZX92">
        <v>86.69</v>
      </c>
      <c r="ZY92">
        <v>8.34</v>
      </c>
      <c r="ZZ92">
        <v>4.97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12.83</v>
      </c>
      <c r="AAK92">
        <v>6.09</v>
      </c>
      <c r="AAL92">
        <v>0</v>
      </c>
      <c r="AAM92">
        <v>0</v>
      </c>
      <c r="AAN92">
        <v>0</v>
      </c>
      <c r="AAO92">
        <v>0</v>
      </c>
      <c r="ABB92">
        <v>11.3</v>
      </c>
      <c r="ABC92">
        <v>1</v>
      </c>
      <c r="ABD92">
        <v>47</v>
      </c>
      <c r="ABE92">
        <v>1</v>
      </c>
      <c r="ABF92">
        <v>0.9</v>
      </c>
      <c r="ABG92">
        <v>3</v>
      </c>
      <c r="ABH92">
        <v>35</v>
      </c>
      <c r="ABI92">
        <v>2</v>
      </c>
      <c r="ABJ92">
        <v>0.92</v>
      </c>
      <c r="ABK92">
        <v>3</v>
      </c>
      <c r="ABN92" s="18"/>
      <c r="ACF92">
        <v>0</v>
      </c>
      <c r="ADQ92" s="16">
        <v>3.75</v>
      </c>
      <c r="ADR92" s="16">
        <v>1</v>
      </c>
      <c r="ADS92" s="16">
        <v>1</v>
      </c>
      <c r="ADT92" s="16"/>
      <c r="ADU92" s="16">
        <f>2.49+0.05+0.03</f>
        <v>2.57</v>
      </c>
      <c r="ADV92" s="16">
        <v>2</v>
      </c>
      <c r="ADW92" s="16"/>
      <c r="ADX92" s="16">
        <v>2.4900000000000002</v>
      </c>
      <c r="ADY92" s="16"/>
      <c r="ADZ92" s="16"/>
      <c r="AEA92" s="16"/>
      <c r="AEB92" s="16">
        <v>8.81</v>
      </c>
      <c r="AEC92" s="16">
        <v>6.01</v>
      </c>
      <c r="AED92" s="16"/>
      <c r="AEE92" s="16"/>
      <c r="AEF92" s="16">
        <v>0</v>
      </c>
      <c r="AEG92" s="16">
        <v>0</v>
      </c>
      <c r="AEH92" s="16">
        <v>0</v>
      </c>
      <c r="AEI92">
        <v>0</v>
      </c>
      <c r="AEJ92" t="s">
        <v>280</v>
      </c>
      <c r="AEK92">
        <v>79</v>
      </c>
      <c r="AEL92" s="16">
        <v>63.9</v>
      </c>
      <c r="AEM92" s="16">
        <v>80.400000000000006</v>
      </c>
      <c r="AEN92" s="16">
        <v>11.2</v>
      </c>
      <c r="AEO92">
        <v>77.430000000000007</v>
      </c>
      <c r="AEP92">
        <v>22.57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45.87</v>
      </c>
      <c r="AFC92">
        <v>0</v>
      </c>
      <c r="AFD92">
        <v>0</v>
      </c>
      <c r="AFE92">
        <v>0</v>
      </c>
      <c r="AFF92">
        <v>0</v>
      </c>
      <c r="AFS92">
        <v>56.3</v>
      </c>
      <c r="AFT92">
        <v>1</v>
      </c>
      <c r="AFU92">
        <v>47</v>
      </c>
      <c r="AFV92">
        <v>18</v>
      </c>
      <c r="AFW92">
        <f>13.43+9.14</f>
        <v>22.57</v>
      </c>
      <c r="AFX92">
        <v>3</v>
      </c>
      <c r="AGE92" s="18"/>
      <c r="AGW92">
        <v>0</v>
      </c>
      <c r="AIH92" s="16">
        <v>0</v>
      </c>
      <c r="AII92" s="16">
        <v>0</v>
      </c>
      <c r="AIJ92" s="16"/>
      <c r="AIK92" s="16"/>
      <c r="AIL92" s="16"/>
      <c r="AIM92" s="16"/>
      <c r="AIN92" s="16"/>
      <c r="AIO92" s="16"/>
      <c r="AIP92" s="16"/>
      <c r="AIQ92" s="16"/>
      <c r="AIR92" s="16"/>
      <c r="AIS92" s="16">
        <v>11.54</v>
      </c>
      <c r="AIT92" s="16">
        <v>22.57</v>
      </c>
      <c r="AIU92" s="16"/>
      <c r="AIV92" s="16"/>
      <c r="AIW92" s="16">
        <v>0</v>
      </c>
      <c r="AIX92" s="16">
        <v>0</v>
      </c>
      <c r="AIY92" s="16">
        <v>0</v>
      </c>
      <c r="AIZ92">
        <v>0</v>
      </c>
      <c r="AJA92" t="s">
        <v>281</v>
      </c>
      <c r="AJB92">
        <v>42.5</v>
      </c>
      <c r="AJC92" s="16">
        <v>76.400000000000006</v>
      </c>
      <c r="AJD92" s="16">
        <v>80.400000000000006</v>
      </c>
      <c r="AJE92" s="16">
        <v>15.3</v>
      </c>
      <c r="AJF92">
        <v>73.599999999999994</v>
      </c>
      <c r="AJG92">
        <v>20.420000000000002</v>
      </c>
      <c r="AJH92">
        <v>3.69</v>
      </c>
      <c r="AJI92">
        <v>0</v>
      </c>
      <c r="AJJ92">
        <v>2.2799999999999998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35.36</v>
      </c>
      <c r="AJT92">
        <v>16.37</v>
      </c>
      <c r="AJU92">
        <v>0</v>
      </c>
      <c r="AJV92">
        <v>4.4000000000000004</v>
      </c>
      <c r="AJW92">
        <v>2</v>
      </c>
      <c r="AJX92">
        <v>10</v>
      </c>
      <c r="AJY92">
        <v>0.9</v>
      </c>
      <c r="AKD92">
        <v>10</v>
      </c>
      <c r="AKE92">
        <v>0.9</v>
      </c>
      <c r="AKJ92">
        <v>9.6999999999999993</v>
      </c>
      <c r="AKK92">
        <v>1</v>
      </c>
      <c r="AKL92">
        <v>68</v>
      </c>
      <c r="AKM92">
        <v>2</v>
      </c>
      <c r="AKN92">
        <f>3.34+5.29</f>
        <v>8.629999999999999</v>
      </c>
      <c r="AKO92">
        <v>1</v>
      </c>
      <c r="AKP92">
        <v>34</v>
      </c>
      <c r="AKQ92">
        <v>86</v>
      </c>
      <c r="AKR92">
        <f>0.8+0.6</f>
        <v>1.4</v>
      </c>
      <c r="AKS92">
        <v>1</v>
      </c>
      <c r="AKT92">
        <v>47</v>
      </c>
      <c r="AKU92">
        <v>1</v>
      </c>
      <c r="AKV92" s="18">
        <v>1.52</v>
      </c>
      <c r="AKW92">
        <v>3</v>
      </c>
      <c r="ALN92">
        <v>0</v>
      </c>
    </row>
    <row r="93" spans="1:1018" x14ac:dyDescent="0.2">
      <c r="A93" s="1" t="s">
        <v>476</v>
      </c>
      <c r="B93" s="12">
        <v>42894</v>
      </c>
      <c r="C93">
        <v>2</v>
      </c>
      <c r="D93" s="13">
        <v>42801</v>
      </c>
      <c r="E93" s="12">
        <v>36188</v>
      </c>
      <c r="F93" s="14">
        <f t="shared" si="42"/>
        <v>18.360027378507873</v>
      </c>
      <c r="G93" s="14">
        <f t="shared" si="43"/>
        <v>0.25462012320328542</v>
      </c>
      <c r="H93" s="15" t="s">
        <v>183</v>
      </c>
      <c r="I93" s="15" t="s">
        <v>347</v>
      </c>
      <c r="J93" s="15" t="s">
        <v>183</v>
      </c>
      <c r="K93" s="21">
        <v>8</v>
      </c>
      <c r="L93" s="19">
        <v>53</v>
      </c>
      <c r="M93">
        <v>1.64</v>
      </c>
      <c r="N93" s="16">
        <f t="shared" si="44"/>
        <v>19.705532421177875</v>
      </c>
      <c r="O93" s="19">
        <v>0</v>
      </c>
      <c r="P93" s="19">
        <v>0</v>
      </c>
      <c r="Q93" s="19">
        <v>0</v>
      </c>
      <c r="R93" s="19">
        <v>0</v>
      </c>
      <c r="S93" s="19">
        <v>0</v>
      </c>
      <c r="T93" s="19">
        <v>0</v>
      </c>
      <c r="U93" s="19">
        <v>0</v>
      </c>
      <c r="V93" s="19">
        <v>0</v>
      </c>
      <c r="W93" s="19">
        <v>1</v>
      </c>
      <c r="X93" s="19">
        <v>0</v>
      </c>
      <c r="Y93" s="19">
        <v>1</v>
      </c>
      <c r="Z93" s="19">
        <v>1</v>
      </c>
      <c r="AA93" s="19">
        <v>90</v>
      </c>
      <c r="AB93" s="19" t="s">
        <v>349</v>
      </c>
      <c r="AC93" s="19">
        <v>1</v>
      </c>
      <c r="AD93" s="19">
        <v>10</v>
      </c>
      <c r="AE93" s="19">
        <v>0</v>
      </c>
      <c r="AF93" s="19">
        <v>0</v>
      </c>
      <c r="AG93" s="19">
        <v>0</v>
      </c>
      <c r="AH93" s="19">
        <v>0</v>
      </c>
      <c r="AI93" s="19">
        <v>0</v>
      </c>
      <c r="AJ93" s="19">
        <v>0</v>
      </c>
      <c r="AK93" s="19">
        <v>0</v>
      </c>
      <c r="AL93" s="19">
        <v>0</v>
      </c>
      <c r="AM93" s="19">
        <v>0</v>
      </c>
      <c r="AN93" s="19">
        <v>0</v>
      </c>
      <c r="AO93" s="19">
        <v>0</v>
      </c>
      <c r="AP93" s="19">
        <v>0</v>
      </c>
      <c r="AQ93" s="19">
        <v>0</v>
      </c>
      <c r="AR93" s="19">
        <v>0</v>
      </c>
      <c r="AS93" s="19">
        <v>0</v>
      </c>
      <c r="AT93" s="19">
        <v>0</v>
      </c>
      <c r="AU93" s="19">
        <v>0</v>
      </c>
      <c r="AV93" s="19">
        <v>0</v>
      </c>
      <c r="AW93" s="19">
        <v>0</v>
      </c>
      <c r="AX93" s="19">
        <v>0</v>
      </c>
      <c r="AY93" s="19">
        <v>0</v>
      </c>
      <c r="AZ93" s="19">
        <v>0</v>
      </c>
      <c r="BA93" s="19">
        <v>0</v>
      </c>
      <c r="BB93" s="19">
        <v>0</v>
      </c>
      <c r="BC93" s="19">
        <v>0</v>
      </c>
      <c r="BD93" s="19">
        <v>0</v>
      </c>
      <c r="BE93" s="19">
        <v>0</v>
      </c>
      <c r="BF93" s="19">
        <v>0</v>
      </c>
      <c r="BG93" s="19">
        <v>0</v>
      </c>
      <c r="BH93" s="19">
        <v>0</v>
      </c>
      <c r="BI93" s="19">
        <v>0</v>
      </c>
      <c r="BJ93" s="19">
        <v>0</v>
      </c>
      <c r="BK93" s="19">
        <v>0</v>
      </c>
      <c r="BL93" s="19">
        <v>0</v>
      </c>
      <c r="BM93" s="19">
        <v>0</v>
      </c>
      <c r="BN93" s="19">
        <v>0</v>
      </c>
      <c r="BO93" s="19">
        <v>0</v>
      </c>
      <c r="BP93" s="19">
        <v>0</v>
      </c>
      <c r="BQ93" s="19">
        <v>0</v>
      </c>
      <c r="BR93" s="19">
        <v>1</v>
      </c>
      <c r="BS93" s="19">
        <v>2</v>
      </c>
      <c r="BT93" s="19">
        <v>2</v>
      </c>
      <c r="BU93" s="19">
        <v>3</v>
      </c>
      <c r="BV93" s="19">
        <v>2</v>
      </c>
      <c r="BW93" s="19">
        <v>2</v>
      </c>
      <c r="BX93" s="19">
        <v>1</v>
      </c>
      <c r="BY93" s="19">
        <v>2</v>
      </c>
      <c r="BZ93" s="19">
        <v>3</v>
      </c>
      <c r="CA93" s="19">
        <v>4</v>
      </c>
      <c r="CB93" s="19">
        <v>5</v>
      </c>
      <c r="CC93" s="19">
        <v>5</v>
      </c>
      <c r="CD93" s="19">
        <v>3</v>
      </c>
      <c r="CE93" s="19">
        <v>4</v>
      </c>
      <c r="CF93" s="19">
        <v>4</v>
      </c>
      <c r="CG93" s="19">
        <v>5</v>
      </c>
      <c r="CH93" s="19">
        <v>3</v>
      </c>
      <c r="CI93" s="19">
        <v>4</v>
      </c>
      <c r="CJ93" s="19">
        <v>4</v>
      </c>
      <c r="CK93" s="19">
        <v>7</v>
      </c>
      <c r="CL93" t="s">
        <v>363</v>
      </c>
      <c r="CM93">
        <v>34.5</v>
      </c>
      <c r="CN93" s="16">
        <v>88.3</v>
      </c>
      <c r="CO93" s="16">
        <v>80.400000000000006</v>
      </c>
      <c r="CP93" s="16">
        <v>22.8</v>
      </c>
      <c r="CQ93">
        <v>73.89</v>
      </c>
      <c r="CS93">
        <v>14.94</v>
      </c>
      <c r="CT93">
        <v>0.5</v>
      </c>
      <c r="CU93">
        <v>10.66</v>
      </c>
      <c r="CV93">
        <v>0</v>
      </c>
      <c r="CW93">
        <v>0</v>
      </c>
      <c r="CY93">
        <v>0</v>
      </c>
      <c r="CZ93">
        <v>0</v>
      </c>
      <c r="DA93">
        <v>0</v>
      </c>
      <c r="DB93">
        <v>0</v>
      </c>
      <c r="DC93">
        <v>46.29</v>
      </c>
      <c r="DD93">
        <v>23.15</v>
      </c>
      <c r="DE93">
        <v>0</v>
      </c>
      <c r="DF93">
        <v>0</v>
      </c>
      <c r="DG93">
        <v>0</v>
      </c>
      <c r="DH93">
        <v>0</v>
      </c>
      <c r="DU93">
        <v>2.8</v>
      </c>
      <c r="DV93">
        <v>1</v>
      </c>
      <c r="DW93">
        <v>35</v>
      </c>
      <c r="DX93">
        <v>1</v>
      </c>
      <c r="DY93">
        <v>0.5</v>
      </c>
      <c r="DZ93">
        <v>3</v>
      </c>
      <c r="EG93" s="20"/>
      <c r="EY93">
        <v>1</v>
      </c>
      <c r="EZ93">
        <v>60</v>
      </c>
      <c r="FA93">
        <v>4</v>
      </c>
      <c r="FB93">
        <v>0.54</v>
      </c>
      <c r="FC93">
        <v>3</v>
      </c>
      <c r="GJ93" s="16">
        <v>3.05</v>
      </c>
      <c r="GK93" s="16">
        <v>1</v>
      </c>
      <c r="GL93" s="16">
        <v>1</v>
      </c>
      <c r="GM93" s="16"/>
      <c r="GN93" s="16">
        <v>8.7100000000000009</v>
      </c>
      <c r="GO93" s="16">
        <v>2</v>
      </c>
      <c r="GP93" s="16"/>
      <c r="GQ93" s="16">
        <v>12.44</v>
      </c>
      <c r="GR93" s="16"/>
      <c r="GS93" s="16"/>
      <c r="GT93" s="16"/>
      <c r="GU93" s="16">
        <v>4.5</v>
      </c>
      <c r="GV93" s="16">
        <v>1.2</v>
      </c>
      <c r="GW93" s="16">
        <v>0</v>
      </c>
      <c r="GX93" s="16">
        <v>0</v>
      </c>
      <c r="GY93" s="16">
        <v>0</v>
      </c>
      <c r="GZ93" s="16">
        <v>0</v>
      </c>
      <c r="HA93" s="16">
        <v>0</v>
      </c>
      <c r="HB93">
        <v>0</v>
      </c>
      <c r="HC93" t="s">
        <v>364</v>
      </c>
      <c r="HD93">
        <v>32</v>
      </c>
      <c r="HE93" s="16">
        <v>75</v>
      </c>
      <c r="HF93" s="16">
        <v>80.400000000000006</v>
      </c>
      <c r="HG93" s="16">
        <v>22.6</v>
      </c>
      <c r="HH93">
        <v>76.239999999999995</v>
      </c>
      <c r="HJ93">
        <v>15.36</v>
      </c>
      <c r="HK93">
        <v>1.93</v>
      </c>
      <c r="HL93">
        <v>6.47</v>
      </c>
      <c r="HM93">
        <v>0</v>
      </c>
      <c r="HN93">
        <v>0</v>
      </c>
      <c r="HP93">
        <v>0</v>
      </c>
      <c r="HQ93">
        <v>0</v>
      </c>
      <c r="HR93">
        <v>0</v>
      </c>
      <c r="HS93">
        <v>0</v>
      </c>
      <c r="HT93">
        <v>32.86</v>
      </c>
      <c r="HU93">
        <v>26.39</v>
      </c>
      <c r="HV93">
        <v>0</v>
      </c>
      <c r="HW93">
        <v>0</v>
      </c>
      <c r="HX93">
        <v>0</v>
      </c>
      <c r="HY93">
        <v>0</v>
      </c>
      <c r="IL93">
        <v>5.6</v>
      </c>
      <c r="IM93">
        <v>1</v>
      </c>
      <c r="IN93">
        <v>35</v>
      </c>
      <c r="IO93">
        <v>1</v>
      </c>
      <c r="IP93">
        <v>0.5</v>
      </c>
      <c r="IQ93">
        <v>3</v>
      </c>
      <c r="IX93" s="20"/>
      <c r="JP93">
        <v>1</v>
      </c>
      <c r="JQ93">
        <v>60</v>
      </c>
      <c r="JR93">
        <v>5</v>
      </c>
      <c r="JS93">
        <v>3.13</v>
      </c>
      <c r="JT93">
        <v>2</v>
      </c>
      <c r="JU93">
        <v>50</v>
      </c>
      <c r="JV93">
        <v>2</v>
      </c>
      <c r="JW93">
        <v>0.67</v>
      </c>
      <c r="JX93">
        <v>2</v>
      </c>
      <c r="LA93" s="16">
        <v>1.43</v>
      </c>
      <c r="LB93" s="16">
        <v>1</v>
      </c>
      <c r="LC93" s="16">
        <v>1</v>
      </c>
      <c r="LD93" s="16"/>
      <c r="LE93" s="16">
        <v>17.43</v>
      </c>
      <c r="LF93" s="16"/>
      <c r="LG93" s="16"/>
      <c r="LH93" s="16"/>
      <c r="LI93" s="16"/>
      <c r="LJ93" s="16"/>
      <c r="LK93" s="16"/>
      <c r="LL93" s="16">
        <v>1.7</v>
      </c>
      <c r="LM93" s="16">
        <v>1.7</v>
      </c>
      <c r="LN93" s="16">
        <v>0</v>
      </c>
      <c r="LO93" s="16">
        <v>0</v>
      </c>
      <c r="LP93" s="16">
        <v>0</v>
      </c>
      <c r="LQ93" s="16">
        <v>0</v>
      </c>
      <c r="LR93" s="16">
        <v>0</v>
      </c>
      <c r="LS93">
        <v>0</v>
      </c>
      <c r="LT93" t="s">
        <v>350</v>
      </c>
      <c r="LU93">
        <v>75</v>
      </c>
      <c r="LV93" s="16">
        <v>87.9</v>
      </c>
      <c r="LW93" s="16">
        <v>80.400000000000006</v>
      </c>
      <c r="LX93" s="16">
        <v>45.2</v>
      </c>
      <c r="LY93">
        <v>50.83</v>
      </c>
      <c r="LZ93">
        <v>0.05</v>
      </c>
      <c r="MA93">
        <v>46.44</v>
      </c>
      <c r="MB93">
        <v>2.67</v>
      </c>
      <c r="MC93">
        <v>0</v>
      </c>
      <c r="MD93">
        <v>0</v>
      </c>
      <c r="ME93">
        <v>0</v>
      </c>
      <c r="MG93">
        <v>0</v>
      </c>
      <c r="MH93">
        <v>0</v>
      </c>
      <c r="MI93">
        <v>0</v>
      </c>
      <c r="MJ93">
        <v>0</v>
      </c>
      <c r="MK93">
        <v>25.21</v>
      </c>
      <c r="ML93">
        <v>43.57</v>
      </c>
      <c r="MM93">
        <v>6.27</v>
      </c>
      <c r="MN93">
        <v>0</v>
      </c>
      <c r="MO93">
        <v>0</v>
      </c>
      <c r="MP93">
        <v>0</v>
      </c>
      <c r="NC93">
        <v>17.8</v>
      </c>
      <c r="ND93">
        <v>1</v>
      </c>
      <c r="NE93">
        <v>35</v>
      </c>
      <c r="NF93">
        <v>9</v>
      </c>
      <c r="NG93">
        <v>2.5499999999999998</v>
      </c>
      <c r="NH93">
        <v>3</v>
      </c>
      <c r="NO93" s="20"/>
      <c r="OG93">
        <v>1</v>
      </c>
      <c r="OH93">
        <v>50</v>
      </c>
      <c r="OI93">
        <v>8</v>
      </c>
      <c r="OJ93">
        <v>2.12</v>
      </c>
      <c r="OK93">
        <v>3</v>
      </c>
      <c r="PR93" s="16">
        <v>3.43</v>
      </c>
      <c r="PS93" s="16">
        <v>1</v>
      </c>
      <c r="PT93" s="16">
        <v>1</v>
      </c>
      <c r="PU93" s="16"/>
      <c r="PV93" s="16">
        <v>26.11</v>
      </c>
      <c r="PW93" s="16">
        <v>2</v>
      </c>
      <c r="PX93" s="16"/>
      <c r="PY93" s="16">
        <v>11.19</v>
      </c>
      <c r="PZ93" s="16"/>
      <c r="QA93" s="16"/>
      <c r="QB93" s="16"/>
      <c r="QC93" s="16">
        <v>6.39</v>
      </c>
      <c r="QD93" s="16">
        <v>3.31</v>
      </c>
      <c r="QE93" s="16">
        <v>0</v>
      </c>
      <c r="QF93" s="16">
        <v>0</v>
      </c>
      <c r="QG93" s="16">
        <v>0</v>
      </c>
      <c r="QH93" s="16">
        <v>0</v>
      </c>
      <c r="QI93" s="16">
        <v>0</v>
      </c>
      <c r="QJ93">
        <v>0</v>
      </c>
      <c r="QO93" s="15"/>
      <c r="QP93" s="15"/>
      <c r="QW93" s="15"/>
      <c r="QX93" s="15"/>
      <c r="RE93" s="15"/>
      <c r="RF93" s="15"/>
      <c r="RM93" s="15"/>
      <c r="RN93" s="15"/>
      <c r="RU93" s="15"/>
      <c r="RV93" s="15"/>
      <c r="SC93" s="15"/>
      <c r="SD93" s="15"/>
      <c r="SK93" s="15"/>
      <c r="SL93" s="15"/>
      <c r="SS93" s="15"/>
      <c r="ST93" s="15"/>
      <c r="TA93" s="15"/>
      <c r="TB93" s="15"/>
      <c r="TI93" s="15"/>
      <c r="TJ93" s="15"/>
      <c r="TQ93" s="15"/>
      <c r="TR93" s="15"/>
      <c r="TY93" s="15"/>
      <c r="TZ93" s="15"/>
      <c r="UG93" s="15"/>
      <c r="UH93" s="15"/>
      <c r="UO93" s="15"/>
      <c r="UP93" s="15"/>
      <c r="UW93" s="15"/>
      <c r="UX93" s="15"/>
      <c r="VE93" s="15"/>
      <c r="VF93" s="15"/>
      <c r="VM93" s="15"/>
      <c r="VN93" s="15"/>
      <c r="VU93" s="15"/>
      <c r="VV93" s="15"/>
      <c r="WC93" s="15"/>
      <c r="WD93" s="15"/>
      <c r="WK93" s="15"/>
      <c r="WL93" s="15"/>
      <c r="WS93" s="15"/>
      <c r="WT93" s="15"/>
      <c r="XA93" s="15"/>
      <c r="XB93" s="15"/>
      <c r="XI93" s="15"/>
      <c r="XJ93" s="15"/>
      <c r="XQ93" s="15"/>
      <c r="XR93" s="15"/>
      <c r="XY93" s="15"/>
      <c r="XZ93" s="15"/>
      <c r="YG93" s="15"/>
      <c r="YH93" s="15"/>
      <c r="YO93" s="15"/>
      <c r="YP93" s="15"/>
      <c r="YW93" s="15"/>
      <c r="YX93" s="15"/>
      <c r="ZE93" s="15"/>
      <c r="ZF93" s="15"/>
      <c r="ZM93" s="15"/>
      <c r="ZN93" s="15"/>
      <c r="ZU93" s="15"/>
      <c r="ZV93" s="15"/>
      <c r="AAC93" s="15"/>
      <c r="AAD93" s="15"/>
      <c r="AAK93" s="15"/>
      <c r="AAL93" s="15"/>
      <c r="AAS93" s="15"/>
      <c r="AAT93" s="15"/>
      <c r="ABA93" s="15"/>
      <c r="ABB93" s="15"/>
      <c r="ABI93" s="15"/>
      <c r="ABJ93" s="15"/>
      <c r="ABQ93" s="15"/>
      <c r="ABR93" s="15"/>
      <c r="ABY93" s="15"/>
      <c r="ABZ93" s="15"/>
      <c r="ACG93" s="15"/>
      <c r="ACH93" s="15"/>
      <c r="ACO93" s="15"/>
      <c r="ACP93" s="15"/>
      <c r="ACW93" s="15"/>
      <c r="ACX93" s="15"/>
      <c r="ADE93" s="15"/>
      <c r="ADF93" s="15"/>
      <c r="ADM93" s="15"/>
      <c r="ADN93" s="15"/>
      <c r="ADU93" s="15"/>
      <c r="ADV93" s="15"/>
      <c r="AEC93" s="15"/>
      <c r="AED93" s="15"/>
      <c r="AEK93" s="15"/>
      <c r="AEL93" s="15"/>
      <c r="AES93" s="15"/>
      <c r="AET93" s="15"/>
      <c r="AFA93" s="15"/>
      <c r="AFB93" s="15"/>
      <c r="AFI93" s="15"/>
      <c r="AFJ93" s="15"/>
      <c r="AFQ93" s="15"/>
      <c r="AFR93" s="15"/>
      <c r="AFY93" s="15"/>
      <c r="AFZ93" s="15"/>
      <c r="AGG93" s="15"/>
      <c r="AGH93" s="15"/>
      <c r="AGO93" s="15"/>
      <c r="AGP93" s="15"/>
      <c r="AGW93" s="15"/>
      <c r="AGX93" s="15"/>
      <c r="AHE93" s="15"/>
      <c r="AHF93" s="15"/>
      <c r="AHM93" s="15"/>
      <c r="AHN93" s="15"/>
      <c r="AHU93" s="15"/>
      <c r="AHV93" s="15"/>
      <c r="AIC93" s="15"/>
      <c r="AID93" s="15"/>
      <c r="AIK93" s="15"/>
      <c r="AIL93" s="15"/>
      <c r="AIS93" s="15"/>
      <c r="AIT93" s="15"/>
      <c r="AJA93" s="15"/>
      <c r="AJB93" s="15"/>
      <c r="AJI93" s="15"/>
      <c r="AJJ93" s="15"/>
      <c r="AJQ93" s="15"/>
      <c r="AJR93" s="15"/>
      <c r="AJY93" s="15"/>
      <c r="AJZ93" s="15"/>
      <c r="AKG93" s="15"/>
      <c r="AKH93" s="15"/>
      <c r="AKO93" s="15"/>
      <c r="AKP93" s="15"/>
      <c r="AKW93" s="15"/>
      <c r="AKX93" s="15"/>
      <c r="ALE93" s="15"/>
      <c r="ALF93" s="15"/>
      <c r="ALM93" s="15"/>
      <c r="ALN93" s="15"/>
      <c r="ALU93" s="15"/>
      <c r="ALV93" s="15"/>
      <c r="AMC93" s="15"/>
      <c r="AMD93" s="15"/>
    </row>
    <row r="94" spans="1:1018" x14ac:dyDescent="0.2">
      <c r="A94" s="1" t="s">
        <v>477</v>
      </c>
      <c r="B94" s="12">
        <v>42894</v>
      </c>
      <c r="C94">
        <v>1</v>
      </c>
      <c r="D94" s="13">
        <v>39622</v>
      </c>
      <c r="E94" s="12">
        <v>27245</v>
      </c>
      <c r="F94" s="14">
        <f t="shared" si="42"/>
        <v>42.844626967830251</v>
      </c>
      <c r="G94" s="14">
        <f t="shared" si="43"/>
        <v>8.9582477754962362</v>
      </c>
      <c r="H94" s="15" t="s">
        <v>183</v>
      </c>
      <c r="I94" s="15" t="s">
        <v>347</v>
      </c>
      <c r="J94" s="15" t="s">
        <v>183</v>
      </c>
      <c r="K94" s="21">
        <v>8</v>
      </c>
      <c r="L94" s="19">
        <v>62</v>
      </c>
      <c r="M94">
        <v>1.67</v>
      </c>
      <c r="N94" s="16">
        <f t="shared" si="44"/>
        <v>22.230987127541326</v>
      </c>
      <c r="O94" s="19">
        <v>0</v>
      </c>
      <c r="P94" s="19">
        <v>0</v>
      </c>
      <c r="Q94" s="19">
        <v>0</v>
      </c>
      <c r="R94" s="19">
        <v>0</v>
      </c>
      <c r="S94" s="19">
        <v>0</v>
      </c>
      <c r="T94" s="19">
        <v>0</v>
      </c>
      <c r="U94" s="19">
        <v>0</v>
      </c>
      <c r="V94" s="19">
        <v>0</v>
      </c>
      <c r="W94" s="19">
        <v>0</v>
      </c>
      <c r="X94" s="19">
        <v>0</v>
      </c>
      <c r="Y94" s="19">
        <v>1</v>
      </c>
      <c r="Z94" s="19">
        <v>3</v>
      </c>
      <c r="AA94" s="19">
        <v>60</v>
      </c>
      <c r="AB94" s="19" t="s">
        <v>478</v>
      </c>
      <c r="AC94" s="19">
        <v>0</v>
      </c>
      <c r="AD94" s="19">
        <v>0</v>
      </c>
      <c r="AE94" s="19">
        <v>0</v>
      </c>
      <c r="AF94" s="19">
        <v>0</v>
      </c>
      <c r="AG94" s="19">
        <v>0</v>
      </c>
      <c r="AH94" s="19">
        <v>0</v>
      </c>
      <c r="AI94" s="19">
        <v>3</v>
      </c>
      <c r="AJ94" s="19">
        <v>3</v>
      </c>
      <c r="AK94" s="19">
        <v>3</v>
      </c>
      <c r="AL94" s="19">
        <v>6</v>
      </c>
      <c r="AM94" s="19">
        <v>4</v>
      </c>
      <c r="AN94" s="19">
        <v>3</v>
      </c>
      <c r="AO94" s="19">
        <v>3</v>
      </c>
      <c r="AP94" s="19">
        <v>3</v>
      </c>
      <c r="AQ94" s="19">
        <v>8</v>
      </c>
      <c r="AR94" s="19">
        <v>6</v>
      </c>
      <c r="AS94" s="19">
        <v>3</v>
      </c>
      <c r="AT94" s="19">
        <v>3</v>
      </c>
      <c r="AU94" s="19">
        <v>3</v>
      </c>
      <c r="AV94" s="19">
        <v>9</v>
      </c>
      <c r="AW94" s="19">
        <v>7</v>
      </c>
      <c r="AX94" s="19">
        <v>1</v>
      </c>
      <c r="AY94" s="19">
        <v>1</v>
      </c>
      <c r="AZ94" s="19">
        <v>1</v>
      </c>
      <c r="BA94" s="19"/>
      <c r="BB94" s="19">
        <v>1</v>
      </c>
      <c r="BC94" s="19">
        <v>1</v>
      </c>
      <c r="BD94" s="19">
        <v>1</v>
      </c>
      <c r="BE94" s="19"/>
      <c r="BF94" s="19">
        <v>0</v>
      </c>
      <c r="BG94" s="19">
        <v>0</v>
      </c>
      <c r="BH94" s="19">
        <v>0</v>
      </c>
      <c r="BI94" s="19">
        <v>0</v>
      </c>
      <c r="BJ94" s="19">
        <v>0</v>
      </c>
      <c r="BK94" s="19">
        <v>0</v>
      </c>
      <c r="BL94" s="19">
        <v>0</v>
      </c>
      <c r="BM94" s="19">
        <v>0</v>
      </c>
      <c r="BN94" s="19">
        <v>0</v>
      </c>
      <c r="BO94" s="19">
        <v>0</v>
      </c>
      <c r="BP94" s="19">
        <v>0</v>
      </c>
      <c r="BQ94" s="19">
        <v>0</v>
      </c>
      <c r="BR94" s="19">
        <v>3</v>
      </c>
      <c r="BS94" s="19">
        <v>3</v>
      </c>
      <c r="BT94" s="19">
        <v>3</v>
      </c>
      <c r="BU94" s="19">
        <v>5</v>
      </c>
      <c r="BV94" s="19">
        <v>1</v>
      </c>
      <c r="BW94" s="19">
        <v>3</v>
      </c>
      <c r="BX94" s="19">
        <v>1</v>
      </c>
      <c r="BY94" s="19">
        <v>5</v>
      </c>
      <c r="BZ94" s="19">
        <v>5</v>
      </c>
      <c r="CA94" s="19">
        <v>5</v>
      </c>
      <c r="CB94" s="19">
        <v>5</v>
      </c>
      <c r="CC94" s="19">
        <v>5</v>
      </c>
      <c r="CD94" s="19">
        <v>5</v>
      </c>
      <c r="CE94" s="19">
        <v>5</v>
      </c>
      <c r="CF94" s="19">
        <v>4</v>
      </c>
      <c r="CG94" s="19">
        <v>4</v>
      </c>
      <c r="CH94" s="19">
        <v>5</v>
      </c>
      <c r="CI94" s="19">
        <v>4</v>
      </c>
      <c r="CJ94" s="19">
        <v>5</v>
      </c>
      <c r="CK94" s="19">
        <v>6</v>
      </c>
      <c r="CL94" t="s">
        <v>355</v>
      </c>
      <c r="CM94">
        <v>37</v>
      </c>
      <c r="CN94" s="16">
        <v>95.1</v>
      </c>
      <c r="CO94" s="16">
        <v>80.400000000000006</v>
      </c>
      <c r="CP94" s="16">
        <v>15.9</v>
      </c>
      <c r="CQ94">
        <v>82.71</v>
      </c>
      <c r="CR94" s="17">
        <v>0</v>
      </c>
      <c r="CS94">
        <v>10.32</v>
      </c>
      <c r="CT94">
        <v>0.39</v>
      </c>
      <c r="CU94">
        <v>10.32</v>
      </c>
      <c r="CV94">
        <v>0</v>
      </c>
      <c r="CW94">
        <v>0</v>
      </c>
      <c r="CY94">
        <v>0</v>
      </c>
      <c r="CZ94">
        <v>0</v>
      </c>
      <c r="DA94">
        <v>0</v>
      </c>
      <c r="DB94">
        <v>1.9</v>
      </c>
      <c r="DC94">
        <v>26.26</v>
      </c>
      <c r="DD94">
        <v>6.04</v>
      </c>
      <c r="DE94">
        <v>2.19</v>
      </c>
      <c r="DF94">
        <v>0</v>
      </c>
      <c r="DG94">
        <v>0</v>
      </c>
      <c r="DH94">
        <v>0</v>
      </c>
      <c r="DU94">
        <v>14.7</v>
      </c>
      <c r="DV94">
        <v>1</v>
      </c>
      <c r="DW94">
        <v>35</v>
      </c>
      <c r="DX94">
        <v>2</v>
      </c>
      <c r="DY94">
        <v>1.8</v>
      </c>
      <c r="DZ94">
        <v>3</v>
      </c>
      <c r="EG94" s="20"/>
      <c r="EY94">
        <v>1</v>
      </c>
      <c r="EZ94">
        <v>50</v>
      </c>
      <c r="FA94">
        <v>1</v>
      </c>
      <c r="FB94">
        <v>1.34</v>
      </c>
      <c r="FC94">
        <v>2</v>
      </c>
      <c r="FD94">
        <v>40</v>
      </c>
      <c r="FE94">
        <v>1</v>
      </c>
      <c r="FF94">
        <v>0.9</v>
      </c>
      <c r="FG94">
        <v>3</v>
      </c>
      <c r="FH94">
        <v>50</v>
      </c>
      <c r="FI94">
        <v>1</v>
      </c>
      <c r="FJ94">
        <v>0.9</v>
      </c>
      <c r="FK94">
        <v>3</v>
      </c>
      <c r="FL94">
        <v>80</v>
      </c>
      <c r="FM94">
        <v>2</v>
      </c>
      <c r="FN94">
        <v>2.68</v>
      </c>
      <c r="FO94">
        <v>2</v>
      </c>
      <c r="FP94">
        <v>100</v>
      </c>
      <c r="FQ94">
        <v>1</v>
      </c>
      <c r="FR94">
        <v>2.57</v>
      </c>
      <c r="FS94">
        <v>2</v>
      </c>
      <c r="GJ94">
        <v>0</v>
      </c>
      <c r="GK94" s="19">
        <v>0</v>
      </c>
      <c r="GL94" s="19"/>
      <c r="GM94" s="13"/>
      <c r="GN94" s="13"/>
      <c r="GO94" s="19"/>
      <c r="GP94" s="13"/>
      <c r="GQ94" s="13"/>
      <c r="GR94" s="13"/>
      <c r="GS94" s="13"/>
      <c r="GT94" s="13"/>
      <c r="GU94" s="16">
        <v>5.1100000000000003</v>
      </c>
      <c r="GV94">
        <v>4.8099999999999996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 t="s">
        <v>363</v>
      </c>
      <c r="HD94">
        <v>34.5</v>
      </c>
      <c r="HE94" s="16">
        <v>88.3</v>
      </c>
      <c r="HF94" s="16">
        <v>80.400000000000006</v>
      </c>
      <c r="HG94" s="16">
        <v>22.8</v>
      </c>
      <c r="HH94">
        <v>73.89</v>
      </c>
      <c r="HI94" s="17">
        <v>0</v>
      </c>
      <c r="HJ94">
        <v>14.94</v>
      </c>
      <c r="HK94">
        <v>0.5</v>
      </c>
      <c r="HL94">
        <v>10.66</v>
      </c>
      <c r="HM94">
        <v>0</v>
      </c>
      <c r="HN94">
        <v>0</v>
      </c>
      <c r="HP94">
        <v>0</v>
      </c>
      <c r="HQ94">
        <v>0</v>
      </c>
      <c r="HR94">
        <v>0</v>
      </c>
      <c r="HS94">
        <v>0</v>
      </c>
      <c r="HT94">
        <v>46.29</v>
      </c>
      <c r="HU94">
        <v>23.15</v>
      </c>
      <c r="HV94">
        <v>0</v>
      </c>
      <c r="HW94">
        <v>0</v>
      </c>
      <c r="HX94">
        <v>0</v>
      </c>
      <c r="HY94">
        <v>0</v>
      </c>
      <c r="IL94">
        <v>2.8</v>
      </c>
      <c r="IM94">
        <v>1</v>
      </c>
      <c r="IN94">
        <v>35</v>
      </c>
      <c r="IO94">
        <v>1</v>
      </c>
      <c r="IP94">
        <v>0.5</v>
      </c>
      <c r="IQ94">
        <v>3</v>
      </c>
      <c r="IX94" s="20"/>
      <c r="JP94">
        <v>1</v>
      </c>
      <c r="JQ94">
        <v>60</v>
      </c>
      <c r="JR94">
        <v>4</v>
      </c>
      <c r="JS94">
        <v>0.54</v>
      </c>
      <c r="JT94">
        <v>3</v>
      </c>
      <c r="LA94" s="16">
        <v>3.05</v>
      </c>
      <c r="LB94" s="16">
        <v>1</v>
      </c>
      <c r="LC94" s="16">
        <v>1</v>
      </c>
      <c r="LD94" s="16">
        <v>5</v>
      </c>
      <c r="LE94" s="16">
        <v>8.7100000000000009</v>
      </c>
      <c r="LF94" s="16">
        <v>2</v>
      </c>
      <c r="LG94" s="16">
        <v>25</v>
      </c>
      <c r="LH94" s="16">
        <v>12.44</v>
      </c>
      <c r="LI94" s="16"/>
      <c r="LJ94" s="16"/>
      <c r="LK94" s="16"/>
      <c r="LL94" s="16">
        <v>4.5</v>
      </c>
      <c r="LM94" s="16">
        <v>1.2</v>
      </c>
      <c r="LN94" s="16">
        <v>0</v>
      </c>
      <c r="LO94" s="16">
        <v>0</v>
      </c>
      <c r="LP94" s="16">
        <v>0</v>
      </c>
      <c r="LQ94" s="16">
        <v>0</v>
      </c>
      <c r="LR94" s="16">
        <v>0</v>
      </c>
      <c r="LS94">
        <v>0</v>
      </c>
      <c r="LT94" t="s">
        <v>364</v>
      </c>
      <c r="LU94">
        <v>32</v>
      </c>
      <c r="LV94" s="16">
        <v>75</v>
      </c>
      <c r="LW94" s="16">
        <v>80.400000000000006</v>
      </c>
      <c r="LX94" s="16">
        <v>22.6</v>
      </c>
      <c r="LY94">
        <v>76.239999999999995</v>
      </c>
      <c r="LZ94" s="17">
        <v>0</v>
      </c>
      <c r="MA94">
        <v>15.36</v>
      </c>
      <c r="MB94">
        <v>1.93</v>
      </c>
      <c r="MC94">
        <v>6.47</v>
      </c>
      <c r="MD94">
        <v>0</v>
      </c>
      <c r="ME94">
        <v>0</v>
      </c>
      <c r="MG94">
        <v>0</v>
      </c>
      <c r="MH94">
        <v>0</v>
      </c>
      <c r="MI94">
        <v>0</v>
      </c>
      <c r="MJ94">
        <v>0</v>
      </c>
      <c r="MK94">
        <v>32.86</v>
      </c>
      <c r="ML94">
        <v>26.39</v>
      </c>
      <c r="MM94">
        <v>0</v>
      </c>
      <c r="MN94">
        <v>0</v>
      </c>
      <c r="MO94">
        <v>0</v>
      </c>
      <c r="MP94">
        <v>0</v>
      </c>
      <c r="NC94">
        <v>5.6</v>
      </c>
      <c r="ND94">
        <v>1</v>
      </c>
      <c r="NE94">
        <v>35</v>
      </c>
      <c r="NF94">
        <v>1</v>
      </c>
      <c r="NG94">
        <v>0.5</v>
      </c>
      <c r="NH94">
        <v>3</v>
      </c>
      <c r="NO94" s="20"/>
      <c r="OG94">
        <v>1</v>
      </c>
      <c r="OH94">
        <v>60</v>
      </c>
      <c r="OI94">
        <v>5</v>
      </c>
      <c r="OJ94">
        <v>3.13</v>
      </c>
      <c r="OK94">
        <v>2</v>
      </c>
      <c r="OL94">
        <v>50</v>
      </c>
      <c r="OM94">
        <v>2</v>
      </c>
      <c r="ON94">
        <v>0.67</v>
      </c>
      <c r="OO94">
        <v>2</v>
      </c>
      <c r="PR94" s="16">
        <v>1.43</v>
      </c>
      <c r="PS94" s="16">
        <v>1</v>
      </c>
      <c r="PT94" s="16">
        <v>1</v>
      </c>
      <c r="PU94" s="16">
        <v>4</v>
      </c>
      <c r="PV94" s="16">
        <v>17.43</v>
      </c>
      <c r="PW94" s="16"/>
      <c r="PX94" s="16"/>
      <c r="PY94" s="16"/>
      <c r="PZ94" s="16"/>
      <c r="QA94" s="16"/>
      <c r="QB94" s="16"/>
      <c r="QC94" s="16">
        <v>1.7</v>
      </c>
      <c r="QD94" s="16">
        <v>1.7</v>
      </c>
      <c r="QE94" s="16">
        <v>0</v>
      </c>
      <c r="QF94" s="16">
        <v>0</v>
      </c>
      <c r="QG94" s="16">
        <v>0</v>
      </c>
      <c r="QH94" s="16">
        <v>0</v>
      </c>
      <c r="QI94" s="16">
        <v>0</v>
      </c>
      <c r="QJ94">
        <v>0</v>
      </c>
      <c r="QK94" t="s">
        <v>350</v>
      </c>
      <c r="QL94">
        <v>75</v>
      </c>
      <c r="QM94" s="16">
        <v>87.9</v>
      </c>
      <c r="QN94" s="16">
        <v>80.400000000000006</v>
      </c>
      <c r="QO94" s="16">
        <v>45.2</v>
      </c>
      <c r="QP94">
        <v>50.83</v>
      </c>
      <c r="QQ94">
        <v>0.05</v>
      </c>
      <c r="QR94">
        <v>46.44</v>
      </c>
      <c r="QS94">
        <v>2.67</v>
      </c>
      <c r="QT94">
        <v>0</v>
      </c>
      <c r="QU94">
        <v>0</v>
      </c>
      <c r="QV94">
        <v>0</v>
      </c>
      <c r="QX94">
        <v>0</v>
      </c>
      <c r="QY94">
        <v>0</v>
      </c>
      <c r="QZ94">
        <v>0</v>
      </c>
      <c r="RA94">
        <v>0</v>
      </c>
      <c r="RB94">
        <v>25.21</v>
      </c>
      <c r="RC94">
        <v>43.57</v>
      </c>
      <c r="RD94">
        <v>6.27</v>
      </c>
      <c r="RE94">
        <v>0</v>
      </c>
      <c r="RF94">
        <v>0</v>
      </c>
      <c r="RG94">
        <v>0</v>
      </c>
      <c r="RT94">
        <v>17.8</v>
      </c>
      <c r="RU94">
        <v>1</v>
      </c>
      <c r="RV94">
        <v>35</v>
      </c>
      <c r="RW94">
        <v>9</v>
      </c>
      <c r="RX94">
        <v>2.5499999999999998</v>
      </c>
      <c r="RY94">
        <v>3</v>
      </c>
      <c r="SF94" s="20"/>
      <c r="SX94">
        <v>1</v>
      </c>
      <c r="SY94">
        <v>50</v>
      </c>
      <c r="SZ94">
        <v>8</v>
      </c>
      <c r="TA94">
        <v>2.12</v>
      </c>
      <c r="TB94">
        <v>3</v>
      </c>
      <c r="UI94" s="16">
        <v>3.43</v>
      </c>
      <c r="UJ94" s="16">
        <v>1</v>
      </c>
      <c r="UK94" s="16">
        <v>1</v>
      </c>
      <c r="UL94" s="16"/>
      <c r="UM94" s="16">
        <v>26.11</v>
      </c>
      <c r="UN94" s="16">
        <v>2</v>
      </c>
      <c r="UO94" s="16"/>
      <c r="UP94" s="16">
        <v>11.19</v>
      </c>
      <c r="UQ94" s="16"/>
      <c r="UR94" s="16"/>
      <c r="US94" s="16"/>
      <c r="UT94" s="16">
        <v>6.39</v>
      </c>
      <c r="UU94" s="16">
        <v>3.31</v>
      </c>
      <c r="UV94" s="16">
        <v>0</v>
      </c>
      <c r="UW94" s="16">
        <v>0</v>
      </c>
      <c r="UX94" s="16">
        <v>0</v>
      </c>
      <c r="UY94" s="16">
        <v>0</v>
      </c>
      <c r="UZ94" s="16">
        <v>0</v>
      </c>
      <c r="VA94">
        <v>0</v>
      </c>
      <c r="VB94" t="s">
        <v>361</v>
      </c>
      <c r="VC94">
        <v>74.5</v>
      </c>
      <c r="VD94" s="16">
        <v>76.2</v>
      </c>
      <c r="VE94" s="16">
        <v>80.400000000000006</v>
      </c>
      <c r="VF94" s="16">
        <v>42.8</v>
      </c>
      <c r="VG94">
        <v>57.15</v>
      </c>
      <c r="VH94">
        <v>0.45</v>
      </c>
      <c r="VI94">
        <v>39.090000000000003</v>
      </c>
      <c r="VJ94">
        <v>3.3</v>
      </c>
      <c r="VK94">
        <v>0</v>
      </c>
      <c r="VL94">
        <v>0</v>
      </c>
      <c r="VM94">
        <v>0</v>
      </c>
      <c r="VO94">
        <v>0</v>
      </c>
      <c r="VP94">
        <v>0</v>
      </c>
      <c r="VQ94">
        <v>0</v>
      </c>
      <c r="VR94">
        <v>0</v>
      </c>
      <c r="VS94">
        <v>18.260000000000002</v>
      </c>
      <c r="VT94">
        <v>34.4</v>
      </c>
      <c r="VU94">
        <v>6.27</v>
      </c>
      <c r="VV94">
        <v>0</v>
      </c>
      <c r="VW94">
        <v>0</v>
      </c>
      <c r="VX94">
        <v>0</v>
      </c>
      <c r="WK94">
        <v>18.2</v>
      </c>
      <c r="WL94">
        <v>1</v>
      </c>
      <c r="WM94">
        <v>35</v>
      </c>
      <c r="WN94">
        <v>9</v>
      </c>
      <c r="WO94">
        <v>2.5499999999999998</v>
      </c>
      <c r="WP94">
        <v>3</v>
      </c>
      <c r="WW94" s="20"/>
      <c r="XO94">
        <v>1</v>
      </c>
      <c r="XP94">
        <v>50</v>
      </c>
      <c r="XQ94">
        <v>8</v>
      </c>
      <c r="XR94">
        <v>2.54</v>
      </c>
      <c r="XS94">
        <v>3</v>
      </c>
      <c r="YZ94" s="16">
        <v>7.59</v>
      </c>
      <c r="ZA94" s="16">
        <v>1</v>
      </c>
      <c r="ZB94" s="16">
        <v>1</v>
      </c>
      <c r="ZC94" s="16"/>
      <c r="ZD94" s="16">
        <v>22.38</v>
      </c>
      <c r="ZE94" s="16">
        <v>2</v>
      </c>
      <c r="ZF94" s="16"/>
      <c r="ZG94" s="16">
        <v>14.92</v>
      </c>
      <c r="ZH94" s="16"/>
      <c r="ZI94" s="16"/>
      <c r="ZJ94" s="16"/>
      <c r="ZK94" s="16">
        <v>5.05</v>
      </c>
      <c r="ZL94" s="16">
        <v>1.54</v>
      </c>
      <c r="ZM94" s="16">
        <v>0</v>
      </c>
      <c r="ZN94" s="16">
        <v>0</v>
      </c>
      <c r="ZO94" s="16">
        <v>0</v>
      </c>
      <c r="ZP94" s="16">
        <v>0</v>
      </c>
      <c r="ZQ94" s="16">
        <v>0</v>
      </c>
      <c r="ZR94">
        <v>0</v>
      </c>
      <c r="ZS94" t="s">
        <v>365</v>
      </c>
      <c r="ZT94">
        <v>75</v>
      </c>
      <c r="ZU94" s="16">
        <v>76.8</v>
      </c>
      <c r="ZV94" s="16">
        <v>80.400000000000006</v>
      </c>
      <c r="ZW94" s="16">
        <v>30.8</v>
      </c>
      <c r="ZX94">
        <v>74.739999999999995</v>
      </c>
      <c r="ZY94" s="17">
        <v>0</v>
      </c>
      <c r="ZZ94">
        <v>4.24</v>
      </c>
      <c r="AAA94">
        <v>16.45</v>
      </c>
      <c r="AAB94">
        <v>4.57</v>
      </c>
      <c r="AAC94">
        <v>0</v>
      </c>
      <c r="AAD94">
        <v>0</v>
      </c>
      <c r="AAF94">
        <v>0</v>
      </c>
      <c r="AAG94">
        <v>0</v>
      </c>
      <c r="AAH94">
        <v>0</v>
      </c>
      <c r="AAI94">
        <v>0</v>
      </c>
      <c r="AAJ94">
        <v>35.229999999999997</v>
      </c>
      <c r="AAK94">
        <v>6.53</v>
      </c>
      <c r="AAL94">
        <v>4.97</v>
      </c>
      <c r="AAM94">
        <v>0</v>
      </c>
      <c r="AAN94">
        <v>0</v>
      </c>
      <c r="AAO94">
        <v>0</v>
      </c>
      <c r="ABB94">
        <v>38.4</v>
      </c>
      <c r="ABC94">
        <v>1</v>
      </c>
      <c r="ABD94">
        <v>47</v>
      </c>
      <c r="ABE94">
        <v>7</v>
      </c>
      <c r="ABF94">
        <v>5.33</v>
      </c>
      <c r="ABG94">
        <v>3</v>
      </c>
      <c r="ABN94" s="20"/>
      <c r="ACF94">
        <v>0</v>
      </c>
      <c r="ADQ94" s="16">
        <v>2.02</v>
      </c>
      <c r="ADR94" s="16">
        <v>1</v>
      </c>
      <c r="ADS94" s="16">
        <v>1</v>
      </c>
      <c r="ADT94" s="16"/>
      <c r="ADU94" s="16">
        <v>9.9499999999999993</v>
      </c>
      <c r="ADV94" s="16">
        <v>2</v>
      </c>
      <c r="ADW94" s="16"/>
      <c r="ADX94" s="16">
        <v>9.9499999999999993</v>
      </c>
      <c r="ADY94" s="16"/>
      <c r="ADZ94" s="16"/>
      <c r="AEA94" s="16"/>
      <c r="AEB94" s="16">
        <v>0</v>
      </c>
      <c r="AEC94" s="16">
        <v>0</v>
      </c>
      <c r="AED94" s="16">
        <v>0</v>
      </c>
      <c r="AEE94" s="16">
        <v>0</v>
      </c>
      <c r="AEF94" s="16">
        <v>0</v>
      </c>
      <c r="AEG94" s="16">
        <v>0</v>
      </c>
      <c r="AEH94" s="16">
        <v>0</v>
      </c>
      <c r="AEI94">
        <v>0</v>
      </c>
      <c r="AEJ94" t="s">
        <v>351</v>
      </c>
      <c r="AEK94">
        <v>30.5</v>
      </c>
      <c r="AEL94" s="16">
        <v>68.400000000000006</v>
      </c>
      <c r="AEM94" s="16">
        <v>80.400000000000006</v>
      </c>
      <c r="AEN94" s="16">
        <v>19.8</v>
      </c>
      <c r="AEO94">
        <v>72.42</v>
      </c>
      <c r="AEP94" s="17">
        <v>0</v>
      </c>
      <c r="AEQ94">
        <v>0.94</v>
      </c>
      <c r="AER94">
        <v>0.94</v>
      </c>
      <c r="AES94">
        <v>25.7</v>
      </c>
      <c r="AET94">
        <v>0</v>
      </c>
      <c r="AEU94">
        <v>0</v>
      </c>
      <c r="AEW94">
        <v>0</v>
      </c>
      <c r="AEX94">
        <v>0</v>
      </c>
      <c r="AEY94">
        <v>0</v>
      </c>
      <c r="AEZ94">
        <v>0</v>
      </c>
      <c r="AFA94">
        <v>28.26</v>
      </c>
      <c r="AFB94">
        <v>10.55</v>
      </c>
      <c r="AFC94">
        <v>14.21</v>
      </c>
      <c r="AFD94">
        <v>0</v>
      </c>
      <c r="AFE94">
        <v>0</v>
      </c>
      <c r="AFF94">
        <v>0</v>
      </c>
      <c r="AFS94">
        <v>3.3</v>
      </c>
      <c r="AFT94">
        <v>1</v>
      </c>
      <c r="AFU94">
        <v>68</v>
      </c>
      <c r="AFV94">
        <v>2</v>
      </c>
      <c r="AFW94">
        <v>1.52</v>
      </c>
      <c r="AFX94">
        <v>1</v>
      </c>
      <c r="AGE94" s="20"/>
      <c r="AGW94">
        <v>0</v>
      </c>
      <c r="AIH94" s="16">
        <v>0</v>
      </c>
      <c r="AII94" s="16">
        <v>0</v>
      </c>
      <c r="AIJ94" s="16"/>
      <c r="AIK94" s="16"/>
      <c r="AIL94" s="16"/>
      <c r="AIM94" s="16"/>
      <c r="AIN94" s="16"/>
      <c r="AIO94" s="16"/>
      <c r="AIP94" s="16"/>
      <c r="AIQ94" s="16"/>
      <c r="AIR94" s="16"/>
      <c r="AIS94" s="16">
        <v>0.81</v>
      </c>
      <c r="AIT94" s="16">
        <v>0.8</v>
      </c>
      <c r="AIU94" s="16">
        <v>0</v>
      </c>
      <c r="AIV94" s="16">
        <v>0</v>
      </c>
      <c r="AIW94" s="16">
        <v>2.99</v>
      </c>
      <c r="AIX94" s="16">
        <v>5.71</v>
      </c>
      <c r="AIY94" s="16">
        <v>0</v>
      </c>
      <c r="AIZ94">
        <v>0</v>
      </c>
      <c r="AJA94" t="s">
        <v>356</v>
      </c>
      <c r="AJB94">
        <v>39.5</v>
      </c>
      <c r="AJC94" s="16">
        <v>85.1</v>
      </c>
      <c r="AJD94" s="16">
        <v>80.400000000000006</v>
      </c>
      <c r="AJE94" s="16">
        <v>13.6</v>
      </c>
      <c r="AJF94">
        <v>87.38</v>
      </c>
      <c r="AJG94" s="17">
        <v>0</v>
      </c>
      <c r="AJH94">
        <v>8.0500000000000007</v>
      </c>
      <c r="AJI94">
        <v>0</v>
      </c>
      <c r="AJJ94">
        <v>4.57</v>
      </c>
      <c r="AJK94">
        <v>0</v>
      </c>
      <c r="AJL94">
        <v>0</v>
      </c>
      <c r="AJN94">
        <v>0</v>
      </c>
      <c r="AJO94">
        <v>0</v>
      </c>
      <c r="AJP94">
        <v>0</v>
      </c>
      <c r="AJQ94">
        <v>0</v>
      </c>
      <c r="AJR94">
        <v>45</v>
      </c>
      <c r="AJS94">
        <v>10.1</v>
      </c>
      <c r="AJT94">
        <v>11.8</v>
      </c>
      <c r="AJU94">
        <v>0</v>
      </c>
      <c r="AJV94">
        <v>0</v>
      </c>
      <c r="AJW94">
        <v>0</v>
      </c>
      <c r="AKJ94">
        <v>17.8</v>
      </c>
      <c r="AKK94">
        <v>1</v>
      </c>
      <c r="AKL94">
        <v>30</v>
      </c>
      <c r="AKM94">
        <v>7</v>
      </c>
      <c r="AKN94">
        <v>5.33</v>
      </c>
      <c r="AKO94">
        <v>3</v>
      </c>
      <c r="AKV94" s="20"/>
      <c r="ALN94">
        <v>1</v>
      </c>
      <c r="ALO94">
        <v>50</v>
      </c>
      <c r="ALP94">
        <v>1</v>
      </c>
      <c r="ALQ94">
        <v>0.03</v>
      </c>
      <c r="ALR94">
        <v>1</v>
      </c>
    </row>
    <row r="95" spans="1:1018" x14ac:dyDescent="0.2">
      <c r="A95" s="1" t="s">
        <v>479</v>
      </c>
      <c r="B95" s="12">
        <v>42894</v>
      </c>
      <c r="C95">
        <v>2</v>
      </c>
      <c r="D95" s="13">
        <v>40672</v>
      </c>
      <c r="E95" s="12">
        <v>31991</v>
      </c>
      <c r="F95" s="14">
        <f t="shared" si="42"/>
        <v>29.850787132101299</v>
      </c>
      <c r="G95" s="14">
        <f t="shared" si="43"/>
        <v>6.0835044490075294</v>
      </c>
      <c r="H95" s="15" t="s">
        <v>183</v>
      </c>
      <c r="I95" s="15" t="s">
        <v>347</v>
      </c>
      <c r="J95" s="15" t="s">
        <v>183</v>
      </c>
      <c r="K95" s="21">
        <v>8</v>
      </c>
      <c r="L95" s="19">
        <v>83</v>
      </c>
      <c r="M95">
        <v>1.8</v>
      </c>
      <c r="N95" s="16">
        <f t="shared" si="44"/>
        <v>25.617283950617281</v>
      </c>
      <c r="O95" s="19">
        <v>0</v>
      </c>
      <c r="P95" s="19">
        <v>0</v>
      </c>
      <c r="Q95" s="19">
        <v>0</v>
      </c>
      <c r="R95" s="19">
        <v>0</v>
      </c>
      <c r="S95" s="19">
        <v>0</v>
      </c>
      <c r="T95" s="19">
        <v>0</v>
      </c>
      <c r="U95" s="19">
        <v>1</v>
      </c>
      <c r="V95" s="19">
        <v>10</v>
      </c>
      <c r="W95" s="19">
        <v>1</v>
      </c>
      <c r="X95" s="19">
        <v>0</v>
      </c>
      <c r="Y95" s="19">
        <v>1</v>
      </c>
      <c r="Z95" s="19">
        <v>2</v>
      </c>
      <c r="AA95" s="19">
        <v>120</v>
      </c>
      <c r="AB95" s="19" t="s">
        <v>480</v>
      </c>
      <c r="AC95" s="19">
        <v>1</v>
      </c>
      <c r="AD95" s="19">
        <v>10</v>
      </c>
      <c r="AE95" s="19">
        <v>1</v>
      </c>
      <c r="AF95" s="19">
        <v>0</v>
      </c>
      <c r="AG95" s="19">
        <v>1</v>
      </c>
      <c r="AH95" s="19">
        <v>3</v>
      </c>
      <c r="AI95" s="19">
        <v>2</v>
      </c>
      <c r="AJ95" s="19">
        <v>2</v>
      </c>
      <c r="AK95" s="19">
        <v>2</v>
      </c>
      <c r="AL95" s="19">
        <v>0</v>
      </c>
      <c r="AM95" s="19">
        <v>7</v>
      </c>
      <c r="AN95" s="19">
        <v>0</v>
      </c>
      <c r="AO95" s="19">
        <v>0</v>
      </c>
      <c r="AP95" s="19">
        <v>0</v>
      </c>
      <c r="AQ95" s="19">
        <v>0</v>
      </c>
      <c r="AR95" s="19">
        <v>0</v>
      </c>
      <c r="AS95" s="19">
        <v>0</v>
      </c>
      <c r="AT95" s="19">
        <v>0</v>
      </c>
      <c r="AU95" s="19">
        <v>0</v>
      </c>
      <c r="AV95" s="19">
        <v>0</v>
      </c>
      <c r="AW95" s="19">
        <v>0</v>
      </c>
      <c r="AX95" s="19">
        <v>0</v>
      </c>
      <c r="AY95" s="19">
        <v>0</v>
      </c>
      <c r="AZ95" s="19">
        <v>0</v>
      </c>
      <c r="BA95" s="19">
        <v>0</v>
      </c>
      <c r="BB95" s="19">
        <v>1</v>
      </c>
      <c r="BC95" s="19">
        <v>1</v>
      </c>
      <c r="BD95" s="19">
        <v>1</v>
      </c>
      <c r="BE95" s="19">
        <v>5</v>
      </c>
      <c r="BF95" s="19">
        <v>0</v>
      </c>
      <c r="BG95" s="19">
        <v>0</v>
      </c>
      <c r="BH95" s="19">
        <v>0</v>
      </c>
      <c r="BI95" s="19">
        <v>0</v>
      </c>
      <c r="BJ95" s="19">
        <v>0</v>
      </c>
      <c r="BK95" s="19">
        <v>0</v>
      </c>
      <c r="BL95" s="19">
        <v>0</v>
      </c>
      <c r="BM95" s="19">
        <v>0</v>
      </c>
      <c r="BN95" s="19">
        <v>1</v>
      </c>
      <c r="BO95" s="19">
        <v>1</v>
      </c>
      <c r="BP95" s="19">
        <v>1</v>
      </c>
      <c r="BQ95" s="19">
        <v>4</v>
      </c>
      <c r="BR95" s="19">
        <v>3</v>
      </c>
      <c r="BS95" s="19">
        <v>2</v>
      </c>
      <c r="BT95" s="19">
        <v>3</v>
      </c>
      <c r="BU95" s="19">
        <v>3</v>
      </c>
      <c r="BV95" s="19">
        <v>1</v>
      </c>
      <c r="BW95" s="19">
        <v>1</v>
      </c>
      <c r="BX95" s="19">
        <v>1</v>
      </c>
      <c r="BY95" s="19">
        <v>3</v>
      </c>
      <c r="BZ95" s="19">
        <v>2</v>
      </c>
      <c r="CA95" s="19">
        <v>1</v>
      </c>
      <c r="CB95" s="19">
        <v>3</v>
      </c>
      <c r="CC95" s="19">
        <v>4</v>
      </c>
      <c r="CD95" s="19">
        <v>2</v>
      </c>
      <c r="CE95" s="19">
        <v>3</v>
      </c>
      <c r="CF95" s="19">
        <v>3</v>
      </c>
      <c r="CG95" s="19">
        <v>5</v>
      </c>
      <c r="CH95" s="19">
        <v>2</v>
      </c>
      <c r="CI95" s="19">
        <v>3</v>
      </c>
      <c r="CJ95" s="19">
        <v>3</v>
      </c>
      <c r="CK95" s="19">
        <v>9</v>
      </c>
      <c r="CL95" t="s">
        <v>350</v>
      </c>
      <c r="CM95">
        <v>75</v>
      </c>
      <c r="CN95" s="16">
        <v>87.9</v>
      </c>
      <c r="CO95" s="16">
        <v>80.400000000000006</v>
      </c>
      <c r="CP95" s="16">
        <v>45.2</v>
      </c>
      <c r="CQ95">
        <v>50.83</v>
      </c>
      <c r="CR95">
        <v>0.05</v>
      </c>
      <c r="CS95">
        <v>46.44</v>
      </c>
      <c r="CT95">
        <v>2.67</v>
      </c>
      <c r="CU95">
        <v>0</v>
      </c>
      <c r="CV95">
        <v>0</v>
      </c>
      <c r="CW95">
        <v>0</v>
      </c>
      <c r="CY95">
        <v>0</v>
      </c>
      <c r="CZ95">
        <v>0</v>
      </c>
      <c r="DA95">
        <v>0</v>
      </c>
      <c r="DB95">
        <v>0</v>
      </c>
      <c r="DC95">
        <v>25.21</v>
      </c>
      <c r="DD95">
        <v>43.57</v>
      </c>
      <c r="DE95">
        <v>6.27</v>
      </c>
      <c r="DF95">
        <v>0</v>
      </c>
      <c r="DG95">
        <v>0</v>
      </c>
      <c r="DH95">
        <v>0</v>
      </c>
      <c r="DU95">
        <v>17.8</v>
      </c>
      <c r="DV95">
        <v>1</v>
      </c>
      <c r="DW95">
        <v>35</v>
      </c>
      <c r="DX95">
        <v>9</v>
      </c>
      <c r="DY95">
        <v>2.5499999999999998</v>
      </c>
      <c r="DZ95">
        <v>3</v>
      </c>
      <c r="EG95" s="20"/>
      <c r="EY95">
        <v>1</v>
      </c>
      <c r="EZ95">
        <v>50</v>
      </c>
      <c r="FA95">
        <v>8</v>
      </c>
      <c r="FB95">
        <v>2.12</v>
      </c>
      <c r="FC95">
        <v>3</v>
      </c>
      <c r="GJ95" s="16">
        <v>3.43</v>
      </c>
      <c r="GK95" s="16">
        <v>1</v>
      </c>
      <c r="GL95" s="16">
        <v>1</v>
      </c>
      <c r="GM95" s="16"/>
      <c r="GN95" s="16">
        <v>26.11</v>
      </c>
      <c r="GO95" s="16">
        <v>2</v>
      </c>
      <c r="GP95" s="16"/>
      <c r="GQ95" s="16">
        <v>11.19</v>
      </c>
      <c r="GR95" s="16"/>
      <c r="GS95" s="16"/>
      <c r="GT95" s="16"/>
      <c r="GU95" s="16">
        <v>6.39</v>
      </c>
      <c r="GV95" s="16">
        <v>3.31</v>
      </c>
      <c r="GW95" s="16">
        <v>0</v>
      </c>
      <c r="GX95" s="16">
        <v>0</v>
      </c>
      <c r="GY95" s="16">
        <v>0</v>
      </c>
      <c r="GZ95" s="16">
        <v>0</v>
      </c>
      <c r="HA95" s="16">
        <v>0</v>
      </c>
      <c r="HB95">
        <v>0</v>
      </c>
      <c r="HC95" t="s">
        <v>361</v>
      </c>
      <c r="HD95">
        <v>74.5</v>
      </c>
      <c r="HE95" s="16">
        <v>76.2</v>
      </c>
      <c r="HF95" s="16">
        <v>80.400000000000006</v>
      </c>
      <c r="HG95" s="16">
        <v>42.8</v>
      </c>
      <c r="HH95">
        <v>57.15</v>
      </c>
      <c r="HI95">
        <v>0.45</v>
      </c>
      <c r="HJ95">
        <v>39.090000000000003</v>
      </c>
      <c r="HK95">
        <v>3.3</v>
      </c>
      <c r="HL95">
        <v>0</v>
      </c>
      <c r="HM95">
        <v>0</v>
      </c>
      <c r="HN95">
        <v>0</v>
      </c>
      <c r="HP95">
        <v>0</v>
      </c>
      <c r="HQ95">
        <v>0</v>
      </c>
      <c r="HR95">
        <v>0</v>
      </c>
      <c r="HS95">
        <v>0</v>
      </c>
      <c r="HT95">
        <v>18.260000000000002</v>
      </c>
      <c r="HU95">
        <v>34.4</v>
      </c>
      <c r="HV95">
        <v>6.27</v>
      </c>
      <c r="HW95">
        <v>0</v>
      </c>
      <c r="HX95">
        <v>0</v>
      </c>
      <c r="HY95">
        <v>0</v>
      </c>
      <c r="IL95">
        <v>18.2</v>
      </c>
      <c r="IM95">
        <v>1</v>
      </c>
      <c r="IN95">
        <v>35</v>
      </c>
      <c r="IO95">
        <v>9</v>
      </c>
      <c r="IP95">
        <v>2.5499999999999998</v>
      </c>
      <c r="IQ95">
        <v>3</v>
      </c>
      <c r="IX95" s="20"/>
      <c r="JP95">
        <v>1</v>
      </c>
      <c r="JQ95">
        <v>50</v>
      </c>
      <c r="JR95">
        <v>8</v>
      </c>
      <c r="JS95">
        <v>2.54</v>
      </c>
      <c r="JT95">
        <v>3</v>
      </c>
      <c r="LA95" s="16">
        <v>7.59</v>
      </c>
      <c r="LB95" s="16">
        <v>1</v>
      </c>
      <c r="LC95" s="16">
        <v>1</v>
      </c>
      <c r="LD95" s="16"/>
      <c r="LE95" s="16">
        <v>22.38</v>
      </c>
      <c r="LF95" s="16">
        <v>2</v>
      </c>
      <c r="LG95" s="16"/>
      <c r="LH95" s="16">
        <v>14.92</v>
      </c>
      <c r="LI95" s="16"/>
      <c r="LJ95" s="16"/>
      <c r="LK95" s="16"/>
      <c r="LL95" s="16">
        <v>5.05</v>
      </c>
      <c r="LM95" s="16">
        <v>1.54</v>
      </c>
      <c r="LN95" s="16">
        <v>0</v>
      </c>
      <c r="LO95" s="16">
        <v>0</v>
      </c>
      <c r="LP95" s="16">
        <v>0</v>
      </c>
      <c r="LQ95" s="16">
        <v>0</v>
      </c>
      <c r="LR95" s="16">
        <v>0</v>
      </c>
      <c r="LS95">
        <v>0</v>
      </c>
      <c r="LT95" t="s">
        <v>356</v>
      </c>
      <c r="LU95">
        <v>39.5</v>
      </c>
      <c r="LV95" s="16">
        <v>85.1</v>
      </c>
      <c r="LW95" s="16">
        <v>80.400000000000006</v>
      </c>
      <c r="LX95" s="16">
        <v>13.6</v>
      </c>
      <c r="LY95">
        <v>87.38</v>
      </c>
      <c r="MA95">
        <v>8.0500000000000007</v>
      </c>
      <c r="MB95">
        <v>0</v>
      </c>
      <c r="MC95">
        <v>4.57</v>
      </c>
      <c r="MD95">
        <v>0</v>
      </c>
      <c r="ME95">
        <v>0</v>
      </c>
      <c r="MG95">
        <v>0</v>
      </c>
      <c r="MH95">
        <v>0</v>
      </c>
      <c r="MI95">
        <v>0</v>
      </c>
      <c r="MJ95">
        <v>0</v>
      </c>
      <c r="MK95">
        <v>45</v>
      </c>
      <c r="ML95">
        <v>10.1</v>
      </c>
      <c r="MM95">
        <v>11.8</v>
      </c>
      <c r="MN95">
        <v>0</v>
      </c>
      <c r="MO95">
        <v>0</v>
      </c>
      <c r="MP95">
        <v>0</v>
      </c>
      <c r="NC95">
        <v>17.8</v>
      </c>
      <c r="ND95">
        <v>1</v>
      </c>
      <c r="NE95">
        <v>30</v>
      </c>
      <c r="NF95">
        <v>7</v>
      </c>
      <c r="NG95">
        <v>5.33</v>
      </c>
      <c r="NH95">
        <v>3</v>
      </c>
      <c r="NO95" s="20"/>
      <c r="OG95">
        <v>1</v>
      </c>
      <c r="OH95">
        <v>50</v>
      </c>
      <c r="OI95">
        <v>1</v>
      </c>
      <c r="OJ95">
        <v>0.03</v>
      </c>
      <c r="OK95">
        <v>1</v>
      </c>
      <c r="PR95" s="16">
        <v>3.96</v>
      </c>
      <c r="PS95" s="16">
        <v>1</v>
      </c>
      <c r="PT95" s="16">
        <v>1</v>
      </c>
      <c r="PU95" s="16"/>
      <c r="PV95" s="16">
        <v>41.03</v>
      </c>
      <c r="PW95" s="16">
        <v>2</v>
      </c>
      <c r="PX95" s="16">
        <v>3.73</v>
      </c>
      <c r="PY95" s="16"/>
      <c r="PZ95" s="16"/>
      <c r="QA95" s="16"/>
      <c r="QB95" s="16"/>
      <c r="QC95" s="16">
        <v>0</v>
      </c>
      <c r="QD95" s="16">
        <v>0</v>
      </c>
      <c r="QE95" s="16">
        <v>0</v>
      </c>
      <c r="QF95" s="16">
        <v>0</v>
      </c>
      <c r="QG95" s="16">
        <v>0</v>
      </c>
      <c r="QH95" s="16">
        <v>0</v>
      </c>
      <c r="QI95" s="16">
        <v>0</v>
      </c>
      <c r="QJ95">
        <v>0</v>
      </c>
      <c r="QK95" t="s">
        <v>373</v>
      </c>
      <c r="QL95">
        <v>27.5</v>
      </c>
      <c r="QM95" s="16">
        <v>79.099999999999994</v>
      </c>
      <c r="QN95" s="16">
        <v>80.400000000000006</v>
      </c>
      <c r="QO95" s="16">
        <v>15.3</v>
      </c>
      <c r="QP95">
        <v>87.64</v>
      </c>
      <c r="QR95">
        <v>0</v>
      </c>
      <c r="QS95">
        <v>0</v>
      </c>
      <c r="QT95">
        <v>12.36</v>
      </c>
      <c r="QU95">
        <v>0</v>
      </c>
      <c r="QV95">
        <v>0</v>
      </c>
      <c r="QX95">
        <v>0</v>
      </c>
      <c r="QY95">
        <v>0</v>
      </c>
      <c r="QZ95">
        <v>0</v>
      </c>
      <c r="RA95">
        <v>24.9</v>
      </c>
      <c r="RB95">
        <v>31.79</v>
      </c>
      <c r="RC95">
        <v>18.86</v>
      </c>
      <c r="RD95">
        <v>0</v>
      </c>
      <c r="RE95">
        <v>0</v>
      </c>
      <c r="RF95">
        <v>4.8</v>
      </c>
      <c r="RG95">
        <v>5</v>
      </c>
      <c r="RH95">
        <v>50</v>
      </c>
      <c r="RI95">
        <v>4</v>
      </c>
      <c r="RN95">
        <v>50</v>
      </c>
      <c r="RO95">
        <v>4</v>
      </c>
      <c r="RT95">
        <v>5.5</v>
      </c>
      <c r="RU95">
        <v>0</v>
      </c>
      <c r="SF95" s="20"/>
      <c r="SX95">
        <v>1</v>
      </c>
      <c r="SY95">
        <v>50</v>
      </c>
      <c r="SZ95">
        <v>4</v>
      </c>
      <c r="TA95">
        <v>3.59</v>
      </c>
      <c r="TB95">
        <v>3</v>
      </c>
      <c r="TC95">
        <v>70</v>
      </c>
      <c r="TD95">
        <v>14</v>
      </c>
      <c r="TE95">
        <v>4.93</v>
      </c>
      <c r="TF95">
        <v>2</v>
      </c>
      <c r="UI95" s="16">
        <v>0.75</v>
      </c>
      <c r="UJ95" s="16">
        <v>1</v>
      </c>
      <c r="UK95" s="16">
        <v>1</v>
      </c>
      <c r="UL95" s="16"/>
      <c r="UM95" s="16">
        <v>9.9600000000000009</v>
      </c>
      <c r="UN95" s="16"/>
      <c r="UO95" s="16"/>
      <c r="UP95" s="16"/>
      <c r="UQ95" s="16"/>
      <c r="UR95" s="16"/>
      <c r="US95" s="16"/>
      <c r="UT95" s="16">
        <v>0</v>
      </c>
      <c r="UU95" s="16">
        <v>0</v>
      </c>
      <c r="UV95" s="16">
        <v>0</v>
      </c>
      <c r="UW95" s="16">
        <v>0</v>
      </c>
      <c r="UX95" s="16">
        <v>0</v>
      </c>
      <c r="UY95" s="16">
        <v>0</v>
      </c>
      <c r="UZ95" s="16">
        <v>0</v>
      </c>
      <c r="VA95">
        <v>0</v>
      </c>
      <c r="VB95" t="s">
        <v>357</v>
      </c>
      <c r="VC95">
        <v>27.5</v>
      </c>
      <c r="VD95" s="16">
        <v>76.2</v>
      </c>
      <c r="VE95" s="16">
        <v>80.400000000000006</v>
      </c>
      <c r="VF95" s="16">
        <v>15.3</v>
      </c>
      <c r="VG95">
        <v>87.64</v>
      </c>
      <c r="VI95">
        <v>0</v>
      </c>
      <c r="VJ95">
        <v>0</v>
      </c>
      <c r="VK95">
        <v>12.36</v>
      </c>
      <c r="VL95">
        <v>0</v>
      </c>
      <c r="VM95">
        <v>0</v>
      </c>
      <c r="VO95">
        <v>0</v>
      </c>
      <c r="VP95">
        <v>0</v>
      </c>
      <c r="VQ95">
        <v>0</v>
      </c>
      <c r="VR95">
        <v>24.9</v>
      </c>
      <c r="VS95">
        <v>31.99</v>
      </c>
      <c r="VT95">
        <v>18.66</v>
      </c>
      <c r="VU95">
        <v>0</v>
      </c>
      <c r="VV95">
        <v>0</v>
      </c>
      <c r="VW95">
        <v>4.8</v>
      </c>
      <c r="VX95">
        <v>5</v>
      </c>
      <c r="VY95">
        <v>50</v>
      </c>
      <c r="VZ95">
        <v>4</v>
      </c>
      <c r="WE95">
        <v>50</v>
      </c>
      <c r="WF95">
        <v>4</v>
      </c>
      <c r="WK95">
        <v>5.5</v>
      </c>
      <c r="WL95">
        <v>0</v>
      </c>
      <c r="WW95" s="20"/>
      <c r="XO95">
        <v>1</v>
      </c>
      <c r="XP95">
        <v>50</v>
      </c>
      <c r="XQ95">
        <v>4</v>
      </c>
      <c r="XR95">
        <v>3.59</v>
      </c>
      <c r="XS95">
        <v>3</v>
      </c>
      <c r="XT95">
        <v>70</v>
      </c>
      <c r="XU95">
        <v>14</v>
      </c>
      <c r="XV95">
        <v>4.93</v>
      </c>
      <c r="XW95">
        <v>2</v>
      </c>
      <c r="YZ95" s="16">
        <v>0.75</v>
      </c>
      <c r="ZA95" s="16">
        <v>1</v>
      </c>
      <c r="ZB95" s="16">
        <v>1</v>
      </c>
      <c r="ZC95" s="16"/>
      <c r="ZD95" s="16">
        <v>9.9600000000000009</v>
      </c>
      <c r="ZE95" s="16"/>
      <c r="ZF95" s="16"/>
      <c r="ZG95" s="16"/>
      <c r="ZH95" s="16"/>
      <c r="ZI95" s="16"/>
      <c r="ZJ95" s="16"/>
      <c r="ZK95" s="16">
        <v>0</v>
      </c>
      <c r="ZL95" s="16">
        <v>0</v>
      </c>
      <c r="ZM95" s="16">
        <v>0</v>
      </c>
      <c r="ZN95" s="16">
        <v>0</v>
      </c>
      <c r="ZO95" s="16">
        <v>0</v>
      </c>
      <c r="ZP95" s="16">
        <v>0</v>
      </c>
      <c r="ZQ95" s="16">
        <v>0</v>
      </c>
      <c r="ZR95">
        <v>0</v>
      </c>
      <c r="ZS95" t="s">
        <v>370</v>
      </c>
      <c r="ZT95">
        <v>80.5</v>
      </c>
      <c r="ZU95" s="16">
        <v>42.5</v>
      </c>
      <c r="ZV95" s="16">
        <v>80.400000000000006</v>
      </c>
      <c r="ZW95" s="16">
        <v>4.3</v>
      </c>
      <c r="ZX95">
        <v>100</v>
      </c>
      <c r="ZZ95">
        <v>0</v>
      </c>
      <c r="AAA95">
        <v>0</v>
      </c>
      <c r="AAB95">
        <v>0</v>
      </c>
      <c r="AAC95">
        <v>0</v>
      </c>
      <c r="AAD95">
        <v>0</v>
      </c>
      <c r="AAF95">
        <v>0</v>
      </c>
      <c r="AAG95">
        <v>0</v>
      </c>
      <c r="AAH95">
        <v>0</v>
      </c>
      <c r="AAI95">
        <v>0</v>
      </c>
      <c r="AAJ95">
        <v>61.07</v>
      </c>
      <c r="AAK95">
        <v>4</v>
      </c>
      <c r="AAL95">
        <v>0.14000000000000001</v>
      </c>
      <c r="AAM95">
        <v>0</v>
      </c>
      <c r="AAN95">
        <v>15.7</v>
      </c>
      <c r="AAO95">
        <v>1</v>
      </c>
      <c r="AAP95">
        <v>3</v>
      </c>
      <c r="AAR95">
        <v>1</v>
      </c>
      <c r="AAV95">
        <v>3</v>
      </c>
      <c r="AAX95">
        <v>1</v>
      </c>
      <c r="ABB95">
        <v>12.4</v>
      </c>
      <c r="ABC95">
        <v>1</v>
      </c>
      <c r="ABD95">
        <v>34</v>
      </c>
      <c r="ABE95">
        <v>4</v>
      </c>
      <c r="ABF95">
        <v>1.28</v>
      </c>
      <c r="ABG95">
        <v>1</v>
      </c>
      <c r="ABN95" s="20"/>
      <c r="ACF95">
        <v>1</v>
      </c>
      <c r="ACG95">
        <v>50</v>
      </c>
      <c r="ACH95">
        <v>2</v>
      </c>
      <c r="ACI95">
        <v>2.2799999999999998</v>
      </c>
      <c r="ACJ95">
        <v>3</v>
      </c>
      <c r="ACK95">
        <v>50</v>
      </c>
      <c r="ACL95">
        <v>12</v>
      </c>
      <c r="ACM95">
        <v>8.75</v>
      </c>
      <c r="ACN95">
        <v>4</v>
      </c>
      <c r="ADQ95" s="16">
        <v>0.63</v>
      </c>
      <c r="ADR95" s="16">
        <v>1</v>
      </c>
      <c r="ADS95" s="16">
        <v>1</v>
      </c>
      <c r="ADT95" s="16"/>
      <c r="ADU95" s="16">
        <v>7.46</v>
      </c>
      <c r="ADV95" s="16"/>
      <c r="ADW95" s="16"/>
      <c r="ADX95" s="16"/>
      <c r="ADY95" s="16"/>
      <c r="ADZ95" s="16"/>
      <c r="AEA95" s="16"/>
      <c r="AEB95" s="16">
        <v>8.4700000000000006</v>
      </c>
      <c r="AEC95" s="16">
        <v>4.95</v>
      </c>
      <c r="AED95" s="16">
        <v>0</v>
      </c>
      <c r="AEE95" s="16">
        <v>0</v>
      </c>
      <c r="AEF95" s="16">
        <v>0</v>
      </c>
      <c r="AEG95" s="16">
        <v>0</v>
      </c>
      <c r="AEH95" s="16">
        <v>0</v>
      </c>
      <c r="AEI95">
        <v>0</v>
      </c>
      <c r="AEJ95" t="s">
        <v>358</v>
      </c>
      <c r="AEK95">
        <v>41</v>
      </c>
      <c r="AEL95" s="16">
        <v>91.1</v>
      </c>
      <c r="AEM95" s="16">
        <v>80.400000000000006</v>
      </c>
      <c r="AEN95" s="16">
        <v>6.5</v>
      </c>
      <c r="AEO95">
        <v>94.94</v>
      </c>
      <c r="AEQ95">
        <v>0</v>
      </c>
      <c r="AER95">
        <v>0</v>
      </c>
      <c r="AES95">
        <v>5.0599999999999996</v>
      </c>
      <c r="AET95">
        <v>0</v>
      </c>
      <c r="AEU95">
        <v>0</v>
      </c>
      <c r="AEW95">
        <v>0</v>
      </c>
      <c r="AEX95">
        <v>0</v>
      </c>
      <c r="AEY95">
        <v>0</v>
      </c>
      <c r="AEZ95">
        <v>0</v>
      </c>
      <c r="AFA95">
        <v>64.349999999999994</v>
      </c>
      <c r="AFB95">
        <v>9.2899999999999991</v>
      </c>
      <c r="AFC95">
        <v>0</v>
      </c>
      <c r="AFD95">
        <v>0</v>
      </c>
      <c r="AFE95">
        <v>15.7</v>
      </c>
      <c r="AFF95">
        <v>1</v>
      </c>
      <c r="AFG95">
        <v>3</v>
      </c>
      <c r="AFI95">
        <v>1</v>
      </c>
      <c r="AFM95">
        <v>3</v>
      </c>
      <c r="AFO95">
        <v>1</v>
      </c>
      <c r="AFS95">
        <v>10.8</v>
      </c>
      <c r="AFT95">
        <v>1</v>
      </c>
      <c r="AFU95">
        <v>34</v>
      </c>
      <c r="AFV95">
        <v>4</v>
      </c>
      <c r="AFW95">
        <v>1.68</v>
      </c>
      <c r="AFX95">
        <v>1</v>
      </c>
      <c r="AGE95" s="20"/>
      <c r="AGW95">
        <v>1</v>
      </c>
      <c r="AGX95">
        <v>50</v>
      </c>
      <c r="AGY95">
        <v>2</v>
      </c>
      <c r="AGZ95">
        <v>2.2400000000000002</v>
      </c>
      <c r="AHA95">
        <v>3</v>
      </c>
      <c r="AHB95">
        <v>50</v>
      </c>
      <c r="AHC95">
        <v>12</v>
      </c>
      <c r="AHD95">
        <v>8.51</v>
      </c>
      <c r="AHE95">
        <v>4</v>
      </c>
      <c r="AIH95" s="16">
        <v>0.86</v>
      </c>
      <c r="AII95" s="16">
        <v>1</v>
      </c>
      <c r="AIJ95" s="16">
        <v>1</v>
      </c>
      <c r="AIK95" s="16"/>
      <c r="AIL95" s="16">
        <v>12.44</v>
      </c>
      <c r="AIM95" s="16"/>
      <c r="AIN95" s="16"/>
      <c r="AIO95" s="16"/>
      <c r="AIP95" s="16"/>
      <c r="AIQ95" s="16"/>
      <c r="AIR95" s="16"/>
      <c r="AIS95" s="16">
        <v>5.31</v>
      </c>
      <c r="AIT95" s="16">
        <v>7.99</v>
      </c>
      <c r="AIU95" s="16">
        <v>0</v>
      </c>
      <c r="AIV95" s="16">
        <v>0</v>
      </c>
      <c r="AIW95" s="16">
        <v>0</v>
      </c>
      <c r="AIX95" s="16">
        <v>0</v>
      </c>
      <c r="AIY95" s="16">
        <v>0</v>
      </c>
      <c r="AIZ95">
        <v>0</v>
      </c>
      <c r="AJA95" s="15"/>
      <c r="AJB95" s="15"/>
      <c r="AJI95" s="15"/>
      <c r="AJJ95" s="15"/>
      <c r="AJQ95" s="15"/>
      <c r="AJR95" s="15"/>
      <c r="AJY95" s="15"/>
      <c r="AJZ95" s="15"/>
      <c r="AKG95" s="15"/>
      <c r="AKH95" s="15"/>
      <c r="AKO95" s="15"/>
      <c r="AKP95" s="15"/>
      <c r="AKW95" s="15"/>
      <c r="AKX95" s="15"/>
      <c r="ALE95" s="15"/>
      <c r="ALF95" s="15"/>
      <c r="ALM95" s="15"/>
      <c r="ALN95" s="15"/>
      <c r="ALU95" s="15"/>
      <c r="ALV95" s="15"/>
      <c r="AMC95" s="15"/>
      <c r="AMD95" s="15"/>
    </row>
    <row r="96" spans="1:1018" x14ac:dyDescent="0.2">
      <c r="A96" s="1" t="s">
        <v>481</v>
      </c>
      <c r="B96" s="12">
        <v>42894</v>
      </c>
      <c r="C96">
        <v>2</v>
      </c>
      <c r="D96" s="13">
        <v>42870</v>
      </c>
      <c r="E96" s="12">
        <v>28024</v>
      </c>
      <c r="F96" s="14">
        <f t="shared" si="42"/>
        <v>40.711841204654348</v>
      </c>
      <c r="G96" s="14">
        <f t="shared" si="43"/>
        <v>6.5708418891170434E-2</v>
      </c>
      <c r="H96" s="15" t="s">
        <v>183</v>
      </c>
      <c r="I96" s="15" t="s">
        <v>347</v>
      </c>
      <c r="J96" s="15" t="s">
        <v>183</v>
      </c>
      <c r="K96" s="21">
        <v>8</v>
      </c>
      <c r="L96" s="19">
        <v>70</v>
      </c>
      <c r="M96">
        <v>1.64</v>
      </c>
      <c r="N96" s="16">
        <f t="shared" si="44"/>
        <v>26.026174895895306</v>
      </c>
      <c r="O96" s="19">
        <v>0</v>
      </c>
      <c r="P96" s="19">
        <v>0</v>
      </c>
      <c r="Q96" s="19">
        <v>0</v>
      </c>
      <c r="R96" s="19">
        <v>0</v>
      </c>
      <c r="S96" s="19">
        <v>0</v>
      </c>
      <c r="T96" s="19">
        <v>0</v>
      </c>
      <c r="U96" s="19">
        <v>0</v>
      </c>
      <c r="V96" s="19">
        <v>0</v>
      </c>
      <c r="W96" s="19">
        <v>0</v>
      </c>
      <c r="X96" s="19">
        <v>0</v>
      </c>
      <c r="Y96" s="19">
        <v>1</v>
      </c>
      <c r="Z96" s="19">
        <v>2</v>
      </c>
      <c r="AA96" s="19">
        <v>120</v>
      </c>
      <c r="AB96" s="19" t="s">
        <v>482</v>
      </c>
      <c r="AC96" s="19">
        <v>1</v>
      </c>
      <c r="AD96" s="19">
        <v>15</v>
      </c>
      <c r="AE96" s="19">
        <v>0</v>
      </c>
      <c r="AF96" s="19">
        <v>0</v>
      </c>
      <c r="AG96" s="19">
        <v>0</v>
      </c>
      <c r="AH96" s="19">
        <v>0</v>
      </c>
      <c r="AI96" s="19">
        <v>0</v>
      </c>
      <c r="AJ96" s="19">
        <v>0</v>
      </c>
      <c r="AK96" s="19">
        <v>0</v>
      </c>
      <c r="AL96" s="19">
        <v>0</v>
      </c>
      <c r="AM96" s="19">
        <v>0</v>
      </c>
      <c r="AN96" s="19">
        <v>0</v>
      </c>
      <c r="AO96" s="19">
        <v>0</v>
      </c>
      <c r="AP96" s="19">
        <v>0</v>
      </c>
      <c r="AQ96" s="19">
        <v>0</v>
      </c>
      <c r="AR96" s="19">
        <v>0</v>
      </c>
      <c r="AS96" s="19">
        <v>0</v>
      </c>
      <c r="AT96" s="19">
        <v>0</v>
      </c>
      <c r="AU96" s="19">
        <v>0</v>
      </c>
      <c r="AV96" s="19">
        <v>0</v>
      </c>
      <c r="AW96" s="19">
        <v>0</v>
      </c>
      <c r="AX96" s="19">
        <v>0</v>
      </c>
      <c r="AY96" s="19">
        <v>0</v>
      </c>
      <c r="AZ96" s="19">
        <v>0</v>
      </c>
      <c r="BA96" s="19">
        <v>0</v>
      </c>
      <c r="BB96" s="19">
        <v>0</v>
      </c>
      <c r="BC96" s="19">
        <v>0</v>
      </c>
      <c r="BD96" s="19">
        <v>0</v>
      </c>
      <c r="BE96" s="19">
        <v>0</v>
      </c>
      <c r="BF96" s="19">
        <v>0</v>
      </c>
      <c r="BG96" s="19">
        <v>0</v>
      </c>
      <c r="BH96" s="19">
        <v>0</v>
      </c>
      <c r="BI96" s="19">
        <v>0</v>
      </c>
      <c r="BJ96" s="19">
        <v>0</v>
      </c>
      <c r="BK96" s="19">
        <v>0</v>
      </c>
      <c r="BL96" s="19">
        <v>0</v>
      </c>
      <c r="BM96" s="19">
        <v>0</v>
      </c>
      <c r="BN96" s="19">
        <v>0</v>
      </c>
      <c r="BO96" s="19">
        <v>0</v>
      </c>
      <c r="BP96" s="19">
        <v>0</v>
      </c>
      <c r="BQ96" s="19">
        <v>0</v>
      </c>
      <c r="BR96" s="19">
        <v>3</v>
      </c>
      <c r="BS96" s="19">
        <v>2</v>
      </c>
      <c r="BT96" s="19">
        <v>3</v>
      </c>
      <c r="BU96" s="19">
        <v>4</v>
      </c>
      <c r="BV96" s="19">
        <v>3</v>
      </c>
      <c r="BW96" s="19">
        <v>2</v>
      </c>
      <c r="BX96" s="19">
        <v>3</v>
      </c>
      <c r="BY96" s="19">
        <v>3</v>
      </c>
      <c r="BZ96" s="19">
        <v>4</v>
      </c>
      <c r="CA96" s="19">
        <v>4</v>
      </c>
      <c r="CB96" s="19">
        <v>4</v>
      </c>
      <c r="CC96" s="19">
        <v>4</v>
      </c>
      <c r="CD96" s="19">
        <v>4</v>
      </c>
      <c r="CE96" s="19">
        <v>4</v>
      </c>
      <c r="CF96" s="19">
        <v>5</v>
      </c>
      <c r="CG96" s="19">
        <v>5</v>
      </c>
      <c r="CH96" s="19">
        <v>3</v>
      </c>
      <c r="CI96" s="19">
        <v>5</v>
      </c>
      <c r="CJ96" s="19">
        <v>4</v>
      </c>
      <c r="CK96" s="19">
        <v>8</v>
      </c>
      <c r="CL96" t="s">
        <v>355</v>
      </c>
      <c r="CM96">
        <v>37</v>
      </c>
      <c r="CN96" s="16">
        <v>95.1</v>
      </c>
      <c r="CO96" s="16">
        <v>80.400000000000006</v>
      </c>
      <c r="CP96" s="16">
        <v>15.9</v>
      </c>
      <c r="CQ96">
        <v>82.71</v>
      </c>
      <c r="CS96">
        <v>10.32</v>
      </c>
      <c r="CT96">
        <v>0.39</v>
      </c>
      <c r="CU96">
        <v>10.32</v>
      </c>
      <c r="CV96">
        <v>0</v>
      </c>
      <c r="CW96">
        <v>0</v>
      </c>
      <c r="CY96">
        <v>0</v>
      </c>
      <c r="CZ96">
        <v>0</v>
      </c>
      <c r="DA96">
        <v>0</v>
      </c>
      <c r="DB96">
        <v>1.9</v>
      </c>
      <c r="DC96">
        <v>26.26</v>
      </c>
      <c r="DD96">
        <v>6.04</v>
      </c>
      <c r="DE96">
        <v>2.19</v>
      </c>
      <c r="DF96">
        <v>0</v>
      </c>
      <c r="DG96">
        <v>0</v>
      </c>
      <c r="DH96">
        <v>0</v>
      </c>
      <c r="DU96">
        <v>14.7</v>
      </c>
      <c r="DV96">
        <v>1</v>
      </c>
      <c r="DW96">
        <v>35</v>
      </c>
      <c r="DX96">
        <v>2</v>
      </c>
      <c r="DY96">
        <v>1.8</v>
      </c>
      <c r="DZ96">
        <v>3</v>
      </c>
      <c r="EG96" s="20"/>
      <c r="EY96">
        <v>1</v>
      </c>
      <c r="EZ96">
        <v>50</v>
      </c>
      <c r="FA96">
        <v>1</v>
      </c>
      <c r="FB96">
        <v>1.34</v>
      </c>
      <c r="FC96">
        <v>2</v>
      </c>
      <c r="FD96">
        <v>40</v>
      </c>
      <c r="FE96">
        <v>1</v>
      </c>
      <c r="FF96">
        <v>0.9</v>
      </c>
      <c r="FG96">
        <v>3</v>
      </c>
      <c r="FH96">
        <v>50</v>
      </c>
      <c r="FI96">
        <v>1</v>
      </c>
      <c r="FJ96">
        <v>0.9</v>
      </c>
      <c r="FK96">
        <v>3</v>
      </c>
      <c r="FL96">
        <v>80</v>
      </c>
      <c r="FM96">
        <v>2</v>
      </c>
      <c r="FN96">
        <v>2.68</v>
      </c>
      <c r="FO96">
        <v>2</v>
      </c>
      <c r="FP96">
        <v>100</v>
      </c>
      <c r="FQ96">
        <v>1</v>
      </c>
      <c r="FR96">
        <v>2.57</v>
      </c>
      <c r="FS96">
        <v>2</v>
      </c>
      <c r="GJ96">
        <v>0</v>
      </c>
      <c r="GK96" s="19">
        <v>0</v>
      </c>
      <c r="GL96" s="19"/>
      <c r="GM96" s="13"/>
      <c r="GN96" s="13"/>
      <c r="GO96" s="19"/>
      <c r="GP96" s="13"/>
      <c r="GQ96" s="13"/>
      <c r="GR96" s="13"/>
      <c r="GS96" s="13"/>
      <c r="GT96" s="13"/>
      <c r="GU96" s="16">
        <v>5.1100000000000003</v>
      </c>
      <c r="GV96">
        <v>4.8099999999999996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 t="s">
        <v>350</v>
      </c>
      <c r="HD96">
        <v>75</v>
      </c>
      <c r="HE96" s="16">
        <v>87.9</v>
      </c>
      <c r="HF96" s="16">
        <v>80.400000000000006</v>
      </c>
      <c r="HG96" s="16">
        <v>45.2</v>
      </c>
      <c r="HH96">
        <v>50.83</v>
      </c>
      <c r="HI96">
        <v>0.05</v>
      </c>
      <c r="HJ96">
        <v>46.44</v>
      </c>
      <c r="HK96">
        <v>2.67</v>
      </c>
      <c r="HL96">
        <v>0</v>
      </c>
      <c r="HM96">
        <v>0</v>
      </c>
      <c r="HN96">
        <v>0</v>
      </c>
      <c r="HP96">
        <v>0</v>
      </c>
      <c r="HQ96">
        <v>0</v>
      </c>
      <c r="HR96">
        <v>0</v>
      </c>
      <c r="HS96">
        <v>0</v>
      </c>
      <c r="HT96">
        <v>25.21</v>
      </c>
      <c r="HU96">
        <v>43.57</v>
      </c>
      <c r="HV96">
        <v>6.27</v>
      </c>
      <c r="HW96">
        <v>0</v>
      </c>
      <c r="HX96">
        <v>0</v>
      </c>
      <c r="HY96">
        <v>0</v>
      </c>
      <c r="IL96">
        <v>17.8</v>
      </c>
      <c r="IM96">
        <v>1</v>
      </c>
      <c r="IN96">
        <v>35</v>
      </c>
      <c r="IO96">
        <v>9</v>
      </c>
      <c r="IP96">
        <v>2.5499999999999998</v>
      </c>
      <c r="IQ96">
        <v>3</v>
      </c>
      <c r="IX96" s="20"/>
      <c r="JP96">
        <v>1</v>
      </c>
      <c r="JQ96">
        <v>50</v>
      </c>
      <c r="JR96">
        <v>8</v>
      </c>
      <c r="JS96">
        <v>2.12</v>
      </c>
      <c r="JT96">
        <v>3</v>
      </c>
      <c r="LA96" s="16">
        <v>3.43</v>
      </c>
      <c r="LB96" s="16">
        <v>1</v>
      </c>
      <c r="LC96" s="16">
        <v>1</v>
      </c>
      <c r="LD96" s="16"/>
      <c r="LE96" s="16">
        <v>26.11</v>
      </c>
      <c r="LF96" s="16">
        <v>2</v>
      </c>
      <c r="LG96" s="16"/>
      <c r="LH96" s="16">
        <v>11.19</v>
      </c>
      <c r="LI96" s="16"/>
      <c r="LJ96" s="16"/>
      <c r="LK96" s="16"/>
      <c r="LL96" s="16">
        <v>6.39</v>
      </c>
      <c r="LM96" s="16">
        <v>3.31</v>
      </c>
      <c r="LN96" s="16">
        <v>0</v>
      </c>
      <c r="LO96" s="16">
        <v>0</v>
      </c>
      <c r="LP96" s="16">
        <v>0</v>
      </c>
      <c r="LQ96" s="16">
        <v>0</v>
      </c>
      <c r="LR96" s="16">
        <v>0</v>
      </c>
      <c r="LS96">
        <v>0</v>
      </c>
      <c r="LT96" t="s">
        <v>361</v>
      </c>
      <c r="LU96">
        <v>74.5</v>
      </c>
      <c r="LV96" s="16">
        <v>76.2</v>
      </c>
      <c r="LW96" s="16">
        <v>80.400000000000006</v>
      </c>
      <c r="LX96" s="16">
        <v>42.8</v>
      </c>
      <c r="LY96">
        <v>57.15</v>
      </c>
      <c r="LZ96">
        <v>0.45</v>
      </c>
      <c r="MA96">
        <v>39.090000000000003</v>
      </c>
      <c r="MB96">
        <v>3.3</v>
      </c>
      <c r="MC96">
        <v>0</v>
      </c>
      <c r="MD96">
        <v>0</v>
      </c>
      <c r="ME96">
        <v>0</v>
      </c>
      <c r="MG96">
        <v>0</v>
      </c>
      <c r="MH96">
        <v>0</v>
      </c>
      <c r="MI96">
        <v>0</v>
      </c>
      <c r="MJ96">
        <v>0</v>
      </c>
      <c r="MK96">
        <v>18.260000000000002</v>
      </c>
      <c r="ML96">
        <v>34.4</v>
      </c>
      <c r="MM96">
        <v>6.27</v>
      </c>
      <c r="MN96">
        <v>0</v>
      </c>
      <c r="MO96">
        <v>0</v>
      </c>
      <c r="MP96">
        <v>0</v>
      </c>
      <c r="NC96">
        <v>18.2</v>
      </c>
      <c r="ND96">
        <v>1</v>
      </c>
      <c r="NE96">
        <v>35</v>
      </c>
      <c r="NF96">
        <v>9</v>
      </c>
      <c r="NG96">
        <v>2.5499999999999998</v>
      </c>
      <c r="NH96">
        <v>3</v>
      </c>
      <c r="NO96" s="20"/>
      <c r="OG96">
        <v>1</v>
      </c>
      <c r="OH96">
        <v>50</v>
      </c>
      <c r="OI96">
        <v>8</v>
      </c>
      <c r="OJ96">
        <v>2.54</v>
      </c>
      <c r="OK96">
        <v>3</v>
      </c>
      <c r="PR96" s="16">
        <v>7.59</v>
      </c>
      <c r="PS96" s="16">
        <v>1</v>
      </c>
      <c r="PT96" s="16">
        <v>1</v>
      </c>
      <c r="PU96" s="16"/>
      <c r="PV96" s="16">
        <v>22.38</v>
      </c>
      <c r="PW96" s="16">
        <v>2</v>
      </c>
      <c r="PX96" s="16"/>
      <c r="PY96" s="16">
        <v>14.92</v>
      </c>
      <c r="PZ96" s="16"/>
      <c r="QA96" s="16"/>
      <c r="QB96" s="16"/>
      <c r="QC96" s="16">
        <v>5.05</v>
      </c>
      <c r="QD96" s="16">
        <v>1.54</v>
      </c>
      <c r="QE96" s="16">
        <v>0</v>
      </c>
      <c r="QF96" s="16">
        <v>0</v>
      </c>
      <c r="QG96" s="16">
        <v>0</v>
      </c>
      <c r="QH96" s="16">
        <v>0</v>
      </c>
      <c r="QI96" s="16">
        <v>0</v>
      </c>
      <c r="QJ96">
        <v>0</v>
      </c>
      <c r="QK96" t="s">
        <v>356</v>
      </c>
      <c r="QL96">
        <v>39.5</v>
      </c>
      <c r="QM96" s="16">
        <v>85.1</v>
      </c>
      <c r="QN96" s="16">
        <v>80.400000000000006</v>
      </c>
      <c r="QO96" s="16">
        <v>13.6</v>
      </c>
      <c r="QP96">
        <v>87.38</v>
      </c>
      <c r="QR96">
        <v>8.0500000000000007</v>
      </c>
      <c r="QS96">
        <v>0</v>
      </c>
      <c r="QT96">
        <v>4.57</v>
      </c>
      <c r="QU96">
        <v>0</v>
      </c>
      <c r="QV96">
        <v>0</v>
      </c>
      <c r="QX96">
        <v>0</v>
      </c>
      <c r="QY96">
        <v>0</v>
      </c>
      <c r="QZ96">
        <v>0</v>
      </c>
      <c r="RA96">
        <v>0</v>
      </c>
      <c r="RB96">
        <v>45</v>
      </c>
      <c r="RC96">
        <v>10.1</v>
      </c>
      <c r="RD96">
        <v>11.8</v>
      </c>
      <c r="RE96">
        <v>0</v>
      </c>
      <c r="RF96">
        <v>0</v>
      </c>
      <c r="RG96">
        <v>0</v>
      </c>
      <c r="RT96">
        <v>17.8</v>
      </c>
      <c r="RU96">
        <v>1</v>
      </c>
      <c r="RV96">
        <v>30</v>
      </c>
      <c r="RW96">
        <v>7</v>
      </c>
      <c r="RX96">
        <v>5.33</v>
      </c>
      <c r="RY96">
        <v>3</v>
      </c>
      <c r="SF96" s="20"/>
      <c r="SX96">
        <v>1</v>
      </c>
      <c r="SY96">
        <v>50</v>
      </c>
      <c r="SZ96">
        <v>1</v>
      </c>
      <c r="TA96">
        <v>0.03</v>
      </c>
      <c r="TB96">
        <v>1</v>
      </c>
      <c r="UI96" s="16">
        <v>3.96</v>
      </c>
      <c r="UJ96" s="16">
        <v>1</v>
      </c>
      <c r="UK96" s="16">
        <v>1</v>
      </c>
      <c r="UL96" s="16"/>
      <c r="UM96" s="16">
        <v>41.03</v>
      </c>
      <c r="UN96" s="16">
        <v>2</v>
      </c>
      <c r="UO96" s="16">
        <v>3.73</v>
      </c>
      <c r="UP96" s="16"/>
      <c r="UQ96" s="16"/>
      <c r="UR96" s="16"/>
      <c r="US96" s="16"/>
      <c r="UT96" s="16">
        <v>0</v>
      </c>
      <c r="UU96" s="16">
        <v>0</v>
      </c>
      <c r="UV96" s="16">
        <v>0</v>
      </c>
      <c r="UW96" s="16">
        <v>0</v>
      </c>
      <c r="UX96" s="16">
        <v>0</v>
      </c>
      <c r="UY96" s="16">
        <v>0</v>
      </c>
      <c r="UZ96" s="16">
        <v>0</v>
      </c>
      <c r="VA96">
        <v>0</v>
      </c>
      <c r="VB96" t="s">
        <v>352</v>
      </c>
      <c r="VC96">
        <v>49</v>
      </c>
      <c r="VD96" s="16">
        <v>65.5</v>
      </c>
      <c r="VE96" s="16">
        <v>80.400000000000006</v>
      </c>
      <c r="VF96" s="16">
        <v>8.1999999999999993</v>
      </c>
      <c r="VG96">
        <v>84.28</v>
      </c>
      <c r="VI96">
        <v>0</v>
      </c>
      <c r="VJ96">
        <v>0</v>
      </c>
      <c r="VK96">
        <v>15.72</v>
      </c>
      <c r="VL96">
        <v>0</v>
      </c>
      <c r="VM96">
        <v>0</v>
      </c>
      <c r="VO96">
        <v>0</v>
      </c>
      <c r="VP96">
        <v>0</v>
      </c>
      <c r="VQ96">
        <v>0</v>
      </c>
      <c r="VR96">
        <v>0</v>
      </c>
      <c r="VS96">
        <v>21.31</v>
      </c>
      <c r="VT96">
        <v>26.03</v>
      </c>
      <c r="VU96">
        <v>0</v>
      </c>
      <c r="VV96">
        <v>0</v>
      </c>
      <c r="VW96">
        <v>8.1999999999999993</v>
      </c>
      <c r="VX96">
        <v>5</v>
      </c>
      <c r="VY96">
        <v>50</v>
      </c>
      <c r="VZ96">
        <v>2</v>
      </c>
      <c r="WE96">
        <v>50</v>
      </c>
      <c r="WF96">
        <v>2</v>
      </c>
      <c r="WK96">
        <v>25.5</v>
      </c>
      <c r="WL96">
        <v>1</v>
      </c>
      <c r="WM96">
        <v>35</v>
      </c>
      <c r="WN96">
        <v>21</v>
      </c>
      <c r="WO96">
        <v>7.69</v>
      </c>
      <c r="WP96">
        <v>3</v>
      </c>
      <c r="WW96" s="20"/>
      <c r="XO96">
        <v>0</v>
      </c>
      <c r="YZ96" s="16">
        <v>0</v>
      </c>
      <c r="ZA96" s="16">
        <v>0</v>
      </c>
      <c r="ZB96" s="16"/>
      <c r="ZC96" s="16"/>
      <c r="ZD96" s="16"/>
      <c r="ZE96" s="16"/>
      <c r="ZF96" s="16"/>
      <c r="ZG96" s="16"/>
      <c r="ZH96" s="16"/>
      <c r="ZI96" s="16"/>
      <c r="ZJ96" s="16"/>
      <c r="ZK96" s="16">
        <v>0</v>
      </c>
      <c r="ZL96" s="16">
        <v>0</v>
      </c>
      <c r="ZM96" s="16">
        <v>0</v>
      </c>
      <c r="ZN96" s="16">
        <v>0</v>
      </c>
      <c r="ZO96" s="16">
        <v>0</v>
      </c>
      <c r="ZP96" s="16">
        <v>0</v>
      </c>
      <c r="ZQ96" s="16">
        <v>0</v>
      </c>
      <c r="ZR96">
        <v>0</v>
      </c>
      <c r="ZU96" s="15"/>
      <c r="ZV96" s="15"/>
      <c r="AAC96" s="15"/>
      <c r="AAD96" s="15"/>
      <c r="AAK96" s="15"/>
      <c r="AAL96" s="15"/>
      <c r="AAS96" s="15"/>
      <c r="AAT96" s="15"/>
      <c r="ABA96" s="15"/>
      <c r="ABB96" s="15"/>
      <c r="ABI96" s="15"/>
      <c r="ABJ96" s="15"/>
      <c r="ABQ96" s="15"/>
      <c r="ABR96" s="15"/>
      <c r="ABY96" s="15"/>
      <c r="ABZ96" s="15"/>
      <c r="ACG96" s="15"/>
      <c r="ACH96" s="15"/>
      <c r="ACO96" s="15"/>
      <c r="ACP96" s="15"/>
      <c r="ACW96" s="15"/>
      <c r="ACX96" s="15"/>
      <c r="ADE96" s="15"/>
      <c r="ADF96" s="15"/>
      <c r="ADM96" s="15"/>
      <c r="ADN96" s="15"/>
      <c r="ADU96" s="15"/>
      <c r="ADV96" s="15"/>
      <c r="AEC96" s="15"/>
      <c r="AED96" s="15"/>
      <c r="AEK96" s="15"/>
      <c r="AEL96" s="15"/>
      <c r="AES96" s="15"/>
      <c r="AET96" s="15"/>
      <c r="AFA96" s="15"/>
      <c r="AFB96" s="15"/>
      <c r="AFI96" s="15"/>
      <c r="AFJ96" s="15"/>
      <c r="AFQ96" s="15"/>
      <c r="AFR96" s="15"/>
      <c r="AFY96" s="15"/>
      <c r="AFZ96" s="15"/>
      <c r="AGG96" s="15"/>
      <c r="AGH96" s="15"/>
      <c r="AGO96" s="15"/>
      <c r="AGP96" s="15"/>
      <c r="AGW96" s="15"/>
      <c r="AGX96" s="15"/>
      <c r="AHE96" s="15"/>
      <c r="AHF96" s="15"/>
      <c r="AHM96" s="15"/>
      <c r="AHN96" s="15"/>
      <c r="AHU96" s="15"/>
      <c r="AHV96" s="15"/>
      <c r="AIC96" s="15"/>
      <c r="AID96" s="15"/>
      <c r="AIK96" s="15"/>
      <c r="AIL96" s="15"/>
      <c r="AIS96" s="15"/>
      <c r="AIT96" s="15"/>
      <c r="AJA96" s="15"/>
      <c r="AJB96" s="15"/>
      <c r="AJI96" s="15"/>
      <c r="AJJ96" s="15"/>
      <c r="AJQ96" s="15"/>
      <c r="AJR96" s="15"/>
      <c r="AJY96" s="15"/>
      <c r="AJZ96" s="15"/>
      <c r="AKG96" s="15"/>
      <c r="AKH96" s="15"/>
      <c r="AKO96" s="15"/>
      <c r="AKP96" s="15"/>
      <c r="AKW96" s="15"/>
      <c r="AKX96" s="15"/>
      <c r="ALE96" s="15"/>
      <c r="ALF96" s="15"/>
      <c r="ALM96" s="15"/>
      <c r="ALN96" s="15"/>
      <c r="ALU96" s="15"/>
      <c r="ALV96" s="15"/>
      <c r="AMC96" s="15"/>
      <c r="AMD96" s="15"/>
    </row>
    <row r="97" spans="1:1018" x14ac:dyDescent="0.2">
      <c r="A97" s="1" t="s">
        <v>483</v>
      </c>
      <c r="B97" s="12">
        <v>42894</v>
      </c>
      <c r="C97">
        <v>1</v>
      </c>
      <c r="D97" s="13">
        <v>42797</v>
      </c>
      <c r="E97" s="12">
        <v>33785</v>
      </c>
      <c r="F97" s="14">
        <f t="shared" si="42"/>
        <v>24.939082819986311</v>
      </c>
      <c r="G97" s="14">
        <f t="shared" si="43"/>
        <v>0.2655715263518138</v>
      </c>
      <c r="H97" s="15" t="s">
        <v>183</v>
      </c>
      <c r="I97" s="15" t="s">
        <v>347</v>
      </c>
      <c r="J97" s="15" t="s">
        <v>183</v>
      </c>
      <c r="K97" s="21">
        <v>8</v>
      </c>
      <c r="L97" s="19">
        <v>68</v>
      </c>
      <c r="M97">
        <v>1.56</v>
      </c>
      <c r="N97" s="16">
        <f t="shared" si="44"/>
        <v>27.94214332675871</v>
      </c>
      <c r="O97" s="19">
        <v>0</v>
      </c>
      <c r="P97" s="19">
        <v>0</v>
      </c>
      <c r="Q97" s="19">
        <v>0</v>
      </c>
      <c r="R97" s="19">
        <v>0</v>
      </c>
      <c r="S97" s="19">
        <v>0</v>
      </c>
      <c r="T97" s="19">
        <v>0</v>
      </c>
      <c r="U97" s="19">
        <v>0</v>
      </c>
      <c r="V97" s="19">
        <v>0</v>
      </c>
      <c r="W97" s="19">
        <v>0</v>
      </c>
      <c r="X97" s="19">
        <v>0</v>
      </c>
      <c r="Y97" s="19">
        <v>1</v>
      </c>
      <c r="Z97" s="19">
        <v>2</v>
      </c>
      <c r="AA97" s="19">
        <v>60</v>
      </c>
      <c r="AB97" s="19" t="s">
        <v>484</v>
      </c>
      <c r="AC97" s="19">
        <v>0</v>
      </c>
      <c r="AD97" s="19">
        <v>0</v>
      </c>
      <c r="AE97" s="19">
        <v>0</v>
      </c>
      <c r="AF97" s="19">
        <v>0</v>
      </c>
      <c r="AG97" s="19">
        <v>0</v>
      </c>
      <c r="AH97" s="19">
        <v>0</v>
      </c>
      <c r="AI97" s="19">
        <v>0</v>
      </c>
      <c r="AJ97" s="19">
        <v>0</v>
      </c>
      <c r="AK97" s="19">
        <v>0</v>
      </c>
      <c r="AL97" s="19">
        <v>0</v>
      </c>
      <c r="AM97" s="19">
        <v>0</v>
      </c>
      <c r="AN97" s="19">
        <v>0</v>
      </c>
      <c r="AO97" s="19">
        <v>0</v>
      </c>
      <c r="AP97" s="19">
        <v>0</v>
      </c>
      <c r="AQ97" s="19">
        <v>0</v>
      </c>
      <c r="AR97" s="19">
        <v>0</v>
      </c>
      <c r="AS97" s="19">
        <v>0</v>
      </c>
      <c r="AT97" s="19">
        <v>0</v>
      </c>
      <c r="AU97" s="19">
        <v>0</v>
      </c>
      <c r="AV97" s="19">
        <v>0</v>
      </c>
      <c r="AW97" s="19">
        <v>0</v>
      </c>
      <c r="AX97" s="19">
        <v>0</v>
      </c>
      <c r="AY97" s="19">
        <v>0</v>
      </c>
      <c r="AZ97" s="19">
        <v>0</v>
      </c>
      <c r="BA97" s="19">
        <v>0</v>
      </c>
      <c r="BB97" s="19">
        <v>0</v>
      </c>
      <c r="BC97" s="19">
        <v>0</v>
      </c>
      <c r="BD97" s="19">
        <v>0</v>
      </c>
      <c r="BE97" s="19">
        <v>0</v>
      </c>
      <c r="BF97" s="19">
        <v>0</v>
      </c>
      <c r="BG97" s="19">
        <v>0</v>
      </c>
      <c r="BH97" s="19">
        <v>0</v>
      </c>
      <c r="BI97" s="19">
        <v>0</v>
      </c>
      <c r="BJ97" s="19">
        <v>0</v>
      </c>
      <c r="BK97" s="19">
        <v>0</v>
      </c>
      <c r="BL97" s="19">
        <v>0</v>
      </c>
      <c r="BM97" s="19">
        <v>0</v>
      </c>
      <c r="BN97" s="19">
        <v>0</v>
      </c>
      <c r="BO97" s="19">
        <v>0</v>
      </c>
      <c r="BP97" s="19">
        <v>0</v>
      </c>
      <c r="BQ97" s="19">
        <v>0</v>
      </c>
      <c r="BR97" s="19">
        <v>2</v>
      </c>
      <c r="BS97" s="19">
        <v>2</v>
      </c>
      <c r="BT97" s="19">
        <v>2</v>
      </c>
      <c r="BU97" s="19">
        <v>3</v>
      </c>
      <c r="BV97" s="19">
        <v>1</v>
      </c>
      <c r="BW97" s="19">
        <v>1</v>
      </c>
      <c r="BX97" s="19">
        <v>3</v>
      </c>
      <c r="BY97" s="19">
        <v>3</v>
      </c>
      <c r="BZ97" s="19">
        <v>4</v>
      </c>
      <c r="CA97" s="19">
        <v>5</v>
      </c>
      <c r="CB97" s="19">
        <v>4</v>
      </c>
      <c r="CC97" s="19">
        <v>4</v>
      </c>
      <c r="CD97" s="19">
        <v>4</v>
      </c>
      <c r="CE97" s="19">
        <v>5</v>
      </c>
      <c r="CF97" s="19">
        <v>3</v>
      </c>
      <c r="CG97" s="19">
        <v>5</v>
      </c>
      <c r="CH97" s="19">
        <v>4</v>
      </c>
      <c r="CI97" s="19">
        <v>5</v>
      </c>
      <c r="CJ97" s="19">
        <v>5</v>
      </c>
      <c r="CK97" s="19">
        <v>8</v>
      </c>
      <c r="CL97" t="s">
        <v>355</v>
      </c>
      <c r="CM97">
        <v>37</v>
      </c>
      <c r="CN97" s="16">
        <v>95.1</v>
      </c>
      <c r="CO97" s="16">
        <v>80.400000000000006</v>
      </c>
      <c r="CP97" s="16">
        <v>15.9</v>
      </c>
      <c r="CQ97">
        <v>82.71</v>
      </c>
      <c r="CS97">
        <v>10.32</v>
      </c>
      <c r="CT97">
        <v>0.39</v>
      </c>
      <c r="CU97">
        <v>10.32</v>
      </c>
      <c r="CV97">
        <v>0</v>
      </c>
      <c r="CW97">
        <v>0</v>
      </c>
      <c r="CY97">
        <v>0</v>
      </c>
      <c r="CZ97">
        <v>0</v>
      </c>
      <c r="DA97">
        <v>0</v>
      </c>
      <c r="DB97">
        <v>1.9</v>
      </c>
      <c r="DC97">
        <v>26.26</v>
      </c>
      <c r="DD97">
        <v>6.04</v>
      </c>
      <c r="DE97">
        <v>2.19</v>
      </c>
      <c r="DF97">
        <v>0</v>
      </c>
      <c r="DG97">
        <v>0</v>
      </c>
      <c r="DH97">
        <v>0</v>
      </c>
      <c r="DU97">
        <v>14.7</v>
      </c>
      <c r="DV97">
        <v>1</v>
      </c>
      <c r="DW97">
        <v>35</v>
      </c>
      <c r="DX97">
        <v>2</v>
      </c>
      <c r="DY97">
        <v>1.8</v>
      </c>
      <c r="DZ97">
        <v>3</v>
      </c>
      <c r="EG97" s="20"/>
      <c r="EY97">
        <v>1</v>
      </c>
      <c r="EZ97">
        <v>50</v>
      </c>
      <c r="FA97">
        <v>1</v>
      </c>
      <c r="FB97">
        <v>1.34</v>
      </c>
      <c r="FC97">
        <v>2</v>
      </c>
      <c r="FD97">
        <v>40</v>
      </c>
      <c r="FE97">
        <v>1</v>
      </c>
      <c r="FF97">
        <v>0.9</v>
      </c>
      <c r="FG97">
        <v>3</v>
      </c>
      <c r="FH97">
        <v>50</v>
      </c>
      <c r="FI97">
        <v>1</v>
      </c>
      <c r="FJ97">
        <v>0.9</v>
      </c>
      <c r="FK97">
        <v>3</v>
      </c>
      <c r="FL97">
        <v>80</v>
      </c>
      <c r="FM97">
        <v>2</v>
      </c>
      <c r="FN97">
        <v>2.68</v>
      </c>
      <c r="FO97">
        <v>2</v>
      </c>
      <c r="FP97">
        <v>100</v>
      </c>
      <c r="FQ97">
        <v>1</v>
      </c>
      <c r="FR97">
        <v>2.57</v>
      </c>
      <c r="FS97">
        <v>2</v>
      </c>
      <c r="GJ97">
        <v>0</v>
      </c>
      <c r="GK97" s="19">
        <v>0</v>
      </c>
      <c r="GL97" s="19"/>
      <c r="GM97" s="13"/>
      <c r="GN97" s="13"/>
      <c r="GO97" s="19"/>
      <c r="GP97" s="13"/>
      <c r="GQ97" s="13"/>
      <c r="GR97" s="13"/>
      <c r="GS97" s="13"/>
      <c r="GT97" s="13"/>
      <c r="GU97" s="16">
        <v>5.1100000000000003</v>
      </c>
      <c r="GV97">
        <v>4.8099999999999996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 t="s">
        <v>351</v>
      </c>
      <c r="HD97">
        <v>30.5</v>
      </c>
      <c r="HE97" s="16">
        <v>68.400000000000006</v>
      </c>
      <c r="HF97" s="16">
        <v>80.400000000000006</v>
      </c>
      <c r="HG97" s="16">
        <v>19.8</v>
      </c>
      <c r="HH97">
        <v>72.42</v>
      </c>
      <c r="HJ97">
        <v>0.94</v>
      </c>
      <c r="HK97">
        <v>0.94</v>
      </c>
      <c r="HL97">
        <v>25.7</v>
      </c>
      <c r="HM97">
        <v>0</v>
      </c>
      <c r="HN97">
        <v>0</v>
      </c>
      <c r="HP97">
        <v>0</v>
      </c>
      <c r="HQ97">
        <v>0</v>
      </c>
      <c r="HR97">
        <v>0</v>
      </c>
      <c r="HS97">
        <v>0</v>
      </c>
      <c r="HT97">
        <v>28.26</v>
      </c>
      <c r="HU97">
        <v>10.55</v>
      </c>
      <c r="HV97">
        <v>14.21</v>
      </c>
      <c r="HW97">
        <v>0</v>
      </c>
      <c r="HX97">
        <v>0</v>
      </c>
      <c r="HY97">
        <v>0</v>
      </c>
      <c r="IL97">
        <v>3.3</v>
      </c>
      <c r="IM97">
        <v>1</v>
      </c>
      <c r="IN97">
        <v>68</v>
      </c>
      <c r="IO97">
        <v>2</v>
      </c>
      <c r="IP97">
        <v>1.52</v>
      </c>
      <c r="IQ97">
        <v>1</v>
      </c>
      <c r="IX97" s="20"/>
      <c r="JP97">
        <v>0</v>
      </c>
      <c r="LA97" s="16">
        <v>0</v>
      </c>
      <c r="LB97" s="16">
        <v>0</v>
      </c>
      <c r="LC97" s="16"/>
      <c r="LD97" s="16"/>
      <c r="LE97" s="16"/>
      <c r="LF97" s="16"/>
      <c r="LG97" s="16"/>
      <c r="LH97" s="16"/>
      <c r="LI97" s="16"/>
      <c r="LJ97" s="16"/>
      <c r="LK97" s="16"/>
      <c r="LL97" s="16">
        <v>0.81</v>
      </c>
      <c r="LM97" s="16">
        <v>0.8</v>
      </c>
      <c r="LN97" s="16">
        <v>0</v>
      </c>
      <c r="LO97" s="16">
        <v>0</v>
      </c>
      <c r="LP97" s="16">
        <v>2.99</v>
      </c>
      <c r="LQ97" s="16">
        <v>5.71</v>
      </c>
      <c r="LR97" s="16">
        <v>0</v>
      </c>
      <c r="LS97">
        <v>0</v>
      </c>
      <c r="LT97" t="s">
        <v>373</v>
      </c>
      <c r="LU97">
        <v>27.5</v>
      </c>
      <c r="LV97" s="16">
        <v>79.099999999999994</v>
      </c>
      <c r="LW97" s="16">
        <v>80.400000000000006</v>
      </c>
      <c r="LX97" s="16">
        <v>15.3</v>
      </c>
      <c r="LY97">
        <v>87.64</v>
      </c>
      <c r="MA97">
        <v>0</v>
      </c>
      <c r="MB97">
        <v>0</v>
      </c>
      <c r="MC97">
        <v>12.36</v>
      </c>
      <c r="MD97">
        <v>0</v>
      </c>
      <c r="ME97">
        <v>0</v>
      </c>
      <c r="MG97">
        <v>0</v>
      </c>
      <c r="MH97">
        <v>0</v>
      </c>
      <c r="MI97">
        <v>0</v>
      </c>
      <c r="MJ97">
        <v>24.9</v>
      </c>
      <c r="MK97">
        <v>31.79</v>
      </c>
      <c r="ML97">
        <v>18.86</v>
      </c>
      <c r="MM97">
        <v>0</v>
      </c>
      <c r="MN97">
        <v>0</v>
      </c>
      <c r="MO97">
        <v>4.8</v>
      </c>
      <c r="MP97">
        <v>5</v>
      </c>
      <c r="MQ97">
        <v>50</v>
      </c>
      <c r="MR97">
        <v>4</v>
      </c>
      <c r="MW97">
        <v>50</v>
      </c>
      <c r="MX97">
        <v>4</v>
      </c>
      <c r="NC97">
        <v>5.5</v>
      </c>
      <c r="ND97">
        <v>0</v>
      </c>
      <c r="NO97" s="20"/>
      <c r="OG97">
        <v>1</v>
      </c>
      <c r="OH97">
        <v>50</v>
      </c>
      <c r="OI97">
        <v>4</v>
      </c>
      <c r="OJ97">
        <v>3.59</v>
      </c>
      <c r="OK97">
        <v>3</v>
      </c>
      <c r="OL97">
        <v>70</v>
      </c>
      <c r="OM97">
        <v>14</v>
      </c>
      <c r="ON97">
        <v>4.93</v>
      </c>
      <c r="OO97">
        <v>2</v>
      </c>
      <c r="PR97" s="16">
        <v>0.75</v>
      </c>
      <c r="PS97" s="16">
        <v>1</v>
      </c>
      <c r="PT97" s="16">
        <v>1</v>
      </c>
      <c r="PU97" s="16"/>
      <c r="PV97" s="16">
        <v>9.9600000000000009</v>
      </c>
      <c r="PW97" s="16"/>
      <c r="PX97" s="16"/>
      <c r="PY97" s="16"/>
      <c r="PZ97" s="16"/>
      <c r="QA97" s="16"/>
      <c r="QB97" s="16"/>
      <c r="QC97" s="16">
        <v>0</v>
      </c>
      <c r="QD97" s="16">
        <v>0</v>
      </c>
      <c r="QE97" s="16">
        <v>0</v>
      </c>
      <c r="QF97" s="16">
        <v>0</v>
      </c>
      <c r="QG97" s="16">
        <v>0</v>
      </c>
      <c r="QH97" s="16">
        <v>0</v>
      </c>
      <c r="QI97" s="16">
        <v>0</v>
      </c>
      <c r="QJ97">
        <v>0</v>
      </c>
      <c r="QK97" t="s">
        <v>357</v>
      </c>
      <c r="QL97">
        <v>27.5</v>
      </c>
      <c r="QM97" s="16">
        <v>76.2</v>
      </c>
      <c r="QN97" s="16">
        <v>80.400000000000006</v>
      </c>
      <c r="QO97" s="16">
        <v>15.3</v>
      </c>
      <c r="QP97">
        <v>87.64</v>
      </c>
      <c r="QR97">
        <v>0</v>
      </c>
      <c r="QS97">
        <v>0</v>
      </c>
      <c r="QT97">
        <v>12.36</v>
      </c>
      <c r="QU97">
        <v>0</v>
      </c>
      <c r="QV97">
        <v>0</v>
      </c>
      <c r="QX97">
        <v>0</v>
      </c>
      <c r="QY97">
        <v>0</v>
      </c>
      <c r="QZ97">
        <v>0</v>
      </c>
      <c r="RA97">
        <v>24.9</v>
      </c>
      <c r="RB97">
        <v>31.99</v>
      </c>
      <c r="RC97">
        <v>18.66</v>
      </c>
      <c r="RD97">
        <v>0</v>
      </c>
      <c r="RE97">
        <v>0</v>
      </c>
      <c r="RF97">
        <v>4.8</v>
      </c>
      <c r="RG97">
        <v>5</v>
      </c>
      <c r="RH97">
        <v>50</v>
      </c>
      <c r="RI97">
        <v>4</v>
      </c>
      <c r="RN97">
        <v>50</v>
      </c>
      <c r="RO97">
        <v>4</v>
      </c>
      <c r="RT97">
        <v>5.5</v>
      </c>
      <c r="RU97">
        <v>0</v>
      </c>
      <c r="SF97" s="20"/>
      <c r="SX97">
        <v>1</v>
      </c>
      <c r="SY97">
        <v>50</v>
      </c>
      <c r="SZ97">
        <v>4</v>
      </c>
      <c r="TA97">
        <v>3.59</v>
      </c>
      <c r="TB97">
        <v>3</v>
      </c>
      <c r="TC97">
        <v>70</v>
      </c>
      <c r="TD97">
        <v>14</v>
      </c>
      <c r="TE97">
        <v>4.93</v>
      </c>
      <c r="TF97">
        <v>2</v>
      </c>
      <c r="UI97" s="16">
        <v>0.75</v>
      </c>
      <c r="UJ97" s="16">
        <v>1</v>
      </c>
      <c r="UK97" s="16">
        <v>1</v>
      </c>
      <c r="UL97" s="16"/>
      <c r="UM97" s="16">
        <v>9.9600000000000009</v>
      </c>
      <c r="UN97" s="16"/>
      <c r="UO97" s="16"/>
      <c r="UP97" s="16"/>
      <c r="UQ97" s="16"/>
      <c r="UR97" s="16"/>
      <c r="US97" s="16"/>
      <c r="UT97" s="16">
        <v>0</v>
      </c>
      <c r="UU97" s="16">
        <v>0</v>
      </c>
      <c r="UV97" s="16">
        <v>0</v>
      </c>
      <c r="UW97" s="16">
        <v>0</v>
      </c>
      <c r="UX97" s="16">
        <v>0</v>
      </c>
      <c r="UY97" s="16">
        <v>0</v>
      </c>
      <c r="UZ97" s="16">
        <v>0</v>
      </c>
      <c r="VA97">
        <v>0</v>
      </c>
      <c r="VE97" s="15"/>
      <c r="VF97" s="15"/>
      <c r="VM97" s="15"/>
      <c r="VN97" s="15"/>
      <c r="VU97" s="15"/>
      <c r="VV97" s="15"/>
      <c r="WC97" s="15"/>
      <c r="WD97" s="15"/>
      <c r="WK97" s="15"/>
      <c r="WL97" s="15"/>
      <c r="WS97" s="15"/>
      <c r="WT97" s="15"/>
      <c r="XA97" s="15"/>
      <c r="XB97" s="15"/>
      <c r="XI97" s="15"/>
      <c r="XJ97" s="15"/>
      <c r="XQ97" s="15"/>
      <c r="XR97" s="15"/>
      <c r="XY97" s="15"/>
      <c r="XZ97" s="15"/>
      <c r="YG97" s="15"/>
      <c r="YH97" s="15"/>
      <c r="YO97" s="15"/>
      <c r="YP97" s="15"/>
      <c r="YW97" s="15"/>
      <c r="YX97" s="15"/>
      <c r="ZE97" s="15"/>
      <c r="ZF97" s="15"/>
      <c r="ZM97" s="15"/>
      <c r="ZN97" s="15"/>
      <c r="ZU97" s="15"/>
      <c r="ZV97" s="15"/>
      <c r="AAC97" s="15"/>
      <c r="AAD97" s="15"/>
      <c r="AAK97" s="15"/>
      <c r="AAL97" s="15"/>
      <c r="AAS97" s="15"/>
      <c r="AAT97" s="15"/>
      <c r="ABA97" s="15"/>
      <c r="ABB97" s="15"/>
      <c r="ABI97" s="15"/>
      <c r="ABJ97" s="15"/>
      <c r="ABQ97" s="15"/>
      <c r="ABR97" s="15"/>
      <c r="ABY97" s="15"/>
      <c r="ABZ97" s="15"/>
      <c r="ACG97" s="15"/>
      <c r="ACH97" s="15"/>
      <c r="ACO97" s="15"/>
      <c r="ACP97" s="15"/>
      <c r="ACW97" s="15"/>
      <c r="ACX97" s="15"/>
      <c r="ADE97" s="15"/>
      <c r="ADF97" s="15"/>
      <c r="ADM97" s="15"/>
      <c r="ADN97" s="15"/>
      <c r="ADU97" s="15"/>
      <c r="ADV97" s="15"/>
      <c r="AEC97" s="15"/>
      <c r="AED97" s="15"/>
      <c r="AEK97" s="15"/>
      <c r="AEL97" s="15"/>
      <c r="AES97" s="15"/>
      <c r="AET97" s="15"/>
      <c r="AFA97" s="15"/>
      <c r="AFB97" s="15"/>
      <c r="AFI97" s="15"/>
      <c r="AFJ97" s="15"/>
      <c r="AFQ97" s="15"/>
      <c r="AFR97" s="15"/>
      <c r="AFY97" s="15"/>
      <c r="AFZ97" s="15"/>
      <c r="AGG97" s="15"/>
      <c r="AGH97" s="15"/>
      <c r="AGO97" s="15"/>
      <c r="AGP97" s="15"/>
      <c r="AGW97" s="15"/>
      <c r="AGX97" s="15"/>
      <c r="AHE97" s="15"/>
      <c r="AHF97" s="15"/>
      <c r="AHM97" s="15"/>
      <c r="AHN97" s="15"/>
      <c r="AHU97" s="15"/>
      <c r="AHV97" s="15"/>
      <c r="AIC97" s="15"/>
      <c r="AID97" s="15"/>
      <c r="AIK97" s="15"/>
      <c r="AIL97" s="15"/>
      <c r="AIS97" s="15"/>
      <c r="AIT97" s="15"/>
      <c r="AJA97" s="15"/>
      <c r="AJB97" s="15"/>
      <c r="AJI97" s="15"/>
      <c r="AJJ97" s="15"/>
      <c r="AJQ97" s="15"/>
      <c r="AJR97" s="15"/>
      <c r="AJY97" s="15"/>
      <c r="AJZ97" s="15"/>
      <c r="AKG97" s="15"/>
      <c r="AKH97" s="15"/>
      <c r="AKO97" s="15"/>
      <c r="AKP97" s="15"/>
      <c r="AKW97" s="15"/>
      <c r="AKX97" s="15"/>
      <c r="ALE97" s="15"/>
      <c r="ALF97" s="15"/>
      <c r="ALM97" s="15"/>
      <c r="ALN97" s="15"/>
      <c r="ALU97" s="15"/>
      <c r="ALV97" s="15"/>
      <c r="AMC97" s="15"/>
      <c r="AMD97" s="15"/>
    </row>
    <row r="98" spans="1:1018" x14ac:dyDescent="0.2">
      <c r="A98" s="1" t="s">
        <v>485</v>
      </c>
      <c r="B98" s="12">
        <v>42894</v>
      </c>
      <c r="C98">
        <v>2</v>
      </c>
      <c r="D98" s="13">
        <v>35486</v>
      </c>
      <c r="E98" s="12">
        <v>23392</v>
      </c>
      <c r="F98" s="14">
        <f t="shared" si="42"/>
        <v>53.393566050650243</v>
      </c>
      <c r="G98" s="14">
        <f t="shared" si="43"/>
        <v>20.281998631074607</v>
      </c>
      <c r="H98" s="15" t="s">
        <v>183</v>
      </c>
      <c r="I98" s="15" t="s">
        <v>347</v>
      </c>
      <c r="J98" s="15" t="s">
        <v>183</v>
      </c>
      <c r="K98" s="21">
        <v>8</v>
      </c>
      <c r="L98" s="19">
        <v>78</v>
      </c>
      <c r="M98">
        <v>1.82</v>
      </c>
      <c r="N98" s="16">
        <f t="shared" si="44"/>
        <v>23.547880690737831</v>
      </c>
      <c r="O98" s="19">
        <v>0</v>
      </c>
      <c r="P98" s="19">
        <v>0</v>
      </c>
      <c r="Q98" s="19">
        <v>0</v>
      </c>
      <c r="R98" s="19">
        <v>0</v>
      </c>
      <c r="S98" s="19">
        <v>0</v>
      </c>
      <c r="T98" s="19">
        <v>0</v>
      </c>
      <c r="U98" s="19">
        <v>1</v>
      </c>
      <c r="V98" s="19">
        <v>4</v>
      </c>
      <c r="W98" s="19">
        <v>0</v>
      </c>
      <c r="X98" s="19">
        <v>1</v>
      </c>
      <c r="Y98" s="19">
        <v>1</v>
      </c>
      <c r="Z98" s="19">
        <v>1</v>
      </c>
      <c r="AA98" s="19">
        <v>60</v>
      </c>
      <c r="AB98" s="19" t="s">
        <v>486</v>
      </c>
      <c r="AC98" s="19">
        <v>1</v>
      </c>
      <c r="AD98" s="19">
        <v>10</v>
      </c>
      <c r="AE98" s="19">
        <v>1</v>
      </c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>
        <v>3</v>
      </c>
      <c r="AU98" s="19"/>
      <c r="AV98" s="19"/>
      <c r="AW98" s="19"/>
      <c r="AX98" s="19"/>
      <c r="AY98" s="19"/>
      <c r="AZ98" s="19"/>
      <c r="BA98" s="19"/>
      <c r="BB98" s="19"/>
      <c r="BC98" s="19">
        <v>1</v>
      </c>
      <c r="BD98" s="19"/>
      <c r="BE98" s="19"/>
      <c r="BF98" s="19"/>
      <c r="BG98" s="19"/>
      <c r="BH98" s="19"/>
      <c r="BI98" s="19"/>
      <c r="BJ98" s="19"/>
      <c r="BK98" s="19"/>
      <c r="BL98" s="19"/>
      <c r="BM98" s="19"/>
      <c r="BN98" s="19"/>
      <c r="BO98" s="19"/>
      <c r="BP98" s="19"/>
      <c r="BQ98" s="19"/>
      <c r="BR98" s="19">
        <v>3</v>
      </c>
      <c r="BS98" s="19">
        <v>3</v>
      </c>
      <c r="BT98" s="19">
        <v>5</v>
      </c>
      <c r="BU98" s="19">
        <v>5</v>
      </c>
      <c r="BV98" s="19">
        <v>3</v>
      </c>
      <c r="BW98" s="19">
        <v>4</v>
      </c>
      <c r="BX98" s="19">
        <v>3</v>
      </c>
      <c r="BY98" s="19">
        <v>3</v>
      </c>
      <c r="BZ98" s="19">
        <v>2</v>
      </c>
      <c r="CA98" s="19">
        <v>3</v>
      </c>
      <c r="CB98" s="19">
        <v>5</v>
      </c>
      <c r="CC98" s="19">
        <v>5</v>
      </c>
      <c r="CD98" s="19">
        <v>3</v>
      </c>
      <c r="CE98" s="19">
        <v>4</v>
      </c>
      <c r="CF98" s="19">
        <v>5</v>
      </c>
      <c r="CG98" s="19">
        <v>3</v>
      </c>
      <c r="CH98" s="19">
        <v>4</v>
      </c>
      <c r="CI98" s="19">
        <v>3</v>
      </c>
      <c r="CJ98" s="19">
        <v>4</v>
      </c>
      <c r="CK98" s="19">
        <v>8</v>
      </c>
      <c r="CL98" t="s">
        <v>355</v>
      </c>
      <c r="CM98">
        <v>37</v>
      </c>
      <c r="CN98" s="16">
        <v>95.1</v>
      </c>
      <c r="CO98" s="16">
        <v>80.400000000000006</v>
      </c>
      <c r="CP98" s="16">
        <v>15.9</v>
      </c>
      <c r="CQ98">
        <v>82.71</v>
      </c>
      <c r="CR98" s="17">
        <v>0</v>
      </c>
      <c r="CS98">
        <v>10.32</v>
      </c>
      <c r="CT98">
        <v>0.39</v>
      </c>
      <c r="CU98">
        <v>10.32</v>
      </c>
      <c r="CV98">
        <v>0</v>
      </c>
      <c r="CW98">
        <v>0</v>
      </c>
      <c r="CY98">
        <v>0</v>
      </c>
      <c r="CZ98">
        <v>0</v>
      </c>
      <c r="DA98">
        <v>0</v>
      </c>
      <c r="DB98">
        <v>1.9</v>
      </c>
      <c r="DC98">
        <v>26.26</v>
      </c>
      <c r="DD98">
        <v>6.04</v>
      </c>
      <c r="DE98">
        <v>2.19</v>
      </c>
      <c r="DF98">
        <v>0</v>
      </c>
      <c r="DG98">
        <v>0</v>
      </c>
      <c r="DH98">
        <v>0</v>
      </c>
      <c r="DU98">
        <v>14.7</v>
      </c>
      <c r="DV98">
        <v>1</v>
      </c>
      <c r="DW98">
        <v>35</v>
      </c>
      <c r="DX98">
        <v>2</v>
      </c>
      <c r="DY98">
        <v>1.8</v>
      </c>
      <c r="DZ98">
        <v>3</v>
      </c>
      <c r="EG98" s="20"/>
      <c r="EY98">
        <v>1</v>
      </c>
      <c r="EZ98">
        <v>50</v>
      </c>
      <c r="FA98">
        <v>1</v>
      </c>
      <c r="FB98">
        <v>1.34</v>
      </c>
      <c r="FC98">
        <v>2</v>
      </c>
      <c r="FD98">
        <v>40</v>
      </c>
      <c r="FE98">
        <v>1</v>
      </c>
      <c r="FF98">
        <v>0.9</v>
      </c>
      <c r="FG98">
        <v>3</v>
      </c>
      <c r="FH98">
        <v>50</v>
      </c>
      <c r="FI98">
        <v>1</v>
      </c>
      <c r="FJ98">
        <v>0.9</v>
      </c>
      <c r="FK98">
        <v>3</v>
      </c>
      <c r="FL98">
        <v>80</v>
      </c>
      <c r="FM98">
        <v>2</v>
      </c>
      <c r="FN98">
        <v>2.68</v>
      </c>
      <c r="FO98">
        <v>2</v>
      </c>
      <c r="FP98">
        <v>100</v>
      </c>
      <c r="FQ98">
        <v>1</v>
      </c>
      <c r="FR98">
        <v>2.57</v>
      </c>
      <c r="FS98">
        <v>2</v>
      </c>
      <c r="GJ98">
        <v>0</v>
      </c>
      <c r="GK98" s="19">
        <v>0</v>
      </c>
      <c r="GL98" s="19"/>
      <c r="GM98" s="13"/>
      <c r="GN98" s="13"/>
      <c r="GO98" s="19"/>
      <c r="GP98" s="13"/>
      <c r="GQ98" s="13"/>
      <c r="GR98" s="13"/>
      <c r="GS98" s="13"/>
      <c r="GT98" s="13"/>
      <c r="GU98" s="16">
        <v>5.1100000000000003</v>
      </c>
      <c r="GV98">
        <v>4.8099999999999996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 t="s">
        <v>363</v>
      </c>
      <c r="HD98">
        <v>34.5</v>
      </c>
      <c r="HE98" s="16">
        <v>88.3</v>
      </c>
      <c r="HF98" s="16">
        <v>80.400000000000006</v>
      </c>
      <c r="HG98" s="16">
        <v>22.8</v>
      </c>
      <c r="HH98">
        <v>73.89</v>
      </c>
      <c r="HI98" s="17">
        <v>0</v>
      </c>
      <c r="HJ98">
        <v>14.94</v>
      </c>
      <c r="HK98">
        <v>0.5</v>
      </c>
      <c r="HL98">
        <v>10.66</v>
      </c>
      <c r="HM98">
        <v>0</v>
      </c>
      <c r="HN98">
        <v>0</v>
      </c>
      <c r="HP98">
        <v>0</v>
      </c>
      <c r="HQ98">
        <v>0</v>
      </c>
      <c r="HR98">
        <v>0</v>
      </c>
      <c r="HS98">
        <v>0</v>
      </c>
      <c r="HT98">
        <v>46.29</v>
      </c>
      <c r="HU98">
        <v>23.15</v>
      </c>
      <c r="HV98">
        <v>0</v>
      </c>
      <c r="HW98">
        <v>0</v>
      </c>
      <c r="HX98">
        <v>0</v>
      </c>
      <c r="HY98">
        <v>0</v>
      </c>
      <c r="IL98">
        <v>2.8</v>
      </c>
      <c r="IM98">
        <v>1</v>
      </c>
      <c r="IN98">
        <v>35</v>
      </c>
      <c r="IO98">
        <v>1</v>
      </c>
      <c r="IP98">
        <v>0.5</v>
      </c>
      <c r="IQ98">
        <v>3</v>
      </c>
      <c r="IX98" s="20"/>
      <c r="JP98">
        <v>1</v>
      </c>
      <c r="JQ98">
        <v>60</v>
      </c>
      <c r="JR98">
        <v>4</v>
      </c>
      <c r="JS98">
        <v>0.54</v>
      </c>
      <c r="JT98">
        <v>3</v>
      </c>
      <c r="LA98" s="16">
        <v>3.05</v>
      </c>
      <c r="LB98" s="16">
        <v>1</v>
      </c>
      <c r="LC98" s="16">
        <v>1</v>
      </c>
      <c r="LD98" s="16">
        <v>5</v>
      </c>
      <c r="LE98" s="16">
        <v>8.7100000000000009</v>
      </c>
      <c r="LF98" s="16">
        <v>2</v>
      </c>
      <c r="LG98" s="16">
        <v>25</v>
      </c>
      <c r="LH98" s="16">
        <v>12.44</v>
      </c>
      <c r="LI98" s="16"/>
      <c r="LJ98" s="16"/>
      <c r="LK98" s="16"/>
      <c r="LL98" s="16">
        <v>4.5</v>
      </c>
      <c r="LM98" s="16">
        <v>1.2</v>
      </c>
      <c r="LN98" s="16">
        <v>0</v>
      </c>
      <c r="LO98" s="16">
        <v>0</v>
      </c>
      <c r="LP98" s="16">
        <v>0</v>
      </c>
      <c r="LQ98" s="16">
        <v>0</v>
      </c>
      <c r="LR98" s="16">
        <v>0</v>
      </c>
      <c r="LS98">
        <v>0</v>
      </c>
      <c r="LT98" t="s">
        <v>364</v>
      </c>
      <c r="LU98">
        <v>32</v>
      </c>
      <c r="LV98" s="16">
        <v>75</v>
      </c>
      <c r="LW98" s="16">
        <v>80.400000000000006</v>
      </c>
      <c r="LX98" s="16">
        <v>22.6</v>
      </c>
      <c r="LY98">
        <v>76.239999999999995</v>
      </c>
      <c r="LZ98" s="17">
        <v>0</v>
      </c>
      <c r="MA98">
        <v>15.36</v>
      </c>
      <c r="MB98">
        <v>1.93</v>
      </c>
      <c r="MC98">
        <v>6.47</v>
      </c>
      <c r="MD98">
        <v>0</v>
      </c>
      <c r="ME98">
        <v>0</v>
      </c>
      <c r="MG98">
        <v>0</v>
      </c>
      <c r="MH98">
        <v>0</v>
      </c>
      <c r="MI98">
        <v>0</v>
      </c>
      <c r="MJ98">
        <v>0</v>
      </c>
      <c r="MK98">
        <v>32.86</v>
      </c>
      <c r="ML98">
        <v>26.39</v>
      </c>
      <c r="MM98">
        <v>0</v>
      </c>
      <c r="MN98">
        <v>0</v>
      </c>
      <c r="MO98">
        <v>0</v>
      </c>
      <c r="MP98">
        <v>0</v>
      </c>
      <c r="NC98">
        <v>5.6</v>
      </c>
      <c r="ND98">
        <v>1</v>
      </c>
      <c r="NE98">
        <v>35</v>
      </c>
      <c r="NF98">
        <v>1</v>
      </c>
      <c r="NG98">
        <v>0.5</v>
      </c>
      <c r="NH98">
        <v>3</v>
      </c>
      <c r="NO98" s="20"/>
      <c r="OG98">
        <v>1</v>
      </c>
      <c r="OH98">
        <v>60</v>
      </c>
      <c r="OI98">
        <v>5</v>
      </c>
      <c r="OJ98">
        <v>3.13</v>
      </c>
      <c r="OK98">
        <v>2</v>
      </c>
      <c r="OL98">
        <v>50</v>
      </c>
      <c r="OM98">
        <v>2</v>
      </c>
      <c r="ON98">
        <v>0.67</v>
      </c>
      <c r="OO98">
        <v>2</v>
      </c>
      <c r="PR98" s="16">
        <v>1.43</v>
      </c>
      <c r="PS98" s="16">
        <v>1</v>
      </c>
      <c r="PT98" s="16">
        <v>1</v>
      </c>
      <c r="PU98" s="16">
        <v>4</v>
      </c>
      <c r="PV98" s="16">
        <v>17.43</v>
      </c>
      <c r="PW98" s="16"/>
      <c r="PX98" s="16"/>
      <c r="PY98" s="16"/>
      <c r="PZ98" s="16"/>
      <c r="QA98" s="16"/>
      <c r="QB98" s="16"/>
      <c r="QC98" s="16">
        <v>1.7</v>
      </c>
      <c r="QD98" s="16">
        <v>1.7</v>
      </c>
      <c r="QE98" s="16">
        <v>0</v>
      </c>
      <c r="QF98" s="16">
        <v>0</v>
      </c>
      <c r="QG98" s="16">
        <v>0</v>
      </c>
      <c r="QH98" s="16">
        <v>0</v>
      </c>
      <c r="QI98" s="16">
        <v>0</v>
      </c>
      <c r="QJ98">
        <v>0</v>
      </c>
      <c r="QK98" t="s">
        <v>350</v>
      </c>
      <c r="QL98">
        <v>75</v>
      </c>
      <c r="QM98" s="16">
        <v>87.9</v>
      </c>
      <c r="QN98" s="16">
        <v>80.400000000000006</v>
      </c>
      <c r="QO98" s="16">
        <v>45.2</v>
      </c>
      <c r="QP98">
        <v>50.83</v>
      </c>
      <c r="QQ98">
        <v>0.05</v>
      </c>
      <c r="QR98">
        <v>46.44</v>
      </c>
      <c r="QS98">
        <v>2.67</v>
      </c>
      <c r="QT98">
        <v>0</v>
      </c>
      <c r="QU98">
        <v>0</v>
      </c>
      <c r="QV98">
        <v>0</v>
      </c>
      <c r="QX98">
        <v>0</v>
      </c>
      <c r="QY98">
        <v>0</v>
      </c>
      <c r="QZ98">
        <v>0</v>
      </c>
      <c r="RA98">
        <v>0</v>
      </c>
      <c r="RB98">
        <v>25.21</v>
      </c>
      <c r="RC98">
        <v>43.57</v>
      </c>
      <c r="RD98">
        <v>6.27</v>
      </c>
      <c r="RE98">
        <v>0</v>
      </c>
      <c r="RF98">
        <v>0</v>
      </c>
      <c r="RG98">
        <v>0</v>
      </c>
      <c r="RT98">
        <v>17.8</v>
      </c>
      <c r="RU98">
        <v>1</v>
      </c>
      <c r="RV98">
        <v>35</v>
      </c>
      <c r="RW98">
        <v>9</v>
      </c>
      <c r="RX98">
        <v>2.5499999999999998</v>
      </c>
      <c r="RY98">
        <v>3</v>
      </c>
      <c r="SF98" s="20"/>
      <c r="SX98">
        <v>1</v>
      </c>
      <c r="SY98">
        <v>50</v>
      </c>
      <c r="SZ98">
        <v>8</v>
      </c>
      <c r="TA98">
        <v>2.12</v>
      </c>
      <c r="TB98">
        <v>3</v>
      </c>
      <c r="UI98" s="16">
        <v>3.43</v>
      </c>
      <c r="UJ98" s="16">
        <v>1</v>
      </c>
      <c r="UK98" s="16">
        <v>1</v>
      </c>
      <c r="UL98" s="16"/>
      <c r="UM98" s="16">
        <v>26.11</v>
      </c>
      <c r="UN98" s="16">
        <v>2</v>
      </c>
      <c r="UO98" s="16"/>
      <c r="UP98" s="16">
        <v>11.19</v>
      </c>
      <c r="UQ98" s="16"/>
      <c r="UR98" s="16"/>
      <c r="US98" s="16"/>
      <c r="UT98" s="16">
        <v>6.39</v>
      </c>
      <c r="UU98" s="16">
        <v>3.31</v>
      </c>
      <c r="UV98" s="16">
        <v>0</v>
      </c>
      <c r="UW98" s="16">
        <v>0</v>
      </c>
      <c r="UX98" s="16">
        <v>0</v>
      </c>
      <c r="UY98" s="16">
        <v>0</v>
      </c>
      <c r="UZ98" s="16">
        <v>0</v>
      </c>
      <c r="VA98">
        <v>0</v>
      </c>
      <c r="VB98" t="s">
        <v>361</v>
      </c>
      <c r="VC98">
        <v>74.5</v>
      </c>
      <c r="VD98" s="16">
        <v>76.2</v>
      </c>
      <c r="VE98" s="16">
        <v>80.400000000000006</v>
      </c>
      <c r="VF98" s="16">
        <v>42.8</v>
      </c>
      <c r="VG98">
        <v>57.15</v>
      </c>
      <c r="VH98">
        <v>0.45</v>
      </c>
      <c r="VI98">
        <v>39.090000000000003</v>
      </c>
      <c r="VJ98">
        <v>3.3</v>
      </c>
      <c r="VK98">
        <v>0</v>
      </c>
      <c r="VL98">
        <v>0</v>
      </c>
      <c r="VM98">
        <v>0</v>
      </c>
      <c r="VO98">
        <v>0</v>
      </c>
      <c r="VP98">
        <v>0</v>
      </c>
      <c r="VQ98">
        <v>0</v>
      </c>
      <c r="VR98">
        <v>0</v>
      </c>
      <c r="VS98">
        <v>18.260000000000002</v>
      </c>
      <c r="VT98">
        <v>34.4</v>
      </c>
      <c r="VU98">
        <v>6.27</v>
      </c>
      <c r="VV98">
        <v>0</v>
      </c>
      <c r="VW98">
        <v>0</v>
      </c>
      <c r="VX98">
        <v>0</v>
      </c>
      <c r="WK98">
        <v>18.2</v>
      </c>
      <c r="WL98">
        <v>1</v>
      </c>
      <c r="WM98">
        <v>35</v>
      </c>
      <c r="WN98">
        <v>9</v>
      </c>
      <c r="WO98">
        <v>2.5499999999999998</v>
      </c>
      <c r="WP98">
        <v>3</v>
      </c>
      <c r="WW98" s="20"/>
      <c r="XO98">
        <v>1</v>
      </c>
      <c r="XP98">
        <v>50</v>
      </c>
      <c r="XQ98">
        <v>8</v>
      </c>
      <c r="XR98">
        <v>2.54</v>
      </c>
      <c r="XS98">
        <v>3</v>
      </c>
      <c r="YZ98" s="16">
        <v>7.59</v>
      </c>
      <c r="ZA98" s="16">
        <v>1</v>
      </c>
      <c r="ZB98" s="16">
        <v>1</v>
      </c>
      <c r="ZC98" s="16"/>
      <c r="ZD98" s="16">
        <v>22.38</v>
      </c>
      <c r="ZE98" s="16">
        <v>2</v>
      </c>
      <c r="ZF98" s="16"/>
      <c r="ZG98" s="16">
        <v>14.92</v>
      </c>
      <c r="ZH98" s="16"/>
      <c r="ZI98" s="16"/>
      <c r="ZJ98" s="16"/>
      <c r="ZK98" s="16">
        <v>5.05</v>
      </c>
      <c r="ZL98" s="16">
        <v>1.54</v>
      </c>
      <c r="ZM98" s="16">
        <v>0</v>
      </c>
      <c r="ZN98" s="16">
        <v>0</v>
      </c>
      <c r="ZO98" s="16">
        <v>0</v>
      </c>
      <c r="ZP98" s="16">
        <v>0</v>
      </c>
      <c r="ZQ98" s="16">
        <v>0</v>
      </c>
      <c r="ZR98">
        <v>0</v>
      </c>
      <c r="ZS98" t="s">
        <v>365</v>
      </c>
      <c r="ZT98">
        <v>75</v>
      </c>
      <c r="ZU98" s="16">
        <v>76.8</v>
      </c>
      <c r="ZV98" s="16">
        <v>80.400000000000006</v>
      </c>
      <c r="ZW98" s="16">
        <v>30.8</v>
      </c>
      <c r="ZX98">
        <v>74.739999999999995</v>
      </c>
      <c r="ZY98" s="17">
        <v>0</v>
      </c>
      <c r="ZZ98">
        <v>4.24</v>
      </c>
      <c r="AAA98">
        <v>16.45</v>
      </c>
      <c r="AAB98">
        <v>4.57</v>
      </c>
      <c r="AAC98">
        <v>0</v>
      </c>
      <c r="AAD98">
        <v>0</v>
      </c>
      <c r="AAF98">
        <v>0</v>
      </c>
      <c r="AAG98">
        <v>0</v>
      </c>
      <c r="AAH98">
        <v>0</v>
      </c>
      <c r="AAI98">
        <v>0</v>
      </c>
      <c r="AAJ98">
        <v>35.229999999999997</v>
      </c>
      <c r="AAK98">
        <v>6.53</v>
      </c>
      <c r="AAL98">
        <v>4.97</v>
      </c>
      <c r="AAM98">
        <v>0</v>
      </c>
      <c r="AAN98">
        <v>0</v>
      </c>
      <c r="AAO98">
        <v>0</v>
      </c>
      <c r="ABB98">
        <v>38.4</v>
      </c>
      <c r="ABC98">
        <v>1</v>
      </c>
      <c r="ABD98">
        <v>47</v>
      </c>
      <c r="ABE98">
        <v>7</v>
      </c>
      <c r="ABF98">
        <v>5.33</v>
      </c>
      <c r="ABG98">
        <v>3</v>
      </c>
      <c r="ABN98" s="20"/>
      <c r="ACF98">
        <v>0</v>
      </c>
      <c r="ADQ98" s="16">
        <v>2.02</v>
      </c>
      <c r="ADR98" s="16">
        <v>1</v>
      </c>
      <c r="ADS98" s="16">
        <v>1</v>
      </c>
      <c r="ADT98" s="16"/>
      <c r="ADU98" s="16">
        <v>9.9499999999999993</v>
      </c>
      <c r="ADV98" s="16">
        <v>2</v>
      </c>
      <c r="ADW98" s="16"/>
      <c r="ADX98" s="16">
        <v>9.9499999999999993</v>
      </c>
      <c r="ADY98" s="16"/>
      <c r="ADZ98" s="16"/>
      <c r="AEA98" s="16"/>
      <c r="AEB98" s="16">
        <v>0</v>
      </c>
      <c r="AEC98" s="16">
        <v>0</v>
      </c>
      <c r="AED98" s="16">
        <v>0</v>
      </c>
      <c r="AEE98" s="16">
        <v>0</v>
      </c>
      <c r="AEF98" s="16">
        <v>0</v>
      </c>
      <c r="AEG98" s="16">
        <v>0</v>
      </c>
      <c r="AEH98" s="16">
        <v>0</v>
      </c>
      <c r="AEI98">
        <v>0</v>
      </c>
      <c r="AEJ98" t="s">
        <v>351</v>
      </c>
      <c r="AEK98">
        <v>30.5</v>
      </c>
      <c r="AEL98" s="16">
        <v>68.400000000000006</v>
      </c>
      <c r="AEM98" s="16">
        <v>80.400000000000006</v>
      </c>
      <c r="AEN98" s="16">
        <v>19.8</v>
      </c>
      <c r="AEO98">
        <v>72.42</v>
      </c>
      <c r="AEP98" s="17">
        <v>0</v>
      </c>
      <c r="AEQ98">
        <v>0.94</v>
      </c>
      <c r="AER98">
        <v>0.94</v>
      </c>
      <c r="AES98">
        <v>25.7</v>
      </c>
      <c r="AET98">
        <v>0</v>
      </c>
      <c r="AEU98">
        <v>0</v>
      </c>
      <c r="AEW98">
        <v>0</v>
      </c>
      <c r="AEX98">
        <v>0</v>
      </c>
      <c r="AEY98">
        <v>0</v>
      </c>
      <c r="AEZ98">
        <v>0</v>
      </c>
      <c r="AFA98">
        <v>28.26</v>
      </c>
      <c r="AFB98">
        <v>10.55</v>
      </c>
      <c r="AFC98">
        <v>14.21</v>
      </c>
      <c r="AFD98">
        <v>0</v>
      </c>
      <c r="AFE98">
        <v>0</v>
      </c>
      <c r="AFF98">
        <v>0</v>
      </c>
      <c r="AFS98">
        <v>3.3</v>
      </c>
      <c r="AFT98">
        <v>1</v>
      </c>
      <c r="AFU98">
        <v>68</v>
      </c>
      <c r="AFV98">
        <v>2</v>
      </c>
      <c r="AFW98">
        <v>1.52</v>
      </c>
      <c r="AFX98">
        <v>1</v>
      </c>
      <c r="AGE98" s="20"/>
      <c r="AGW98">
        <v>0</v>
      </c>
      <c r="AIH98" s="16">
        <v>0</v>
      </c>
      <c r="AII98" s="16">
        <v>0</v>
      </c>
      <c r="AIJ98" s="16"/>
      <c r="AIK98" s="16"/>
      <c r="AIL98" s="16"/>
      <c r="AIM98" s="16"/>
      <c r="AIN98" s="16"/>
      <c r="AIO98" s="16"/>
      <c r="AIP98" s="16"/>
      <c r="AIQ98" s="16"/>
      <c r="AIR98" s="16"/>
      <c r="AIS98" s="16">
        <v>0.81</v>
      </c>
      <c r="AIT98" s="16">
        <v>0.8</v>
      </c>
      <c r="AIU98" s="16">
        <v>0</v>
      </c>
      <c r="AIV98" s="16">
        <v>0</v>
      </c>
      <c r="AIW98" s="16">
        <v>2.99</v>
      </c>
      <c r="AIX98" s="16">
        <v>5.71</v>
      </c>
      <c r="AIY98" s="16">
        <v>0</v>
      </c>
      <c r="AIZ98">
        <v>0</v>
      </c>
      <c r="AJA98" t="s">
        <v>356</v>
      </c>
      <c r="AJB98">
        <v>39.5</v>
      </c>
      <c r="AJC98" s="16">
        <v>85.1</v>
      </c>
      <c r="AJD98" s="16">
        <v>80.400000000000006</v>
      </c>
      <c r="AJE98" s="16">
        <v>13.6</v>
      </c>
      <c r="AJF98">
        <v>87.38</v>
      </c>
      <c r="AJG98" s="17">
        <v>0</v>
      </c>
      <c r="AJH98">
        <v>8.0500000000000007</v>
      </c>
      <c r="AJI98">
        <v>0</v>
      </c>
      <c r="AJJ98">
        <v>4.57</v>
      </c>
      <c r="AJK98">
        <v>0</v>
      </c>
      <c r="AJL98">
        <v>0</v>
      </c>
      <c r="AJN98">
        <v>0</v>
      </c>
      <c r="AJO98">
        <v>0</v>
      </c>
      <c r="AJP98">
        <v>0</v>
      </c>
      <c r="AJQ98">
        <v>0</v>
      </c>
      <c r="AJR98">
        <v>45</v>
      </c>
      <c r="AJS98">
        <v>10.1</v>
      </c>
      <c r="AJT98">
        <v>11.8</v>
      </c>
      <c r="AJU98">
        <v>0</v>
      </c>
      <c r="AJV98">
        <v>0</v>
      </c>
      <c r="AJW98">
        <v>0</v>
      </c>
      <c r="AKJ98">
        <v>17.8</v>
      </c>
      <c r="AKK98">
        <v>1</v>
      </c>
      <c r="AKL98">
        <v>30</v>
      </c>
      <c r="AKM98">
        <v>7</v>
      </c>
      <c r="AKN98">
        <v>5.33</v>
      </c>
      <c r="AKO98">
        <v>3</v>
      </c>
      <c r="AKV98" s="20"/>
      <c r="ALN98">
        <v>1</v>
      </c>
      <c r="ALO98">
        <v>50</v>
      </c>
      <c r="ALP98">
        <v>1</v>
      </c>
      <c r="ALQ98">
        <v>0.03</v>
      </c>
      <c r="ALR98">
        <v>1</v>
      </c>
    </row>
    <row r="99" spans="1:1018" x14ac:dyDescent="0.2">
      <c r="A99" s="1" t="s">
        <v>487</v>
      </c>
      <c r="B99" s="12">
        <v>42893</v>
      </c>
      <c r="C99">
        <v>1</v>
      </c>
      <c r="D99" s="13">
        <v>42804</v>
      </c>
      <c r="E99" s="12">
        <v>34143</v>
      </c>
      <c r="F99" s="14">
        <f t="shared" si="42"/>
        <v>23.956194387405887</v>
      </c>
      <c r="G99" s="14">
        <f t="shared" si="43"/>
        <v>0.24366872005475701</v>
      </c>
      <c r="H99" s="15" t="s">
        <v>183</v>
      </c>
      <c r="I99" s="15" t="s">
        <v>347</v>
      </c>
      <c r="J99" s="15" t="s">
        <v>183</v>
      </c>
      <c r="K99" s="21">
        <v>4</v>
      </c>
      <c r="L99" s="19">
        <v>59</v>
      </c>
      <c r="M99">
        <v>1.58</v>
      </c>
      <c r="N99" s="16">
        <f t="shared" si="44"/>
        <v>23.634033007530842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1</v>
      </c>
      <c r="Z99" s="19">
        <v>1</v>
      </c>
      <c r="AA99" s="19">
        <v>60</v>
      </c>
      <c r="AB99" s="19" t="s">
        <v>308</v>
      </c>
      <c r="AC99" s="19">
        <v>0</v>
      </c>
      <c r="AD99" s="19">
        <v>0</v>
      </c>
      <c r="AE99" s="19">
        <v>0</v>
      </c>
      <c r="AF99" s="19">
        <v>0</v>
      </c>
      <c r="AG99" s="19">
        <v>0</v>
      </c>
      <c r="AH99" s="19">
        <v>0</v>
      </c>
      <c r="AI99" s="19">
        <v>0</v>
      </c>
      <c r="AJ99" s="19">
        <v>0</v>
      </c>
      <c r="AK99" s="19">
        <v>0</v>
      </c>
      <c r="AL99" s="19">
        <v>0</v>
      </c>
      <c r="AM99" s="19">
        <v>0</v>
      </c>
      <c r="AN99" s="19">
        <v>0</v>
      </c>
      <c r="AO99" s="19">
        <v>0</v>
      </c>
      <c r="AP99" s="19">
        <v>0</v>
      </c>
      <c r="AQ99" s="19">
        <v>0</v>
      </c>
      <c r="AR99" s="19">
        <v>0</v>
      </c>
      <c r="AS99" s="19">
        <v>0</v>
      </c>
      <c r="AT99" s="19">
        <v>0</v>
      </c>
      <c r="AU99" s="19">
        <v>0</v>
      </c>
      <c r="AV99" s="19">
        <v>0</v>
      </c>
      <c r="AW99" s="19">
        <v>0</v>
      </c>
      <c r="AX99" s="19">
        <v>0</v>
      </c>
      <c r="AY99" s="19">
        <v>0</v>
      </c>
      <c r="AZ99" s="19">
        <v>0</v>
      </c>
      <c r="BA99" s="19">
        <v>0</v>
      </c>
      <c r="BB99" s="19">
        <v>0</v>
      </c>
      <c r="BC99" s="19">
        <v>0</v>
      </c>
      <c r="BD99" s="19">
        <v>0</v>
      </c>
      <c r="BE99" s="19">
        <v>0</v>
      </c>
      <c r="BF99" s="19">
        <v>0</v>
      </c>
      <c r="BG99" s="19">
        <v>0</v>
      </c>
      <c r="BH99" s="19">
        <v>0</v>
      </c>
      <c r="BI99" s="19">
        <v>0</v>
      </c>
      <c r="BJ99" s="19">
        <v>0</v>
      </c>
      <c r="BK99" s="19">
        <v>0</v>
      </c>
      <c r="BL99" s="19">
        <v>0</v>
      </c>
      <c r="BM99" s="19">
        <v>0</v>
      </c>
      <c r="BN99" s="19">
        <v>0</v>
      </c>
      <c r="BO99" s="19">
        <v>0</v>
      </c>
      <c r="BP99" s="19">
        <v>0</v>
      </c>
      <c r="BQ99" s="19">
        <v>0</v>
      </c>
      <c r="BR99" s="19">
        <v>3</v>
      </c>
      <c r="BS99" s="19">
        <v>3</v>
      </c>
      <c r="BT99" s="19">
        <v>3</v>
      </c>
      <c r="BU99" s="19">
        <v>5</v>
      </c>
      <c r="BV99" s="19">
        <v>1</v>
      </c>
      <c r="BW99" s="19">
        <v>1</v>
      </c>
      <c r="BX99" s="19">
        <v>3</v>
      </c>
      <c r="BY99" s="19">
        <v>5</v>
      </c>
      <c r="BZ99" s="19">
        <v>3</v>
      </c>
      <c r="CA99" s="19">
        <v>4</v>
      </c>
      <c r="CB99" s="19">
        <v>5</v>
      </c>
      <c r="CC99" s="19">
        <v>5</v>
      </c>
      <c r="CD99" s="19">
        <v>4</v>
      </c>
      <c r="CE99" s="19">
        <v>5</v>
      </c>
      <c r="CF99" s="19">
        <v>3</v>
      </c>
      <c r="CG99" s="19">
        <v>5</v>
      </c>
      <c r="CH99" s="19">
        <v>5</v>
      </c>
      <c r="CI99" s="19">
        <v>5</v>
      </c>
      <c r="CJ99" s="19">
        <v>5</v>
      </c>
      <c r="CK99" s="19">
        <v>8</v>
      </c>
      <c r="CL99" t="s">
        <v>355</v>
      </c>
      <c r="CM99">
        <v>37</v>
      </c>
      <c r="CN99" s="16">
        <v>95.1</v>
      </c>
      <c r="CO99" s="16">
        <v>80.400000000000006</v>
      </c>
      <c r="CP99" s="16">
        <v>15.9</v>
      </c>
      <c r="CQ99">
        <v>82.71</v>
      </c>
      <c r="CR99" s="17">
        <v>0</v>
      </c>
      <c r="CS99">
        <v>10.32</v>
      </c>
      <c r="CT99">
        <v>0.39</v>
      </c>
      <c r="CU99">
        <v>10.32</v>
      </c>
      <c r="CV99">
        <v>0</v>
      </c>
      <c r="CW99">
        <v>0</v>
      </c>
      <c r="CY99">
        <v>0</v>
      </c>
      <c r="CZ99">
        <v>0</v>
      </c>
      <c r="DA99">
        <v>0</v>
      </c>
      <c r="DB99">
        <v>1.9</v>
      </c>
      <c r="DC99">
        <v>26.26</v>
      </c>
      <c r="DD99">
        <v>6.04</v>
      </c>
      <c r="DE99">
        <v>2.19</v>
      </c>
      <c r="DF99">
        <v>0</v>
      </c>
      <c r="DG99">
        <v>0</v>
      </c>
      <c r="DH99">
        <v>0</v>
      </c>
      <c r="DU99">
        <v>14.7</v>
      </c>
      <c r="DV99">
        <v>1</v>
      </c>
      <c r="DW99">
        <v>35</v>
      </c>
      <c r="DX99">
        <v>2</v>
      </c>
      <c r="DY99">
        <v>1.8</v>
      </c>
      <c r="DZ99">
        <v>3</v>
      </c>
      <c r="EG99" s="20"/>
      <c r="EY99">
        <v>1</v>
      </c>
      <c r="EZ99">
        <v>50</v>
      </c>
      <c r="FA99">
        <v>1</v>
      </c>
      <c r="FB99">
        <v>1.34</v>
      </c>
      <c r="FC99">
        <v>2</v>
      </c>
      <c r="FD99">
        <v>40</v>
      </c>
      <c r="FE99">
        <v>1</v>
      </c>
      <c r="FF99">
        <v>0.9</v>
      </c>
      <c r="FG99">
        <v>3</v>
      </c>
      <c r="FH99">
        <v>50</v>
      </c>
      <c r="FI99">
        <v>1</v>
      </c>
      <c r="FJ99">
        <v>0.9</v>
      </c>
      <c r="FK99">
        <v>3</v>
      </c>
      <c r="FL99">
        <v>80</v>
      </c>
      <c r="FM99">
        <v>2</v>
      </c>
      <c r="FN99">
        <v>2.68</v>
      </c>
      <c r="FO99">
        <v>2</v>
      </c>
      <c r="FP99">
        <v>100</v>
      </c>
      <c r="FQ99">
        <v>1</v>
      </c>
      <c r="FR99">
        <v>2.57</v>
      </c>
      <c r="FS99">
        <v>2</v>
      </c>
      <c r="GJ99">
        <v>0</v>
      </c>
      <c r="GK99" s="19">
        <v>0</v>
      </c>
      <c r="GL99" s="19"/>
      <c r="GM99" s="13"/>
      <c r="GN99" s="13"/>
      <c r="GO99" s="19"/>
      <c r="GP99" s="13"/>
      <c r="GQ99" s="13"/>
      <c r="GR99" s="13"/>
      <c r="GS99" s="13"/>
      <c r="GT99" s="13"/>
      <c r="GU99" s="16">
        <v>5.1100000000000003</v>
      </c>
      <c r="GV99">
        <v>4.8099999999999996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 t="s">
        <v>363</v>
      </c>
      <c r="HD99">
        <v>34.5</v>
      </c>
      <c r="HE99" s="16">
        <v>88.3</v>
      </c>
      <c r="HF99" s="16">
        <v>80.400000000000006</v>
      </c>
      <c r="HG99" s="16">
        <v>22.8</v>
      </c>
      <c r="HH99">
        <v>73.89</v>
      </c>
      <c r="HI99" s="17">
        <v>0</v>
      </c>
      <c r="HJ99">
        <v>14.94</v>
      </c>
      <c r="HK99">
        <v>0.5</v>
      </c>
      <c r="HL99">
        <v>10.66</v>
      </c>
      <c r="HM99">
        <v>0</v>
      </c>
      <c r="HN99">
        <v>0</v>
      </c>
      <c r="HP99">
        <v>0</v>
      </c>
      <c r="HQ99">
        <v>0</v>
      </c>
      <c r="HR99">
        <v>0</v>
      </c>
      <c r="HS99">
        <v>0</v>
      </c>
      <c r="HT99">
        <v>46.29</v>
      </c>
      <c r="HU99">
        <v>23.15</v>
      </c>
      <c r="HV99">
        <v>0</v>
      </c>
      <c r="HW99">
        <v>0</v>
      </c>
      <c r="HX99">
        <v>0</v>
      </c>
      <c r="HY99">
        <v>0</v>
      </c>
      <c r="IL99">
        <v>2.8</v>
      </c>
      <c r="IM99">
        <v>1</v>
      </c>
      <c r="IN99">
        <v>35</v>
      </c>
      <c r="IO99">
        <v>1</v>
      </c>
      <c r="IP99">
        <v>0.5</v>
      </c>
      <c r="IQ99">
        <v>3</v>
      </c>
      <c r="IX99" s="20"/>
      <c r="JP99">
        <v>1</v>
      </c>
      <c r="JQ99">
        <v>60</v>
      </c>
      <c r="JR99">
        <v>4</v>
      </c>
      <c r="JS99">
        <v>0.54</v>
      </c>
      <c r="JT99">
        <v>3</v>
      </c>
      <c r="LA99" s="16">
        <v>3.05</v>
      </c>
      <c r="LB99" s="16">
        <v>1</v>
      </c>
      <c r="LC99" s="16">
        <v>1</v>
      </c>
      <c r="LD99" s="16">
        <v>5</v>
      </c>
      <c r="LE99" s="16">
        <v>8.7100000000000009</v>
      </c>
      <c r="LF99" s="16">
        <v>2</v>
      </c>
      <c r="LG99" s="16">
        <v>25</v>
      </c>
      <c r="LH99" s="16">
        <v>12.44</v>
      </c>
      <c r="LI99" s="16"/>
      <c r="LJ99" s="16"/>
      <c r="LK99" s="16"/>
      <c r="LL99" s="16">
        <v>4.5</v>
      </c>
      <c r="LM99" s="16">
        <v>1.2</v>
      </c>
      <c r="LN99" s="16">
        <v>0</v>
      </c>
      <c r="LO99" s="16">
        <v>0</v>
      </c>
      <c r="LP99" s="16">
        <v>0</v>
      </c>
      <c r="LQ99" s="16">
        <v>0</v>
      </c>
      <c r="LR99" s="16">
        <v>0</v>
      </c>
      <c r="LS99">
        <v>0</v>
      </c>
      <c r="LT99" t="s">
        <v>364</v>
      </c>
      <c r="LU99">
        <v>32</v>
      </c>
      <c r="LV99" s="16">
        <v>75</v>
      </c>
      <c r="LW99" s="16">
        <v>80.400000000000006</v>
      </c>
      <c r="LX99" s="16">
        <v>22.6</v>
      </c>
      <c r="LY99">
        <v>76.239999999999995</v>
      </c>
      <c r="LZ99" s="17">
        <v>0</v>
      </c>
      <c r="MA99">
        <v>15.36</v>
      </c>
      <c r="MB99">
        <v>1.93</v>
      </c>
      <c r="MC99">
        <v>6.47</v>
      </c>
      <c r="MD99">
        <v>0</v>
      </c>
      <c r="ME99">
        <v>0</v>
      </c>
      <c r="MG99">
        <v>0</v>
      </c>
      <c r="MH99">
        <v>0</v>
      </c>
      <c r="MI99">
        <v>0</v>
      </c>
      <c r="MJ99">
        <v>0</v>
      </c>
      <c r="MK99">
        <v>32.86</v>
      </c>
      <c r="ML99">
        <v>26.39</v>
      </c>
      <c r="MM99">
        <v>0</v>
      </c>
      <c r="MN99">
        <v>0</v>
      </c>
      <c r="MO99">
        <v>0</v>
      </c>
      <c r="MP99">
        <v>0</v>
      </c>
      <c r="NC99">
        <v>5.6</v>
      </c>
      <c r="ND99">
        <v>1</v>
      </c>
      <c r="NE99">
        <v>35</v>
      </c>
      <c r="NF99">
        <v>1</v>
      </c>
      <c r="NG99">
        <v>0.5</v>
      </c>
      <c r="NH99">
        <v>3</v>
      </c>
      <c r="NO99" s="20"/>
      <c r="OG99">
        <v>1</v>
      </c>
      <c r="OH99">
        <v>60</v>
      </c>
      <c r="OI99">
        <v>5</v>
      </c>
      <c r="OJ99">
        <v>3.13</v>
      </c>
      <c r="OK99">
        <v>2</v>
      </c>
      <c r="OL99">
        <v>50</v>
      </c>
      <c r="OM99">
        <v>2</v>
      </c>
      <c r="ON99">
        <v>0.67</v>
      </c>
      <c r="OO99">
        <v>2</v>
      </c>
      <c r="PR99" s="16">
        <v>1.43</v>
      </c>
      <c r="PS99" s="16">
        <v>1</v>
      </c>
      <c r="PT99" s="16">
        <v>1</v>
      </c>
      <c r="PU99" s="16">
        <v>4</v>
      </c>
      <c r="PV99" s="16">
        <v>17.43</v>
      </c>
      <c r="PW99" s="16"/>
      <c r="PX99" s="16"/>
      <c r="PY99" s="16"/>
      <c r="PZ99" s="16"/>
      <c r="QA99" s="16"/>
      <c r="QB99" s="16"/>
      <c r="QC99" s="16">
        <v>1.7</v>
      </c>
      <c r="QD99" s="16">
        <v>1.7</v>
      </c>
      <c r="QE99" s="16">
        <v>0</v>
      </c>
      <c r="QF99" s="16">
        <v>0</v>
      </c>
      <c r="QG99" s="16">
        <v>0</v>
      </c>
      <c r="QH99" s="16">
        <v>0</v>
      </c>
      <c r="QI99" s="16">
        <v>0</v>
      </c>
      <c r="QJ99">
        <v>0</v>
      </c>
      <c r="QK99" t="s">
        <v>350</v>
      </c>
      <c r="QL99">
        <v>75</v>
      </c>
      <c r="QM99" s="16">
        <v>87.9</v>
      </c>
      <c r="QN99" s="16">
        <v>80.400000000000006</v>
      </c>
      <c r="QO99" s="16">
        <v>45.2</v>
      </c>
      <c r="QP99">
        <v>50.83</v>
      </c>
      <c r="QQ99">
        <v>0.05</v>
      </c>
      <c r="QR99">
        <v>46.44</v>
      </c>
      <c r="QS99">
        <v>2.67</v>
      </c>
      <c r="QT99">
        <v>0</v>
      </c>
      <c r="QU99">
        <v>0</v>
      </c>
      <c r="QV99">
        <v>0</v>
      </c>
      <c r="QX99">
        <v>0</v>
      </c>
      <c r="QY99">
        <v>0</v>
      </c>
      <c r="QZ99">
        <v>0</v>
      </c>
      <c r="RA99">
        <v>0</v>
      </c>
      <c r="RB99">
        <v>25.21</v>
      </c>
      <c r="RC99">
        <v>43.57</v>
      </c>
      <c r="RD99">
        <v>6.27</v>
      </c>
      <c r="RE99">
        <v>0</v>
      </c>
      <c r="RF99">
        <v>0</v>
      </c>
      <c r="RG99">
        <v>0</v>
      </c>
      <c r="RT99">
        <v>17.8</v>
      </c>
      <c r="RU99">
        <v>1</v>
      </c>
      <c r="RV99">
        <v>35</v>
      </c>
      <c r="RW99">
        <v>9</v>
      </c>
      <c r="RX99">
        <v>2.5499999999999998</v>
      </c>
      <c r="RY99">
        <v>3</v>
      </c>
      <c r="SF99" s="20"/>
      <c r="SX99">
        <v>1</v>
      </c>
      <c r="SY99">
        <v>50</v>
      </c>
      <c r="SZ99">
        <v>8</v>
      </c>
      <c r="TA99">
        <v>2.12</v>
      </c>
      <c r="TB99">
        <v>3</v>
      </c>
      <c r="UI99" s="16">
        <v>3.43</v>
      </c>
      <c r="UJ99" s="16">
        <v>1</v>
      </c>
      <c r="UK99" s="16">
        <v>1</v>
      </c>
      <c r="UL99" s="16"/>
      <c r="UM99" s="16">
        <v>26.11</v>
      </c>
      <c r="UN99" s="16">
        <v>2</v>
      </c>
      <c r="UO99" s="16"/>
      <c r="UP99" s="16">
        <v>11.19</v>
      </c>
      <c r="UQ99" s="16"/>
      <c r="UR99" s="16"/>
      <c r="US99" s="16"/>
      <c r="UT99" s="16">
        <v>6.39</v>
      </c>
      <c r="UU99" s="16">
        <v>3.31</v>
      </c>
      <c r="UV99" s="16">
        <v>0</v>
      </c>
      <c r="UW99" s="16">
        <v>0</v>
      </c>
      <c r="UX99" s="16">
        <v>0</v>
      </c>
      <c r="UY99" s="16">
        <v>0</v>
      </c>
      <c r="UZ99" s="16">
        <v>0</v>
      </c>
      <c r="VA99">
        <v>0</v>
      </c>
      <c r="VB99" t="s">
        <v>361</v>
      </c>
      <c r="VC99">
        <v>74.5</v>
      </c>
      <c r="VD99" s="16">
        <v>76.2</v>
      </c>
      <c r="VE99" s="16">
        <v>80.400000000000006</v>
      </c>
      <c r="VF99" s="16">
        <v>42.8</v>
      </c>
      <c r="VG99">
        <v>57.15</v>
      </c>
      <c r="VH99">
        <v>0.45</v>
      </c>
      <c r="VI99">
        <v>39.090000000000003</v>
      </c>
      <c r="VJ99">
        <v>3.3</v>
      </c>
      <c r="VK99">
        <v>0</v>
      </c>
      <c r="VL99">
        <v>0</v>
      </c>
      <c r="VM99">
        <v>0</v>
      </c>
      <c r="VO99">
        <v>0</v>
      </c>
      <c r="VP99">
        <v>0</v>
      </c>
      <c r="VQ99">
        <v>0</v>
      </c>
      <c r="VR99">
        <v>0</v>
      </c>
      <c r="VS99">
        <v>18.260000000000002</v>
      </c>
      <c r="VT99">
        <v>34.4</v>
      </c>
      <c r="VU99">
        <v>6.27</v>
      </c>
      <c r="VV99">
        <v>0</v>
      </c>
      <c r="VW99">
        <v>0</v>
      </c>
      <c r="VX99">
        <v>0</v>
      </c>
      <c r="WK99">
        <v>18.2</v>
      </c>
      <c r="WL99">
        <v>1</v>
      </c>
      <c r="WM99">
        <v>35</v>
      </c>
      <c r="WN99">
        <v>9</v>
      </c>
      <c r="WO99">
        <v>2.5499999999999998</v>
      </c>
      <c r="WP99">
        <v>3</v>
      </c>
      <c r="WW99" s="20"/>
      <c r="XO99">
        <v>1</v>
      </c>
      <c r="XP99">
        <v>50</v>
      </c>
      <c r="XQ99">
        <v>8</v>
      </c>
      <c r="XR99">
        <v>2.54</v>
      </c>
      <c r="XS99">
        <v>3</v>
      </c>
      <c r="YZ99" s="16">
        <v>7.59</v>
      </c>
      <c r="ZA99" s="16">
        <v>1</v>
      </c>
      <c r="ZB99" s="16">
        <v>1</v>
      </c>
      <c r="ZC99" s="16"/>
      <c r="ZD99" s="16">
        <v>22.38</v>
      </c>
      <c r="ZE99" s="16">
        <v>2</v>
      </c>
      <c r="ZF99" s="16"/>
      <c r="ZG99" s="16">
        <v>14.92</v>
      </c>
      <c r="ZH99" s="16"/>
      <c r="ZI99" s="16"/>
      <c r="ZJ99" s="16"/>
      <c r="ZK99" s="16">
        <v>5.05</v>
      </c>
      <c r="ZL99" s="16">
        <v>1.54</v>
      </c>
      <c r="ZM99" s="16">
        <v>0</v>
      </c>
      <c r="ZN99" s="16">
        <v>0</v>
      </c>
      <c r="ZO99" s="16">
        <v>0</v>
      </c>
      <c r="ZP99" s="16">
        <v>0</v>
      </c>
      <c r="ZQ99" s="16">
        <v>0</v>
      </c>
      <c r="ZR99">
        <v>0</v>
      </c>
      <c r="ZS99" t="s">
        <v>365</v>
      </c>
      <c r="ZT99">
        <v>75</v>
      </c>
      <c r="ZU99" s="16">
        <v>76.8</v>
      </c>
      <c r="ZV99" s="16">
        <v>80.400000000000006</v>
      </c>
      <c r="ZW99" s="16">
        <v>30.8</v>
      </c>
      <c r="ZX99">
        <v>74.739999999999995</v>
      </c>
      <c r="ZY99" s="17">
        <v>0</v>
      </c>
      <c r="ZZ99">
        <v>4.24</v>
      </c>
      <c r="AAA99">
        <v>16.45</v>
      </c>
      <c r="AAB99">
        <v>4.57</v>
      </c>
      <c r="AAC99">
        <v>0</v>
      </c>
      <c r="AAD99">
        <v>0</v>
      </c>
      <c r="AAF99">
        <v>0</v>
      </c>
      <c r="AAG99">
        <v>0</v>
      </c>
      <c r="AAH99">
        <v>0</v>
      </c>
      <c r="AAI99">
        <v>0</v>
      </c>
      <c r="AAJ99">
        <v>35.229999999999997</v>
      </c>
      <c r="AAK99">
        <v>6.53</v>
      </c>
      <c r="AAL99">
        <v>4.97</v>
      </c>
      <c r="AAM99">
        <v>0</v>
      </c>
      <c r="AAN99">
        <v>0</v>
      </c>
      <c r="AAO99">
        <v>0</v>
      </c>
      <c r="ABB99">
        <v>38.4</v>
      </c>
      <c r="ABC99">
        <v>1</v>
      </c>
      <c r="ABD99">
        <v>47</v>
      </c>
      <c r="ABE99">
        <v>7</v>
      </c>
      <c r="ABF99">
        <v>5.33</v>
      </c>
      <c r="ABG99">
        <v>3</v>
      </c>
      <c r="ABN99" s="20"/>
      <c r="ACF99">
        <v>0</v>
      </c>
      <c r="ADQ99" s="16">
        <v>2.02</v>
      </c>
      <c r="ADR99" s="16">
        <v>1</v>
      </c>
      <c r="ADS99" s="16">
        <v>1</v>
      </c>
      <c r="ADT99" s="16"/>
      <c r="ADU99" s="16">
        <v>9.9499999999999993</v>
      </c>
      <c r="ADV99" s="16">
        <v>2</v>
      </c>
      <c r="ADW99" s="16"/>
      <c r="ADX99" s="16">
        <v>9.9499999999999993</v>
      </c>
      <c r="ADY99" s="16"/>
      <c r="ADZ99" s="16"/>
      <c r="AEA99" s="16"/>
      <c r="AEB99" s="16">
        <v>0</v>
      </c>
      <c r="AEC99" s="16">
        <v>0</v>
      </c>
      <c r="AED99" s="16">
        <v>0</v>
      </c>
      <c r="AEE99" s="16">
        <v>0</v>
      </c>
      <c r="AEF99" s="16">
        <v>0</v>
      </c>
      <c r="AEG99" s="16">
        <v>0</v>
      </c>
      <c r="AEH99" s="16">
        <v>0</v>
      </c>
      <c r="AEI99">
        <v>0</v>
      </c>
      <c r="AEJ99" t="s">
        <v>351</v>
      </c>
      <c r="AEK99">
        <v>30.5</v>
      </c>
      <c r="AEL99" s="16">
        <v>68.400000000000006</v>
      </c>
      <c r="AEM99" s="16">
        <v>80.400000000000006</v>
      </c>
      <c r="AEN99" s="16">
        <v>19.8</v>
      </c>
      <c r="AEO99">
        <v>72.42</v>
      </c>
      <c r="AEP99" s="17">
        <v>0</v>
      </c>
      <c r="AEQ99">
        <v>0.94</v>
      </c>
      <c r="AER99">
        <v>0.94</v>
      </c>
      <c r="AES99">
        <v>25.7</v>
      </c>
      <c r="AET99">
        <v>0</v>
      </c>
      <c r="AEU99">
        <v>0</v>
      </c>
      <c r="AEW99">
        <v>0</v>
      </c>
      <c r="AEX99">
        <v>0</v>
      </c>
      <c r="AEY99">
        <v>0</v>
      </c>
      <c r="AEZ99">
        <v>0</v>
      </c>
      <c r="AFA99">
        <v>28.26</v>
      </c>
      <c r="AFB99">
        <v>10.55</v>
      </c>
      <c r="AFC99">
        <v>14.21</v>
      </c>
      <c r="AFD99">
        <v>0</v>
      </c>
      <c r="AFE99">
        <v>0</v>
      </c>
      <c r="AFF99">
        <v>0</v>
      </c>
      <c r="AFS99">
        <v>3.3</v>
      </c>
      <c r="AFT99">
        <v>1</v>
      </c>
      <c r="AFU99">
        <v>68</v>
      </c>
      <c r="AFV99">
        <v>2</v>
      </c>
      <c r="AFW99">
        <v>1.52</v>
      </c>
      <c r="AFX99">
        <v>1</v>
      </c>
      <c r="AGE99" s="20"/>
      <c r="AGW99">
        <v>0</v>
      </c>
      <c r="AIH99" s="16">
        <v>0</v>
      </c>
      <c r="AII99" s="16">
        <v>0</v>
      </c>
      <c r="AIJ99" s="16"/>
      <c r="AIK99" s="16"/>
      <c r="AIL99" s="16"/>
      <c r="AIM99" s="16"/>
      <c r="AIN99" s="16"/>
      <c r="AIO99" s="16"/>
      <c r="AIP99" s="16"/>
      <c r="AIQ99" s="16"/>
      <c r="AIR99" s="16"/>
      <c r="AIS99" s="16">
        <v>0.81</v>
      </c>
      <c r="AIT99" s="16">
        <v>0.8</v>
      </c>
      <c r="AIU99" s="16">
        <v>0</v>
      </c>
      <c r="AIV99" s="16">
        <v>0</v>
      </c>
      <c r="AIW99" s="16">
        <v>2.99</v>
      </c>
      <c r="AIX99" s="16">
        <v>5.71</v>
      </c>
      <c r="AIY99" s="16">
        <v>0</v>
      </c>
      <c r="AIZ99">
        <v>0</v>
      </c>
      <c r="AJA99" t="s">
        <v>356</v>
      </c>
      <c r="AJB99">
        <v>39.5</v>
      </c>
      <c r="AJC99" s="16">
        <v>85.1</v>
      </c>
      <c r="AJD99" s="16">
        <v>80.400000000000006</v>
      </c>
      <c r="AJE99" s="16">
        <v>13.6</v>
      </c>
      <c r="AJF99">
        <v>87.38</v>
      </c>
      <c r="AJG99" s="17">
        <v>0</v>
      </c>
      <c r="AJH99">
        <v>8.0500000000000007</v>
      </c>
      <c r="AJI99">
        <v>0</v>
      </c>
      <c r="AJJ99">
        <v>4.57</v>
      </c>
      <c r="AJK99">
        <v>0</v>
      </c>
      <c r="AJL99">
        <v>0</v>
      </c>
      <c r="AJN99">
        <v>0</v>
      </c>
      <c r="AJO99">
        <v>0</v>
      </c>
      <c r="AJP99">
        <v>0</v>
      </c>
      <c r="AJQ99">
        <v>0</v>
      </c>
      <c r="AJR99">
        <v>45</v>
      </c>
      <c r="AJS99">
        <v>10.1</v>
      </c>
      <c r="AJT99">
        <v>11.8</v>
      </c>
      <c r="AJU99">
        <v>0</v>
      </c>
      <c r="AJV99">
        <v>0</v>
      </c>
      <c r="AJW99">
        <v>0</v>
      </c>
      <c r="AKJ99">
        <v>17.8</v>
      </c>
      <c r="AKK99">
        <v>1</v>
      </c>
      <c r="AKL99">
        <v>30</v>
      </c>
      <c r="AKM99">
        <v>7</v>
      </c>
      <c r="AKN99">
        <v>5.33</v>
      </c>
      <c r="AKO99">
        <v>3</v>
      </c>
      <c r="AKV99" s="20"/>
      <c r="ALN99">
        <v>1</v>
      </c>
      <c r="ALO99">
        <v>50</v>
      </c>
      <c r="ALP99">
        <v>1</v>
      </c>
      <c r="ALQ99">
        <v>0.03</v>
      </c>
      <c r="ALR99">
        <v>1</v>
      </c>
    </row>
    <row r="100" spans="1:1018" x14ac:dyDescent="0.2">
      <c r="A100" s="1" t="s">
        <v>488</v>
      </c>
      <c r="B100" s="12">
        <v>42894</v>
      </c>
      <c r="C100">
        <v>1</v>
      </c>
      <c r="D100" s="13">
        <v>34596</v>
      </c>
      <c r="E100" s="12">
        <v>25896</v>
      </c>
      <c r="F100" s="14">
        <f t="shared" si="42"/>
        <v>46.53798767967146</v>
      </c>
      <c r="G100" s="14">
        <f t="shared" si="43"/>
        <v>22.718685831622178</v>
      </c>
      <c r="H100" s="15" t="s">
        <v>183</v>
      </c>
      <c r="I100" s="15" t="s">
        <v>347</v>
      </c>
      <c r="J100" s="15" t="s">
        <v>183</v>
      </c>
      <c r="K100" s="21">
        <v>8</v>
      </c>
      <c r="L100" s="19">
        <v>75</v>
      </c>
      <c r="M100">
        <v>1.61</v>
      </c>
      <c r="N100" s="16">
        <f t="shared" si="44"/>
        <v>28.934068901662741</v>
      </c>
      <c r="O100" s="19">
        <v>0</v>
      </c>
      <c r="P100" s="19">
        <v>0</v>
      </c>
      <c r="Q100" s="19">
        <v>0</v>
      </c>
      <c r="R100" s="19">
        <v>0</v>
      </c>
      <c r="S100" s="19">
        <v>0</v>
      </c>
      <c r="T100" s="19">
        <v>0</v>
      </c>
      <c r="U100" s="19">
        <v>0</v>
      </c>
      <c r="V100" s="19">
        <v>0</v>
      </c>
      <c r="W100" s="19">
        <v>0</v>
      </c>
      <c r="X100" s="19">
        <v>0</v>
      </c>
      <c r="Y100" s="19">
        <v>0</v>
      </c>
      <c r="Z100" s="19">
        <v>0</v>
      </c>
      <c r="AA100" s="19">
        <v>0</v>
      </c>
      <c r="AB100" s="19">
        <v>0</v>
      </c>
      <c r="AC100" s="19">
        <v>0</v>
      </c>
      <c r="AD100" s="19">
        <v>0</v>
      </c>
      <c r="AE100" s="19">
        <v>0</v>
      </c>
      <c r="AF100" s="19">
        <v>0</v>
      </c>
      <c r="AG100" s="19">
        <v>0</v>
      </c>
      <c r="AH100" s="19">
        <v>0</v>
      </c>
      <c r="AI100" s="19">
        <v>0</v>
      </c>
      <c r="AJ100" s="19">
        <v>0</v>
      </c>
      <c r="AK100" s="19">
        <v>0</v>
      </c>
      <c r="AL100" s="19">
        <v>0</v>
      </c>
      <c r="AM100" s="19">
        <v>0</v>
      </c>
      <c r="AN100" s="19">
        <v>0</v>
      </c>
      <c r="AO100" s="19">
        <v>0</v>
      </c>
      <c r="AP100" s="19">
        <v>0</v>
      </c>
      <c r="AQ100" s="19">
        <v>0</v>
      </c>
      <c r="AR100" s="19">
        <v>0</v>
      </c>
      <c r="AS100" s="19">
        <v>0</v>
      </c>
      <c r="AT100" s="19">
        <v>0</v>
      </c>
      <c r="AU100" s="19">
        <v>0</v>
      </c>
      <c r="AV100" s="19">
        <v>0</v>
      </c>
      <c r="AW100" s="19">
        <v>0</v>
      </c>
      <c r="AX100" s="19">
        <v>0</v>
      </c>
      <c r="AY100" s="19">
        <v>0</v>
      </c>
      <c r="AZ100" s="19">
        <v>0</v>
      </c>
      <c r="BA100" s="19">
        <v>0</v>
      </c>
      <c r="BB100" s="19">
        <v>0</v>
      </c>
      <c r="BC100" s="19">
        <v>0</v>
      </c>
      <c r="BD100" s="19">
        <v>0</v>
      </c>
      <c r="BE100" s="19">
        <v>0</v>
      </c>
      <c r="BF100" s="19">
        <v>1</v>
      </c>
      <c r="BG100" s="19">
        <v>0</v>
      </c>
      <c r="BH100" s="19">
        <v>1</v>
      </c>
      <c r="BI100" s="19">
        <v>7</v>
      </c>
      <c r="BJ100" s="19">
        <v>1</v>
      </c>
      <c r="BK100" s="19">
        <v>0</v>
      </c>
      <c r="BL100" s="19">
        <v>0</v>
      </c>
      <c r="BM100" s="19">
        <v>0</v>
      </c>
      <c r="BN100" s="19">
        <v>0</v>
      </c>
      <c r="BO100" s="19">
        <v>0</v>
      </c>
      <c r="BP100" s="19">
        <v>0</v>
      </c>
      <c r="BQ100" s="19">
        <v>0</v>
      </c>
      <c r="BR100" s="19">
        <v>3</v>
      </c>
      <c r="BS100" s="19">
        <v>3</v>
      </c>
      <c r="BT100" s="19">
        <v>4</v>
      </c>
      <c r="BU100" s="19">
        <v>5</v>
      </c>
      <c r="BV100" s="19">
        <v>3</v>
      </c>
      <c r="BW100" s="19">
        <v>4</v>
      </c>
      <c r="BX100" s="19">
        <v>3</v>
      </c>
      <c r="BY100" s="19">
        <v>4</v>
      </c>
      <c r="BZ100" s="19">
        <v>4</v>
      </c>
      <c r="CA100" s="19">
        <v>3</v>
      </c>
      <c r="CB100" s="19">
        <v>4</v>
      </c>
      <c r="CC100" s="19">
        <v>5</v>
      </c>
      <c r="CD100" s="19">
        <v>3</v>
      </c>
      <c r="CE100" s="19">
        <v>3</v>
      </c>
      <c r="CF100" s="19">
        <v>4</v>
      </c>
      <c r="CG100" s="19">
        <v>4</v>
      </c>
      <c r="CH100" s="19">
        <v>2</v>
      </c>
      <c r="CI100" s="19">
        <v>3</v>
      </c>
      <c r="CJ100" s="19">
        <v>3</v>
      </c>
      <c r="CK100" s="19">
        <v>10</v>
      </c>
      <c r="CL100" t="s">
        <v>355</v>
      </c>
      <c r="CM100">
        <v>37</v>
      </c>
      <c r="CN100" s="16">
        <v>95.1</v>
      </c>
      <c r="CO100" s="16">
        <v>80.400000000000006</v>
      </c>
      <c r="CP100" s="16">
        <v>15.9</v>
      </c>
      <c r="CQ100">
        <v>82.71</v>
      </c>
      <c r="CR100" s="17">
        <v>0</v>
      </c>
      <c r="CS100">
        <v>10.32</v>
      </c>
      <c r="CT100">
        <v>0.39</v>
      </c>
      <c r="CU100">
        <v>10.32</v>
      </c>
      <c r="CV100">
        <v>0</v>
      </c>
      <c r="CW100">
        <v>0</v>
      </c>
      <c r="CY100">
        <v>0</v>
      </c>
      <c r="CZ100">
        <v>0</v>
      </c>
      <c r="DA100">
        <v>0</v>
      </c>
      <c r="DB100">
        <v>1.9</v>
      </c>
      <c r="DC100">
        <v>26.26</v>
      </c>
      <c r="DD100">
        <v>6.04</v>
      </c>
      <c r="DE100">
        <v>2.19</v>
      </c>
      <c r="DF100">
        <v>0</v>
      </c>
      <c r="DG100">
        <v>0</v>
      </c>
      <c r="DH100">
        <v>0</v>
      </c>
      <c r="DU100">
        <v>14.7</v>
      </c>
      <c r="DV100">
        <v>1</v>
      </c>
      <c r="DW100">
        <v>35</v>
      </c>
      <c r="DX100">
        <v>2</v>
      </c>
      <c r="DY100">
        <v>1.8</v>
      </c>
      <c r="DZ100">
        <v>3</v>
      </c>
      <c r="EG100" s="20"/>
      <c r="EY100">
        <v>1</v>
      </c>
      <c r="EZ100">
        <v>50</v>
      </c>
      <c r="FA100">
        <v>1</v>
      </c>
      <c r="FB100">
        <v>1.34</v>
      </c>
      <c r="FC100">
        <v>2</v>
      </c>
      <c r="FD100">
        <v>40</v>
      </c>
      <c r="FE100">
        <v>1</v>
      </c>
      <c r="FF100">
        <v>0.9</v>
      </c>
      <c r="FG100">
        <v>3</v>
      </c>
      <c r="FH100">
        <v>50</v>
      </c>
      <c r="FI100">
        <v>1</v>
      </c>
      <c r="FJ100">
        <v>0.9</v>
      </c>
      <c r="FK100">
        <v>3</v>
      </c>
      <c r="FL100">
        <v>80</v>
      </c>
      <c r="FM100">
        <v>2</v>
      </c>
      <c r="FN100">
        <v>2.68</v>
      </c>
      <c r="FO100">
        <v>2</v>
      </c>
      <c r="FP100">
        <v>100</v>
      </c>
      <c r="FQ100">
        <v>1</v>
      </c>
      <c r="FR100">
        <v>2.57</v>
      </c>
      <c r="FS100">
        <v>2</v>
      </c>
      <c r="GJ100">
        <v>0</v>
      </c>
      <c r="GK100" s="19">
        <v>0</v>
      </c>
      <c r="GL100" s="19"/>
      <c r="GM100" s="13"/>
      <c r="GN100" s="13"/>
      <c r="GO100" s="19"/>
      <c r="GP100" s="13"/>
      <c r="GQ100" s="13"/>
      <c r="GR100" s="13"/>
      <c r="GS100" s="13"/>
      <c r="GT100" s="13"/>
      <c r="GU100" s="16">
        <v>5.1100000000000003</v>
      </c>
      <c r="GV100">
        <v>4.8099999999999996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 t="s">
        <v>363</v>
      </c>
      <c r="HD100">
        <v>34.5</v>
      </c>
      <c r="HE100" s="16">
        <v>88.3</v>
      </c>
      <c r="HF100" s="16">
        <v>80.400000000000006</v>
      </c>
      <c r="HG100" s="16">
        <v>22.8</v>
      </c>
      <c r="HH100">
        <v>73.89</v>
      </c>
      <c r="HI100" s="17">
        <v>0</v>
      </c>
      <c r="HJ100">
        <v>14.94</v>
      </c>
      <c r="HK100">
        <v>0.5</v>
      </c>
      <c r="HL100">
        <v>10.66</v>
      </c>
      <c r="HM100">
        <v>0</v>
      </c>
      <c r="HN100">
        <v>0</v>
      </c>
      <c r="HP100">
        <v>0</v>
      </c>
      <c r="HQ100">
        <v>0</v>
      </c>
      <c r="HR100">
        <v>0</v>
      </c>
      <c r="HS100">
        <v>0</v>
      </c>
      <c r="HT100">
        <v>46.29</v>
      </c>
      <c r="HU100">
        <v>23.15</v>
      </c>
      <c r="HV100">
        <v>0</v>
      </c>
      <c r="HW100">
        <v>0</v>
      </c>
      <c r="HX100">
        <v>0</v>
      </c>
      <c r="HY100">
        <v>0</v>
      </c>
      <c r="IL100">
        <v>2.8</v>
      </c>
      <c r="IM100">
        <v>1</v>
      </c>
      <c r="IN100">
        <v>35</v>
      </c>
      <c r="IO100">
        <v>1</v>
      </c>
      <c r="IP100">
        <v>0.5</v>
      </c>
      <c r="IQ100">
        <v>3</v>
      </c>
      <c r="IX100" s="20"/>
      <c r="JP100">
        <v>1</v>
      </c>
      <c r="JQ100">
        <v>60</v>
      </c>
      <c r="JR100">
        <v>4</v>
      </c>
      <c r="JS100">
        <v>0.54</v>
      </c>
      <c r="JT100">
        <v>3</v>
      </c>
      <c r="LA100" s="16">
        <v>3.05</v>
      </c>
      <c r="LB100" s="16">
        <v>1</v>
      </c>
      <c r="LC100" s="16">
        <v>1</v>
      </c>
      <c r="LD100" s="16">
        <v>5</v>
      </c>
      <c r="LE100" s="16">
        <v>8.7100000000000009</v>
      </c>
      <c r="LF100" s="16">
        <v>2</v>
      </c>
      <c r="LG100" s="16">
        <v>25</v>
      </c>
      <c r="LH100" s="16">
        <v>12.44</v>
      </c>
      <c r="LI100" s="16"/>
      <c r="LJ100" s="16"/>
      <c r="LK100" s="16"/>
      <c r="LL100" s="16">
        <v>4.5</v>
      </c>
      <c r="LM100" s="16">
        <v>1.2</v>
      </c>
      <c r="LN100" s="16">
        <v>0</v>
      </c>
      <c r="LO100" s="16">
        <v>0</v>
      </c>
      <c r="LP100" s="16">
        <v>0</v>
      </c>
      <c r="LQ100" s="16">
        <v>0</v>
      </c>
      <c r="LR100" s="16">
        <v>0</v>
      </c>
      <c r="LS100">
        <v>0</v>
      </c>
      <c r="LT100" t="s">
        <v>364</v>
      </c>
      <c r="LU100">
        <v>32</v>
      </c>
      <c r="LV100" s="16">
        <v>75</v>
      </c>
      <c r="LW100" s="16">
        <v>80.400000000000006</v>
      </c>
      <c r="LX100" s="16">
        <v>22.6</v>
      </c>
      <c r="LY100">
        <v>76.239999999999995</v>
      </c>
      <c r="LZ100" s="17">
        <v>0</v>
      </c>
      <c r="MA100">
        <v>15.36</v>
      </c>
      <c r="MB100">
        <v>1.93</v>
      </c>
      <c r="MC100">
        <v>6.47</v>
      </c>
      <c r="MD100">
        <v>0</v>
      </c>
      <c r="ME100">
        <v>0</v>
      </c>
      <c r="MG100">
        <v>0</v>
      </c>
      <c r="MH100">
        <v>0</v>
      </c>
      <c r="MI100">
        <v>0</v>
      </c>
      <c r="MJ100">
        <v>0</v>
      </c>
      <c r="MK100">
        <v>32.86</v>
      </c>
      <c r="ML100">
        <v>26.39</v>
      </c>
      <c r="MM100">
        <v>0</v>
      </c>
      <c r="MN100">
        <v>0</v>
      </c>
      <c r="MO100">
        <v>0</v>
      </c>
      <c r="MP100">
        <v>0</v>
      </c>
      <c r="NC100">
        <v>5.6</v>
      </c>
      <c r="ND100">
        <v>1</v>
      </c>
      <c r="NE100">
        <v>35</v>
      </c>
      <c r="NF100">
        <v>1</v>
      </c>
      <c r="NG100">
        <v>0.5</v>
      </c>
      <c r="NH100">
        <v>3</v>
      </c>
      <c r="NO100" s="20"/>
      <c r="OG100">
        <v>1</v>
      </c>
      <c r="OH100">
        <v>60</v>
      </c>
      <c r="OI100">
        <v>5</v>
      </c>
      <c r="OJ100">
        <v>3.13</v>
      </c>
      <c r="OK100">
        <v>2</v>
      </c>
      <c r="OL100">
        <v>50</v>
      </c>
      <c r="OM100">
        <v>2</v>
      </c>
      <c r="ON100">
        <v>0.67</v>
      </c>
      <c r="OO100">
        <v>2</v>
      </c>
      <c r="PR100" s="16">
        <v>1.43</v>
      </c>
      <c r="PS100" s="16">
        <v>1</v>
      </c>
      <c r="PT100" s="16">
        <v>1</v>
      </c>
      <c r="PU100" s="16">
        <v>4</v>
      </c>
      <c r="PV100" s="16">
        <v>17.43</v>
      </c>
      <c r="PW100" s="16"/>
      <c r="PX100" s="16"/>
      <c r="PY100" s="16"/>
      <c r="PZ100" s="16"/>
      <c r="QA100" s="16"/>
      <c r="QB100" s="16"/>
      <c r="QC100" s="16">
        <v>1.7</v>
      </c>
      <c r="QD100" s="16">
        <v>1.7</v>
      </c>
      <c r="QE100" s="16">
        <v>0</v>
      </c>
      <c r="QF100" s="16">
        <v>0</v>
      </c>
      <c r="QG100" s="16">
        <v>0</v>
      </c>
      <c r="QH100" s="16">
        <v>0</v>
      </c>
      <c r="QI100" s="16">
        <v>0</v>
      </c>
      <c r="QJ100">
        <v>0</v>
      </c>
      <c r="QK100" t="s">
        <v>350</v>
      </c>
      <c r="QL100">
        <v>75</v>
      </c>
      <c r="QM100" s="16">
        <v>87.9</v>
      </c>
      <c r="QN100" s="16">
        <v>80.400000000000006</v>
      </c>
      <c r="QO100" s="16">
        <v>45.2</v>
      </c>
      <c r="QP100">
        <v>50.83</v>
      </c>
      <c r="QQ100">
        <v>0.05</v>
      </c>
      <c r="QR100">
        <v>46.44</v>
      </c>
      <c r="QS100">
        <v>2.67</v>
      </c>
      <c r="QT100">
        <v>0</v>
      </c>
      <c r="QU100">
        <v>0</v>
      </c>
      <c r="QV100">
        <v>0</v>
      </c>
      <c r="QX100">
        <v>0</v>
      </c>
      <c r="QY100">
        <v>0</v>
      </c>
      <c r="QZ100">
        <v>0</v>
      </c>
      <c r="RA100">
        <v>0</v>
      </c>
      <c r="RB100">
        <v>25.21</v>
      </c>
      <c r="RC100">
        <v>43.57</v>
      </c>
      <c r="RD100">
        <v>6.27</v>
      </c>
      <c r="RE100">
        <v>0</v>
      </c>
      <c r="RF100">
        <v>0</v>
      </c>
      <c r="RG100">
        <v>0</v>
      </c>
      <c r="RT100">
        <v>17.8</v>
      </c>
      <c r="RU100">
        <v>1</v>
      </c>
      <c r="RV100">
        <v>35</v>
      </c>
      <c r="RW100">
        <v>9</v>
      </c>
      <c r="RX100">
        <v>2.5499999999999998</v>
      </c>
      <c r="RY100">
        <v>3</v>
      </c>
      <c r="SF100" s="20"/>
      <c r="SX100">
        <v>1</v>
      </c>
      <c r="SY100">
        <v>50</v>
      </c>
      <c r="SZ100">
        <v>8</v>
      </c>
      <c r="TA100">
        <v>2.12</v>
      </c>
      <c r="TB100">
        <v>3</v>
      </c>
      <c r="UI100" s="16">
        <v>3.43</v>
      </c>
      <c r="UJ100" s="16">
        <v>1</v>
      </c>
      <c r="UK100" s="16">
        <v>1</v>
      </c>
      <c r="UL100" s="16"/>
      <c r="UM100" s="16">
        <v>26.11</v>
      </c>
      <c r="UN100" s="16">
        <v>2</v>
      </c>
      <c r="UO100" s="16"/>
      <c r="UP100" s="16">
        <v>11.19</v>
      </c>
      <c r="UQ100" s="16"/>
      <c r="UR100" s="16"/>
      <c r="US100" s="16"/>
      <c r="UT100" s="16">
        <v>6.39</v>
      </c>
      <c r="UU100" s="16">
        <v>3.31</v>
      </c>
      <c r="UV100" s="16">
        <v>0</v>
      </c>
      <c r="UW100" s="16">
        <v>0</v>
      </c>
      <c r="UX100" s="16">
        <v>0</v>
      </c>
      <c r="UY100" s="16">
        <v>0</v>
      </c>
      <c r="UZ100" s="16">
        <v>0</v>
      </c>
      <c r="VA100">
        <v>0</v>
      </c>
      <c r="VB100" t="s">
        <v>361</v>
      </c>
      <c r="VC100">
        <v>74.5</v>
      </c>
      <c r="VD100" s="16">
        <v>76.2</v>
      </c>
      <c r="VE100" s="16">
        <v>80.400000000000006</v>
      </c>
      <c r="VF100" s="16">
        <v>42.8</v>
      </c>
      <c r="VG100">
        <v>57.15</v>
      </c>
      <c r="VH100">
        <v>0.45</v>
      </c>
      <c r="VI100">
        <v>39.090000000000003</v>
      </c>
      <c r="VJ100">
        <v>3.3</v>
      </c>
      <c r="VK100">
        <v>0</v>
      </c>
      <c r="VL100">
        <v>0</v>
      </c>
      <c r="VM100">
        <v>0</v>
      </c>
      <c r="VO100">
        <v>0</v>
      </c>
      <c r="VP100">
        <v>0</v>
      </c>
      <c r="VQ100">
        <v>0</v>
      </c>
      <c r="VR100">
        <v>0</v>
      </c>
      <c r="VS100">
        <v>18.260000000000002</v>
      </c>
      <c r="VT100">
        <v>34.4</v>
      </c>
      <c r="VU100">
        <v>6.27</v>
      </c>
      <c r="VV100">
        <v>0</v>
      </c>
      <c r="VW100">
        <v>0</v>
      </c>
      <c r="VX100">
        <v>0</v>
      </c>
      <c r="WK100">
        <v>18.2</v>
      </c>
      <c r="WL100">
        <v>1</v>
      </c>
      <c r="WM100">
        <v>35</v>
      </c>
      <c r="WN100">
        <v>9</v>
      </c>
      <c r="WO100">
        <v>2.5499999999999998</v>
      </c>
      <c r="WP100">
        <v>3</v>
      </c>
      <c r="WW100" s="20"/>
      <c r="XO100">
        <v>1</v>
      </c>
      <c r="XP100">
        <v>50</v>
      </c>
      <c r="XQ100">
        <v>8</v>
      </c>
      <c r="XR100">
        <v>2.54</v>
      </c>
      <c r="XS100">
        <v>3</v>
      </c>
      <c r="YZ100" s="16">
        <v>7.59</v>
      </c>
      <c r="ZA100" s="16">
        <v>1</v>
      </c>
      <c r="ZB100" s="16">
        <v>1</v>
      </c>
      <c r="ZC100" s="16"/>
      <c r="ZD100" s="16">
        <v>22.38</v>
      </c>
      <c r="ZE100" s="16">
        <v>2</v>
      </c>
      <c r="ZF100" s="16"/>
      <c r="ZG100" s="16">
        <v>14.92</v>
      </c>
      <c r="ZH100" s="16"/>
      <c r="ZI100" s="16"/>
      <c r="ZJ100" s="16"/>
      <c r="ZK100" s="16">
        <v>5.05</v>
      </c>
      <c r="ZL100" s="16">
        <v>1.54</v>
      </c>
      <c r="ZM100" s="16">
        <v>0</v>
      </c>
      <c r="ZN100" s="16">
        <v>0</v>
      </c>
      <c r="ZO100" s="16">
        <v>0</v>
      </c>
      <c r="ZP100" s="16">
        <v>0</v>
      </c>
      <c r="ZQ100" s="16">
        <v>0</v>
      </c>
      <c r="ZR100">
        <v>0</v>
      </c>
      <c r="ZS100" t="s">
        <v>365</v>
      </c>
      <c r="ZT100">
        <v>75</v>
      </c>
      <c r="ZU100" s="16">
        <v>76.8</v>
      </c>
      <c r="ZV100" s="16">
        <v>80.400000000000006</v>
      </c>
      <c r="ZW100" s="16">
        <v>30.8</v>
      </c>
      <c r="ZX100">
        <v>74.739999999999995</v>
      </c>
      <c r="ZY100" s="17">
        <v>0</v>
      </c>
      <c r="ZZ100">
        <v>4.24</v>
      </c>
      <c r="AAA100">
        <v>16.45</v>
      </c>
      <c r="AAB100">
        <v>4.57</v>
      </c>
      <c r="AAC100">
        <v>0</v>
      </c>
      <c r="AAD100">
        <v>0</v>
      </c>
      <c r="AAF100">
        <v>0</v>
      </c>
      <c r="AAG100">
        <v>0</v>
      </c>
      <c r="AAH100">
        <v>0</v>
      </c>
      <c r="AAI100">
        <v>0</v>
      </c>
      <c r="AAJ100">
        <v>35.229999999999997</v>
      </c>
      <c r="AAK100">
        <v>6.53</v>
      </c>
      <c r="AAL100">
        <v>4.97</v>
      </c>
      <c r="AAM100">
        <v>0</v>
      </c>
      <c r="AAN100">
        <v>0</v>
      </c>
      <c r="AAO100">
        <v>0</v>
      </c>
      <c r="ABB100">
        <v>38.4</v>
      </c>
      <c r="ABC100">
        <v>1</v>
      </c>
      <c r="ABD100">
        <v>47</v>
      </c>
      <c r="ABE100">
        <v>7</v>
      </c>
      <c r="ABF100">
        <v>5.33</v>
      </c>
      <c r="ABG100">
        <v>3</v>
      </c>
      <c r="ABN100" s="20"/>
      <c r="ACF100">
        <v>0</v>
      </c>
      <c r="ADQ100" s="16">
        <v>2.02</v>
      </c>
      <c r="ADR100" s="16">
        <v>1</v>
      </c>
      <c r="ADS100" s="16">
        <v>1</v>
      </c>
      <c r="ADT100" s="16"/>
      <c r="ADU100" s="16">
        <v>9.9499999999999993</v>
      </c>
      <c r="ADV100" s="16">
        <v>2</v>
      </c>
      <c r="ADW100" s="16"/>
      <c r="ADX100" s="16">
        <v>9.9499999999999993</v>
      </c>
      <c r="ADY100" s="16"/>
      <c r="ADZ100" s="16"/>
      <c r="AEA100" s="16"/>
      <c r="AEB100" s="16">
        <v>0</v>
      </c>
      <c r="AEC100" s="16">
        <v>0</v>
      </c>
      <c r="AED100" s="16">
        <v>0</v>
      </c>
      <c r="AEE100" s="16">
        <v>0</v>
      </c>
      <c r="AEF100" s="16">
        <v>0</v>
      </c>
      <c r="AEG100" s="16">
        <v>0</v>
      </c>
      <c r="AEH100" s="16">
        <v>0</v>
      </c>
      <c r="AEI100">
        <v>0</v>
      </c>
      <c r="AEJ100" t="s">
        <v>351</v>
      </c>
      <c r="AEK100">
        <v>30.5</v>
      </c>
      <c r="AEL100" s="16">
        <v>68.400000000000006</v>
      </c>
      <c r="AEM100" s="16">
        <v>80.400000000000006</v>
      </c>
      <c r="AEN100" s="16">
        <v>19.8</v>
      </c>
      <c r="AEO100">
        <v>72.42</v>
      </c>
      <c r="AEP100" s="17">
        <v>0</v>
      </c>
      <c r="AEQ100">
        <v>0.94</v>
      </c>
      <c r="AER100">
        <v>0.94</v>
      </c>
      <c r="AES100">
        <v>25.7</v>
      </c>
      <c r="AET100">
        <v>0</v>
      </c>
      <c r="AEU100">
        <v>0</v>
      </c>
      <c r="AEW100">
        <v>0</v>
      </c>
      <c r="AEX100">
        <v>0</v>
      </c>
      <c r="AEY100">
        <v>0</v>
      </c>
      <c r="AEZ100">
        <v>0</v>
      </c>
      <c r="AFA100">
        <v>28.26</v>
      </c>
      <c r="AFB100">
        <v>10.55</v>
      </c>
      <c r="AFC100">
        <v>14.21</v>
      </c>
      <c r="AFD100">
        <v>0</v>
      </c>
      <c r="AFE100">
        <v>0</v>
      </c>
      <c r="AFF100">
        <v>0</v>
      </c>
      <c r="AFS100">
        <v>3.3</v>
      </c>
      <c r="AFT100">
        <v>1</v>
      </c>
      <c r="AFU100">
        <v>68</v>
      </c>
      <c r="AFV100">
        <v>2</v>
      </c>
      <c r="AFW100">
        <v>1.52</v>
      </c>
      <c r="AFX100">
        <v>1</v>
      </c>
      <c r="AGE100" s="20"/>
      <c r="AGW100">
        <v>0</v>
      </c>
      <c r="AIH100" s="16">
        <v>0</v>
      </c>
      <c r="AII100" s="16">
        <v>0</v>
      </c>
      <c r="AIJ100" s="16"/>
      <c r="AIK100" s="16"/>
      <c r="AIL100" s="16"/>
      <c r="AIM100" s="16"/>
      <c r="AIN100" s="16"/>
      <c r="AIO100" s="16"/>
      <c r="AIP100" s="16"/>
      <c r="AIQ100" s="16"/>
      <c r="AIR100" s="16"/>
      <c r="AIS100" s="16">
        <v>0.81</v>
      </c>
      <c r="AIT100" s="16">
        <v>0.8</v>
      </c>
      <c r="AIU100" s="16">
        <v>0</v>
      </c>
      <c r="AIV100" s="16">
        <v>0</v>
      </c>
      <c r="AIW100" s="16">
        <v>2.99</v>
      </c>
      <c r="AIX100" s="16">
        <v>5.71</v>
      </c>
      <c r="AIY100" s="16">
        <v>0</v>
      </c>
      <c r="AIZ100">
        <v>0</v>
      </c>
      <c r="AJA100" t="s">
        <v>356</v>
      </c>
      <c r="AJB100">
        <v>39.5</v>
      </c>
      <c r="AJC100" s="16">
        <v>85.1</v>
      </c>
      <c r="AJD100" s="16">
        <v>80.400000000000006</v>
      </c>
      <c r="AJE100" s="16">
        <v>13.6</v>
      </c>
      <c r="AJF100">
        <v>87.38</v>
      </c>
      <c r="AJG100" s="17">
        <v>0</v>
      </c>
      <c r="AJH100">
        <v>8.0500000000000007</v>
      </c>
      <c r="AJI100">
        <v>0</v>
      </c>
      <c r="AJJ100">
        <v>4.57</v>
      </c>
      <c r="AJK100">
        <v>0</v>
      </c>
      <c r="AJL100">
        <v>0</v>
      </c>
      <c r="AJN100">
        <v>0</v>
      </c>
      <c r="AJO100">
        <v>0</v>
      </c>
      <c r="AJP100">
        <v>0</v>
      </c>
      <c r="AJQ100">
        <v>0</v>
      </c>
      <c r="AJR100">
        <v>45</v>
      </c>
      <c r="AJS100">
        <v>10.1</v>
      </c>
      <c r="AJT100">
        <v>11.8</v>
      </c>
      <c r="AJU100">
        <v>0</v>
      </c>
      <c r="AJV100">
        <v>0</v>
      </c>
      <c r="AJW100">
        <v>0</v>
      </c>
      <c r="AKJ100">
        <v>17.8</v>
      </c>
      <c r="AKK100">
        <v>1</v>
      </c>
      <c r="AKL100">
        <v>30</v>
      </c>
      <c r="AKM100">
        <v>7</v>
      </c>
      <c r="AKN100">
        <v>5.33</v>
      </c>
      <c r="AKO100">
        <v>3</v>
      </c>
      <c r="AKV100" s="20"/>
      <c r="ALN100">
        <v>1</v>
      </c>
      <c r="ALO100">
        <v>50</v>
      </c>
      <c r="ALP100">
        <v>1</v>
      </c>
      <c r="ALQ100">
        <v>0.03</v>
      </c>
      <c r="ALR100">
        <v>1</v>
      </c>
    </row>
    <row r="101" spans="1:1018" x14ac:dyDescent="0.2">
      <c r="A101" s="1" t="s">
        <v>489</v>
      </c>
      <c r="B101" s="12">
        <v>42894</v>
      </c>
      <c r="C101">
        <v>1</v>
      </c>
      <c r="D101" s="13">
        <v>42821</v>
      </c>
      <c r="E101" s="12">
        <v>30181</v>
      </c>
      <c r="F101" s="14">
        <f t="shared" si="42"/>
        <v>34.806297056810401</v>
      </c>
      <c r="G101" s="14">
        <f t="shared" si="43"/>
        <v>0.1998631074606434</v>
      </c>
      <c r="H101" s="15" t="s">
        <v>183</v>
      </c>
      <c r="I101" s="15" t="s">
        <v>347</v>
      </c>
      <c r="J101" s="15" t="s">
        <v>183</v>
      </c>
      <c r="K101" s="21">
        <v>8</v>
      </c>
      <c r="L101" s="19">
        <v>65</v>
      </c>
      <c r="M101">
        <v>1.59</v>
      </c>
      <c r="N101" s="16">
        <f t="shared" si="44"/>
        <v>25.711008267078039</v>
      </c>
      <c r="O101" s="19">
        <v>0</v>
      </c>
      <c r="P101" s="19">
        <v>0</v>
      </c>
      <c r="Q101" s="19">
        <v>0</v>
      </c>
      <c r="R101" s="19">
        <v>0</v>
      </c>
      <c r="S101" s="19">
        <v>0</v>
      </c>
      <c r="T101" s="19">
        <v>0</v>
      </c>
      <c r="U101" s="19">
        <v>0</v>
      </c>
      <c r="V101" s="19">
        <v>0</v>
      </c>
      <c r="W101" s="19">
        <v>0</v>
      </c>
      <c r="X101" s="19">
        <v>0</v>
      </c>
      <c r="Y101" s="19">
        <v>0</v>
      </c>
      <c r="Z101" s="19">
        <v>0</v>
      </c>
      <c r="AA101" s="19">
        <v>0</v>
      </c>
      <c r="AB101" s="19">
        <v>0</v>
      </c>
      <c r="AC101" s="19">
        <v>0</v>
      </c>
      <c r="AD101" s="19">
        <v>0</v>
      </c>
      <c r="AE101" s="19">
        <v>0</v>
      </c>
      <c r="AF101" s="19">
        <v>0</v>
      </c>
      <c r="AG101" s="19">
        <v>0</v>
      </c>
      <c r="AH101" s="19">
        <v>0</v>
      </c>
      <c r="AI101" s="19">
        <v>0</v>
      </c>
      <c r="AJ101" s="19">
        <v>0</v>
      </c>
      <c r="AK101" s="19">
        <v>0</v>
      </c>
      <c r="AL101" s="19">
        <v>0</v>
      </c>
      <c r="AM101" s="19">
        <v>0</v>
      </c>
      <c r="AN101" s="19">
        <v>0</v>
      </c>
      <c r="AO101" s="19">
        <v>0</v>
      </c>
      <c r="AP101" s="19">
        <v>0</v>
      </c>
      <c r="AQ101" s="19">
        <v>0</v>
      </c>
      <c r="AR101" s="19">
        <v>0</v>
      </c>
      <c r="AS101" s="19">
        <v>0</v>
      </c>
      <c r="AT101" s="19">
        <v>0</v>
      </c>
      <c r="AU101" s="19">
        <v>0</v>
      </c>
      <c r="AV101" s="19">
        <v>0</v>
      </c>
      <c r="AW101" s="19">
        <v>0</v>
      </c>
      <c r="AX101" s="19">
        <v>0</v>
      </c>
      <c r="AY101" s="19">
        <v>0</v>
      </c>
      <c r="AZ101" s="19">
        <v>0</v>
      </c>
      <c r="BA101" s="19">
        <v>0</v>
      </c>
      <c r="BB101" s="19">
        <v>0</v>
      </c>
      <c r="BC101" s="19">
        <v>0</v>
      </c>
      <c r="BD101" s="19">
        <v>0</v>
      </c>
      <c r="BE101" s="19">
        <v>0</v>
      </c>
      <c r="BF101" s="19">
        <v>0</v>
      </c>
      <c r="BG101" s="19">
        <v>0</v>
      </c>
      <c r="BH101" s="19">
        <v>0</v>
      </c>
      <c r="BI101" s="19">
        <v>0</v>
      </c>
      <c r="BJ101" s="19">
        <v>0</v>
      </c>
      <c r="BK101" s="19">
        <v>0</v>
      </c>
      <c r="BL101" s="19">
        <v>0</v>
      </c>
      <c r="BM101" s="19">
        <v>0</v>
      </c>
      <c r="BN101" s="19">
        <v>0</v>
      </c>
      <c r="BO101" s="19">
        <v>0</v>
      </c>
      <c r="BP101" s="19">
        <v>0</v>
      </c>
      <c r="BQ101" s="19">
        <v>0</v>
      </c>
      <c r="BR101" s="19">
        <v>2</v>
      </c>
      <c r="BS101" s="19">
        <v>2</v>
      </c>
      <c r="BT101" s="19">
        <v>3</v>
      </c>
      <c r="BU101" s="19">
        <v>5</v>
      </c>
      <c r="BV101" s="19">
        <v>1</v>
      </c>
      <c r="BW101" s="19">
        <v>1</v>
      </c>
      <c r="BX101" s="19">
        <v>1</v>
      </c>
      <c r="BY101" s="19">
        <v>2</v>
      </c>
      <c r="BZ101" s="19">
        <v>3</v>
      </c>
      <c r="CA101" s="19">
        <v>4</v>
      </c>
      <c r="CB101" s="19">
        <v>4</v>
      </c>
      <c r="CC101" s="19">
        <v>4</v>
      </c>
      <c r="CD101" s="19"/>
      <c r="CE101" s="19">
        <v>4</v>
      </c>
      <c r="CF101" s="19">
        <v>5</v>
      </c>
      <c r="CG101" s="19">
        <v>5</v>
      </c>
      <c r="CH101" s="19">
        <v>4</v>
      </c>
      <c r="CI101" s="19">
        <v>4</v>
      </c>
      <c r="CJ101" s="19">
        <v>4</v>
      </c>
      <c r="CK101" s="19">
        <v>10</v>
      </c>
      <c r="CL101" t="s">
        <v>355</v>
      </c>
      <c r="CM101">
        <v>37</v>
      </c>
      <c r="CN101" s="16">
        <v>95.1</v>
      </c>
      <c r="CO101" s="16">
        <v>80.400000000000006</v>
      </c>
      <c r="CP101" s="16">
        <v>15.9</v>
      </c>
      <c r="CQ101">
        <v>82.71</v>
      </c>
      <c r="CS101">
        <v>10.32</v>
      </c>
      <c r="CT101">
        <v>0.39</v>
      </c>
      <c r="CU101">
        <v>10.32</v>
      </c>
      <c r="CV101">
        <v>0</v>
      </c>
      <c r="CW101">
        <v>0</v>
      </c>
      <c r="CY101">
        <v>0</v>
      </c>
      <c r="CZ101">
        <v>0</v>
      </c>
      <c r="DA101">
        <v>0</v>
      </c>
      <c r="DB101">
        <v>1.9</v>
      </c>
      <c r="DC101">
        <v>26.26</v>
      </c>
      <c r="DD101">
        <v>6.04</v>
      </c>
      <c r="DE101">
        <v>2.19</v>
      </c>
      <c r="DF101">
        <v>0</v>
      </c>
      <c r="DG101">
        <v>0</v>
      </c>
      <c r="DH101">
        <v>0</v>
      </c>
      <c r="DU101">
        <v>14.7</v>
      </c>
      <c r="DV101">
        <v>1</v>
      </c>
      <c r="DW101">
        <v>35</v>
      </c>
      <c r="DX101">
        <v>2</v>
      </c>
      <c r="DY101">
        <v>1.8</v>
      </c>
      <c r="DZ101">
        <v>3</v>
      </c>
      <c r="EG101" s="20"/>
      <c r="EY101">
        <v>1</v>
      </c>
      <c r="EZ101">
        <v>50</v>
      </c>
      <c r="FA101">
        <v>1</v>
      </c>
      <c r="FB101">
        <v>1.34</v>
      </c>
      <c r="FC101">
        <v>2</v>
      </c>
      <c r="FD101">
        <v>40</v>
      </c>
      <c r="FE101">
        <v>1</v>
      </c>
      <c r="FF101">
        <v>0.9</v>
      </c>
      <c r="FG101">
        <v>3</v>
      </c>
      <c r="FH101">
        <v>50</v>
      </c>
      <c r="FI101">
        <v>1</v>
      </c>
      <c r="FJ101">
        <v>0.9</v>
      </c>
      <c r="FK101">
        <v>3</v>
      </c>
      <c r="FL101">
        <v>80</v>
      </c>
      <c r="FM101">
        <v>2</v>
      </c>
      <c r="FN101">
        <v>2.68</v>
      </c>
      <c r="FO101">
        <v>2</v>
      </c>
      <c r="FP101">
        <v>100</v>
      </c>
      <c r="FQ101">
        <v>1</v>
      </c>
      <c r="FR101">
        <v>2.57</v>
      </c>
      <c r="FS101">
        <v>2</v>
      </c>
      <c r="GJ101">
        <v>0</v>
      </c>
      <c r="GK101" s="19">
        <v>0</v>
      </c>
      <c r="GL101" s="19"/>
      <c r="GM101" s="13"/>
      <c r="GN101" s="13"/>
      <c r="GO101" s="19"/>
      <c r="GP101" s="13"/>
      <c r="GQ101" s="13"/>
      <c r="GR101" s="13"/>
      <c r="GS101" s="13"/>
      <c r="GT101" s="13"/>
      <c r="GU101" s="16">
        <v>5.1100000000000003</v>
      </c>
      <c r="GV101">
        <v>4.8099999999999996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 t="s">
        <v>350</v>
      </c>
      <c r="HD101">
        <v>75</v>
      </c>
      <c r="HE101" s="16">
        <v>87.9</v>
      </c>
      <c r="HF101" s="16">
        <v>80.400000000000006</v>
      </c>
      <c r="HG101" s="16">
        <v>45.2</v>
      </c>
      <c r="HH101">
        <v>50.83</v>
      </c>
      <c r="HI101">
        <v>0.05</v>
      </c>
      <c r="HJ101">
        <v>46.44</v>
      </c>
      <c r="HK101">
        <v>2.67</v>
      </c>
      <c r="HL101">
        <v>0</v>
      </c>
      <c r="HM101">
        <v>0</v>
      </c>
      <c r="HN101">
        <v>0</v>
      </c>
      <c r="HP101">
        <v>0</v>
      </c>
      <c r="HQ101">
        <v>0</v>
      </c>
      <c r="HR101">
        <v>0</v>
      </c>
      <c r="HS101">
        <v>0</v>
      </c>
      <c r="HT101">
        <v>25.21</v>
      </c>
      <c r="HU101">
        <v>43.57</v>
      </c>
      <c r="HV101">
        <v>6.27</v>
      </c>
      <c r="HW101">
        <v>0</v>
      </c>
      <c r="HX101">
        <v>0</v>
      </c>
      <c r="HY101">
        <v>0</v>
      </c>
      <c r="IL101">
        <v>17.8</v>
      </c>
      <c r="IM101">
        <v>1</v>
      </c>
      <c r="IN101">
        <v>35</v>
      </c>
      <c r="IO101">
        <v>9</v>
      </c>
      <c r="IP101">
        <v>2.5499999999999998</v>
      </c>
      <c r="IQ101">
        <v>3</v>
      </c>
      <c r="IX101" s="20"/>
      <c r="JP101">
        <v>1</v>
      </c>
      <c r="JQ101">
        <v>50</v>
      </c>
      <c r="JR101">
        <v>8</v>
      </c>
      <c r="JS101">
        <v>2.12</v>
      </c>
      <c r="JT101">
        <v>3</v>
      </c>
      <c r="LA101" s="16">
        <v>3.43</v>
      </c>
      <c r="LB101" s="16">
        <v>1</v>
      </c>
      <c r="LC101" s="16">
        <v>1</v>
      </c>
      <c r="LD101" s="16"/>
      <c r="LE101" s="16">
        <v>26.11</v>
      </c>
      <c r="LF101" s="16">
        <v>2</v>
      </c>
      <c r="LG101" s="16"/>
      <c r="LH101" s="16">
        <v>11.19</v>
      </c>
      <c r="LI101" s="16"/>
      <c r="LJ101" s="16"/>
      <c r="LK101" s="16"/>
      <c r="LL101" s="16">
        <v>6.39</v>
      </c>
      <c r="LM101" s="16">
        <v>3.31</v>
      </c>
      <c r="LN101" s="16">
        <v>0</v>
      </c>
      <c r="LO101" s="16">
        <v>0</v>
      </c>
      <c r="LP101" s="16">
        <v>0</v>
      </c>
      <c r="LQ101" s="16">
        <v>0</v>
      </c>
      <c r="LR101" s="16">
        <v>0</v>
      </c>
      <c r="LS101">
        <v>0</v>
      </c>
      <c r="LT101" t="s">
        <v>373</v>
      </c>
      <c r="LU101">
        <v>27.5</v>
      </c>
      <c r="LV101" s="16">
        <v>79.099999999999994</v>
      </c>
      <c r="LW101" s="16">
        <v>80.400000000000006</v>
      </c>
      <c r="LX101" s="16">
        <v>15.3</v>
      </c>
      <c r="LY101">
        <v>87.64</v>
      </c>
      <c r="MA101">
        <v>0</v>
      </c>
      <c r="MB101">
        <v>0</v>
      </c>
      <c r="MC101">
        <v>12.36</v>
      </c>
      <c r="MD101">
        <v>0</v>
      </c>
      <c r="ME101">
        <v>0</v>
      </c>
      <c r="MG101">
        <v>0</v>
      </c>
      <c r="MH101">
        <v>0</v>
      </c>
      <c r="MI101">
        <v>0</v>
      </c>
      <c r="MJ101">
        <v>24.9</v>
      </c>
      <c r="MK101">
        <v>31.79</v>
      </c>
      <c r="ML101">
        <v>18.86</v>
      </c>
      <c r="MM101">
        <v>0</v>
      </c>
      <c r="MN101">
        <v>0</v>
      </c>
      <c r="MO101">
        <v>4.8</v>
      </c>
      <c r="MP101">
        <v>5</v>
      </c>
      <c r="MQ101">
        <v>50</v>
      </c>
      <c r="MR101">
        <v>4</v>
      </c>
      <c r="MW101">
        <v>50</v>
      </c>
      <c r="MX101">
        <v>4</v>
      </c>
      <c r="NC101">
        <v>5.5</v>
      </c>
      <c r="ND101">
        <v>0</v>
      </c>
      <c r="NO101" s="20"/>
      <c r="OG101">
        <v>1</v>
      </c>
      <c r="OH101">
        <v>50</v>
      </c>
      <c r="OI101">
        <v>4</v>
      </c>
      <c r="OJ101">
        <v>3.59</v>
      </c>
      <c r="OK101">
        <v>3</v>
      </c>
      <c r="OL101">
        <v>70</v>
      </c>
      <c r="OM101">
        <v>14</v>
      </c>
      <c r="ON101">
        <v>4.93</v>
      </c>
      <c r="OO101">
        <v>2</v>
      </c>
      <c r="PR101" s="16">
        <v>0.75</v>
      </c>
      <c r="PS101" s="16">
        <v>1</v>
      </c>
      <c r="PT101" s="16">
        <v>1</v>
      </c>
      <c r="PU101" s="16"/>
      <c r="PV101" s="16">
        <v>9.9600000000000009</v>
      </c>
      <c r="PW101" s="16"/>
      <c r="PX101" s="16"/>
      <c r="PY101" s="16"/>
      <c r="PZ101" s="16"/>
      <c r="QA101" s="16"/>
      <c r="QB101" s="16"/>
      <c r="QC101" s="16">
        <v>0</v>
      </c>
      <c r="QD101" s="16">
        <v>0</v>
      </c>
      <c r="QE101" s="16">
        <v>0</v>
      </c>
      <c r="QF101" s="16">
        <v>0</v>
      </c>
      <c r="QG101" s="16">
        <v>0</v>
      </c>
      <c r="QH101" s="16">
        <v>0</v>
      </c>
      <c r="QI101" s="16">
        <v>0</v>
      </c>
      <c r="QJ101">
        <v>0</v>
      </c>
      <c r="QK101" t="s">
        <v>370</v>
      </c>
      <c r="QL101">
        <v>80.5</v>
      </c>
      <c r="QM101" s="16">
        <v>42.5</v>
      </c>
      <c r="QN101" s="16">
        <v>80.400000000000006</v>
      </c>
      <c r="QO101" s="16">
        <v>4.3</v>
      </c>
      <c r="QP101">
        <v>100</v>
      </c>
      <c r="QR101">
        <v>0</v>
      </c>
      <c r="QS101">
        <v>0</v>
      </c>
      <c r="QT101">
        <v>0</v>
      </c>
      <c r="QU101">
        <v>0</v>
      </c>
      <c r="QV101">
        <v>0</v>
      </c>
      <c r="QX101">
        <v>0</v>
      </c>
      <c r="QY101">
        <v>0</v>
      </c>
      <c r="QZ101">
        <v>0</v>
      </c>
      <c r="RA101">
        <v>0</v>
      </c>
      <c r="RB101">
        <v>61.07</v>
      </c>
      <c r="RC101">
        <v>4</v>
      </c>
      <c r="RD101">
        <v>0.14000000000000001</v>
      </c>
      <c r="RE101">
        <v>0</v>
      </c>
      <c r="RF101">
        <v>15.7</v>
      </c>
      <c r="RG101">
        <v>1</v>
      </c>
      <c r="RH101">
        <v>3</v>
      </c>
      <c r="RJ101">
        <v>1</v>
      </c>
      <c r="RN101">
        <v>3</v>
      </c>
      <c r="RP101">
        <v>1</v>
      </c>
      <c r="RT101">
        <v>12.4</v>
      </c>
      <c r="RU101">
        <v>1</v>
      </c>
      <c r="RV101">
        <v>34</v>
      </c>
      <c r="RW101">
        <v>4</v>
      </c>
      <c r="RX101">
        <v>1.28</v>
      </c>
      <c r="RY101">
        <v>1</v>
      </c>
      <c r="SF101" s="20"/>
      <c r="SX101">
        <v>1</v>
      </c>
      <c r="SY101">
        <v>50</v>
      </c>
      <c r="SZ101">
        <v>2</v>
      </c>
      <c r="TA101">
        <v>2.2799999999999998</v>
      </c>
      <c r="TB101">
        <v>3</v>
      </c>
      <c r="TC101">
        <v>50</v>
      </c>
      <c r="TD101">
        <v>12</v>
      </c>
      <c r="TE101">
        <v>8.75</v>
      </c>
      <c r="TF101">
        <v>4</v>
      </c>
      <c r="UI101" s="16">
        <v>0.63</v>
      </c>
      <c r="UJ101" s="16">
        <v>1</v>
      </c>
      <c r="UK101" s="16">
        <v>1</v>
      </c>
      <c r="UL101" s="16"/>
      <c r="UM101" s="16">
        <v>7.46</v>
      </c>
      <c r="UN101" s="16"/>
      <c r="UO101" s="16"/>
      <c r="UP101" s="16"/>
      <c r="UQ101" s="16"/>
      <c r="UR101" s="16"/>
      <c r="US101" s="16"/>
      <c r="UT101" s="16">
        <v>8.4700000000000006</v>
      </c>
      <c r="UU101" s="16">
        <v>4.95</v>
      </c>
      <c r="UV101" s="16">
        <v>0</v>
      </c>
      <c r="UW101" s="16">
        <v>0</v>
      </c>
      <c r="UX101" s="16">
        <v>0</v>
      </c>
      <c r="UY101" s="16">
        <v>0</v>
      </c>
      <c r="UZ101" s="16">
        <v>0</v>
      </c>
      <c r="VA101">
        <v>0</v>
      </c>
      <c r="VE101" s="15"/>
      <c r="VF101" s="15"/>
      <c r="VM101" s="15"/>
      <c r="VN101" s="15"/>
      <c r="VU101" s="15"/>
      <c r="VV101" s="15"/>
      <c r="WC101" s="15"/>
      <c r="WD101" s="15"/>
      <c r="WK101" s="15"/>
      <c r="WL101" s="15"/>
      <c r="WS101" s="15"/>
      <c r="WT101" s="15"/>
      <c r="XA101" s="15"/>
      <c r="XB101" s="15"/>
      <c r="XI101" s="15"/>
      <c r="XJ101" s="15"/>
      <c r="XQ101" s="15"/>
      <c r="XR101" s="15"/>
      <c r="XY101" s="15"/>
      <c r="XZ101" s="15"/>
      <c r="YG101" s="15"/>
      <c r="YH101" s="15"/>
      <c r="YO101" s="15"/>
      <c r="YP101" s="15"/>
      <c r="YW101" s="15"/>
      <c r="YX101" s="15"/>
      <c r="ZE101" s="15"/>
      <c r="ZF101" s="15"/>
      <c r="ZM101" s="15"/>
      <c r="ZN101" s="15"/>
      <c r="ZU101" s="15"/>
      <c r="ZV101" s="15"/>
      <c r="AAC101" s="15"/>
      <c r="AAD101" s="15"/>
      <c r="AAK101" s="15"/>
      <c r="AAL101" s="15"/>
      <c r="AAS101" s="15"/>
      <c r="AAT101" s="15"/>
      <c r="ABA101" s="15"/>
      <c r="ABB101" s="15"/>
      <c r="ABI101" s="15"/>
      <c r="ABJ101" s="15"/>
      <c r="ABQ101" s="15"/>
      <c r="ABR101" s="15"/>
      <c r="ABY101" s="15"/>
      <c r="ABZ101" s="15"/>
      <c r="ACG101" s="15"/>
      <c r="ACH101" s="15"/>
      <c r="ACO101" s="15"/>
      <c r="ACP101" s="15"/>
      <c r="ACW101" s="15"/>
      <c r="ACX101" s="15"/>
      <c r="ADE101" s="15"/>
      <c r="ADF101" s="15"/>
      <c r="ADM101" s="15"/>
      <c r="ADN101" s="15"/>
      <c r="ADU101" s="15"/>
      <c r="ADV101" s="15"/>
      <c r="AEC101" s="15"/>
      <c r="AED101" s="15"/>
      <c r="AEK101" s="15"/>
      <c r="AEL101" s="15"/>
      <c r="AES101" s="15"/>
      <c r="AET101" s="15"/>
      <c r="AFA101" s="15"/>
      <c r="AFB101" s="15"/>
      <c r="AFI101" s="15"/>
      <c r="AFJ101" s="15"/>
      <c r="AFQ101" s="15"/>
      <c r="AFR101" s="15"/>
      <c r="AFY101" s="15"/>
      <c r="AFZ101" s="15"/>
      <c r="AGG101" s="15"/>
      <c r="AGH101" s="15"/>
      <c r="AGO101" s="15"/>
      <c r="AGP101" s="15"/>
      <c r="AGW101" s="15"/>
      <c r="AGX101" s="15"/>
      <c r="AHE101" s="15"/>
      <c r="AHF101" s="15"/>
      <c r="AHM101" s="15"/>
      <c r="AHN101" s="15"/>
      <c r="AHU101" s="15"/>
      <c r="AHV101" s="15"/>
      <c r="AIC101" s="15"/>
      <c r="AID101" s="15"/>
      <c r="AIK101" s="15"/>
      <c r="AIL101" s="15"/>
      <c r="AIS101" s="15"/>
      <c r="AIT101" s="15"/>
      <c r="AJA101" s="15"/>
      <c r="AJB101" s="15"/>
      <c r="AJI101" s="15"/>
      <c r="AJJ101" s="15"/>
      <c r="AJQ101" s="15"/>
      <c r="AJR101" s="15"/>
      <c r="AJY101" s="15"/>
      <c r="AJZ101" s="15"/>
      <c r="AKG101" s="15"/>
      <c r="AKH101" s="15"/>
      <c r="AKO101" s="15"/>
      <c r="AKP101" s="15"/>
      <c r="AKW101" s="15"/>
      <c r="AKX101" s="15"/>
      <c r="ALE101" s="15"/>
      <c r="ALF101" s="15"/>
      <c r="ALM101" s="15"/>
      <c r="ALN101" s="15"/>
      <c r="ALU101" s="15"/>
      <c r="ALV101" s="15"/>
      <c r="AMC101" s="15"/>
      <c r="AMD101" s="15"/>
    </row>
    <row r="102" spans="1:1018" x14ac:dyDescent="0.2">
      <c r="A102" s="1" t="s">
        <v>490</v>
      </c>
      <c r="B102" s="12">
        <v>42894</v>
      </c>
      <c r="C102">
        <v>2</v>
      </c>
      <c r="D102" s="13">
        <v>42804</v>
      </c>
      <c r="E102" s="12">
        <v>31944</v>
      </c>
      <c r="F102" s="14">
        <f t="shared" si="42"/>
        <v>29.979466119096511</v>
      </c>
      <c r="G102" s="14">
        <f t="shared" si="43"/>
        <v>0.24640657084188911</v>
      </c>
      <c r="H102" s="15" t="s">
        <v>183</v>
      </c>
      <c r="I102" s="15" t="s">
        <v>347</v>
      </c>
      <c r="J102" s="15" t="s">
        <v>183</v>
      </c>
      <c r="K102" s="21">
        <v>8</v>
      </c>
      <c r="L102" s="19">
        <v>74</v>
      </c>
      <c r="M102">
        <v>1.74</v>
      </c>
      <c r="N102" s="16">
        <f t="shared" si="44"/>
        <v>24.441802087462015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19">
        <v>0</v>
      </c>
      <c r="V102" s="19">
        <v>0</v>
      </c>
      <c r="W102" s="19">
        <v>0</v>
      </c>
      <c r="X102" s="19">
        <v>0</v>
      </c>
      <c r="Y102" s="19">
        <v>1</v>
      </c>
      <c r="Z102" s="19">
        <v>3</v>
      </c>
      <c r="AA102" s="19">
        <v>180</v>
      </c>
      <c r="AB102" s="19" t="s">
        <v>343</v>
      </c>
      <c r="AC102" s="19">
        <v>0</v>
      </c>
      <c r="AD102" s="19">
        <v>0</v>
      </c>
      <c r="AE102" s="19">
        <v>0</v>
      </c>
      <c r="AF102" s="19">
        <v>0</v>
      </c>
      <c r="AG102" s="19">
        <v>0</v>
      </c>
      <c r="AH102" s="19">
        <v>0</v>
      </c>
      <c r="AI102" s="19">
        <v>0</v>
      </c>
      <c r="AJ102" s="19">
        <v>0</v>
      </c>
      <c r="AK102" s="19">
        <v>0</v>
      </c>
      <c r="AL102" s="19">
        <v>0</v>
      </c>
      <c r="AM102" s="19">
        <v>0</v>
      </c>
      <c r="AN102" s="19">
        <v>0</v>
      </c>
      <c r="AO102" s="19">
        <v>0</v>
      </c>
      <c r="AP102" s="19">
        <v>0</v>
      </c>
      <c r="AQ102" s="19">
        <v>0</v>
      </c>
      <c r="AR102" s="19">
        <v>0</v>
      </c>
      <c r="AS102" s="19">
        <v>0</v>
      </c>
      <c r="AT102" s="19">
        <v>0</v>
      </c>
      <c r="AU102" s="19">
        <v>0</v>
      </c>
      <c r="AV102" s="19">
        <v>0</v>
      </c>
      <c r="AW102" s="19">
        <v>0</v>
      </c>
      <c r="AX102" s="19">
        <v>0</v>
      </c>
      <c r="AY102" s="19">
        <v>0</v>
      </c>
      <c r="AZ102" s="19">
        <v>0</v>
      </c>
      <c r="BA102" s="19">
        <v>0</v>
      </c>
      <c r="BB102" s="19">
        <v>0</v>
      </c>
      <c r="BC102" s="19">
        <v>0</v>
      </c>
      <c r="BD102" s="19">
        <v>0</v>
      </c>
      <c r="BE102" s="19">
        <v>0</v>
      </c>
      <c r="BF102" s="19">
        <v>0</v>
      </c>
      <c r="BG102" s="19">
        <v>0</v>
      </c>
      <c r="BH102" s="19">
        <v>0</v>
      </c>
      <c r="BI102" s="19">
        <v>0</v>
      </c>
      <c r="BJ102" s="19">
        <v>0</v>
      </c>
      <c r="BK102" s="19">
        <v>0</v>
      </c>
      <c r="BL102" s="19">
        <v>0</v>
      </c>
      <c r="BM102" s="19">
        <v>0</v>
      </c>
      <c r="BN102" s="19">
        <v>0</v>
      </c>
      <c r="BO102" s="19">
        <v>0</v>
      </c>
      <c r="BP102" s="19">
        <v>0</v>
      </c>
      <c r="BQ102" s="19">
        <v>0</v>
      </c>
      <c r="BR102" s="19">
        <v>3</v>
      </c>
      <c r="BS102" s="19">
        <v>3</v>
      </c>
      <c r="BT102" s="19">
        <v>3</v>
      </c>
      <c r="BU102" s="19">
        <v>5</v>
      </c>
      <c r="BV102" s="19">
        <v>1</v>
      </c>
      <c r="BW102" s="19">
        <v>1</v>
      </c>
      <c r="BX102" s="19">
        <v>1</v>
      </c>
      <c r="BY102" s="19">
        <v>4</v>
      </c>
      <c r="BZ102" s="19">
        <v>1</v>
      </c>
      <c r="CA102" s="19">
        <v>4</v>
      </c>
      <c r="CB102" s="19">
        <v>4</v>
      </c>
      <c r="CC102" s="19">
        <v>5</v>
      </c>
      <c r="CD102" s="19">
        <v>1</v>
      </c>
      <c r="CE102" s="19">
        <v>5</v>
      </c>
      <c r="CF102" s="19">
        <v>5</v>
      </c>
      <c r="CG102" s="19">
        <v>5</v>
      </c>
      <c r="CH102" s="19">
        <v>3</v>
      </c>
      <c r="CI102" s="19">
        <v>5</v>
      </c>
      <c r="CJ102" s="19">
        <v>4</v>
      </c>
      <c r="CK102" s="19">
        <v>8</v>
      </c>
      <c r="CL102" t="s">
        <v>355</v>
      </c>
      <c r="CM102">
        <v>37</v>
      </c>
      <c r="CN102" s="16">
        <v>95.1</v>
      </c>
      <c r="CO102" s="16">
        <v>80.400000000000006</v>
      </c>
      <c r="CP102" s="16">
        <v>15.9</v>
      </c>
      <c r="CQ102">
        <v>82.71</v>
      </c>
      <c r="CR102" s="17">
        <v>0</v>
      </c>
      <c r="CS102">
        <v>10.32</v>
      </c>
      <c r="CT102">
        <v>0.39</v>
      </c>
      <c r="CU102">
        <v>10.32</v>
      </c>
      <c r="CV102">
        <v>0</v>
      </c>
      <c r="CW102">
        <v>0</v>
      </c>
      <c r="CY102">
        <v>0</v>
      </c>
      <c r="CZ102">
        <v>0</v>
      </c>
      <c r="DA102">
        <v>0</v>
      </c>
      <c r="DB102">
        <v>1.9</v>
      </c>
      <c r="DC102">
        <v>26.26</v>
      </c>
      <c r="DD102">
        <v>6.04</v>
      </c>
      <c r="DE102">
        <v>2.19</v>
      </c>
      <c r="DF102">
        <v>0</v>
      </c>
      <c r="DG102">
        <v>0</v>
      </c>
      <c r="DH102">
        <v>0</v>
      </c>
      <c r="DU102">
        <v>14.7</v>
      </c>
      <c r="DV102">
        <v>1</v>
      </c>
      <c r="DW102">
        <v>35</v>
      </c>
      <c r="DX102">
        <v>2</v>
      </c>
      <c r="DY102">
        <v>1.8</v>
      </c>
      <c r="DZ102">
        <v>3</v>
      </c>
      <c r="EG102" s="20"/>
      <c r="EY102">
        <v>1</v>
      </c>
      <c r="EZ102">
        <v>50</v>
      </c>
      <c r="FA102">
        <v>1</v>
      </c>
      <c r="FB102">
        <v>1.34</v>
      </c>
      <c r="FC102">
        <v>2</v>
      </c>
      <c r="FD102">
        <v>40</v>
      </c>
      <c r="FE102">
        <v>1</v>
      </c>
      <c r="FF102">
        <v>0.9</v>
      </c>
      <c r="FG102">
        <v>3</v>
      </c>
      <c r="FH102">
        <v>50</v>
      </c>
      <c r="FI102">
        <v>1</v>
      </c>
      <c r="FJ102">
        <v>0.9</v>
      </c>
      <c r="FK102">
        <v>3</v>
      </c>
      <c r="FL102">
        <v>80</v>
      </c>
      <c r="FM102">
        <v>2</v>
      </c>
      <c r="FN102">
        <v>2.68</v>
      </c>
      <c r="FO102">
        <v>2</v>
      </c>
      <c r="FP102">
        <v>100</v>
      </c>
      <c r="FQ102">
        <v>1</v>
      </c>
      <c r="FR102">
        <v>2.57</v>
      </c>
      <c r="FS102">
        <v>2</v>
      </c>
      <c r="GJ102">
        <v>0</v>
      </c>
      <c r="GK102" s="19">
        <v>0</v>
      </c>
      <c r="GL102" s="19"/>
      <c r="GM102" s="13"/>
      <c r="GN102" s="13"/>
      <c r="GO102" s="19"/>
      <c r="GP102" s="13"/>
      <c r="GQ102" s="13"/>
      <c r="GR102" s="13"/>
      <c r="GS102" s="13"/>
      <c r="GT102" s="13"/>
      <c r="GU102" s="16">
        <v>5.1100000000000003</v>
      </c>
      <c r="GV102">
        <v>4.8099999999999996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 t="s">
        <v>363</v>
      </c>
      <c r="HD102">
        <v>34.5</v>
      </c>
      <c r="HE102" s="16">
        <v>88.3</v>
      </c>
      <c r="HF102" s="16">
        <v>80.400000000000006</v>
      </c>
      <c r="HG102" s="16">
        <v>22.8</v>
      </c>
      <c r="HH102">
        <v>73.89</v>
      </c>
      <c r="HI102" s="17">
        <v>0</v>
      </c>
      <c r="HJ102">
        <v>14.94</v>
      </c>
      <c r="HK102">
        <v>0.5</v>
      </c>
      <c r="HL102">
        <v>10.66</v>
      </c>
      <c r="HM102">
        <v>0</v>
      </c>
      <c r="HN102">
        <v>0</v>
      </c>
      <c r="HP102">
        <v>0</v>
      </c>
      <c r="HQ102">
        <v>0</v>
      </c>
      <c r="HR102">
        <v>0</v>
      </c>
      <c r="HS102">
        <v>0</v>
      </c>
      <c r="HT102">
        <v>46.29</v>
      </c>
      <c r="HU102">
        <v>23.15</v>
      </c>
      <c r="HV102">
        <v>0</v>
      </c>
      <c r="HW102">
        <v>0</v>
      </c>
      <c r="HX102">
        <v>0</v>
      </c>
      <c r="HY102">
        <v>0</v>
      </c>
      <c r="IL102">
        <v>2.8</v>
      </c>
      <c r="IM102">
        <v>1</v>
      </c>
      <c r="IN102">
        <v>35</v>
      </c>
      <c r="IO102">
        <v>1</v>
      </c>
      <c r="IP102">
        <v>0.5</v>
      </c>
      <c r="IQ102">
        <v>3</v>
      </c>
      <c r="IX102" s="20"/>
      <c r="JP102">
        <v>1</v>
      </c>
      <c r="JQ102">
        <v>60</v>
      </c>
      <c r="JR102">
        <v>4</v>
      </c>
      <c r="JS102">
        <v>0.54</v>
      </c>
      <c r="JT102">
        <v>3</v>
      </c>
      <c r="LA102" s="16">
        <v>3.05</v>
      </c>
      <c r="LB102" s="16">
        <v>1</v>
      </c>
      <c r="LC102" s="16">
        <v>1</v>
      </c>
      <c r="LD102" s="16">
        <v>5</v>
      </c>
      <c r="LE102" s="16">
        <v>8.7100000000000009</v>
      </c>
      <c r="LF102" s="16">
        <v>2</v>
      </c>
      <c r="LG102" s="16">
        <v>25</v>
      </c>
      <c r="LH102" s="16">
        <v>12.44</v>
      </c>
      <c r="LI102" s="16"/>
      <c r="LJ102" s="16"/>
      <c r="LK102" s="16"/>
      <c r="LL102" s="16">
        <v>4.5</v>
      </c>
      <c r="LM102" s="16">
        <v>1.2</v>
      </c>
      <c r="LN102" s="16">
        <v>0</v>
      </c>
      <c r="LO102" s="16">
        <v>0</v>
      </c>
      <c r="LP102" s="16">
        <v>0</v>
      </c>
      <c r="LQ102" s="16">
        <v>0</v>
      </c>
      <c r="LR102" s="16">
        <v>0</v>
      </c>
      <c r="LS102">
        <v>0</v>
      </c>
      <c r="LT102" t="s">
        <v>364</v>
      </c>
      <c r="LU102">
        <v>32</v>
      </c>
      <c r="LV102" s="16">
        <v>75</v>
      </c>
      <c r="LW102" s="16">
        <v>80.400000000000006</v>
      </c>
      <c r="LX102" s="16">
        <v>22.6</v>
      </c>
      <c r="LY102">
        <v>76.239999999999995</v>
      </c>
      <c r="LZ102" s="17">
        <v>0</v>
      </c>
      <c r="MA102">
        <v>15.36</v>
      </c>
      <c r="MB102">
        <v>1.93</v>
      </c>
      <c r="MC102">
        <v>6.47</v>
      </c>
      <c r="MD102">
        <v>0</v>
      </c>
      <c r="ME102">
        <v>0</v>
      </c>
      <c r="MG102">
        <v>0</v>
      </c>
      <c r="MH102">
        <v>0</v>
      </c>
      <c r="MI102">
        <v>0</v>
      </c>
      <c r="MJ102">
        <v>0</v>
      </c>
      <c r="MK102">
        <v>32.86</v>
      </c>
      <c r="ML102">
        <v>26.39</v>
      </c>
      <c r="MM102">
        <v>0</v>
      </c>
      <c r="MN102">
        <v>0</v>
      </c>
      <c r="MO102">
        <v>0</v>
      </c>
      <c r="MP102">
        <v>0</v>
      </c>
      <c r="NC102">
        <v>5.6</v>
      </c>
      <c r="ND102">
        <v>1</v>
      </c>
      <c r="NE102">
        <v>35</v>
      </c>
      <c r="NF102">
        <v>1</v>
      </c>
      <c r="NG102">
        <v>0.5</v>
      </c>
      <c r="NH102">
        <v>3</v>
      </c>
      <c r="NO102" s="20"/>
      <c r="OG102">
        <v>1</v>
      </c>
      <c r="OH102">
        <v>60</v>
      </c>
      <c r="OI102">
        <v>5</v>
      </c>
      <c r="OJ102">
        <v>3.13</v>
      </c>
      <c r="OK102">
        <v>2</v>
      </c>
      <c r="OL102">
        <v>50</v>
      </c>
      <c r="OM102">
        <v>2</v>
      </c>
      <c r="ON102">
        <v>0.67</v>
      </c>
      <c r="OO102">
        <v>2</v>
      </c>
      <c r="PR102" s="16">
        <v>1.43</v>
      </c>
      <c r="PS102" s="16">
        <v>1</v>
      </c>
      <c r="PT102" s="16">
        <v>1</v>
      </c>
      <c r="PU102" s="16">
        <v>4</v>
      </c>
      <c r="PV102" s="16">
        <v>17.43</v>
      </c>
      <c r="PW102" s="16"/>
      <c r="PX102" s="16"/>
      <c r="PY102" s="16"/>
      <c r="PZ102" s="16"/>
      <c r="QA102" s="16"/>
      <c r="QB102" s="16"/>
      <c r="QC102" s="16">
        <v>1.7</v>
      </c>
      <c r="QD102" s="16">
        <v>1.7</v>
      </c>
      <c r="QE102" s="16">
        <v>0</v>
      </c>
      <c r="QF102" s="16">
        <v>0</v>
      </c>
      <c r="QG102" s="16">
        <v>0</v>
      </c>
      <c r="QH102" s="16">
        <v>0</v>
      </c>
      <c r="QI102" s="16">
        <v>0</v>
      </c>
      <c r="QJ102">
        <v>0</v>
      </c>
      <c r="QK102" t="s">
        <v>350</v>
      </c>
      <c r="QL102">
        <v>75</v>
      </c>
      <c r="QM102" s="16">
        <v>87.9</v>
      </c>
      <c r="QN102" s="16">
        <v>80.400000000000006</v>
      </c>
      <c r="QO102" s="16">
        <v>45.2</v>
      </c>
      <c r="QP102">
        <v>50.83</v>
      </c>
      <c r="QQ102">
        <v>0.05</v>
      </c>
      <c r="QR102">
        <v>46.44</v>
      </c>
      <c r="QS102">
        <v>2.67</v>
      </c>
      <c r="QT102">
        <v>0</v>
      </c>
      <c r="QU102">
        <v>0</v>
      </c>
      <c r="QV102">
        <v>0</v>
      </c>
      <c r="QX102">
        <v>0</v>
      </c>
      <c r="QY102">
        <v>0</v>
      </c>
      <c r="QZ102">
        <v>0</v>
      </c>
      <c r="RA102">
        <v>0</v>
      </c>
      <c r="RB102">
        <v>25.21</v>
      </c>
      <c r="RC102">
        <v>43.57</v>
      </c>
      <c r="RD102">
        <v>6.27</v>
      </c>
      <c r="RE102">
        <v>0</v>
      </c>
      <c r="RF102">
        <v>0</v>
      </c>
      <c r="RG102">
        <v>0</v>
      </c>
      <c r="RT102">
        <v>17.8</v>
      </c>
      <c r="RU102">
        <v>1</v>
      </c>
      <c r="RV102">
        <v>35</v>
      </c>
      <c r="RW102">
        <v>9</v>
      </c>
      <c r="RX102">
        <v>2.5499999999999998</v>
      </c>
      <c r="RY102">
        <v>3</v>
      </c>
      <c r="SF102" s="20"/>
      <c r="SX102">
        <v>1</v>
      </c>
      <c r="SY102">
        <v>50</v>
      </c>
      <c r="SZ102">
        <v>8</v>
      </c>
      <c r="TA102">
        <v>2.12</v>
      </c>
      <c r="TB102">
        <v>3</v>
      </c>
      <c r="UI102" s="16">
        <v>3.43</v>
      </c>
      <c r="UJ102" s="16">
        <v>1</v>
      </c>
      <c r="UK102" s="16">
        <v>1</v>
      </c>
      <c r="UL102" s="16"/>
      <c r="UM102" s="16">
        <v>26.11</v>
      </c>
      <c r="UN102" s="16">
        <v>2</v>
      </c>
      <c r="UO102" s="16"/>
      <c r="UP102" s="16">
        <v>11.19</v>
      </c>
      <c r="UQ102" s="16"/>
      <c r="UR102" s="16"/>
      <c r="US102" s="16"/>
      <c r="UT102" s="16">
        <v>6.39</v>
      </c>
      <c r="UU102" s="16">
        <v>3.31</v>
      </c>
      <c r="UV102" s="16">
        <v>0</v>
      </c>
      <c r="UW102" s="16">
        <v>0</v>
      </c>
      <c r="UX102" s="16">
        <v>0</v>
      </c>
      <c r="UY102" s="16">
        <v>0</v>
      </c>
      <c r="UZ102" s="16">
        <v>0</v>
      </c>
      <c r="VA102">
        <v>0</v>
      </c>
      <c r="VB102" t="s">
        <v>361</v>
      </c>
      <c r="VC102">
        <v>74.5</v>
      </c>
      <c r="VD102" s="16">
        <v>76.2</v>
      </c>
      <c r="VE102" s="16">
        <v>80.400000000000006</v>
      </c>
      <c r="VF102" s="16">
        <v>42.8</v>
      </c>
      <c r="VG102">
        <v>57.15</v>
      </c>
      <c r="VH102">
        <v>0.45</v>
      </c>
      <c r="VI102">
        <v>39.090000000000003</v>
      </c>
      <c r="VJ102">
        <v>3.3</v>
      </c>
      <c r="VK102">
        <v>0</v>
      </c>
      <c r="VL102">
        <v>0</v>
      </c>
      <c r="VM102">
        <v>0</v>
      </c>
      <c r="VO102">
        <v>0</v>
      </c>
      <c r="VP102">
        <v>0</v>
      </c>
      <c r="VQ102">
        <v>0</v>
      </c>
      <c r="VR102">
        <v>0</v>
      </c>
      <c r="VS102">
        <v>18.260000000000002</v>
      </c>
      <c r="VT102">
        <v>34.4</v>
      </c>
      <c r="VU102">
        <v>6.27</v>
      </c>
      <c r="VV102">
        <v>0</v>
      </c>
      <c r="VW102">
        <v>0</v>
      </c>
      <c r="VX102">
        <v>0</v>
      </c>
      <c r="WK102">
        <v>18.2</v>
      </c>
      <c r="WL102">
        <v>1</v>
      </c>
      <c r="WM102">
        <v>35</v>
      </c>
      <c r="WN102">
        <v>9</v>
      </c>
      <c r="WO102">
        <v>2.5499999999999998</v>
      </c>
      <c r="WP102">
        <v>3</v>
      </c>
      <c r="WW102" s="20"/>
      <c r="XO102">
        <v>1</v>
      </c>
      <c r="XP102">
        <v>50</v>
      </c>
      <c r="XQ102">
        <v>8</v>
      </c>
      <c r="XR102">
        <v>2.54</v>
      </c>
      <c r="XS102">
        <v>3</v>
      </c>
      <c r="YZ102" s="16">
        <v>7.59</v>
      </c>
      <c r="ZA102" s="16">
        <v>1</v>
      </c>
      <c r="ZB102" s="16">
        <v>1</v>
      </c>
      <c r="ZC102" s="16"/>
      <c r="ZD102" s="16">
        <v>22.38</v>
      </c>
      <c r="ZE102" s="16">
        <v>2</v>
      </c>
      <c r="ZF102" s="16"/>
      <c r="ZG102" s="16">
        <v>14.92</v>
      </c>
      <c r="ZH102" s="16"/>
      <c r="ZI102" s="16"/>
      <c r="ZJ102" s="16"/>
      <c r="ZK102" s="16">
        <v>5.05</v>
      </c>
      <c r="ZL102" s="16">
        <v>1.54</v>
      </c>
      <c r="ZM102" s="16">
        <v>0</v>
      </c>
      <c r="ZN102" s="16">
        <v>0</v>
      </c>
      <c r="ZO102" s="16">
        <v>0</v>
      </c>
      <c r="ZP102" s="16">
        <v>0</v>
      </c>
      <c r="ZQ102" s="16">
        <v>0</v>
      </c>
      <c r="ZR102">
        <v>0</v>
      </c>
      <c r="ZS102" t="s">
        <v>365</v>
      </c>
      <c r="ZT102">
        <v>75</v>
      </c>
      <c r="ZU102" s="16">
        <v>76.8</v>
      </c>
      <c r="ZV102" s="16">
        <v>80.400000000000006</v>
      </c>
      <c r="ZW102" s="16">
        <v>30.8</v>
      </c>
      <c r="ZX102">
        <v>74.739999999999995</v>
      </c>
      <c r="ZY102" s="17">
        <v>0</v>
      </c>
      <c r="ZZ102">
        <v>4.24</v>
      </c>
      <c r="AAA102">
        <v>16.45</v>
      </c>
      <c r="AAB102">
        <v>4.57</v>
      </c>
      <c r="AAC102">
        <v>0</v>
      </c>
      <c r="AAD102">
        <v>0</v>
      </c>
      <c r="AAF102">
        <v>0</v>
      </c>
      <c r="AAG102">
        <v>0</v>
      </c>
      <c r="AAH102">
        <v>0</v>
      </c>
      <c r="AAI102">
        <v>0</v>
      </c>
      <c r="AAJ102">
        <v>35.229999999999997</v>
      </c>
      <c r="AAK102">
        <v>6.53</v>
      </c>
      <c r="AAL102">
        <v>4.97</v>
      </c>
      <c r="AAM102">
        <v>0</v>
      </c>
      <c r="AAN102">
        <v>0</v>
      </c>
      <c r="AAO102">
        <v>0</v>
      </c>
      <c r="ABB102">
        <v>38.4</v>
      </c>
      <c r="ABC102">
        <v>1</v>
      </c>
      <c r="ABD102">
        <v>47</v>
      </c>
      <c r="ABE102">
        <v>7</v>
      </c>
      <c r="ABF102">
        <v>5.33</v>
      </c>
      <c r="ABG102">
        <v>3</v>
      </c>
      <c r="ABN102" s="20"/>
      <c r="ACF102">
        <v>0</v>
      </c>
      <c r="ADQ102" s="16">
        <v>2.02</v>
      </c>
      <c r="ADR102" s="16">
        <v>1</v>
      </c>
      <c r="ADS102" s="16">
        <v>1</v>
      </c>
      <c r="ADT102" s="16"/>
      <c r="ADU102" s="16">
        <v>9.9499999999999993</v>
      </c>
      <c r="ADV102" s="16">
        <v>2</v>
      </c>
      <c r="ADW102" s="16"/>
      <c r="ADX102" s="16">
        <v>9.9499999999999993</v>
      </c>
      <c r="ADY102" s="16"/>
      <c r="ADZ102" s="16"/>
      <c r="AEA102" s="16"/>
      <c r="AEB102" s="16">
        <v>0</v>
      </c>
      <c r="AEC102" s="16">
        <v>0</v>
      </c>
      <c r="AED102" s="16">
        <v>0</v>
      </c>
      <c r="AEE102" s="16">
        <v>0</v>
      </c>
      <c r="AEF102" s="16">
        <v>0</v>
      </c>
      <c r="AEG102" s="16">
        <v>0</v>
      </c>
      <c r="AEH102" s="16">
        <v>0</v>
      </c>
      <c r="AEI102">
        <v>0</v>
      </c>
      <c r="AEJ102" t="s">
        <v>351</v>
      </c>
      <c r="AEK102">
        <v>30.5</v>
      </c>
      <c r="AEL102" s="16">
        <v>68.400000000000006</v>
      </c>
      <c r="AEM102" s="16">
        <v>80.400000000000006</v>
      </c>
      <c r="AEN102" s="16">
        <v>19.8</v>
      </c>
      <c r="AEO102">
        <v>72.42</v>
      </c>
      <c r="AEP102" s="17">
        <v>0</v>
      </c>
      <c r="AEQ102">
        <v>0.94</v>
      </c>
      <c r="AER102">
        <v>0.94</v>
      </c>
      <c r="AES102">
        <v>25.7</v>
      </c>
      <c r="AET102">
        <v>0</v>
      </c>
      <c r="AEU102">
        <v>0</v>
      </c>
      <c r="AEW102">
        <v>0</v>
      </c>
      <c r="AEX102">
        <v>0</v>
      </c>
      <c r="AEY102">
        <v>0</v>
      </c>
      <c r="AEZ102">
        <v>0</v>
      </c>
      <c r="AFA102">
        <v>28.26</v>
      </c>
      <c r="AFB102">
        <v>10.55</v>
      </c>
      <c r="AFC102">
        <v>14.21</v>
      </c>
      <c r="AFD102">
        <v>0</v>
      </c>
      <c r="AFE102">
        <v>0</v>
      </c>
      <c r="AFF102">
        <v>0</v>
      </c>
      <c r="AFS102">
        <v>3.3</v>
      </c>
      <c r="AFT102">
        <v>1</v>
      </c>
      <c r="AFU102">
        <v>68</v>
      </c>
      <c r="AFV102">
        <v>2</v>
      </c>
      <c r="AFW102">
        <v>1.52</v>
      </c>
      <c r="AFX102">
        <v>1</v>
      </c>
      <c r="AGE102" s="20"/>
      <c r="AGW102">
        <v>0</v>
      </c>
      <c r="AIH102" s="16">
        <v>0</v>
      </c>
      <c r="AII102" s="16">
        <v>0</v>
      </c>
      <c r="AIJ102" s="16"/>
      <c r="AIK102" s="16"/>
      <c r="AIL102" s="16"/>
      <c r="AIM102" s="16"/>
      <c r="AIN102" s="16"/>
      <c r="AIO102" s="16"/>
      <c r="AIP102" s="16"/>
      <c r="AIQ102" s="16"/>
      <c r="AIR102" s="16"/>
      <c r="AIS102" s="16">
        <v>0.81</v>
      </c>
      <c r="AIT102" s="16">
        <v>0.8</v>
      </c>
      <c r="AIU102" s="16">
        <v>0</v>
      </c>
      <c r="AIV102" s="16">
        <v>0</v>
      </c>
      <c r="AIW102" s="16">
        <v>2.99</v>
      </c>
      <c r="AIX102" s="16">
        <v>5.71</v>
      </c>
      <c r="AIY102" s="16">
        <v>0</v>
      </c>
      <c r="AIZ102">
        <v>0</v>
      </c>
      <c r="AJA102" t="s">
        <v>356</v>
      </c>
      <c r="AJB102">
        <v>39.5</v>
      </c>
      <c r="AJC102" s="16">
        <v>85.1</v>
      </c>
      <c r="AJD102" s="16">
        <v>80.400000000000006</v>
      </c>
      <c r="AJE102" s="16">
        <v>13.6</v>
      </c>
      <c r="AJF102">
        <v>87.38</v>
      </c>
      <c r="AJG102" s="17">
        <v>0</v>
      </c>
      <c r="AJH102">
        <v>8.0500000000000007</v>
      </c>
      <c r="AJI102">
        <v>0</v>
      </c>
      <c r="AJJ102">
        <v>4.57</v>
      </c>
      <c r="AJK102">
        <v>0</v>
      </c>
      <c r="AJL102">
        <v>0</v>
      </c>
      <c r="AJN102">
        <v>0</v>
      </c>
      <c r="AJO102">
        <v>0</v>
      </c>
      <c r="AJP102">
        <v>0</v>
      </c>
      <c r="AJQ102">
        <v>0</v>
      </c>
      <c r="AJR102">
        <v>45</v>
      </c>
      <c r="AJS102">
        <v>10.1</v>
      </c>
      <c r="AJT102">
        <v>11.8</v>
      </c>
      <c r="AJU102">
        <v>0</v>
      </c>
      <c r="AJV102">
        <v>0</v>
      </c>
      <c r="AJW102">
        <v>0</v>
      </c>
      <c r="AKJ102">
        <v>17.8</v>
      </c>
      <c r="AKK102">
        <v>1</v>
      </c>
      <c r="AKL102">
        <v>30</v>
      </c>
      <c r="AKM102">
        <v>7</v>
      </c>
      <c r="AKN102">
        <v>5.33</v>
      </c>
      <c r="AKO102">
        <v>3</v>
      </c>
      <c r="AKV102" s="20"/>
      <c r="ALN102">
        <v>1</v>
      </c>
      <c r="ALO102">
        <v>50</v>
      </c>
      <c r="ALP102">
        <v>1</v>
      </c>
      <c r="ALQ102">
        <v>0.03</v>
      </c>
      <c r="ALR102">
        <v>1</v>
      </c>
    </row>
    <row r="103" spans="1:1018" x14ac:dyDescent="0.2">
      <c r="A103" s="1" t="s">
        <v>491</v>
      </c>
      <c r="B103" s="12">
        <v>42901</v>
      </c>
      <c r="C103">
        <v>1</v>
      </c>
      <c r="D103" s="13">
        <v>40301</v>
      </c>
      <c r="E103" s="12">
        <v>29242</v>
      </c>
      <c r="F103" s="14">
        <f t="shared" si="42"/>
        <v>37.396303901437371</v>
      </c>
      <c r="G103" s="14">
        <f t="shared" si="43"/>
        <v>7.1184120465434635</v>
      </c>
      <c r="H103" s="15" t="s">
        <v>217</v>
      </c>
      <c r="I103" s="15" t="s">
        <v>272</v>
      </c>
      <c r="J103" s="15" t="s">
        <v>181</v>
      </c>
      <c r="K103" s="21">
        <v>8</v>
      </c>
      <c r="L103" s="19">
        <v>58</v>
      </c>
      <c r="M103">
        <v>1.6</v>
      </c>
      <c r="N103" s="16">
        <f t="shared" si="44"/>
        <v>22.656249999999996</v>
      </c>
      <c r="O103" s="19">
        <v>0</v>
      </c>
      <c r="P103" s="19">
        <v>0</v>
      </c>
      <c r="Q103" s="19">
        <v>0</v>
      </c>
      <c r="R103" s="19">
        <v>0</v>
      </c>
      <c r="S103" s="19">
        <v>0</v>
      </c>
      <c r="T103" s="19">
        <v>0</v>
      </c>
      <c r="U103" s="19">
        <v>0</v>
      </c>
      <c r="V103" s="19">
        <v>0</v>
      </c>
      <c r="W103" s="19">
        <v>1</v>
      </c>
      <c r="X103" s="19">
        <v>0</v>
      </c>
      <c r="Y103" s="19">
        <v>1</v>
      </c>
      <c r="Z103" s="19">
        <v>2</v>
      </c>
      <c r="AA103" s="19">
        <v>60</v>
      </c>
      <c r="AB103" s="19" t="s">
        <v>308</v>
      </c>
      <c r="AC103" s="19">
        <v>0</v>
      </c>
      <c r="AD103" s="19">
        <v>0</v>
      </c>
      <c r="AE103" s="19">
        <v>1</v>
      </c>
      <c r="AF103" s="19"/>
      <c r="AG103" s="19">
        <v>1</v>
      </c>
      <c r="AH103" s="19">
        <v>7</v>
      </c>
      <c r="AI103" s="19"/>
      <c r="AJ103" s="19"/>
      <c r="AK103" s="19">
        <v>1</v>
      </c>
      <c r="AL103" s="19">
        <v>5</v>
      </c>
      <c r="AM103" s="19">
        <v>0</v>
      </c>
      <c r="AN103" s="19">
        <v>0</v>
      </c>
      <c r="AO103" s="19">
        <v>0</v>
      </c>
      <c r="AP103" s="19">
        <v>0</v>
      </c>
      <c r="AQ103" s="19">
        <v>0</v>
      </c>
      <c r="AR103" s="19">
        <v>0</v>
      </c>
      <c r="AS103" s="19">
        <v>0</v>
      </c>
      <c r="AT103" s="19">
        <v>0</v>
      </c>
      <c r="AU103" s="19">
        <v>0</v>
      </c>
      <c r="AV103" s="19">
        <v>0</v>
      </c>
      <c r="AW103" s="19">
        <v>0</v>
      </c>
      <c r="AX103" s="19">
        <v>0</v>
      </c>
      <c r="AY103" s="19">
        <v>0</v>
      </c>
      <c r="AZ103" s="19">
        <v>0</v>
      </c>
      <c r="BA103" s="19">
        <v>0</v>
      </c>
      <c r="BB103" s="19">
        <v>0</v>
      </c>
      <c r="BC103" s="19">
        <v>0</v>
      </c>
      <c r="BD103" s="19">
        <v>0</v>
      </c>
      <c r="BE103" s="19">
        <v>0</v>
      </c>
      <c r="BF103" s="19">
        <v>0</v>
      </c>
      <c r="BG103" s="19">
        <v>0</v>
      </c>
      <c r="BH103" s="19">
        <v>0</v>
      </c>
      <c r="BI103" s="19">
        <v>0</v>
      </c>
      <c r="BJ103" s="19"/>
      <c r="BK103" s="19"/>
      <c r="BL103" s="19">
        <v>1</v>
      </c>
      <c r="BM103" s="19">
        <v>9</v>
      </c>
      <c r="BN103" s="19">
        <v>0</v>
      </c>
      <c r="BO103" s="19">
        <v>0</v>
      </c>
      <c r="BP103" s="19">
        <v>0</v>
      </c>
      <c r="BQ103" s="19">
        <v>0</v>
      </c>
      <c r="BR103" s="19">
        <v>2</v>
      </c>
      <c r="BS103" s="19">
        <v>2</v>
      </c>
      <c r="BT103" s="19">
        <v>5</v>
      </c>
      <c r="BU103" s="19">
        <v>5</v>
      </c>
      <c r="BV103" s="19">
        <v>3</v>
      </c>
      <c r="BW103" s="19">
        <v>5</v>
      </c>
      <c r="BX103" s="19">
        <v>3</v>
      </c>
      <c r="BY103" s="19">
        <v>5</v>
      </c>
      <c r="BZ103" s="19">
        <v>2</v>
      </c>
      <c r="CA103" s="19">
        <v>3</v>
      </c>
      <c r="CB103" s="19">
        <v>3</v>
      </c>
      <c r="CC103" s="19">
        <v>5</v>
      </c>
      <c r="CD103" s="19">
        <v>2</v>
      </c>
      <c r="CE103" s="19">
        <v>3</v>
      </c>
      <c r="CF103" s="19">
        <v>4</v>
      </c>
      <c r="CG103" s="19">
        <v>5</v>
      </c>
      <c r="CH103" s="19"/>
      <c r="CI103" s="19"/>
      <c r="CJ103" s="19"/>
      <c r="CK103" s="19">
        <v>7</v>
      </c>
      <c r="CL103" t="s">
        <v>274</v>
      </c>
      <c r="CM103">
        <v>19.5</v>
      </c>
      <c r="CN103" s="16">
        <v>74.3</v>
      </c>
      <c r="CO103" s="16">
        <v>80.400000000000006</v>
      </c>
      <c r="CP103" s="16">
        <v>7.8</v>
      </c>
      <c r="CQ103">
        <v>89.52</v>
      </c>
      <c r="CR103">
        <v>8.69</v>
      </c>
      <c r="CS103">
        <v>1.79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18.73</v>
      </c>
      <c r="DD103">
        <v>9.35</v>
      </c>
      <c r="DE103">
        <v>0</v>
      </c>
      <c r="DF103">
        <v>0</v>
      </c>
      <c r="DG103">
        <v>0</v>
      </c>
      <c r="DU103">
        <v>3.92</v>
      </c>
      <c r="DV103">
        <v>1</v>
      </c>
      <c r="DW103">
        <v>52</v>
      </c>
      <c r="DX103">
        <v>4</v>
      </c>
      <c r="DY103">
        <f>1.01*2+0.56+0.9</f>
        <v>3.48</v>
      </c>
      <c r="DZ103">
        <v>2</v>
      </c>
      <c r="EG103" s="18"/>
      <c r="EY103">
        <v>1</v>
      </c>
      <c r="EZ103">
        <v>50</v>
      </c>
      <c r="FA103">
        <v>1</v>
      </c>
      <c r="FB103">
        <v>1.9</v>
      </c>
      <c r="FC103">
        <v>3</v>
      </c>
      <c r="GJ103" s="16">
        <v>2.2400000000000002</v>
      </c>
      <c r="GK103" s="16">
        <v>1</v>
      </c>
      <c r="GL103" s="16">
        <v>2</v>
      </c>
      <c r="GM103" s="16"/>
      <c r="GN103" s="16">
        <f>1.87*2</f>
        <v>3.74</v>
      </c>
      <c r="GO103" s="16"/>
      <c r="GP103" s="16"/>
      <c r="GQ103" s="16"/>
      <c r="GR103" s="16"/>
      <c r="GS103" s="16"/>
      <c r="GT103" s="16"/>
      <c r="GU103" s="16">
        <v>5.49</v>
      </c>
      <c r="GV103" s="16">
        <f>1.01*2+0.56+1.87*2+0.9</f>
        <v>7.2200000000000006</v>
      </c>
      <c r="GW103" s="16"/>
      <c r="GX103" s="16"/>
      <c r="GY103" s="16">
        <v>0</v>
      </c>
      <c r="GZ103" s="16">
        <v>0</v>
      </c>
      <c r="HA103" s="16">
        <v>0</v>
      </c>
      <c r="HB103">
        <v>0</v>
      </c>
      <c r="HC103" t="s">
        <v>275</v>
      </c>
      <c r="HD103">
        <v>19.5</v>
      </c>
      <c r="HE103" s="16">
        <v>74.599999999999994</v>
      </c>
      <c r="HF103" s="16">
        <v>80.400000000000006</v>
      </c>
      <c r="HG103" s="16">
        <v>7.8</v>
      </c>
      <c r="HH103">
        <v>89.29</v>
      </c>
      <c r="HI103">
        <v>8.92</v>
      </c>
      <c r="HJ103">
        <v>1.79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18.95</v>
      </c>
      <c r="HU103">
        <v>9.35</v>
      </c>
      <c r="HV103">
        <v>0</v>
      </c>
      <c r="HW103">
        <v>0</v>
      </c>
      <c r="HX103">
        <v>0</v>
      </c>
      <c r="IL103">
        <v>3.9</v>
      </c>
      <c r="IM103">
        <v>1</v>
      </c>
      <c r="IN103">
        <v>52</v>
      </c>
      <c r="IO103">
        <v>4</v>
      </c>
      <c r="IP103">
        <f>1.01*2+0.56+0.9</f>
        <v>3.48</v>
      </c>
      <c r="IQ103">
        <v>3</v>
      </c>
      <c r="IX103" s="18"/>
      <c r="JP103">
        <v>1</v>
      </c>
      <c r="JQ103">
        <v>50</v>
      </c>
      <c r="JR103">
        <v>1</v>
      </c>
      <c r="JS103">
        <v>1.9</v>
      </c>
      <c r="JT103">
        <v>3</v>
      </c>
      <c r="LA103" s="16">
        <v>2.2400000000000002</v>
      </c>
      <c r="LB103" s="16">
        <v>1</v>
      </c>
      <c r="LC103" s="16">
        <v>2</v>
      </c>
      <c r="LD103" s="16"/>
      <c r="LE103" s="16">
        <f>1.87*2</f>
        <v>3.74</v>
      </c>
      <c r="LF103" s="16"/>
      <c r="LG103" s="16"/>
      <c r="LH103" s="16"/>
      <c r="LI103" s="16"/>
      <c r="LJ103" s="16"/>
      <c r="LK103" s="16"/>
      <c r="LL103" s="16">
        <v>6.49</v>
      </c>
      <c r="LM103" s="16">
        <f>1.01*2+0.56+1.87*2+0.9</f>
        <v>7.2200000000000006</v>
      </c>
      <c r="LN103" s="16"/>
      <c r="LO103" s="16"/>
      <c r="LP103" s="16">
        <v>0</v>
      </c>
      <c r="LQ103" s="16">
        <v>0</v>
      </c>
      <c r="LR103" s="16">
        <v>0</v>
      </c>
      <c r="LS103">
        <v>0</v>
      </c>
      <c r="LT103" t="s">
        <v>276</v>
      </c>
      <c r="LU103">
        <v>22.5</v>
      </c>
      <c r="LV103" s="16">
        <v>73.400000000000006</v>
      </c>
      <c r="LW103" s="16">
        <v>80.400000000000006</v>
      </c>
      <c r="LX103" s="16">
        <v>10.4</v>
      </c>
      <c r="LY103">
        <v>88.12</v>
      </c>
      <c r="LZ103">
        <v>6.29</v>
      </c>
      <c r="MA103">
        <v>4.25</v>
      </c>
      <c r="MB103">
        <v>0</v>
      </c>
      <c r="MC103">
        <v>1.34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2.46</v>
      </c>
      <c r="ML103">
        <v>13.2</v>
      </c>
      <c r="MM103">
        <v>0</v>
      </c>
      <c r="MN103">
        <v>0</v>
      </c>
      <c r="MO103">
        <v>0</v>
      </c>
      <c r="NC103">
        <v>0</v>
      </c>
      <c r="NO103" s="18"/>
      <c r="PR103" s="16">
        <v>2.2400000000000002</v>
      </c>
      <c r="PS103" s="16">
        <v>1</v>
      </c>
      <c r="PT103" s="16">
        <v>2</v>
      </c>
      <c r="PU103" s="16">
        <v>3.73</v>
      </c>
      <c r="PV103" s="16"/>
      <c r="PW103" s="16"/>
      <c r="PX103" s="16"/>
      <c r="PY103" s="16"/>
      <c r="PZ103" s="16"/>
      <c r="QA103" s="16"/>
      <c r="QB103" s="16"/>
      <c r="QC103" s="16">
        <v>9.68</v>
      </c>
      <c r="QD103" s="16">
        <f>2.01+1.34+2.69+3.73+0.81</f>
        <v>10.58</v>
      </c>
      <c r="QE103" s="16"/>
      <c r="QF103" s="16"/>
      <c r="QG103" s="16">
        <v>0</v>
      </c>
      <c r="QH103" s="16">
        <v>0</v>
      </c>
      <c r="QI103" s="16">
        <v>0.16</v>
      </c>
      <c r="QJ103">
        <v>0</v>
      </c>
      <c r="QK103" t="s">
        <v>277</v>
      </c>
      <c r="QL103">
        <v>29.5</v>
      </c>
      <c r="QM103" s="16">
        <v>53.8</v>
      </c>
      <c r="QN103" s="16">
        <v>80.400000000000006</v>
      </c>
      <c r="QO103" s="16">
        <v>12.1</v>
      </c>
      <c r="QP103">
        <v>86.6</v>
      </c>
      <c r="QQ103">
        <v>8.48</v>
      </c>
      <c r="QR103">
        <v>4.93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2.02</v>
      </c>
      <c r="RC103">
        <v>19.559999999999999</v>
      </c>
      <c r="RD103">
        <v>0.25</v>
      </c>
      <c r="RE103">
        <v>0</v>
      </c>
      <c r="RF103">
        <v>0</v>
      </c>
      <c r="RG103">
        <v>0</v>
      </c>
      <c r="RH103">
        <v>0</v>
      </c>
      <c r="RN103">
        <v>0</v>
      </c>
      <c r="RT103">
        <v>0</v>
      </c>
      <c r="RU103">
        <v>0</v>
      </c>
      <c r="SF103" s="18"/>
      <c r="SX103">
        <v>0</v>
      </c>
      <c r="UI103" s="16">
        <v>6.72</v>
      </c>
      <c r="UJ103" s="16">
        <v>1</v>
      </c>
      <c r="UK103" s="16">
        <v>2</v>
      </c>
      <c r="UL103" s="16"/>
      <c r="UM103" s="16">
        <f>3.73*3</f>
        <v>11.19</v>
      </c>
      <c r="UN103" s="16"/>
      <c r="UO103" s="16"/>
      <c r="UP103" s="16"/>
      <c r="UQ103" s="16"/>
      <c r="UR103" s="16"/>
      <c r="US103" s="16"/>
      <c r="UT103" s="16">
        <v>10.6</v>
      </c>
      <c r="UU103" s="16">
        <v>12.44</v>
      </c>
      <c r="UV103" s="16"/>
      <c r="UW103" s="16"/>
      <c r="UX103" s="16">
        <v>0</v>
      </c>
      <c r="UY103" s="16">
        <v>0</v>
      </c>
      <c r="UZ103" s="16">
        <v>0</v>
      </c>
      <c r="VA103">
        <v>0</v>
      </c>
      <c r="VB103" t="s">
        <v>278</v>
      </c>
      <c r="VC103">
        <v>51.5</v>
      </c>
      <c r="VD103" s="16">
        <v>63.4</v>
      </c>
      <c r="VE103" s="16">
        <v>80.400000000000006</v>
      </c>
      <c r="VF103" s="16">
        <v>18.100000000000001</v>
      </c>
      <c r="VG103">
        <v>83.5</v>
      </c>
      <c r="VH103">
        <v>5.36</v>
      </c>
      <c r="VI103">
        <v>8.4600000000000009</v>
      </c>
      <c r="VJ103">
        <v>0</v>
      </c>
      <c r="VK103">
        <v>2.69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0.99</v>
      </c>
      <c r="VT103">
        <v>13.55</v>
      </c>
      <c r="VU103">
        <v>16.2</v>
      </c>
      <c r="VV103">
        <v>0</v>
      </c>
      <c r="VW103">
        <v>0</v>
      </c>
      <c r="VX103">
        <v>0</v>
      </c>
      <c r="WK103">
        <v>18.399999999999999</v>
      </c>
      <c r="WL103">
        <v>1</v>
      </c>
      <c r="WM103">
        <v>47</v>
      </c>
      <c r="WN103">
        <v>1</v>
      </c>
      <c r="WO103">
        <v>0.9</v>
      </c>
      <c r="WP103">
        <v>3</v>
      </c>
      <c r="WQ103">
        <v>35</v>
      </c>
      <c r="WR103">
        <v>3</v>
      </c>
      <c r="WS103">
        <f>0.94</f>
        <v>0.94</v>
      </c>
      <c r="WT103">
        <v>3</v>
      </c>
      <c r="WU103">
        <v>68</v>
      </c>
      <c r="WV103">
        <v>1</v>
      </c>
      <c r="WW103" s="18">
        <v>6.22</v>
      </c>
      <c r="WX103">
        <v>1</v>
      </c>
      <c r="XO103">
        <v>0</v>
      </c>
      <c r="YZ103" s="16">
        <v>3.75</v>
      </c>
      <c r="ZA103" s="16">
        <v>1</v>
      </c>
      <c r="ZB103" s="16">
        <v>1</v>
      </c>
      <c r="ZC103" s="16"/>
      <c r="ZD103" s="16">
        <f>2.49+0.05+0.03</f>
        <v>2.57</v>
      </c>
      <c r="ZE103" s="16">
        <v>2</v>
      </c>
      <c r="ZF103" s="16"/>
      <c r="ZG103" s="16">
        <v>2.4900000000000002</v>
      </c>
      <c r="ZH103" s="16"/>
      <c r="ZI103" s="16"/>
      <c r="ZJ103" s="16"/>
      <c r="ZK103" s="16">
        <v>11.1</v>
      </c>
      <c r="ZL103" s="16">
        <v>18.47</v>
      </c>
      <c r="ZM103" s="16"/>
      <c r="ZN103" s="16"/>
      <c r="ZO103" s="16">
        <v>0</v>
      </c>
      <c r="ZP103" s="16">
        <v>0</v>
      </c>
      <c r="ZQ103" s="16">
        <v>0</v>
      </c>
      <c r="ZR103">
        <v>0</v>
      </c>
      <c r="ZS103" t="s">
        <v>279</v>
      </c>
      <c r="ZT103">
        <v>33.5</v>
      </c>
      <c r="ZU103" s="16">
        <v>54</v>
      </c>
      <c r="ZV103" s="16">
        <v>80.400000000000006</v>
      </c>
      <c r="ZW103" s="16">
        <v>9.6</v>
      </c>
      <c r="ZX103">
        <v>86.69</v>
      </c>
      <c r="ZY103">
        <v>8.34</v>
      </c>
      <c r="ZZ103">
        <v>4.97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12.83</v>
      </c>
      <c r="AAK103">
        <v>6.09</v>
      </c>
      <c r="AAL103">
        <v>0</v>
      </c>
      <c r="AAM103">
        <v>0</v>
      </c>
      <c r="AAN103">
        <v>0</v>
      </c>
      <c r="AAO103">
        <v>0</v>
      </c>
      <c r="ABB103">
        <v>11.3</v>
      </c>
      <c r="ABC103">
        <v>1</v>
      </c>
      <c r="ABD103">
        <v>47</v>
      </c>
      <c r="ABE103">
        <v>1</v>
      </c>
      <c r="ABF103">
        <v>0.9</v>
      </c>
      <c r="ABG103">
        <v>3</v>
      </c>
      <c r="ABH103">
        <v>35</v>
      </c>
      <c r="ABI103">
        <v>2</v>
      </c>
      <c r="ABJ103">
        <v>0.92</v>
      </c>
      <c r="ABK103">
        <v>3</v>
      </c>
      <c r="ABN103" s="18"/>
      <c r="ACF103">
        <v>0</v>
      </c>
      <c r="ADQ103" s="16">
        <v>3.75</v>
      </c>
      <c r="ADR103" s="16">
        <v>1</v>
      </c>
      <c r="ADS103" s="16">
        <v>1</v>
      </c>
      <c r="ADT103" s="16"/>
      <c r="ADU103" s="16">
        <f>2.49+0.05+0.03</f>
        <v>2.57</v>
      </c>
      <c r="ADV103" s="16">
        <v>2</v>
      </c>
      <c r="ADW103" s="16"/>
      <c r="ADX103" s="16">
        <v>2.4900000000000002</v>
      </c>
      <c r="ADY103" s="16"/>
      <c r="ADZ103" s="16"/>
      <c r="AEA103" s="16"/>
      <c r="AEB103" s="16">
        <v>8.81</v>
      </c>
      <c r="AEC103" s="16">
        <v>6.01</v>
      </c>
      <c r="AED103" s="16"/>
      <c r="AEE103" s="16"/>
      <c r="AEF103" s="16">
        <v>0</v>
      </c>
      <c r="AEG103" s="16">
        <v>0</v>
      </c>
      <c r="AEH103" s="16">
        <v>0</v>
      </c>
      <c r="AEI103">
        <v>0</v>
      </c>
      <c r="AEJ103" t="s">
        <v>280</v>
      </c>
      <c r="AEK103">
        <v>79</v>
      </c>
      <c r="AEL103" s="16">
        <v>63.9</v>
      </c>
      <c r="AEM103" s="16">
        <v>80.400000000000006</v>
      </c>
      <c r="AEN103" s="16">
        <v>11.2</v>
      </c>
      <c r="AEO103">
        <v>77.430000000000007</v>
      </c>
      <c r="AEP103">
        <v>22.57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45.87</v>
      </c>
      <c r="AFC103">
        <v>0</v>
      </c>
      <c r="AFD103">
        <v>0</v>
      </c>
      <c r="AFE103">
        <v>0</v>
      </c>
      <c r="AFF103">
        <v>0</v>
      </c>
      <c r="AFS103">
        <v>56.3</v>
      </c>
      <c r="AFT103">
        <v>1</v>
      </c>
      <c r="AFU103">
        <v>47</v>
      </c>
      <c r="AFV103">
        <v>18</v>
      </c>
      <c r="AFW103">
        <f>13.43+9.14</f>
        <v>22.57</v>
      </c>
      <c r="AFX103">
        <v>3</v>
      </c>
      <c r="AGE103" s="18"/>
      <c r="AGW103">
        <v>0</v>
      </c>
      <c r="AIH103" s="16">
        <v>0</v>
      </c>
      <c r="AII103" s="16">
        <v>0</v>
      </c>
      <c r="AIJ103" s="16"/>
      <c r="AIK103" s="16"/>
      <c r="AIL103" s="16"/>
      <c r="AIM103" s="16"/>
      <c r="AIN103" s="16"/>
      <c r="AIO103" s="16"/>
      <c r="AIP103" s="16"/>
      <c r="AIQ103" s="16"/>
      <c r="AIR103" s="16"/>
      <c r="AIS103" s="16">
        <v>11.54</v>
      </c>
      <c r="AIT103" s="16">
        <v>22.57</v>
      </c>
      <c r="AIU103" s="16"/>
      <c r="AIV103" s="16"/>
      <c r="AIW103" s="16">
        <v>0</v>
      </c>
      <c r="AIX103" s="16">
        <v>0</v>
      </c>
      <c r="AIY103" s="16">
        <v>0</v>
      </c>
      <c r="AIZ103">
        <v>0</v>
      </c>
      <c r="AJA103" t="s">
        <v>281</v>
      </c>
      <c r="AJB103">
        <v>42.5</v>
      </c>
      <c r="AJC103" s="16">
        <v>76.400000000000006</v>
      </c>
      <c r="AJD103" s="16">
        <v>80.400000000000006</v>
      </c>
      <c r="AJE103" s="16">
        <v>15.3</v>
      </c>
      <c r="AJF103">
        <v>73.599999999999994</v>
      </c>
      <c r="AJG103">
        <v>20.420000000000002</v>
      </c>
      <c r="AJH103">
        <v>3.69</v>
      </c>
      <c r="AJI103">
        <v>0</v>
      </c>
      <c r="AJJ103">
        <v>2.2799999999999998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35.36</v>
      </c>
      <c r="AJT103">
        <v>16.37</v>
      </c>
      <c r="AJU103">
        <v>0</v>
      </c>
      <c r="AJV103">
        <v>4.4000000000000004</v>
      </c>
      <c r="AJW103">
        <v>2</v>
      </c>
      <c r="AJX103">
        <v>10</v>
      </c>
      <c r="AJY103">
        <v>0.9</v>
      </c>
      <c r="AKD103">
        <v>10</v>
      </c>
      <c r="AKE103">
        <v>0.9</v>
      </c>
      <c r="AKJ103">
        <v>9.6999999999999993</v>
      </c>
      <c r="AKK103">
        <v>1</v>
      </c>
      <c r="AKL103">
        <v>68</v>
      </c>
      <c r="AKM103">
        <v>2</v>
      </c>
      <c r="AKN103">
        <f>3.34+5.29</f>
        <v>8.629999999999999</v>
      </c>
      <c r="AKO103">
        <v>1</v>
      </c>
      <c r="AKP103">
        <v>34</v>
      </c>
      <c r="AKQ103">
        <v>86</v>
      </c>
      <c r="AKR103">
        <f>0.8+0.6</f>
        <v>1.4</v>
      </c>
      <c r="AKS103">
        <v>1</v>
      </c>
      <c r="AKT103">
        <v>47</v>
      </c>
      <c r="AKU103">
        <v>1</v>
      </c>
      <c r="AKV103" s="18">
        <v>1.52</v>
      </c>
      <c r="AKW103">
        <v>3</v>
      </c>
      <c r="ALN103">
        <v>0</v>
      </c>
    </row>
    <row r="104" spans="1:1018" x14ac:dyDescent="0.2">
      <c r="A104" s="1" t="s">
        <v>492</v>
      </c>
      <c r="B104" s="12">
        <v>42894</v>
      </c>
      <c r="C104">
        <v>1</v>
      </c>
      <c r="D104" s="13">
        <v>42814</v>
      </c>
      <c r="E104" s="12">
        <v>30010</v>
      </c>
      <c r="F104" s="14">
        <f t="shared" si="42"/>
        <v>35.274469541409992</v>
      </c>
      <c r="G104" s="14">
        <f t="shared" si="43"/>
        <v>0.21902806297056809</v>
      </c>
      <c r="H104" s="15" t="s">
        <v>181</v>
      </c>
      <c r="I104" s="15" t="s">
        <v>182</v>
      </c>
      <c r="J104" s="15" t="s">
        <v>183</v>
      </c>
      <c r="K104" s="21">
        <v>8</v>
      </c>
      <c r="L104" s="19">
        <v>64</v>
      </c>
      <c r="M104">
        <v>1.7</v>
      </c>
      <c r="N104" s="16">
        <f t="shared" si="44"/>
        <v>22.145328719723185</v>
      </c>
      <c r="O104" s="19">
        <v>0</v>
      </c>
      <c r="P104" s="19">
        <v>0</v>
      </c>
      <c r="Q104" s="19">
        <v>0</v>
      </c>
      <c r="R104" s="19">
        <v>0</v>
      </c>
      <c r="S104" s="19">
        <v>0</v>
      </c>
      <c r="T104" s="19">
        <v>0</v>
      </c>
      <c r="U104" s="19">
        <v>0</v>
      </c>
      <c r="V104" s="19">
        <v>0</v>
      </c>
      <c r="W104" s="19">
        <v>1</v>
      </c>
      <c r="X104" s="19">
        <v>0</v>
      </c>
      <c r="Y104" s="19">
        <v>0</v>
      </c>
      <c r="Z104" s="19">
        <v>0</v>
      </c>
      <c r="AA104" s="19">
        <v>0</v>
      </c>
      <c r="AB104" s="19">
        <v>0</v>
      </c>
      <c r="AC104" s="19">
        <v>0</v>
      </c>
      <c r="AD104" s="19">
        <v>0</v>
      </c>
      <c r="AE104" s="19"/>
      <c r="AF104" s="19"/>
      <c r="AG104" s="19"/>
      <c r="AH104" s="19"/>
      <c r="AI104" s="19">
        <v>0</v>
      </c>
      <c r="AJ104" s="19">
        <v>0</v>
      </c>
      <c r="AK104" s="19">
        <v>0</v>
      </c>
      <c r="AL104" s="19">
        <v>0</v>
      </c>
      <c r="AM104" s="19">
        <v>0</v>
      </c>
      <c r="AN104" s="19">
        <v>0</v>
      </c>
      <c r="AO104" s="19">
        <v>0</v>
      </c>
      <c r="AP104" s="19">
        <v>0</v>
      </c>
      <c r="AQ104" s="19">
        <v>0</v>
      </c>
      <c r="AR104" s="19">
        <v>0</v>
      </c>
      <c r="AS104" s="19">
        <v>3</v>
      </c>
      <c r="AT104" s="19">
        <v>3</v>
      </c>
      <c r="AU104" s="19">
        <v>0</v>
      </c>
      <c r="AV104" s="19">
        <v>0</v>
      </c>
      <c r="AW104" s="19">
        <v>0</v>
      </c>
      <c r="AX104" s="19">
        <v>1</v>
      </c>
      <c r="AY104" s="19">
        <v>0</v>
      </c>
      <c r="AZ104" s="19">
        <v>0</v>
      </c>
      <c r="BA104" s="19">
        <v>0</v>
      </c>
      <c r="BB104" s="19">
        <v>1</v>
      </c>
      <c r="BC104" s="19">
        <v>1</v>
      </c>
      <c r="BD104" s="19">
        <v>0</v>
      </c>
      <c r="BE104" s="19"/>
      <c r="BF104" s="19">
        <v>1</v>
      </c>
      <c r="BG104" s="19">
        <v>1</v>
      </c>
      <c r="BH104" s="19">
        <v>1</v>
      </c>
      <c r="BI104" s="19">
        <v>7</v>
      </c>
      <c r="BJ104" s="19">
        <v>0</v>
      </c>
      <c r="BK104" s="19">
        <v>0</v>
      </c>
      <c r="BL104" s="19">
        <v>0</v>
      </c>
      <c r="BM104" s="19">
        <v>0</v>
      </c>
      <c r="BN104" s="19">
        <v>0</v>
      </c>
      <c r="BO104" s="19">
        <v>0</v>
      </c>
      <c r="BP104" s="19">
        <v>0</v>
      </c>
      <c r="BQ104" s="19">
        <v>0</v>
      </c>
      <c r="BR104" s="19">
        <v>1</v>
      </c>
      <c r="BS104" s="19">
        <v>1</v>
      </c>
      <c r="BT104" s="19">
        <v>4</v>
      </c>
      <c r="BU104" s="19">
        <v>5</v>
      </c>
      <c r="BV104" s="19">
        <v>1</v>
      </c>
      <c r="BW104" s="19">
        <v>1</v>
      </c>
      <c r="BX104" s="19">
        <v>3</v>
      </c>
      <c r="BY104" s="19">
        <v>3</v>
      </c>
      <c r="BZ104" s="19">
        <v>4</v>
      </c>
      <c r="CA104" s="19">
        <v>4</v>
      </c>
      <c r="CB104" s="19">
        <v>5</v>
      </c>
      <c r="CC104" s="19">
        <v>5</v>
      </c>
      <c r="CD104" s="19">
        <v>4</v>
      </c>
      <c r="CE104" s="19">
        <v>4</v>
      </c>
      <c r="CF104" s="19">
        <v>5</v>
      </c>
      <c r="CG104" s="19">
        <v>4</v>
      </c>
      <c r="CH104" s="19">
        <v>5</v>
      </c>
      <c r="CI104" s="19">
        <v>4</v>
      </c>
      <c r="CJ104" s="19">
        <v>5</v>
      </c>
      <c r="CK104" s="19">
        <v>10</v>
      </c>
      <c r="CL104" t="s">
        <v>185</v>
      </c>
      <c r="CM104">
        <v>21.5</v>
      </c>
      <c r="CN104" s="16">
        <v>54.9</v>
      </c>
      <c r="CO104" s="16">
        <v>80.400000000000006</v>
      </c>
      <c r="CP104" s="16">
        <v>17.899999999999999</v>
      </c>
      <c r="CQ104">
        <v>90.61</v>
      </c>
      <c r="CR104" s="17">
        <v>0</v>
      </c>
      <c r="CS104">
        <v>0</v>
      </c>
      <c r="CT104">
        <v>2.4500000000000002</v>
      </c>
      <c r="CU104">
        <v>6.94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12.16</v>
      </c>
      <c r="DC104">
        <v>24.45</v>
      </c>
      <c r="DD104">
        <v>4.8</v>
      </c>
      <c r="DE104">
        <v>5.1100000000000003</v>
      </c>
      <c r="DF104">
        <v>0</v>
      </c>
      <c r="DG104">
        <v>0</v>
      </c>
      <c r="DH104">
        <v>0</v>
      </c>
      <c r="DU104">
        <v>2.9</v>
      </c>
      <c r="DV104">
        <v>1</v>
      </c>
      <c r="DW104">
        <v>68</v>
      </c>
      <c r="DX104">
        <v>2</v>
      </c>
      <c r="DY104">
        <f>0.38+0.07</f>
        <v>0.45</v>
      </c>
      <c r="DZ104">
        <v>1</v>
      </c>
      <c r="EG104" s="18"/>
      <c r="EY104">
        <v>1</v>
      </c>
      <c r="EZ104">
        <v>40</v>
      </c>
      <c r="FA104">
        <v>1</v>
      </c>
      <c r="FB104">
        <v>0.06</v>
      </c>
      <c r="FC104">
        <v>1</v>
      </c>
      <c r="FD104">
        <v>60</v>
      </c>
      <c r="FE104">
        <v>1</v>
      </c>
      <c r="FF104">
        <v>0.11</v>
      </c>
      <c r="FG104">
        <v>1</v>
      </c>
      <c r="FH104">
        <v>40</v>
      </c>
      <c r="FI104">
        <v>1</v>
      </c>
      <c r="FJ104">
        <v>0.57999999999999996</v>
      </c>
      <c r="FK104">
        <v>6</v>
      </c>
      <c r="GJ104" s="16">
        <v>0</v>
      </c>
      <c r="GK104" s="16">
        <v>0</v>
      </c>
      <c r="GL104" s="16"/>
      <c r="GM104" s="16"/>
      <c r="GN104" s="16"/>
      <c r="GO104" s="16"/>
      <c r="GP104" s="16"/>
      <c r="GQ104" s="16"/>
      <c r="GR104" s="16"/>
      <c r="GS104" s="16"/>
      <c r="GT104" s="16"/>
      <c r="GU104" s="16">
        <v>0.67</v>
      </c>
      <c r="GV104" s="16">
        <v>0.65</v>
      </c>
      <c r="GW104" s="16"/>
      <c r="GX104" s="16"/>
      <c r="GY104" s="16">
        <v>0</v>
      </c>
      <c r="GZ104" s="16">
        <v>0</v>
      </c>
      <c r="HA104" s="16">
        <v>0</v>
      </c>
      <c r="HB104">
        <v>0</v>
      </c>
      <c r="HC104" t="s">
        <v>186</v>
      </c>
      <c r="HD104">
        <v>52.5</v>
      </c>
      <c r="HE104" s="16">
        <v>78.3</v>
      </c>
      <c r="HF104" s="16">
        <v>80.400000000000006</v>
      </c>
      <c r="HG104" s="16">
        <v>33.200000000000003</v>
      </c>
      <c r="HH104">
        <v>67.5</v>
      </c>
      <c r="HI104" s="17">
        <v>0</v>
      </c>
      <c r="HJ104">
        <v>21.37</v>
      </c>
      <c r="HK104">
        <v>0</v>
      </c>
      <c r="HL104">
        <v>3.99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5.93</v>
      </c>
      <c r="HU104">
        <v>42.2</v>
      </c>
      <c r="HV104">
        <v>15.97</v>
      </c>
      <c r="HW104">
        <v>7.14</v>
      </c>
      <c r="HX104">
        <v>0</v>
      </c>
      <c r="HY104">
        <v>0</v>
      </c>
      <c r="IL104">
        <v>1.7</v>
      </c>
      <c r="IM104">
        <v>1</v>
      </c>
      <c r="IN104">
        <v>34</v>
      </c>
      <c r="IO104">
        <v>5</v>
      </c>
      <c r="IP104">
        <v>0.21</v>
      </c>
      <c r="IQ104">
        <v>1</v>
      </c>
      <c r="IR104">
        <v>68</v>
      </c>
      <c r="IS104">
        <v>3</v>
      </c>
      <c r="IT104">
        <v>0.3</v>
      </c>
      <c r="IU104">
        <v>1</v>
      </c>
      <c r="IV104">
        <v>47</v>
      </c>
      <c r="IW104">
        <v>4</v>
      </c>
      <c r="IX104" s="18">
        <v>0.11</v>
      </c>
      <c r="IY104">
        <v>1</v>
      </c>
      <c r="IZ104">
        <v>35</v>
      </c>
      <c r="JA104">
        <v>2</v>
      </c>
      <c r="JB104">
        <v>0.1</v>
      </c>
      <c r="JC104">
        <v>1</v>
      </c>
      <c r="JP104">
        <v>0</v>
      </c>
      <c r="LA104" s="16">
        <v>1.04</v>
      </c>
      <c r="LB104" s="16">
        <v>1</v>
      </c>
      <c r="LC104" s="16">
        <v>1</v>
      </c>
      <c r="LD104" s="16"/>
      <c r="LE104" s="16">
        <f>3.74+3.17+0.1</f>
        <v>7.01</v>
      </c>
      <c r="LF104" s="16"/>
      <c r="LG104" s="16"/>
      <c r="LH104" s="16"/>
      <c r="LI104" s="16"/>
      <c r="LJ104" s="16"/>
      <c r="LK104" s="16"/>
      <c r="LL104" s="16">
        <v>8.9</v>
      </c>
      <c r="LM104" s="16">
        <v>9.7899999999999991</v>
      </c>
      <c r="LN104" s="16"/>
      <c r="LO104" s="16"/>
      <c r="LP104" s="16">
        <v>2.99</v>
      </c>
      <c r="LQ104" s="16">
        <v>4</v>
      </c>
      <c r="LR104" s="16">
        <v>3</v>
      </c>
      <c r="LS104">
        <v>0</v>
      </c>
      <c r="LT104" t="s">
        <v>187</v>
      </c>
      <c r="LU104">
        <v>53.5</v>
      </c>
      <c r="LV104" s="16">
        <v>73.5</v>
      </c>
      <c r="LW104" s="16">
        <v>80.400000000000006</v>
      </c>
      <c r="LX104" s="16">
        <v>26.1</v>
      </c>
      <c r="LY104">
        <v>78.89</v>
      </c>
      <c r="LZ104" s="17">
        <v>0</v>
      </c>
      <c r="MA104">
        <v>2.36</v>
      </c>
      <c r="MB104">
        <v>0</v>
      </c>
      <c r="MC104">
        <v>11.6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7.86</v>
      </c>
      <c r="MK104">
        <v>12.08</v>
      </c>
      <c r="ML104">
        <v>18.100000000000001</v>
      </c>
      <c r="MM104">
        <v>28.51</v>
      </c>
      <c r="MN104">
        <v>7.14</v>
      </c>
      <c r="MO104">
        <v>0</v>
      </c>
      <c r="MP104">
        <v>0</v>
      </c>
      <c r="NC104">
        <v>11.6</v>
      </c>
      <c r="ND104">
        <v>1</v>
      </c>
      <c r="NE104">
        <v>47</v>
      </c>
      <c r="NF104">
        <v>4</v>
      </c>
      <c r="NG104">
        <f>1.15+0.34</f>
        <v>1.49</v>
      </c>
      <c r="NH104">
        <v>3</v>
      </c>
      <c r="NO104" s="18"/>
      <c r="OG104">
        <v>1</v>
      </c>
      <c r="OH104">
        <v>50</v>
      </c>
      <c r="OI104">
        <v>1</v>
      </c>
      <c r="OJ104">
        <v>0.19</v>
      </c>
      <c r="OK104">
        <v>3</v>
      </c>
      <c r="PR104" s="16">
        <v>7.27</v>
      </c>
      <c r="PS104" s="16">
        <v>1</v>
      </c>
      <c r="PT104" s="16">
        <v>1</v>
      </c>
      <c r="PU104" s="16"/>
      <c r="PV104" s="16">
        <f>2.11*2+0.37*2</f>
        <v>4.96</v>
      </c>
      <c r="PW104" s="16">
        <v>3</v>
      </c>
      <c r="PX104" s="16"/>
      <c r="PY104" s="16">
        <f>1.44+0.72</f>
        <v>2.16</v>
      </c>
      <c r="PZ104" s="16"/>
      <c r="QA104" s="16"/>
      <c r="QB104" s="16"/>
      <c r="QC104" s="16">
        <v>5.39</v>
      </c>
      <c r="QD104" s="16">
        <v>8.11</v>
      </c>
      <c r="QE104" s="16"/>
      <c r="QF104" s="16"/>
      <c r="QG104" s="16">
        <v>0</v>
      </c>
      <c r="QH104" s="16">
        <v>0</v>
      </c>
      <c r="QI104" s="16">
        <v>3</v>
      </c>
      <c r="QJ104">
        <v>0</v>
      </c>
      <c r="QK104" t="s">
        <v>188</v>
      </c>
      <c r="QL104">
        <v>40</v>
      </c>
      <c r="QM104" s="16">
        <v>84.1</v>
      </c>
      <c r="QN104" s="16">
        <v>80.400000000000006</v>
      </c>
      <c r="QO104" s="16">
        <v>35.1</v>
      </c>
      <c r="QP104">
        <v>66.11</v>
      </c>
      <c r="QQ104" s="17">
        <v>0</v>
      </c>
      <c r="QR104">
        <v>13.11</v>
      </c>
      <c r="QS104">
        <v>6.27</v>
      </c>
      <c r="QT104">
        <v>8.02</v>
      </c>
      <c r="QU104">
        <v>0</v>
      </c>
      <c r="QV104">
        <v>6.47</v>
      </c>
      <c r="QW104">
        <v>2.85</v>
      </c>
      <c r="QX104">
        <v>3.1</v>
      </c>
      <c r="QY104">
        <v>0</v>
      </c>
      <c r="QZ104">
        <v>0</v>
      </c>
      <c r="RA104">
        <v>10.49</v>
      </c>
      <c r="RB104">
        <v>26.72</v>
      </c>
      <c r="RC104">
        <v>13.38</v>
      </c>
      <c r="RD104">
        <v>10.67</v>
      </c>
      <c r="RE104">
        <v>0</v>
      </c>
      <c r="RF104">
        <v>0</v>
      </c>
      <c r="RG104">
        <v>0</v>
      </c>
      <c r="RT104">
        <v>3.9</v>
      </c>
      <c r="RU104">
        <v>1</v>
      </c>
      <c r="RV104">
        <v>68</v>
      </c>
      <c r="RW104">
        <v>4</v>
      </c>
      <c r="RX104">
        <f>1.9+0.34</f>
        <v>2.2399999999999998</v>
      </c>
      <c r="RY104">
        <v>1</v>
      </c>
      <c r="RZ104">
        <v>34</v>
      </c>
      <c r="SA104">
        <v>8</v>
      </c>
      <c r="SB104">
        <v>0.27</v>
      </c>
      <c r="SC104">
        <v>1</v>
      </c>
      <c r="SF104" s="18"/>
      <c r="SX104">
        <v>1</v>
      </c>
      <c r="SY104">
        <v>50</v>
      </c>
      <c r="SZ104">
        <v>4</v>
      </c>
      <c r="TA104">
        <f>1.52*2</f>
        <v>3.04</v>
      </c>
      <c r="TB104">
        <v>3</v>
      </c>
      <c r="UI104" s="16">
        <v>0.04</v>
      </c>
      <c r="UJ104" s="16">
        <v>1</v>
      </c>
      <c r="UK104" s="16">
        <v>1</v>
      </c>
      <c r="UL104" s="16"/>
      <c r="UM104" s="16">
        <f>0.3</f>
        <v>0.3</v>
      </c>
      <c r="UN104" s="16"/>
      <c r="UO104" s="16"/>
      <c r="UP104" s="16"/>
      <c r="UQ104" s="16"/>
      <c r="UR104" s="16"/>
      <c r="US104" s="16"/>
      <c r="UT104" s="16">
        <v>0.03</v>
      </c>
      <c r="UU104" s="16">
        <v>0.03</v>
      </c>
      <c r="UV104" s="16"/>
      <c r="UW104" s="16"/>
      <c r="UX104" s="16">
        <v>0</v>
      </c>
      <c r="UY104" s="16">
        <v>0</v>
      </c>
      <c r="UZ104" s="16">
        <v>0</v>
      </c>
      <c r="VA104">
        <v>0</v>
      </c>
      <c r="VB104" t="s">
        <v>189</v>
      </c>
      <c r="VC104">
        <v>31</v>
      </c>
      <c r="VD104" s="16">
        <v>80.2</v>
      </c>
      <c r="VE104" s="16">
        <v>80.400000000000006</v>
      </c>
      <c r="VF104" s="16">
        <v>6.5</v>
      </c>
      <c r="VG104">
        <v>99.3</v>
      </c>
      <c r="VH104" s="17">
        <v>0</v>
      </c>
      <c r="VI104">
        <v>0.7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31.92</v>
      </c>
      <c r="VT104">
        <v>23.7</v>
      </c>
      <c r="VU104">
        <v>1.95</v>
      </c>
      <c r="VV104">
        <v>0</v>
      </c>
      <c r="VW104">
        <v>18.7</v>
      </c>
      <c r="VX104">
        <v>4</v>
      </c>
      <c r="VY104">
        <v>49</v>
      </c>
      <c r="WA104">
        <v>1</v>
      </c>
      <c r="WE104">
        <v>49</v>
      </c>
      <c r="WG104">
        <v>1</v>
      </c>
      <c r="WK104">
        <v>0</v>
      </c>
      <c r="WL104">
        <v>0</v>
      </c>
      <c r="WW104" s="18"/>
      <c r="XO104">
        <v>0</v>
      </c>
      <c r="YZ104" s="16">
        <v>0</v>
      </c>
      <c r="ZA104" s="16">
        <v>0</v>
      </c>
      <c r="ZB104" s="16"/>
      <c r="ZC104" s="16"/>
      <c r="ZD104" s="16"/>
      <c r="ZE104" s="16"/>
      <c r="ZF104" s="16"/>
      <c r="ZG104" s="16"/>
      <c r="ZH104" s="16"/>
      <c r="ZI104" s="16"/>
      <c r="ZJ104" s="16"/>
      <c r="ZK104" s="16">
        <v>5.42</v>
      </c>
      <c r="ZL104" s="16">
        <v>6.61</v>
      </c>
      <c r="ZM104" s="16"/>
      <c r="ZN104" s="16"/>
      <c r="ZO104" s="16">
        <v>0</v>
      </c>
      <c r="ZP104" s="16">
        <v>0</v>
      </c>
      <c r="ZQ104" s="16">
        <v>0</v>
      </c>
      <c r="ZR104">
        <v>0</v>
      </c>
      <c r="ZS104" t="s">
        <v>190</v>
      </c>
      <c r="ZT104">
        <v>38.5</v>
      </c>
      <c r="ZU104" s="16">
        <v>92</v>
      </c>
      <c r="ZV104" s="16">
        <v>80.400000000000006</v>
      </c>
      <c r="ZW104" s="16">
        <v>11</v>
      </c>
      <c r="ZX104">
        <v>95.37</v>
      </c>
      <c r="ZY104" s="17">
        <v>0</v>
      </c>
      <c r="ZZ104">
        <v>4.63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2.85</v>
      </c>
      <c r="AAJ104">
        <v>16.149999999999999</v>
      </c>
      <c r="AAK104">
        <v>42.55</v>
      </c>
      <c r="AAL104">
        <v>4.63</v>
      </c>
      <c r="AAM104">
        <v>0</v>
      </c>
      <c r="AAN104">
        <v>5.7</v>
      </c>
      <c r="AAO104">
        <v>1</v>
      </c>
      <c r="AAP104">
        <v>3</v>
      </c>
      <c r="AAR104">
        <v>1</v>
      </c>
      <c r="AAV104">
        <v>3</v>
      </c>
      <c r="AAX104">
        <v>1</v>
      </c>
      <c r="ABB104">
        <v>4.8</v>
      </c>
      <c r="ABC104">
        <v>0</v>
      </c>
      <c r="ABN104" s="18"/>
      <c r="ACF104">
        <v>1</v>
      </c>
      <c r="ACG104">
        <v>70</v>
      </c>
      <c r="ACH104">
        <v>3</v>
      </c>
      <c r="ACI104">
        <f>14.97+0.86+0.7</f>
        <v>16.53</v>
      </c>
      <c r="ACJ104">
        <v>3</v>
      </c>
      <c r="ACK104">
        <v>60</v>
      </c>
      <c r="ACL104">
        <v>3</v>
      </c>
      <c r="ACM104">
        <f>3.02+0.97+0.6</f>
        <v>4.59</v>
      </c>
      <c r="ACN104">
        <v>3</v>
      </c>
      <c r="ADQ104" s="16">
        <v>2.82</v>
      </c>
      <c r="ADR104" s="16">
        <v>1</v>
      </c>
      <c r="ADS104" s="16">
        <v>1</v>
      </c>
      <c r="ADT104" s="16"/>
      <c r="ADU104" s="16">
        <f>0.93*2</f>
        <v>1.86</v>
      </c>
      <c r="ADV104" s="16">
        <v>2</v>
      </c>
      <c r="ADW104" s="16"/>
      <c r="ADX104" s="16">
        <f>9.6+1.93</f>
        <v>11.53</v>
      </c>
      <c r="ADY104" s="16"/>
      <c r="ADZ104" s="16"/>
      <c r="AEA104" s="16"/>
      <c r="AEB104" s="16">
        <v>13.91</v>
      </c>
      <c r="AEC104" s="16">
        <v>17.309999999999999</v>
      </c>
      <c r="AED104" s="16"/>
      <c r="AEE104" s="16"/>
      <c r="AEF104" s="16">
        <v>0</v>
      </c>
      <c r="AEG104" s="16">
        <v>0</v>
      </c>
      <c r="AEH104" s="16">
        <v>0</v>
      </c>
      <c r="AEI104">
        <v>0</v>
      </c>
      <c r="AEJ104" t="s">
        <v>191</v>
      </c>
      <c r="AEK104">
        <v>44</v>
      </c>
      <c r="AEL104" s="16">
        <v>75.8</v>
      </c>
      <c r="AEM104" s="16">
        <v>80.400000000000006</v>
      </c>
      <c r="AEN104" s="16">
        <v>12.2</v>
      </c>
      <c r="AEO104">
        <v>90.24</v>
      </c>
      <c r="AEP104" s="17">
        <v>0</v>
      </c>
      <c r="AEQ104">
        <v>6.27</v>
      </c>
      <c r="AER104">
        <v>0</v>
      </c>
      <c r="AES104">
        <v>3.49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24.37</v>
      </c>
      <c r="AFB104">
        <v>32.21</v>
      </c>
      <c r="AFC104">
        <v>3.56</v>
      </c>
      <c r="AFD104">
        <v>0</v>
      </c>
      <c r="AFE104">
        <v>0</v>
      </c>
      <c r="AFF104">
        <v>0</v>
      </c>
      <c r="AFS104">
        <v>20.3</v>
      </c>
      <c r="AFT104">
        <v>1</v>
      </c>
      <c r="AFU104">
        <v>30</v>
      </c>
      <c r="AFV104">
        <v>4</v>
      </c>
      <c r="AFW104">
        <v>3.01</v>
      </c>
      <c r="AFX104">
        <v>5</v>
      </c>
      <c r="AFY104">
        <v>68</v>
      </c>
      <c r="AFZ104">
        <v>2</v>
      </c>
      <c r="AGA104">
        <v>1.52</v>
      </c>
      <c r="AGB104">
        <v>1</v>
      </c>
      <c r="AGC104">
        <v>47</v>
      </c>
      <c r="AGD104">
        <v>1</v>
      </c>
      <c r="AGE104" s="18">
        <v>7.0000000000000007E-2</v>
      </c>
      <c r="AGF104">
        <v>3</v>
      </c>
      <c r="AGW104">
        <v>0</v>
      </c>
      <c r="AIH104" s="16">
        <v>1.88</v>
      </c>
      <c r="AII104" s="16">
        <v>1</v>
      </c>
      <c r="AIJ104" s="16">
        <v>2</v>
      </c>
      <c r="AIK104" s="16"/>
      <c r="AIL104" s="16">
        <v>4.18</v>
      </c>
      <c r="AIM104" s="16"/>
      <c r="AIN104" s="16"/>
      <c r="AIO104" s="16"/>
      <c r="AIP104" s="16"/>
      <c r="AIQ104" s="16"/>
      <c r="AIR104" s="16"/>
      <c r="AIS104" s="16">
        <v>7.15</v>
      </c>
      <c r="AIT104" s="16">
        <v>6.06</v>
      </c>
      <c r="AIU104" s="16"/>
      <c r="AIV104" s="16"/>
      <c r="AIW104" s="16">
        <v>0</v>
      </c>
      <c r="AIX104" s="16">
        <v>0</v>
      </c>
      <c r="AIY104" s="16">
        <v>0</v>
      </c>
      <c r="AIZ104">
        <v>0</v>
      </c>
      <c r="AJA104" t="s">
        <v>192</v>
      </c>
      <c r="AJB104">
        <v>47.5</v>
      </c>
      <c r="AJC104" s="16">
        <v>79.3</v>
      </c>
      <c r="AJD104" s="16">
        <v>80.400000000000006</v>
      </c>
      <c r="AJE104" s="16">
        <v>36.299999999999997</v>
      </c>
      <c r="AJF104">
        <v>66.23</v>
      </c>
      <c r="AJG104" s="17">
        <v>0</v>
      </c>
      <c r="AJH104">
        <v>33.770000000000003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38.369999999999997</v>
      </c>
      <c r="AJS104">
        <v>20.04</v>
      </c>
      <c r="AJT104">
        <v>11.21</v>
      </c>
      <c r="AJU104">
        <v>0</v>
      </c>
      <c r="AJV104">
        <v>0</v>
      </c>
      <c r="AJW104">
        <v>0</v>
      </c>
      <c r="AKJ104">
        <v>6.9</v>
      </c>
      <c r="AKK104">
        <v>1</v>
      </c>
      <c r="AKL104">
        <v>47</v>
      </c>
      <c r="AKM104">
        <v>3</v>
      </c>
      <c r="AKN104">
        <f>0.11+0.74+0.08</f>
        <v>0.92999999999999994</v>
      </c>
      <c r="AKO104">
        <v>3</v>
      </c>
      <c r="AKP104">
        <v>68</v>
      </c>
      <c r="AKQ104">
        <v>1</v>
      </c>
      <c r="AKR104">
        <v>0.76</v>
      </c>
      <c r="AKS104">
        <v>1</v>
      </c>
      <c r="AKV104" s="18"/>
      <c r="ALN104">
        <v>0</v>
      </c>
    </row>
    <row r="105" spans="1:1018" x14ac:dyDescent="0.2">
      <c r="A105" s="1" t="s">
        <v>493</v>
      </c>
      <c r="B105" s="12">
        <v>42894</v>
      </c>
      <c r="C105">
        <v>1</v>
      </c>
      <c r="D105" s="13">
        <v>42804</v>
      </c>
      <c r="E105" s="12">
        <v>31947</v>
      </c>
      <c r="F105" s="14">
        <f t="shared" si="42"/>
        <v>29.971252566735114</v>
      </c>
      <c r="G105" s="14">
        <f t="shared" si="43"/>
        <v>0.24640657084188911</v>
      </c>
      <c r="H105" s="15" t="s">
        <v>181</v>
      </c>
      <c r="I105" s="15" t="s">
        <v>182</v>
      </c>
      <c r="J105" s="15" t="s">
        <v>183</v>
      </c>
      <c r="K105" s="21">
        <v>8</v>
      </c>
      <c r="L105" s="19">
        <v>55</v>
      </c>
      <c r="M105">
        <v>1.52</v>
      </c>
      <c r="N105" s="16">
        <f t="shared" si="44"/>
        <v>23.80540166204986</v>
      </c>
      <c r="O105" s="19">
        <v>0</v>
      </c>
      <c r="P105" s="19">
        <v>0</v>
      </c>
      <c r="Q105" s="19">
        <v>0</v>
      </c>
      <c r="R105" s="19">
        <v>0</v>
      </c>
      <c r="S105" s="19">
        <v>0</v>
      </c>
      <c r="T105" s="19">
        <v>0</v>
      </c>
      <c r="U105" s="19">
        <v>0</v>
      </c>
      <c r="V105" s="19">
        <v>0</v>
      </c>
      <c r="W105" s="19">
        <v>0</v>
      </c>
      <c r="X105" s="19">
        <v>0</v>
      </c>
      <c r="Y105" s="19">
        <v>0</v>
      </c>
      <c r="Z105" s="19">
        <v>0</v>
      </c>
      <c r="AA105" s="19">
        <v>0</v>
      </c>
      <c r="AB105" s="19">
        <v>0</v>
      </c>
      <c r="AC105" s="19">
        <v>1</v>
      </c>
      <c r="AD105" s="19">
        <v>5</v>
      </c>
      <c r="AE105" s="19">
        <v>0</v>
      </c>
      <c r="AF105" s="19">
        <v>0</v>
      </c>
      <c r="AG105" s="19">
        <v>0</v>
      </c>
      <c r="AH105" s="19">
        <v>0</v>
      </c>
      <c r="AI105" s="19">
        <v>0</v>
      </c>
      <c r="AJ105" s="19">
        <v>0</v>
      </c>
      <c r="AK105" s="19">
        <v>0</v>
      </c>
      <c r="AL105" s="19">
        <v>0</v>
      </c>
      <c r="AM105" s="19">
        <v>0</v>
      </c>
      <c r="AN105" s="19">
        <v>0</v>
      </c>
      <c r="AO105" s="19">
        <v>0</v>
      </c>
      <c r="AP105" s="19">
        <v>0</v>
      </c>
      <c r="AQ105" s="19">
        <v>0</v>
      </c>
      <c r="AR105" s="19">
        <v>0</v>
      </c>
      <c r="AS105" s="19">
        <v>0</v>
      </c>
      <c r="AT105" s="19">
        <v>0</v>
      </c>
      <c r="AU105" s="19">
        <v>0</v>
      </c>
      <c r="AV105" s="19">
        <v>0</v>
      </c>
      <c r="AW105" s="19">
        <v>0</v>
      </c>
      <c r="AX105" s="19">
        <v>0</v>
      </c>
      <c r="AY105" s="19">
        <v>0</v>
      </c>
      <c r="AZ105" s="19">
        <v>0</v>
      </c>
      <c r="BA105" s="19">
        <v>0</v>
      </c>
      <c r="BB105" s="19">
        <v>0</v>
      </c>
      <c r="BC105" s="19">
        <v>0</v>
      </c>
      <c r="BD105" s="19">
        <v>0</v>
      </c>
      <c r="BE105" s="19">
        <v>0</v>
      </c>
      <c r="BF105" s="19">
        <v>0</v>
      </c>
      <c r="BG105" s="19">
        <v>0</v>
      </c>
      <c r="BH105" s="19">
        <v>0</v>
      </c>
      <c r="BI105" s="19">
        <v>0</v>
      </c>
      <c r="BJ105" s="19">
        <v>0</v>
      </c>
      <c r="BK105" s="19">
        <v>0</v>
      </c>
      <c r="BL105" s="19">
        <v>0</v>
      </c>
      <c r="BM105" s="19">
        <v>0</v>
      </c>
      <c r="BN105" s="19">
        <v>0</v>
      </c>
      <c r="BO105" s="19">
        <v>0</v>
      </c>
      <c r="BP105" s="19">
        <v>0</v>
      </c>
      <c r="BQ105" s="19">
        <v>0</v>
      </c>
      <c r="BR105" s="19">
        <v>1</v>
      </c>
      <c r="BS105" s="19">
        <v>2</v>
      </c>
      <c r="BT105" s="19">
        <v>3</v>
      </c>
      <c r="BU105" s="19">
        <v>5</v>
      </c>
      <c r="BV105" s="19">
        <v>2</v>
      </c>
      <c r="BW105" s="19">
        <v>1</v>
      </c>
      <c r="BX105" s="19">
        <v>3</v>
      </c>
      <c r="BY105" s="19">
        <v>5</v>
      </c>
      <c r="BZ105" s="19">
        <v>5</v>
      </c>
      <c r="CA105" s="19">
        <v>5</v>
      </c>
      <c r="CB105" s="19">
        <v>5</v>
      </c>
      <c r="CC105" s="19">
        <v>5</v>
      </c>
      <c r="CD105" s="19">
        <v>5</v>
      </c>
      <c r="CE105" s="19">
        <v>5</v>
      </c>
      <c r="CF105" s="19">
        <v>5</v>
      </c>
      <c r="CG105" s="19">
        <v>5</v>
      </c>
      <c r="CH105" s="19">
        <v>5</v>
      </c>
      <c r="CI105" s="19">
        <v>5</v>
      </c>
      <c r="CJ105" s="19">
        <v>5</v>
      </c>
      <c r="CK105" s="19">
        <v>7</v>
      </c>
      <c r="CL105" t="s">
        <v>185</v>
      </c>
      <c r="CM105">
        <v>21.5</v>
      </c>
      <c r="CN105" s="16">
        <v>54.9</v>
      </c>
      <c r="CO105" s="16">
        <v>80.400000000000006</v>
      </c>
      <c r="CP105" s="16">
        <v>17.899999999999999</v>
      </c>
      <c r="CQ105">
        <v>90.61</v>
      </c>
      <c r="CR105" s="17">
        <v>0</v>
      </c>
      <c r="CS105">
        <v>0</v>
      </c>
      <c r="CT105">
        <v>2.4500000000000002</v>
      </c>
      <c r="CU105">
        <v>6.94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12.16</v>
      </c>
      <c r="DC105">
        <v>24.45</v>
      </c>
      <c r="DD105">
        <v>4.8</v>
      </c>
      <c r="DE105">
        <v>5.1100000000000003</v>
      </c>
      <c r="DF105">
        <v>0</v>
      </c>
      <c r="DG105">
        <v>0</v>
      </c>
      <c r="DH105">
        <v>0</v>
      </c>
      <c r="DU105">
        <v>2.9</v>
      </c>
      <c r="DV105">
        <v>1</v>
      </c>
      <c r="DW105">
        <v>68</v>
      </c>
      <c r="DX105">
        <v>2</v>
      </c>
      <c r="DY105">
        <f>0.38+0.07</f>
        <v>0.45</v>
      </c>
      <c r="DZ105">
        <v>1</v>
      </c>
      <c r="EG105" s="18"/>
      <c r="EY105">
        <v>1</v>
      </c>
      <c r="EZ105">
        <v>40</v>
      </c>
      <c r="FA105">
        <v>1</v>
      </c>
      <c r="FB105">
        <v>0.06</v>
      </c>
      <c r="FC105">
        <v>1</v>
      </c>
      <c r="FD105">
        <v>60</v>
      </c>
      <c r="FE105">
        <v>1</v>
      </c>
      <c r="FF105">
        <v>0.11</v>
      </c>
      <c r="FG105">
        <v>1</v>
      </c>
      <c r="FH105">
        <v>40</v>
      </c>
      <c r="FI105">
        <v>1</v>
      </c>
      <c r="FJ105">
        <v>0.57999999999999996</v>
      </c>
      <c r="FK105">
        <v>6</v>
      </c>
      <c r="GJ105" s="16">
        <v>0</v>
      </c>
      <c r="GK105" s="16">
        <v>0</v>
      </c>
      <c r="GL105" s="16"/>
      <c r="GM105" s="16"/>
      <c r="GN105" s="16"/>
      <c r="GO105" s="16"/>
      <c r="GP105" s="16"/>
      <c r="GQ105" s="16"/>
      <c r="GR105" s="16"/>
      <c r="GS105" s="16"/>
      <c r="GT105" s="16"/>
      <c r="GU105" s="16">
        <v>0.67</v>
      </c>
      <c r="GV105" s="16">
        <v>0.65</v>
      </c>
      <c r="GW105" s="16"/>
      <c r="GX105" s="16"/>
      <c r="GY105" s="16">
        <v>0</v>
      </c>
      <c r="GZ105" s="16">
        <v>0</v>
      </c>
      <c r="HA105" s="16">
        <v>0</v>
      </c>
      <c r="HB105">
        <v>0</v>
      </c>
      <c r="HC105" t="s">
        <v>186</v>
      </c>
      <c r="HD105">
        <v>52.5</v>
      </c>
      <c r="HE105" s="16">
        <v>78.3</v>
      </c>
      <c r="HF105" s="16">
        <v>80.400000000000006</v>
      </c>
      <c r="HG105" s="16">
        <v>33.200000000000003</v>
      </c>
      <c r="HH105">
        <v>67.5</v>
      </c>
      <c r="HI105" s="17">
        <v>0</v>
      </c>
      <c r="HJ105">
        <v>21.37</v>
      </c>
      <c r="HK105">
        <v>0</v>
      </c>
      <c r="HL105">
        <v>3.99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5.93</v>
      </c>
      <c r="HU105">
        <v>42.2</v>
      </c>
      <c r="HV105">
        <v>15.97</v>
      </c>
      <c r="HW105">
        <v>7.14</v>
      </c>
      <c r="HX105">
        <v>0</v>
      </c>
      <c r="HY105">
        <v>0</v>
      </c>
      <c r="IL105">
        <v>1.7</v>
      </c>
      <c r="IM105">
        <v>1</v>
      </c>
      <c r="IN105">
        <v>34</v>
      </c>
      <c r="IO105">
        <v>5</v>
      </c>
      <c r="IP105">
        <v>0.21</v>
      </c>
      <c r="IQ105">
        <v>1</v>
      </c>
      <c r="IR105">
        <v>68</v>
      </c>
      <c r="IS105">
        <v>3</v>
      </c>
      <c r="IT105">
        <v>0.3</v>
      </c>
      <c r="IU105">
        <v>1</v>
      </c>
      <c r="IV105">
        <v>47</v>
      </c>
      <c r="IW105">
        <v>4</v>
      </c>
      <c r="IX105" s="18">
        <v>0.11</v>
      </c>
      <c r="IY105">
        <v>1</v>
      </c>
      <c r="IZ105">
        <v>35</v>
      </c>
      <c r="JA105">
        <v>2</v>
      </c>
      <c r="JB105">
        <v>0.1</v>
      </c>
      <c r="JC105">
        <v>1</v>
      </c>
      <c r="JP105">
        <v>0</v>
      </c>
      <c r="LA105" s="16">
        <v>1.04</v>
      </c>
      <c r="LB105" s="16">
        <v>1</v>
      </c>
      <c r="LC105" s="16">
        <v>1</v>
      </c>
      <c r="LD105" s="16"/>
      <c r="LE105" s="16">
        <f>3.74+3.17+0.1</f>
        <v>7.01</v>
      </c>
      <c r="LF105" s="16"/>
      <c r="LG105" s="16"/>
      <c r="LH105" s="16"/>
      <c r="LI105" s="16"/>
      <c r="LJ105" s="16"/>
      <c r="LK105" s="16"/>
      <c r="LL105" s="16">
        <v>8.9</v>
      </c>
      <c r="LM105" s="16">
        <v>9.7899999999999991</v>
      </c>
      <c r="LN105" s="16"/>
      <c r="LO105" s="16"/>
      <c r="LP105" s="16">
        <v>2.99</v>
      </c>
      <c r="LQ105" s="16">
        <v>4</v>
      </c>
      <c r="LR105" s="16">
        <v>3</v>
      </c>
      <c r="LS105">
        <v>0</v>
      </c>
      <c r="LT105" t="s">
        <v>187</v>
      </c>
      <c r="LU105">
        <v>53.5</v>
      </c>
      <c r="LV105" s="16">
        <v>73.5</v>
      </c>
      <c r="LW105" s="16">
        <v>80.400000000000006</v>
      </c>
      <c r="LX105" s="16">
        <v>26.1</v>
      </c>
      <c r="LY105">
        <v>78.89</v>
      </c>
      <c r="LZ105" s="17">
        <v>0</v>
      </c>
      <c r="MA105">
        <v>2.36</v>
      </c>
      <c r="MB105">
        <v>0</v>
      </c>
      <c r="MC105">
        <v>11.6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7.86</v>
      </c>
      <c r="MK105">
        <v>12.08</v>
      </c>
      <c r="ML105">
        <v>18.100000000000001</v>
      </c>
      <c r="MM105">
        <v>28.51</v>
      </c>
      <c r="MN105">
        <v>7.14</v>
      </c>
      <c r="MO105">
        <v>0</v>
      </c>
      <c r="MP105">
        <v>0</v>
      </c>
      <c r="NC105">
        <v>11.6</v>
      </c>
      <c r="ND105">
        <v>1</v>
      </c>
      <c r="NE105">
        <v>47</v>
      </c>
      <c r="NF105">
        <v>4</v>
      </c>
      <c r="NG105">
        <f>1.15+0.34</f>
        <v>1.49</v>
      </c>
      <c r="NH105">
        <v>3</v>
      </c>
      <c r="NO105" s="18"/>
      <c r="OG105">
        <v>1</v>
      </c>
      <c r="OH105">
        <v>50</v>
      </c>
      <c r="OI105">
        <v>1</v>
      </c>
      <c r="OJ105">
        <v>0.19</v>
      </c>
      <c r="OK105">
        <v>3</v>
      </c>
      <c r="PR105" s="16">
        <v>7.27</v>
      </c>
      <c r="PS105" s="16">
        <v>1</v>
      </c>
      <c r="PT105" s="16">
        <v>1</v>
      </c>
      <c r="PU105" s="16"/>
      <c r="PV105" s="16">
        <f>2.11*2+0.37*2</f>
        <v>4.96</v>
      </c>
      <c r="PW105" s="16">
        <v>3</v>
      </c>
      <c r="PX105" s="16"/>
      <c r="PY105" s="16">
        <f>1.44+0.72</f>
        <v>2.16</v>
      </c>
      <c r="PZ105" s="16"/>
      <c r="QA105" s="16"/>
      <c r="QB105" s="16"/>
      <c r="QC105" s="16">
        <v>5.39</v>
      </c>
      <c r="QD105" s="16">
        <v>8.11</v>
      </c>
      <c r="QE105" s="16"/>
      <c r="QF105" s="16"/>
      <c r="QG105" s="16">
        <v>0</v>
      </c>
      <c r="QH105" s="16">
        <v>0</v>
      </c>
      <c r="QI105" s="16">
        <v>3</v>
      </c>
      <c r="QJ105">
        <v>0</v>
      </c>
      <c r="QK105" t="s">
        <v>188</v>
      </c>
      <c r="QL105">
        <v>40</v>
      </c>
      <c r="QM105" s="16">
        <v>84.1</v>
      </c>
      <c r="QN105" s="16">
        <v>80.400000000000006</v>
      </c>
      <c r="QO105" s="16">
        <v>35.1</v>
      </c>
      <c r="QP105">
        <v>66.11</v>
      </c>
      <c r="QQ105" s="17">
        <v>0</v>
      </c>
      <c r="QR105">
        <v>13.11</v>
      </c>
      <c r="QS105">
        <v>6.27</v>
      </c>
      <c r="QT105">
        <v>8.02</v>
      </c>
      <c r="QU105">
        <v>0</v>
      </c>
      <c r="QV105">
        <v>6.47</v>
      </c>
      <c r="QW105">
        <v>2.85</v>
      </c>
      <c r="QX105">
        <v>3.1</v>
      </c>
      <c r="QY105">
        <v>0</v>
      </c>
      <c r="QZ105">
        <v>0</v>
      </c>
      <c r="RA105">
        <v>10.49</v>
      </c>
      <c r="RB105">
        <v>26.72</v>
      </c>
      <c r="RC105">
        <v>13.38</v>
      </c>
      <c r="RD105">
        <v>10.67</v>
      </c>
      <c r="RE105">
        <v>0</v>
      </c>
      <c r="RF105">
        <v>0</v>
      </c>
      <c r="RG105">
        <v>0</v>
      </c>
      <c r="RT105">
        <v>3.9</v>
      </c>
      <c r="RU105">
        <v>1</v>
      </c>
      <c r="RV105">
        <v>68</v>
      </c>
      <c r="RW105">
        <v>4</v>
      </c>
      <c r="RX105">
        <f>1.9+0.34</f>
        <v>2.2399999999999998</v>
      </c>
      <c r="RY105">
        <v>1</v>
      </c>
      <c r="RZ105">
        <v>34</v>
      </c>
      <c r="SA105">
        <v>8</v>
      </c>
      <c r="SB105">
        <v>0.27</v>
      </c>
      <c r="SC105">
        <v>1</v>
      </c>
      <c r="SF105" s="18"/>
      <c r="SX105">
        <v>1</v>
      </c>
      <c r="SY105">
        <v>50</v>
      </c>
      <c r="SZ105">
        <v>4</v>
      </c>
      <c r="TA105">
        <f>1.52*2</f>
        <v>3.04</v>
      </c>
      <c r="TB105">
        <v>3</v>
      </c>
      <c r="UI105" s="16">
        <v>0.04</v>
      </c>
      <c r="UJ105" s="16">
        <v>1</v>
      </c>
      <c r="UK105" s="16">
        <v>1</v>
      </c>
      <c r="UL105" s="16"/>
      <c r="UM105" s="16">
        <f>0.3</f>
        <v>0.3</v>
      </c>
      <c r="UN105" s="16"/>
      <c r="UO105" s="16"/>
      <c r="UP105" s="16"/>
      <c r="UQ105" s="16"/>
      <c r="UR105" s="16"/>
      <c r="US105" s="16"/>
      <c r="UT105" s="16">
        <v>0.03</v>
      </c>
      <c r="UU105" s="16">
        <v>0.03</v>
      </c>
      <c r="UV105" s="16"/>
      <c r="UW105" s="16"/>
      <c r="UX105" s="16">
        <v>0</v>
      </c>
      <c r="UY105" s="16">
        <v>0</v>
      </c>
      <c r="UZ105" s="16">
        <v>0</v>
      </c>
      <c r="VA105">
        <v>0</v>
      </c>
      <c r="VB105" t="s">
        <v>189</v>
      </c>
      <c r="VC105">
        <v>31</v>
      </c>
      <c r="VD105" s="16">
        <v>80.2</v>
      </c>
      <c r="VE105" s="16">
        <v>80.400000000000006</v>
      </c>
      <c r="VF105" s="16">
        <v>6.5</v>
      </c>
      <c r="VG105">
        <v>99.3</v>
      </c>
      <c r="VH105" s="17">
        <v>0</v>
      </c>
      <c r="VI105">
        <v>0.7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31.92</v>
      </c>
      <c r="VT105">
        <v>23.7</v>
      </c>
      <c r="VU105">
        <v>1.95</v>
      </c>
      <c r="VV105">
        <v>0</v>
      </c>
      <c r="VW105">
        <v>18.7</v>
      </c>
      <c r="VX105">
        <v>4</v>
      </c>
      <c r="VY105">
        <v>49</v>
      </c>
      <c r="WA105">
        <v>1</v>
      </c>
      <c r="WE105">
        <v>49</v>
      </c>
      <c r="WG105">
        <v>1</v>
      </c>
      <c r="WK105">
        <v>0</v>
      </c>
      <c r="WL105">
        <v>0</v>
      </c>
      <c r="WW105" s="18"/>
      <c r="XO105">
        <v>0</v>
      </c>
      <c r="YZ105" s="16">
        <v>0</v>
      </c>
      <c r="ZA105" s="16">
        <v>0</v>
      </c>
      <c r="ZB105" s="16"/>
      <c r="ZC105" s="16"/>
      <c r="ZD105" s="16"/>
      <c r="ZE105" s="16"/>
      <c r="ZF105" s="16"/>
      <c r="ZG105" s="16"/>
      <c r="ZH105" s="16"/>
      <c r="ZI105" s="16"/>
      <c r="ZJ105" s="16"/>
      <c r="ZK105" s="16">
        <v>5.42</v>
      </c>
      <c r="ZL105" s="16">
        <v>6.61</v>
      </c>
      <c r="ZM105" s="16"/>
      <c r="ZN105" s="16"/>
      <c r="ZO105" s="16">
        <v>0</v>
      </c>
      <c r="ZP105" s="16">
        <v>0</v>
      </c>
      <c r="ZQ105" s="16">
        <v>0</v>
      </c>
      <c r="ZR105">
        <v>0</v>
      </c>
      <c r="ZS105" t="s">
        <v>190</v>
      </c>
      <c r="ZT105">
        <v>38.5</v>
      </c>
      <c r="ZU105" s="16">
        <v>92</v>
      </c>
      <c r="ZV105" s="16">
        <v>80.400000000000006</v>
      </c>
      <c r="ZW105" s="16">
        <v>11</v>
      </c>
      <c r="ZX105">
        <v>95.37</v>
      </c>
      <c r="ZY105" s="17">
        <v>0</v>
      </c>
      <c r="ZZ105">
        <v>4.63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2.85</v>
      </c>
      <c r="AAJ105">
        <v>16.149999999999999</v>
      </c>
      <c r="AAK105">
        <v>42.55</v>
      </c>
      <c r="AAL105">
        <v>4.63</v>
      </c>
      <c r="AAM105">
        <v>0</v>
      </c>
      <c r="AAN105">
        <v>5.7</v>
      </c>
      <c r="AAO105">
        <v>1</v>
      </c>
      <c r="AAP105">
        <v>3</v>
      </c>
      <c r="AAR105">
        <v>1</v>
      </c>
      <c r="AAV105">
        <v>3</v>
      </c>
      <c r="AAX105">
        <v>1</v>
      </c>
      <c r="ABB105">
        <v>4.8</v>
      </c>
      <c r="ABC105">
        <v>0</v>
      </c>
      <c r="ABN105" s="18"/>
      <c r="ACF105">
        <v>1</v>
      </c>
      <c r="ACG105">
        <v>70</v>
      </c>
      <c r="ACH105">
        <v>3</v>
      </c>
      <c r="ACI105">
        <f>14.97+0.86+0.7</f>
        <v>16.53</v>
      </c>
      <c r="ACJ105">
        <v>3</v>
      </c>
      <c r="ACK105">
        <v>60</v>
      </c>
      <c r="ACL105">
        <v>3</v>
      </c>
      <c r="ACM105">
        <f>3.02+0.97+0.6</f>
        <v>4.59</v>
      </c>
      <c r="ACN105">
        <v>3</v>
      </c>
      <c r="ADQ105" s="16">
        <v>2.82</v>
      </c>
      <c r="ADR105" s="16">
        <v>1</v>
      </c>
      <c r="ADS105" s="16">
        <v>1</v>
      </c>
      <c r="ADT105" s="16"/>
      <c r="ADU105" s="16">
        <f>0.93*2</f>
        <v>1.86</v>
      </c>
      <c r="ADV105" s="16">
        <v>2</v>
      </c>
      <c r="ADW105" s="16"/>
      <c r="ADX105" s="16">
        <f>9.6+1.93</f>
        <v>11.53</v>
      </c>
      <c r="ADY105" s="16"/>
      <c r="ADZ105" s="16"/>
      <c r="AEA105" s="16"/>
      <c r="AEB105" s="16">
        <v>13.91</v>
      </c>
      <c r="AEC105" s="16">
        <v>17.309999999999999</v>
      </c>
      <c r="AED105" s="16"/>
      <c r="AEE105" s="16"/>
      <c r="AEF105" s="16">
        <v>0</v>
      </c>
      <c r="AEG105" s="16">
        <v>0</v>
      </c>
      <c r="AEH105" s="16">
        <v>0</v>
      </c>
      <c r="AEI105">
        <v>0</v>
      </c>
      <c r="AEJ105" t="s">
        <v>191</v>
      </c>
      <c r="AEK105">
        <v>44</v>
      </c>
      <c r="AEL105" s="16">
        <v>75.8</v>
      </c>
      <c r="AEM105" s="16">
        <v>80.400000000000006</v>
      </c>
      <c r="AEN105" s="16">
        <v>12.2</v>
      </c>
      <c r="AEO105">
        <v>90.24</v>
      </c>
      <c r="AEP105" s="17">
        <v>0</v>
      </c>
      <c r="AEQ105">
        <v>6.27</v>
      </c>
      <c r="AER105">
        <v>0</v>
      </c>
      <c r="AES105">
        <v>3.49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24.37</v>
      </c>
      <c r="AFB105">
        <v>32.21</v>
      </c>
      <c r="AFC105">
        <v>3.56</v>
      </c>
      <c r="AFD105">
        <v>0</v>
      </c>
      <c r="AFE105">
        <v>0</v>
      </c>
      <c r="AFF105">
        <v>0</v>
      </c>
      <c r="AFS105">
        <v>20.3</v>
      </c>
      <c r="AFT105">
        <v>1</v>
      </c>
      <c r="AFU105">
        <v>30</v>
      </c>
      <c r="AFV105">
        <v>4</v>
      </c>
      <c r="AFW105">
        <v>3.01</v>
      </c>
      <c r="AFX105">
        <v>5</v>
      </c>
      <c r="AFY105">
        <v>68</v>
      </c>
      <c r="AFZ105">
        <v>2</v>
      </c>
      <c r="AGA105">
        <v>1.52</v>
      </c>
      <c r="AGB105">
        <v>1</v>
      </c>
      <c r="AGC105">
        <v>47</v>
      </c>
      <c r="AGD105">
        <v>1</v>
      </c>
      <c r="AGE105" s="18">
        <v>7.0000000000000007E-2</v>
      </c>
      <c r="AGF105">
        <v>3</v>
      </c>
      <c r="AGW105">
        <v>0</v>
      </c>
      <c r="AIH105" s="16">
        <v>1.88</v>
      </c>
      <c r="AII105" s="16">
        <v>1</v>
      </c>
      <c r="AIJ105" s="16">
        <v>2</v>
      </c>
      <c r="AIK105" s="16"/>
      <c r="AIL105" s="16">
        <v>4.18</v>
      </c>
      <c r="AIM105" s="16"/>
      <c r="AIN105" s="16"/>
      <c r="AIO105" s="16"/>
      <c r="AIP105" s="16"/>
      <c r="AIQ105" s="16"/>
      <c r="AIR105" s="16"/>
      <c r="AIS105" s="16">
        <v>7.15</v>
      </c>
      <c r="AIT105" s="16">
        <v>6.06</v>
      </c>
      <c r="AIU105" s="16"/>
      <c r="AIV105" s="16"/>
      <c r="AIW105" s="16">
        <v>0</v>
      </c>
      <c r="AIX105" s="16">
        <v>0</v>
      </c>
      <c r="AIY105" s="16">
        <v>0</v>
      </c>
      <c r="AIZ105">
        <v>0</v>
      </c>
      <c r="AJA105" t="s">
        <v>192</v>
      </c>
      <c r="AJB105">
        <v>47.5</v>
      </c>
      <c r="AJC105" s="16">
        <v>79.3</v>
      </c>
      <c r="AJD105" s="16">
        <v>80.400000000000006</v>
      </c>
      <c r="AJE105" s="16">
        <v>36.299999999999997</v>
      </c>
      <c r="AJF105">
        <v>66.23</v>
      </c>
      <c r="AJG105" s="17">
        <v>0</v>
      </c>
      <c r="AJH105">
        <v>33.770000000000003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38.369999999999997</v>
      </c>
      <c r="AJS105">
        <v>20.04</v>
      </c>
      <c r="AJT105">
        <v>11.21</v>
      </c>
      <c r="AJU105">
        <v>0</v>
      </c>
      <c r="AJV105">
        <v>0</v>
      </c>
      <c r="AJW105">
        <v>0</v>
      </c>
      <c r="AKJ105">
        <v>6.9</v>
      </c>
      <c r="AKK105">
        <v>1</v>
      </c>
      <c r="AKL105">
        <v>47</v>
      </c>
      <c r="AKM105">
        <v>3</v>
      </c>
      <c r="AKN105">
        <f>0.11+0.74+0.08</f>
        <v>0.92999999999999994</v>
      </c>
      <c r="AKO105">
        <v>3</v>
      </c>
      <c r="AKP105">
        <v>68</v>
      </c>
      <c r="AKQ105">
        <v>1</v>
      </c>
      <c r="AKR105">
        <v>0.76</v>
      </c>
      <c r="AKS105">
        <v>1</v>
      </c>
      <c r="AKV105" s="18"/>
      <c r="ALN105">
        <v>0</v>
      </c>
    </row>
    <row r="106" spans="1:1018" x14ac:dyDescent="0.2">
      <c r="A106" s="1" t="s">
        <v>494</v>
      </c>
      <c r="B106" s="12">
        <v>42893</v>
      </c>
      <c r="C106">
        <v>1</v>
      </c>
      <c r="D106" s="13">
        <v>42797</v>
      </c>
      <c r="E106" s="12">
        <v>33891</v>
      </c>
      <c r="F106" s="14">
        <f t="shared" si="42"/>
        <v>24.646132785763175</v>
      </c>
      <c r="G106" s="14">
        <f t="shared" si="43"/>
        <v>0.26283367556468173</v>
      </c>
      <c r="H106" s="15" t="s">
        <v>181</v>
      </c>
      <c r="I106" s="15" t="s">
        <v>182</v>
      </c>
      <c r="J106" s="15" t="s">
        <v>183</v>
      </c>
      <c r="K106" s="21">
        <v>8</v>
      </c>
      <c r="L106" s="19">
        <v>69</v>
      </c>
      <c r="M106">
        <v>1.6</v>
      </c>
      <c r="N106" s="16">
        <f t="shared" si="44"/>
        <v>26.953124999999996</v>
      </c>
      <c r="O106" s="19">
        <v>0</v>
      </c>
      <c r="P106" s="19">
        <v>0</v>
      </c>
      <c r="Q106" s="19">
        <v>0</v>
      </c>
      <c r="R106" s="19">
        <v>0</v>
      </c>
      <c r="S106" s="19">
        <v>0</v>
      </c>
      <c r="T106" s="19">
        <v>0</v>
      </c>
      <c r="U106" s="19">
        <v>0</v>
      </c>
      <c r="V106" s="19">
        <v>0</v>
      </c>
      <c r="W106" s="19">
        <v>0</v>
      </c>
      <c r="X106" s="19">
        <v>0</v>
      </c>
      <c r="Y106" s="19">
        <v>0</v>
      </c>
      <c r="Z106" s="19">
        <v>0</v>
      </c>
      <c r="AA106" s="19">
        <v>0</v>
      </c>
      <c r="AB106" s="19">
        <v>0</v>
      </c>
      <c r="AC106" s="19">
        <v>0</v>
      </c>
      <c r="AD106" s="19">
        <v>0</v>
      </c>
      <c r="AE106" s="19">
        <v>1</v>
      </c>
      <c r="AF106" s="19">
        <v>1</v>
      </c>
      <c r="AG106" s="19">
        <v>0</v>
      </c>
      <c r="AH106" s="19">
        <v>0</v>
      </c>
      <c r="AI106" s="19">
        <v>0</v>
      </c>
      <c r="AJ106" s="19">
        <v>0</v>
      </c>
      <c r="AK106" s="19">
        <v>0</v>
      </c>
      <c r="AL106" s="19">
        <v>0</v>
      </c>
      <c r="AM106" s="19">
        <v>0</v>
      </c>
      <c r="AN106" s="19">
        <v>0</v>
      </c>
      <c r="AO106" s="19">
        <v>0</v>
      </c>
      <c r="AP106" s="19">
        <v>0</v>
      </c>
      <c r="AQ106" s="19">
        <v>0</v>
      </c>
      <c r="AR106" s="19">
        <v>0</v>
      </c>
      <c r="AS106" s="19">
        <v>1</v>
      </c>
      <c r="AT106" s="19">
        <v>0</v>
      </c>
      <c r="AU106" s="19">
        <v>0</v>
      </c>
      <c r="AV106" s="19">
        <v>0</v>
      </c>
      <c r="AW106" s="19">
        <v>0</v>
      </c>
      <c r="AX106" s="19">
        <v>0</v>
      </c>
      <c r="AY106" s="19">
        <v>0</v>
      </c>
      <c r="AZ106" s="19">
        <v>0</v>
      </c>
      <c r="BA106" s="19">
        <v>0</v>
      </c>
      <c r="BB106" s="19">
        <v>1</v>
      </c>
      <c r="BC106" s="19">
        <v>0</v>
      </c>
      <c r="BD106" s="19">
        <v>0</v>
      </c>
      <c r="BE106" s="19">
        <v>0</v>
      </c>
      <c r="BF106" s="19">
        <v>0</v>
      </c>
      <c r="BG106" s="19">
        <v>0</v>
      </c>
      <c r="BH106" s="19">
        <v>0</v>
      </c>
      <c r="BI106" s="19">
        <v>0</v>
      </c>
      <c r="BJ106" s="19">
        <v>0</v>
      </c>
      <c r="BK106" s="19">
        <v>0</v>
      </c>
      <c r="BL106" s="19">
        <v>0</v>
      </c>
      <c r="BM106" s="19">
        <v>0</v>
      </c>
      <c r="BN106" s="19">
        <v>0</v>
      </c>
      <c r="BO106" s="19">
        <v>0</v>
      </c>
      <c r="BP106" s="19">
        <v>0</v>
      </c>
      <c r="BQ106" s="19">
        <v>0</v>
      </c>
      <c r="BR106" s="19">
        <v>1</v>
      </c>
      <c r="BS106" s="19">
        <v>1</v>
      </c>
      <c r="BT106" s="19">
        <v>2</v>
      </c>
      <c r="BU106" s="19">
        <v>5</v>
      </c>
      <c r="BV106" s="19">
        <v>2</v>
      </c>
      <c r="BW106" s="19">
        <v>2</v>
      </c>
      <c r="BX106" s="19">
        <v>3</v>
      </c>
      <c r="BY106" s="19">
        <v>4</v>
      </c>
      <c r="BZ106" s="19">
        <v>5</v>
      </c>
      <c r="CA106" s="19">
        <v>5</v>
      </c>
      <c r="CB106" s="19">
        <v>5</v>
      </c>
      <c r="CC106" s="19">
        <v>5</v>
      </c>
      <c r="CD106" s="19">
        <v>4</v>
      </c>
      <c r="CE106" s="19">
        <v>4</v>
      </c>
      <c r="CF106" s="19">
        <v>4</v>
      </c>
      <c r="CG106" s="19">
        <v>4</v>
      </c>
      <c r="CH106" s="19">
        <v>5</v>
      </c>
      <c r="CI106" s="19">
        <v>5</v>
      </c>
      <c r="CJ106" s="19">
        <v>5</v>
      </c>
      <c r="CK106" s="19">
        <v>8</v>
      </c>
      <c r="CL106" t="s">
        <v>185</v>
      </c>
      <c r="CM106">
        <v>21.5</v>
      </c>
      <c r="CN106" s="16">
        <v>54.9</v>
      </c>
      <c r="CO106" s="16">
        <v>80.400000000000006</v>
      </c>
      <c r="CP106" s="16">
        <v>17.899999999999999</v>
      </c>
      <c r="CQ106">
        <v>90.61</v>
      </c>
      <c r="CR106" s="17">
        <v>0</v>
      </c>
      <c r="CS106">
        <v>0</v>
      </c>
      <c r="CT106">
        <v>2.4500000000000002</v>
      </c>
      <c r="CU106">
        <v>6.94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12.16</v>
      </c>
      <c r="DC106">
        <v>24.45</v>
      </c>
      <c r="DD106">
        <v>4.8</v>
      </c>
      <c r="DE106">
        <v>5.1100000000000003</v>
      </c>
      <c r="DF106">
        <v>0</v>
      </c>
      <c r="DG106">
        <v>0</v>
      </c>
      <c r="DH106">
        <v>0</v>
      </c>
      <c r="DU106">
        <v>2.9</v>
      </c>
      <c r="DV106">
        <v>1</v>
      </c>
      <c r="DW106">
        <v>68</v>
      </c>
      <c r="DX106">
        <v>2</v>
      </c>
      <c r="DY106">
        <f>0.38+0.07</f>
        <v>0.45</v>
      </c>
      <c r="DZ106">
        <v>1</v>
      </c>
      <c r="EG106" s="18"/>
      <c r="EY106">
        <v>1</v>
      </c>
      <c r="EZ106">
        <v>40</v>
      </c>
      <c r="FA106">
        <v>1</v>
      </c>
      <c r="FB106">
        <v>0.06</v>
      </c>
      <c r="FC106">
        <v>1</v>
      </c>
      <c r="FD106">
        <v>60</v>
      </c>
      <c r="FE106">
        <v>1</v>
      </c>
      <c r="FF106">
        <v>0.11</v>
      </c>
      <c r="FG106">
        <v>1</v>
      </c>
      <c r="FH106">
        <v>40</v>
      </c>
      <c r="FI106">
        <v>1</v>
      </c>
      <c r="FJ106">
        <v>0.57999999999999996</v>
      </c>
      <c r="FK106">
        <v>6</v>
      </c>
      <c r="GJ106" s="16">
        <v>0</v>
      </c>
      <c r="GK106" s="16">
        <v>0</v>
      </c>
      <c r="GL106" s="16"/>
      <c r="GM106" s="16"/>
      <c r="GN106" s="16"/>
      <c r="GO106" s="16"/>
      <c r="GP106" s="16"/>
      <c r="GQ106" s="16"/>
      <c r="GR106" s="16"/>
      <c r="GS106" s="16"/>
      <c r="GT106" s="16"/>
      <c r="GU106" s="16">
        <v>0.67</v>
      </c>
      <c r="GV106" s="16">
        <v>0.65</v>
      </c>
      <c r="GW106" s="16"/>
      <c r="GX106" s="16"/>
      <c r="GY106" s="16">
        <v>0</v>
      </c>
      <c r="GZ106" s="16">
        <v>0</v>
      </c>
      <c r="HA106" s="16">
        <v>0</v>
      </c>
      <c r="HB106">
        <v>0</v>
      </c>
      <c r="HC106" t="s">
        <v>186</v>
      </c>
      <c r="HD106">
        <v>52.5</v>
      </c>
      <c r="HE106" s="16">
        <v>78.3</v>
      </c>
      <c r="HF106" s="16">
        <v>80.400000000000006</v>
      </c>
      <c r="HG106" s="16">
        <v>33.200000000000003</v>
      </c>
      <c r="HH106">
        <v>67.5</v>
      </c>
      <c r="HI106" s="17">
        <v>0</v>
      </c>
      <c r="HJ106">
        <v>21.37</v>
      </c>
      <c r="HK106">
        <v>0</v>
      </c>
      <c r="HL106">
        <v>3.99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5.93</v>
      </c>
      <c r="HU106">
        <v>42.2</v>
      </c>
      <c r="HV106">
        <v>15.97</v>
      </c>
      <c r="HW106">
        <v>7.14</v>
      </c>
      <c r="HX106">
        <v>0</v>
      </c>
      <c r="HY106">
        <v>0</v>
      </c>
      <c r="IL106">
        <v>1.7</v>
      </c>
      <c r="IM106">
        <v>1</v>
      </c>
      <c r="IN106">
        <v>34</v>
      </c>
      <c r="IO106">
        <v>5</v>
      </c>
      <c r="IP106">
        <v>0.21</v>
      </c>
      <c r="IQ106">
        <v>1</v>
      </c>
      <c r="IR106">
        <v>68</v>
      </c>
      <c r="IS106">
        <v>3</v>
      </c>
      <c r="IT106">
        <v>0.3</v>
      </c>
      <c r="IU106">
        <v>1</v>
      </c>
      <c r="IV106">
        <v>47</v>
      </c>
      <c r="IW106">
        <v>4</v>
      </c>
      <c r="IX106" s="18">
        <v>0.11</v>
      </c>
      <c r="IY106">
        <v>1</v>
      </c>
      <c r="IZ106">
        <v>35</v>
      </c>
      <c r="JA106">
        <v>2</v>
      </c>
      <c r="JB106">
        <v>0.1</v>
      </c>
      <c r="JC106">
        <v>1</v>
      </c>
      <c r="JP106">
        <v>0</v>
      </c>
      <c r="LA106" s="16">
        <v>1.04</v>
      </c>
      <c r="LB106" s="16">
        <v>1</v>
      </c>
      <c r="LC106" s="16">
        <v>1</v>
      </c>
      <c r="LD106" s="16"/>
      <c r="LE106" s="16">
        <f>3.74+3.17+0.1</f>
        <v>7.01</v>
      </c>
      <c r="LF106" s="16"/>
      <c r="LG106" s="16"/>
      <c r="LH106" s="16"/>
      <c r="LI106" s="16"/>
      <c r="LJ106" s="16"/>
      <c r="LK106" s="16"/>
      <c r="LL106" s="16">
        <v>8.9</v>
      </c>
      <c r="LM106" s="16">
        <v>9.7899999999999991</v>
      </c>
      <c r="LN106" s="16"/>
      <c r="LO106" s="16"/>
      <c r="LP106" s="16">
        <v>2.99</v>
      </c>
      <c r="LQ106" s="16">
        <v>4</v>
      </c>
      <c r="LR106" s="16">
        <v>3</v>
      </c>
      <c r="LS106">
        <v>0</v>
      </c>
      <c r="LT106" t="s">
        <v>187</v>
      </c>
      <c r="LU106">
        <v>53.5</v>
      </c>
      <c r="LV106" s="16">
        <v>73.5</v>
      </c>
      <c r="LW106" s="16">
        <v>80.400000000000006</v>
      </c>
      <c r="LX106" s="16">
        <v>26.1</v>
      </c>
      <c r="LY106">
        <v>78.89</v>
      </c>
      <c r="LZ106" s="17">
        <v>0</v>
      </c>
      <c r="MA106">
        <v>2.36</v>
      </c>
      <c r="MB106">
        <v>0</v>
      </c>
      <c r="MC106">
        <v>11.6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7.86</v>
      </c>
      <c r="MK106">
        <v>12.08</v>
      </c>
      <c r="ML106">
        <v>18.100000000000001</v>
      </c>
      <c r="MM106">
        <v>28.51</v>
      </c>
      <c r="MN106">
        <v>7.14</v>
      </c>
      <c r="MO106">
        <v>0</v>
      </c>
      <c r="MP106">
        <v>0</v>
      </c>
      <c r="NC106">
        <v>11.6</v>
      </c>
      <c r="ND106">
        <v>1</v>
      </c>
      <c r="NE106">
        <v>47</v>
      </c>
      <c r="NF106">
        <v>4</v>
      </c>
      <c r="NG106">
        <f>1.15+0.34</f>
        <v>1.49</v>
      </c>
      <c r="NH106">
        <v>3</v>
      </c>
      <c r="NO106" s="18"/>
      <c r="OG106">
        <v>1</v>
      </c>
      <c r="OH106">
        <v>50</v>
      </c>
      <c r="OI106">
        <v>1</v>
      </c>
      <c r="OJ106">
        <v>0.19</v>
      </c>
      <c r="OK106">
        <v>3</v>
      </c>
      <c r="PR106" s="16">
        <v>7.27</v>
      </c>
      <c r="PS106" s="16">
        <v>1</v>
      </c>
      <c r="PT106" s="16">
        <v>1</v>
      </c>
      <c r="PU106" s="16"/>
      <c r="PV106" s="16">
        <f>2.11*2+0.37*2</f>
        <v>4.96</v>
      </c>
      <c r="PW106" s="16">
        <v>3</v>
      </c>
      <c r="PX106" s="16"/>
      <c r="PY106" s="16">
        <f>1.44+0.72</f>
        <v>2.16</v>
      </c>
      <c r="PZ106" s="16"/>
      <c r="QA106" s="16"/>
      <c r="QB106" s="16"/>
      <c r="QC106" s="16">
        <v>5.39</v>
      </c>
      <c r="QD106" s="16">
        <v>8.11</v>
      </c>
      <c r="QE106" s="16"/>
      <c r="QF106" s="16"/>
      <c r="QG106" s="16">
        <v>0</v>
      </c>
      <c r="QH106" s="16">
        <v>0</v>
      </c>
      <c r="QI106" s="16">
        <v>3</v>
      </c>
      <c r="QJ106">
        <v>0</v>
      </c>
      <c r="QK106" t="s">
        <v>188</v>
      </c>
      <c r="QL106">
        <v>40</v>
      </c>
      <c r="QM106" s="16">
        <v>84.1</v>
      </c>
      <c r="QN106" s="16">
        <v>80.400000000000006</v>
      </c>
      <c r="QO106" s="16">
        <v>35.1</v>
      </c>
      <c r="QP106">
        <v>66.11</v>
      </c>
      <c r="QQ106" s="17">
        <v>0</v>
      </c>
      <c r="QR106">
        <v>13.11</v>
      </c>
      <c r="QS106">
        <v>6.27</v>
      </c>
      <c r="QT106">
        <v>8.02</v>
      </c>
      <c r="QU106">
        <v>0</v>
      </c>
      <c r="QV106">
        <v>6.47</v>
      </c>
      <c r="QW106">
        <v>2.85</v>
      </c>
      <c r="QX106">
        <v>3.1</v>
      </c>
      <c r="QY106">
        <v>0</v>
      </c>
      <c r="QZ106">
        <v>0</v>
      </c>
      <c r="RA106">
        <v>10.49</v>
      </c>
      <c r="RB106">
        <v>26.72</v>
      </c>
      <c r="RC106">
        <v>13.38</v>
      </c>
      <c r="RD106">
        <v>10.67</v>
      </c>
      <c r="RE106">
        <v>0</v>
      </c>
      <c r="RF106">
        <v>0</v>
      </c>
      <c r="RG106">
        <v>0</v>
      </c>
      <c r="RT106">
        <v>3.9</v>
      </c>
      <c r="RU106">
        <v>1</v>
      </c>
      <c r="RV106">
        <v>68</v>
      </c>
      <c r="RW106">
        <v>4</v>
      </c>
      <c r="RX106">
        <f>1.9+0.34</f>
        <v>2.2399999999999998</v>
      </c>
      <c r="RY106">
        <v>1</v>
      </c>
      <c r="RZ106">
        <v>34</v>
      </c>
      <c r="SA106">
        <v>8</v>
      </c>
      <c r="SB106">
        <v>0.27</v>
      </c>
      <c r="SC106">
        <v>1</v>
      </c>
      <c r="SF106" s="18"/>
      <c r="SX106">
        <v>1</v>
      </c>
      <c r="SY106">
        <v>50</v>
      </c>
      <c r="SZ106">
        <v>4</v>
      </c>
      <c r="TA106">
        <f>1.52*2</f>
        <v>3.04</v>
      </c>
      <c r="TB106">
        <v>3</v>
      </c>
      <c r="UI106" s="16">
        <v>0.04</v>
      </c>
      <c r="UJ106" s="16">
        <v>1</v>
      </c>
      <c r="UK106" s="16">
        <v>1</v>
      </c>
      <c r="UL106" s="16"/>
      <c r="UM106" s="16">
        <f>0.3</f>
        <v>0.3</v>
      </c>
      <c r="UN106" s="16"/>
      <c r="UO106" s="16"/>
      <c r="UP106" s="16"/>
      <c r="UQ106" s="16"/>
      <c r="UR106" s="16"/>
      <c r="US106" s="16"/>
      <c r="UT106" s="16">
        <v>0.03</v>
      </c>
      <c r="UU106" s="16">
        <v>0.03</v>
      </c>
      <c r="UV106" s="16"/>
      <c r="UW106" s="16"/>
      <c r="UX106" s="16">
        <v>0</v>
      </c>
      <c r="UY106" s="16">
        <v>0</v>
      </c>
      <c r="UZ106" s="16">
        <v>0</v>
      </c>
      <c r="VA106">
        <v>0</v>
      </c>
      <c r="VB106" t="s">
        <v>189</v>
      </c>
      <c r="VC106">
        <v>31</v>
      </c>
      <c r="VD106" s="16">
        <v>80.2</v>
      </c>
      <c r="VE106" s="16">
        <v>80.400000000000006</v>
      </c>
      <c r="VF106" s="16">
        <v>6.5</v>
      </c>
      <c r="VG106">
        <v>99.3</v>
      </c>
      <c r="VH106" s="17">
        <v>0</v>
      </c>
      <c r="VI106">
        <v>0.7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31.92</v>
      </c>
      <c r="VT106">
        <v>23.7</v>
      </c>
      <c r="VU106">
        <v>1.95</v>
      </c>
      <c r="VV106">
        <v>0</v>
      </c>
      <c r="VW106">
        <v>18.7</v>
      </c>
      <c r="VX106">
        <v>4</v>
      </c>
      <c r="VY106">
        <v>49</v>
      </c>
      <c r="WA106">
        <v>1</v>
      </c>
      <c r="WE106">
        <v>49</v>
      </c>
      <c r="WG106">
        <v>1</v>
      </c>
      <c r="WK106">
        <v>0</v>
      </c>
      <c r="WL106">
        <v>0</v>
      </c>
      <c r="WW106" s="18"/>
      <c r="XO106">
        <v>0</v>
      </c>
      <c r="YZ106" s="16">
        <v>0</v>
      </c>
      <c r="ZA106" s="16">
        <v>0</v>
      </c>
      <c r="ZB106" s="16"/>
      <c r="ZC106" s="16"/>
      <c r="ZD106" s="16"/>
      <c r="ZE106" s="16"/>
      <c r="ZF106" s="16"/>
      <c r="ZG106" s="16"/>
      <c r="ZH106" s="16"/>
      <c r="ZI106" s="16"/>
      <c r="ZJ106" s="16"/>
      <c r="ZK106" s="16">
        <v>5.42</v>
      </c>
      <c r="ZL106" s="16">
        <v>6.61</v>
      </c>
      <c r="ZM106" s="16"/>
      <c r="ZN106" s="16"/>
      <c r="ZO106" s="16">
        <v>0</v>
      </c>
      <c r="ZP106" s="16">
        <v>0</v>
      </c>
      <c r="ZQ106" s="16">
        <v>0</v>
      </c>
      <c r="ZR106">
        <v>0</v>
      </c>
      <c r="ZS106" t="s">
        <v>190</v>
      </c>
      <c r="ZT106">
        <v>38.5</v>
      </c>
      <c r="ZU106" s="16">
        <v>92</v>
      </c>
      <c r="ZV106" s="16">
        <v>80.400000000000006</v>
      </c>
      <c r="ZW106" s="16">
        <v>11</v>
      </c>
      <c r="ZX106">
        <v>95.37</v>
      </c>
      <c r="ZY106" s="17">
        <v>0</v>
      </c>
      <c r="ZZ106">
        <v>4.63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2.85</v>
      </c>
      <c r="AAJ106">
        <v>16.149999999999999</v>
      </c>
      <c r="AAK106">
        <v>42.55</v>
      </c>
      <c r="AAL106">
        <v>4.63</v>
      </c>
      <c r="AAM106">
        <v>0</v>
      </c>
      <c r="AAN106">
        <v>5.7</v>
      </c>
      <c r="AAO106">
        <v>1</v>
      </c>
      <c r="AAP106">
        <v>3</v>
      </c>
      <c r="AAR106">
        <v>1</v>
      </c>
      <c r="AAV106">
        <v>3</v>
      </c>
      <c r="AAX106">
        <v>1</v>
      </c>
      <c r="ABB106">
        <v>4.8</v>
      </c>
      <c r="ABC106">
        <v>0</v>
      </c>
      <c r="ABN106" s="18"/>
      <c r="ACF106">
        <v>1</v>
      </c>
      <c r="ACG106">
        <v>70</v>
      </c>
      <c r="ACH106">
        <v>3</v>
      </c>
      <c r="ACI106">
        <f>14.97+0.86+0.7</f>
        <v>16.53</v>
      </c>
      <c r="ACJ106">
        <v>3</v>
      </c>
      <c r="ACK106">
        <v>60</v>
      </c>
      <c r="ACL106">
        <v>3</v>
      </c>
      <c r="ACM106">
        <f>3.02+0.97+0.6</f>
        <v>4.59</v>
      </c>
      <c r="ACN106">
        <v>3</v>
      </c>
      <c r="ADQ106" s="16">
        <v>2.82</v>
      </c>
      <c r="ADR106" s="16">
        <v>1</v>
      </c>
      <c r="ADS106" s="16">
        <v>1</v>
      </c>
      <c r="ADT106" s="16"/>
      <c r="ADU106" s="16">
        <f>0.93*2</f>
        <v>1.86</v>
      </c>
      <c r="ADV106" s="16">
        <v>2</v>
      </c>
      <c r="ADW106" s="16"/>
      <c r="ADX106" s="16">
        <f>9.6+1.93</f>
        <v>11.53</v>
      </c>
      <c r="ADY106" s="16"/>
      <c r="ADZ106" s="16"/>
      <c r="AEA106" s="16"/>
      <c r="AEB106" s="16">
        <v>13.91</v>
      </c>
      <c r="AEC106" s="16">
        <v>17.309999999999999</v>
      </c>
      <c r="AED106" s="16"/>
      <c r="AEE106" s="16"/>
      <c r="AEF106" s="16">
        <v>0</v>
      </c>
      <c r="AEG106" s="16">
        <v>0</v>
      </c>
      <c r="AEH106" s="16">
        <v>0</v>
      </c>
      <c r="AEI106">
        <v>0</v>
      </c>
      <c r="AEJ106" t="s">
        <v>191</v>
      </c>
      <c r="AEK106">
        <v>44</v>
      </c>
      <c r="AEL106" s="16">
        <v>75.8</v>
      </c>
      <c r="AEM106" s="16">
        <v>80.400000000000006</v>
      </c>
      <c r="AEN106" s="16">
        <v>12.2</v>
      </c>
      <c r="AEO106">
        <v>90.24</v>
      </c>
      <c r="AEP106" s="17">
        <v>0</v>
      </c>
      <c r="AEQ106">
        <v>6.27</v>
      </c>
      <c r="AER106">
        <v>0</v>
      </c>
      <c r="AES106">
        <v>3.49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24.37</v>
      </c>
      <c r="AFB106">
        <v>32.21</v>
      </c>
      <c r="AFC106">
        <v>3.56</v>
      </c>
      <c r="AFD106">
        <v>0</v>
      </c>
      <c r="AFE106">
        <v>0</v>
      </c>
      <c r="AFF106">
        <v>0</v>
      </c>
      <c r="AFS106">
        <v>20.3</v>
      </c>
      <c r="AFT106">
        <v>1</v>
      </c>
      <c r="AFU106">
        <v>30</v>
      </c>
      <c r="AFV106">
        <v>4</v>
      </c>
      <c r="AFW106">
        <v>3.01</v>
      </c>
      <c r="AFX106">
        <v>5</v>
      </c>
      <c r="AFY106">
        <v>68</v>
      </c>
      <c r="AFZ106">
        <v>2</v>
      </c>
      <c r="AGA106">
        <v>1.52</v>
      </c>
      <c r="AGB106">
        <v>1</v>
      </c>
      <c r="AGC106">
        <v>47</v>
      </c>
      <c r="AGD106">
        <v>1</v>
      </c>
      <c r="AGE106" s="18">
        <v>7.0000000000000007E-2</v>
      </c>
      <c r="AGF106">
        <v>3</v>
      </c>
      <c r="AGW106">
        <v>0</v>
      </c>
      <c r="AIH106" s="16">
        <v>1.88</v>
      </c>
      <c r="AII106" s="16">
        <v>1</v>
      </c>
      <c r="AIJ106" s="16">
        <v>2</v>
      </c>
      <c r="AIK106" s="16"/>
      <c r="AIL106" s="16">
        <v>4.18</v>
      </c>
      <c r="AIM106" s="16"/>
      <c r="AIN106" s="16"/>
      <c r="AIO106" s="16"/>
      <c r="AIP106" s="16"/>
      <c r="AIQ106" s="16"/>
      <c r="AIR106" s="16"/>
      <c r="AIS106" s="16">
        <v>7.15</v>
      </c>
      <c r="AIT106" s="16">
        <v>6.06</v>
      </c>
      <c r="AIU106" s="16"/>
      <c r="AIV106" s="16"/>
      <c r="AIW106" s="16">
        <v>0</v>
      </c>
      <c r="AIX106" s="16">
        <v>0</v>
      </c>
      <c r="AIY106" s="16">
        <v>0</v>
      </c>
      <c r="AIZ106">
        <v>0</v>
      </c>
      <c r="AJA106" t="s">
        <v>192</v>
      </c>
      <c r="AJB106">
        <v>47.5</v>
      </c>
      <c r="AJC106" s="16">
        <v>79.3</v>
      </c>
      <c r="AJD106" s="16">
        <v>80.400000000000006</v>
      </c>
      <c r="AJE106" s="16">
        <v>36.299999999999997</v>
      </c>
      <c r="AJF106">
        <v>66.23</v>
      </c>
      <c r="AJG106" s="17">
        <v>0</v>
      </c>
      <c r="AJH106">
        <v>33.770000000000003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38.369999999999997</v>
      </c>
      <c r="AJS106">
        <v>20.04</v>
      </c>
      <c r="AJT106">
        <v>11.21</v>
      </c>
      <c r="AJU106">
        <v>0</v>
      </c>
      <c r="AJV106">
        <v>0</v>
      </c>
      <c r="AJW106">
        <v>0</v>
      </c>
      <c r="AKJ106">
        <v>6.9</v>
      </c>
      <c r="AKK106">
        <v>1</v>
      </c>
      <c r="AKL106">
        <v>47</v>
      </c>
      <c r="AKM106">
        <v>3</v>
      </c>
      <c r="AKN106">
        <f>0.11+0.74+0.08</f>
        <v>0.92999999999999994</v>
      </c>
      <c r="AKO106">
        <v>3</v>
      </c>
      <c r="AKP106">
        <v>68</v>
      </c>
      <c r="AKQ106">
        <v>1</v>
      </c>
      <c r="AKR106">
        <v>0.76</v>
      </c>
      <c r="AKS106">
        <v>1</v>
      </c>
      <c r="AKV106" s="18"/>
      <c r="ALN106">
        <v>0</v>
      </c>
    </row>
    <row r="107" spans="1:1018" x14ac:dyDescent="0.2">
      <c r="A107" s="1" t="s">
        <v>495</v>
      </c>
      <c r="B107" s="12">
        <v>42905</v>
      </c>
      <c r="C107">
        <v>2</v>
      </c>
      <c r="D107" s="13">
        <v>42814</v>
      </c>
      <c r="E107" s="12">
        <v>34439</v>
      </c>
      <c r="F107" s="14">
        <f t="shared" si="42"/>
        <v>23.178644763860369</v>
      </c>
      <c r="G107" s="14">
        <f t="shared" si="43"/>
        <v>0.24914442162902123</v>
      </c>
      <c r="H107" s="15" t="s">
        <v>181</v>
      </c>
      <c r="I107" s="15" t="s">
        <v>496</v>
      </c>
      <c r="J107" s="15" t="s">
        <v>183</v>
      </c>
      <c r="K107" s="21">
        <v>4</v>
      </c>
      <c r="L107" s="19">
        <v>70</v>
      </c>
      <c r="M107">
        <v>1.84</v>
      </c>
      <c r="N107" s="16">
        <f t="shared" si="44"/>
        <v>20.675803402646501</v>
      </c>
      <c r="O107" s="19">
        <v>0</v>
      </c>
      <c r="P107" s="19">
        <v>0</v>
      </c>
      <c r="Q107" s="19">
        <v>0</v>
      </c>
      <c r="R107" s="19">
        <v>0</v>
      </c>
      <c r="S107" s="19">
        <v>0</v>
      </c>
      <c r="T107" s="19">
        <v>0</v>
      </c>
      <c r="U107" s="19">
        <v>0</v>
      </c>
      <c r="V107" s="19">
        <v>0</v>
      </c>
      <c r="W107" s="19">
        <v>0</v>
      </c>
      <c r="X107" s="19">
        <v>0</v>
      </c>
      <c r="Y107" s="19">
        <v>1</v>
      </c>
      <c r="Z107" s="19">
        <v>1</v>
      </c>
      <c r="AA107" s="19">
        <v>300</v>
      </c>
      <c r="AB107" s="19" t="s">
        <v>497</v>
      </c>
      <c r="AC107" s="19">
        <v>0</v>
      </c>
      <c r="AD107" s="19">
        <v>0</v>
      </c>
      <c r="AE107" s="19">
        <v>0</v>
      </c>
      <c r="AF107" s="19">
        <v>0</v>
      </c>
      <c r="AG107" s="19">
        <v>0</v>
      </c>
      <c r="AH107" s="19">
        <v>0</v>
      </c>
      <c r="AI107" s="19">
        <v>1</v>
      </c>
      <c r="AJ107" s="19">
        <v>0</v>
      </c>
      <c r="AK107" s="19">
        <v>0</v>
      </c>
      <c r="AL107" s="19">
        <v>0</v>
      </c>
      <c r="AM107" s="19">
        <v>0</v>
      </c>
      <c r="AN107" s="19">
        <v>0</v>
      </c>
      <c r="AO107" s="19">
        <v>0</v>
      </c>
      <c r="AP107" s="19">
        <v>0</v>
      </c>
      <c r="AQ107" s="19">
        <v>0</v>
      </c>
      <c r="AR107" s="19">
        <v>0</v>
      </c>
      <c r="AS107" s="19">
        <v>0</v>
      </c>
      <c r="AT107" s="19">
        <v>0</v>
      </c>
      <c r="AU107" s="19">
        <v>0</v>
      </c>
      <c r="AV107" s="19">
        <v>0</v>
      </c>
      <c r="AW107" s="19">
        <v>0</v>
      </c>
      <c r="AX107" s="19">
        <v>0</v>
      </c>
      <c r="AY107" s="19">
        <v>0</v>
      </c>
      <c r="AZ107" s="19">
        <v>0</v>
      </c>
      <c r="BA107" s="19">
        <v>0</v>
      </c>
      <c r="BB107" s="19">
        <v>0</v>
      </c>
      <c r="BC107" s="19">
        <v>0</v>
      </c>
      <c r="BD107" s="19">
        <v>0</v>
      </c>
      <c r="BE107" s="19">
        <v>0</v>
      </c>
      <c r="BF107" s="19">
        <v>0</v>
      </c>
      <c r="BG107" s="19">
        <v>0</v>
      </c>
      <c r="BH107" s="19">
        <v>0</v>
      </c>
      <c r="BI107" s="19">
        <v>0</v>
      </c>
      <c r="BJ107" s="19">
        <v>0</v>
      </c>
      <c r="BK107" s="19">
        <v>0</v>
      </c>
      <c r="BL107" s="19">
        <v>0</v>
      </c>
      <c r="BM107" s="19">
        <v>0</v>
      </c>
      <c r="BN107" s="19">
        <v>0</v>
      </c>
      <c r="BO107" s="19">
        <v>0</v>
      </c>
      <c r="BP107" s="19">
        <v>0</v>
      </c>
      <c r="BQ107" s="19">
        <v>0</v>
      </c>
      <c r="BR107" s="19">
        <v>1</v>
      </c>
      <c r="BS107" s="19">
        <v>2</v>
      </c>
      <c r="BT107" s="19">
        <v>4</v>
      </c>
      <c r="BU107" s="19">
        <v>5</v>
      </c>
      <c r="BV107" s="19">
        <v>2</v>
      </c>
      <c r="BW107" s="19">
        <v>3</v>
      </c>
      <c r="BX107" s="19">
        <v>2</v>
      </c>
      <c r="BY107" s="19">
        <v>3</v>
      </c>
      <c r="BZ107" s="19">
        <v>4</v>
      </c>
      <c r="CA107" s="19">
        <v>3</v>
      </c>
      <c r="CB107" s="19">
        <v>4</v>
      </c>
      <c r="CC107" s="19">
        <v>4</v>
      </c>
      <c r="CD107" s="19">
        <v>1</v>
      </c>
      <c r="CE107" s="19">
        <v>4</v>
      </c>
      <c r="CF107" s="19">
        <v>5</v>
      </c>
      <c r="CG107" s="19">
        <v>4</v>
      </c>
      <c r="CH107" s="19">
        <v>4</v>
      </c>
      <c r="CI107" s="19">
        <v>4</v>
      </c>
      <c r="CJ107" s="19">
        <v>4</v>
      </c>
      <c r="CK107" s="19">
        <v>9</v>
      </c>
      <c r="CL107" t="s">
        <v>498</v>
      </c>
      <c r="CM107">
        <v>33</v>
      </c>
      <c r="CN107" s="16">
        <v>71.2</v>
      </c>
      <c r="CO107" s="16">
        <v>80.400000000000006</v>
      </c>
      <c r="CP107" s="16">
        <v>16.3</v>
      </c>
      <c r="CQ107">
        <v>83.24</v>
      </c>
      <c r="CR107" s="17">
        <v>0</v>
      </c>
      <c r="CS107">
        <v>0</v>
      </c>
      <c r="CT107">
        <v>0</v>
      </c>
      <c r="CU107">
        <v>14.14</v>
      </c>
      <c r="CV107">
        <v>0</v>
      </c>
      <c r="CW107">
        <v>2.63</v>
      </c>
      <c r="CX107">
        <v>0</v>
      </c>
      <c r="CY107">
        <v>0</v>
      </c>
      <c r="CZ107">
        <v>0</v>
      </c>
      <c r="DA107">
        <v>0</v>
      </c>
      <c r="DB107">
        <v>2.63</v>
      </c>
      <c r="DC107">
        <v>10.16</v>
      </c>
      <c r="DD107">
        <v>20.83</v>
      </c>
      <c r="DE107">
        <v>24.81</v>
      </c>
      <c r="DF107">
        <v>0</v>
      </c>
      <c r="DG107">
        <v>11.2</v>
      </c>
      <c r="DH107">
        <v>1</v>
      </c>
      <c r="DI107">
        <v>5</v>
      </c>
      <c r="DK107">
        <v>1</v>
      </c>
      <c r="DO107">
        <v>5</v>
      </c>
      <c r="DQ107">
        <v>1</v>
      </c>
      <c r="DU107">
        <v>0</v>
      </c>
      <c r="DV107">
        <v>0</v>
      </c>
      <c r="EG107" s="18"/>
      <c r="EY107">
        <v>0</v>
      </c>
      <c r="GJ107" s="16">
        <v>2.71</v>
      </c>
      <c r="GK107" s="16">
        <v>1</v>
      </c>
      <c r="GL107" s="16">
        <v>1</v>
      </c>
      <c r="GM107" s="16"/>
      <c r="GN107" s="16">
        <f>2.11*4+0.52*2</f>
        <v>9.48</v>
      </c>
      <c r="GO107" s="16"/>
      <c r="GP107" s="16"/>
      <c r="GQ107" s="16"/>
      <c r="GR107" s="16"/>
      <c r="GS107" s="16"/>
      <c r="GT107" s="16"/>
      <c r="GU107" s="16">
        <v>2.63</v>
      </c>
      <c r="GV107" s="16">
        <v>2.6</v>
      </c>
      <c r="GW107" s="16">
        <v>0</v>
      </c>
      <c r="GX107" s="16">
        <v>0</v>
      </c>
      <c r="GY107" s="16">
        <v>0</v>
      </c>
      <c r="GZ107" s="16">
        <v>0</v>
      </c>
      <c r="HA107" s="16">
        <v>0</v>
      </c>
      <c r="HB107">
        <v>0</v>
      </c>
      <c r="HC107" t="s">
        <v>499</v>
      </c>
      <c r="HD107">
        <v>40</v>
      </c>
      <c r="HE107" s="16">
        <v>79.7</v>
      </c>
      <c r="HF107" s="16">
        <v>80.400000000000006</v>
      </c>
      <c r="HG107" s="16">
        <v>11.2</v>
      </c>
      <c r="HH107">
        <v>91.23</v>
      </c>
      <c r="HI107" s="17">
        <v>0</v>
      </c>
      <c r="HJ107">
        <v>0</v>
      </c>
      <c r="HK107">
        <v>0</v>
      </c>
      <c r="HL107">
        <v>8.77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18.64</v>
      </c>
      <c r="HU107">
        <v>42.82</v>
      </c>
      <c r="HV107">
        <v>4.6100000000000003</v>
      </c>
      <c r="HW107">
        <v>0</v>
      </c>
      <c r="HX107">
        <v>0</v>
      </c>
      <c r="HY107">
        <v>0</v>
      </c>
      <c r="IL107">
        <v>23.2</v>
      </c>
      <c r="IM107">
        <v>1</v>
      </c>
      <c r="IN107">
        <v>35</v>
      </c>
      <c r="IO107">
        <f>2+4+2+2+2+4+2+2+1</f>
        <v>21</v>
      </c>
      <c r="IP107">
        <f>1.52+1.49+0.78*2+0.27+0.43+0.12+0.13</f>
        <v>5.52</v>
      </c>
      <c r="IQ107">
        <v>3</v>
      </c>
      <c r="IR107">
        <v>10</v>
      </c>
      <c r="IS107">
        <v>1</v>
      </c>
      <c r="IT107">
        <v>0.1</v>
      </c>
      <c r="IU107">
        <v>5</v>
      </c>
      <c r="IV107">
        <v>25</v>
      </c>
      <c r="IW107">
        <v>8</v>
      </c>
      <c r="IX107" s="18">
        <f>0.19*2+0.1</f>
        <v>0.48</v>
      </c>
      <c r="IY107">
        <v>1</v>
      </c>
      <c r="JP107">
        <v>0</v>
      </c>
      <c r="LA107" s="16">
        <v>1.52</v>
      </c>
      <c r="LB107" s="16">
        <v>1</v>
      </c>
      <c r="LC107" s="16">
        <v>1</v>
      </c>
      <c r="LD107" s="16"/>
      <c r="LE107" s="16">
        <f>2.11*2+0.19*3+0.1</f>
        <v>4.8899999999999997</v>
      </c>
      <c r="LF107" s="16"/>
      <c r="LG107" s="16"/>
      <c r="LH107" s="16"/>
      <c r="LI107" s="16"/>
      <c r="LJ107" s="16"/>
      <c r="LK107" s="16"/>
      <c r="LL107" s="16">
        <v>0</v>
      </c>
      <c r="LM107" s="16">
        <v>0</v>
      </c>
      <c r="LN107" s="16">
        <v>0</v>
      </c>
      <c r="LO107" s="16">
        <v>0</v>
      </c>
      <c r="LP107" s="16">
        <v>0</v>
      </c>
      <c r="LQ107" s="16">
        <v>0</v>
      </c>
      <c r="LR107" s="16">
        <v>0.06</v>
      </c>
      <c r="LS107">
        <v>0</v>
      </c>
      <c r="LT107" t="s">
        <v>500</v>
      </c>
      <c r="LU107">
        <v>48</v>
      </c>
      <c r="LV107" s="16">
        <v>69.7</v>
      </c>
      <c r="LW107" s="16">
        <v>80.400000000000006</v>
      </c>
      <c r="LX107" s="16">
        <v>44.5</v>
      </c>
      <c r="LY107">
        <v>13.55</v>
      </c>
      <c r="LZ107" s="17">
        <v>0</v>
      </c>
      <c r="MA107">
        <v>0</v>
      </c>
      <c r="MB107">
        <v>0</v>
      </c>
      <c r="MC107">
        <v>0.1</v>
      </c>
      <c r="MD107">
        <v>0</v>
      </c>
      <c r="ME107">
        <v>86.34</v>
      </c>
      <c r="MF107">
        <v>13.26</v>
      </c>
      <c r="MG107">
        <v>28.53</v>
      </c>
      <c r="MH107">
        <v>0</v>
      </c>
      <c r="MI107">
        <v>0</v>
      </c>
      <c r="MJ107">
        <v>0.78</v>
      </c>
      <c r="MK107">
        <v>3.48</v>
      </c>
      <c r="ML107">
        <v>11.45</v>
      </c>
      <c r="MM107">
        <v>6.85</v>
      </c>
      <c r="MN107">
        <v>0</v>
      </c>
      <c r="MO107">
        <v>0</v>
      </c>
      <c r="MP107">
        <v>0</v>
      </c>
      <c r="NC107">
        <v>0</v>
      </c>
      <c r="ND107">
        <v>0</v>
      </c>
      <c r="NO107" s="18"/>
      <c r="OG107">
        <v>0</v>
      </c>
      <c r="PR107" s="16">
        <v>0.75</v>
      </c>
      <c r="PS107" s="16">
        <v>1</v>
      </c>
      <c r="PT107" s="16">
        <v>1</v>
      </c>
      <c r="PU107" s="16"/>
      <c r="PV107" s="16">
        <f>2.11+0.37</f>
        <v>2.48</v>
      </c>
      <c r="PW107" s="16"/>
      <c r="PX107" s="16"/>
      <c r="PY107" s="16"/>
      <c r="PZ107" s="16"/>
      <c r="QA107" s="16"/>
      <c r="QB107" s="16"/>
      <c r="QC107" s="16">
        <v>2.66</v>
      </c>
      <c r="QD107" s="16">
        <v>2.64</v>
      </c>
      <c r="QE107" s="16">
        <v>0</v>
      </c>
      <c r="QF107" s="16">
        <v>0</v>
      </c>
      <c r="QG107" s="16">
        <v>0</v>
      </c>
      <c r="QH107" s="16">
        <v>0</v>
      </c>
      <c r="QI107" s="16">
        <v>0</v>
      </c>
      <c r="QJ107">
        <v>0</v>
      </c>
      <c r="QK107" t="s">
        <v>501</v>
      </c>
      <c r="QL107">
        <v>58</v>
      </c>
      <c r="QM107" s="16">
        <v>79.900000000000006</v>
      </c>
      <c r="QN107" s="16">
        <v>80.400000000000006</v>
      </c>
      <c r="QO107" s="16">
        <v>43.6</v>
      </c>
      <c r="QP107">
        <v>26.15</v>
      </c>
      <c r="QQ107" s="17">
        <v>0</v>
      </c>
      <c r="QR107">
        <v>0</v>
      </c>
      <c r="QS107">
        <v>0</v>
      </c>
      <c r="QT107">
        <v>0</v>
      </c>
      <c r="QU107">
        <v>0</v>
      </c>
      <c r="QV107">
        <v>73.849999999999994</v>
      </c>
      <c r="QW107">
        <v>18.43</v>
      </c>
      <c r="QX107">
        <v>20.420000000000002</v>
      </c>
      <c r="QY107">
        <v>0</v>
      </c>
      <c r="QZ107">
        <v>0</v>
      </c>
      <c r="RA107">
        <v>2.44</v>
      </c>
      <c r="RB107">
        <v>0.13</v>
      </c>
      <c r="RC107">
        <v>9.7100000000000009</v>
      </c>
      <c r="RD107">
        <v>18.309999999999999</v>
      </c>
      <c r="RE107">
        <v>0</v>
      </c>
      <c r="RF107">
        <v>0</v>
      </c>
      <c r="RG107">
        <v>0</v>
      </c>
      <c r="RT107">
        <v>9.1</v>
      </c>
      <c r="RU107">
        <v>1</v>
      </c>
      <c r="RV107">
        <v>68</v>
      </c>
      <c r="RW107">
        <v>1</v>
      </c>
      <c r="RX107">
        <v>0.05</v>
      </c>
      <c r="RY107">
        <v>1</v>
      </c>
      <c r="RZ107">
        <v>35</v>
      </c>
      <c r="SA107">
        <v>3</v>
      </c>
      <c r="SB107">
        <f>0.76+0.64</f>
        <v>1.4</v>
      </c>
      <c r="SC107">
        <v>3</v>
      </c>
      <c r="SD107">
        <v>47</v>
      </c>
      <c r="SE107">
        <v>2</v>
      </c>
      <c r="SF107" s="18">
        <v>0.23</v>
      </c>
      <c r="SG107">
        <v>3</v>
      </c>
      <c r="SX107">
        <v>1</v>
      </c>
      <c r="SY107">
        <v>60</v>
      </c>
      <c r="SZ107">
        <v>2</v>
      </c>
      <c r="TA107">
        <v>0.26</v>
      </c>
      <c r="TB107">
        <v>3</v>
      </c>
      <c r="UI107" s="16">
        <v>0</v>
      </c>
      <c r="UJ107" s="16">
        <v>0</v>
      </c>
      <c r="UK107" s="16"/>
      <c r="UL107" s="16"/>
      <c r="UM107" s="16"/>
      <c r="UN107" s="16"/>
      <c r="UO107" s="16"/>
      <c r="UP107" s="16"/>
      <c r="UQ107" s="16"/>
      <c r="UR107" s="16"/>
      <c r="US107" s="16"/>
      <c r="UT107" s="16">
        <v>1.97</v>
      </c>
      <c r="UU107" s="16">
        <v>1.24</v>
      </c>
      <c r="UV107" s="16">
        <v>0</v>
      </c>
      <c r="UW107" s="16">
        <v>0</v>
      </c>
      <c r="UX107" s="16">
        <v>0</v>
      </c>
      <c r="UY107" s="16">
        <v>0</v>
      </c>
      <c r="UZ107" s="16">
        <v>3</v>
      </c>
      <c r="VA107">
        <v>0</v>
      </c>
      <c r="VB107" t="s">
        <v>502</v>
      </c>
      <c r="VC107">
        <v>34.5</v>
      </c>
      <c r="VD107" s="16">
        <v>53.2</v>
      </c>
      <c r="VE107" s="16">
        <v>80.400000000000006</v>
      </c>
      <c r="VF107" s="16">
        <v>8.3000000000000007</v>
      </c>
      <c r="VG107">
        <v>99.94</v>
      </c>
      <c r="VH107" s="1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9.15</v>
      </c>
      <c r="VT107">
        <v>18.41</v>
      </c>
      <c r="VU107">
        <v>11.73</v>
      </c>
      <c r="VV107">
        <v>0</v>
      </c>
      <c r="VW107">
        <v>0</v>
      </c>
      <c r="VX107">
        <v>0</v>
      </c>
      <c r="WK107">
        <v>11.9</v>
      </c>
      <c r="WL107">
        <v>1</v>
      </c>
      <c r="WM107">
        <v>47</v>
      </c>
      <c r="WN107">
        <v>3</v>
      </c>
      <c r="WO107">
        <v>1.52</v>
      </c>
      <c r="WP107">
        <v>2</v>
      </c>
      <c r="WW107" s="18"/>
      <c r="XO107">
        <v>0</v>
      </c>
      <c r="YZ107" s="16">
        <v>5.7</v>
      </c>
      <c r="ZA107" s="16">
        <v>1</v>
      </c>
      <c r="ZB107" s="16">
        <v>1</v>
      </c>
      <c r="ZC107" s="16"/>
      <c r="ZD107" s="16">
        <f>2.11+2.11+0.05+0.05+0.37</f>
        <v>4.6899999999999995</v>
      </c>
      <c r="ZE107" s="16">
        <v>2</v>
      </c>
      <c r="ZF107" s="16"/>
      <c r="ZG107" s="16">
        <f>3.17+3.17+0.56+0.56+0.33</f>
        <v>7.7900000000000009</v>
      </c>
      <c r="ZH107" s="16"/>
      <c r="ZI107" s="16"/>
      <c r="ZJ107" s="16"/>
      <c r="ZK107" s="16">
        <v>0</v>
      </c>
      <c r="ZL107" s="16">
        <v>0</v>
      </c>
      <c r="ZM107" s="16"/>
      <c r="ZN107" s="16"/>
      <c r="ZO107" s="16">
        <v>5.97</v>
      </c>
      <c r="ZP107" s="16">
        <v>0</v>
      </c>
      <c r="ZQ107" s="16">
        <v>0</v>
      </c>
      <c r="ZR107">
        <v>1</v>
      </c>
      <c r="ZS107" t="s">
        <v>503</v>
      </c>
      <c r="ZT107">
        <v>47</v>
      </c>
      <c r="ZU107" s="16">
        <v>54.1</v>
      </c>
      <c r="ZV107" s="16">
        <v>80.400000000000006</v>
      </c>
      <c r="ZW107" s="16">
        <v>34.5</v>
      </c>
      <c r="ZX107">
        <v>71.45</v>
      </c>
      <c r="ZY107" s="17">
        <v>0</v>
      </c>
      <c r="ZZ107">
        <v>21.93</v>
      </c>
      <c r="AAA107">
        <v>6.49</v>
      </c>
      <c r="AAB107">
        <v>0.12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1.01</v>
      </c>
      <c r="AAJ107">
        <v>0.45</v>
      </c>
      <c r="AAK107">
        <v>18.399999999999999</v>
      </c>
      <c r="AAL107">
        <v>11.28</v>
      </c>
      <c r="AAM107">
        <v>0</v>
      </c>
      <c r="AAN107">
        <v>0</v>
      </c>
      <c r="AAO107">
        <v>0</v>
      </c>
      <c r="ABB107">
        <v>6</v>
      </c>
      <c r="ABC107">
        <v>1</v>
      </c>
      <c r="ABD107">
        <v>35</v>
      </c>
      <c r="ABE107">
        <v>8</v>
      </c>
      <c r="ABF107">
        <f>0.25+0.25+0.25+0.13+0.13+0.13+0.13</f>
        <v>1.27</v>
      </c>
      <c r="ABG107">
        <v>3</v>
      </c>
      <c r="ABN107" s="18"/>
      <c r="ACF107">
        <v>1</v>
      </c>
      <c r="ACG107">
        <v>50</v>
      </c>
      <c r="ACH107">
        <v>2</v>
      </c>
      <c r="ACI107">
        <f>0.76*2</f>
        <v>1.52</v>
      </c>
      <c r="ACJ107">
        <v>1</v>
      </c>
      <c r="ADQ107" s="16">
        <v>0.42</v>
      </c>
      <c r="ADR107" s="16">
        <v>1</v>
      </c>
      <c r="ADS107" s="16">
        <v>1</v>
      </c>
      <c r="ADT107" s="16"/>
      <c r="ADU107" s="16">
        <f>0.68+0.68+0.03</f>
        <v>1.3900000000000001</v>
      </c>
      <c r="ADV107" s="16"/>
      <c r="ADW107" s="16"/>
      <c r="ADX107" s="16"/>
      <c r="ADY107" s="16"/>
      <c r="ADZ107" s="16"/>
      <c r="AEA107" s="16"/>
      <c r="AEB107" s="16">
        <v>5.21</v>
      </c>
      <c r="AEC107" s="16">
        <v>7.05</v>
      </c>
      <c r="AED107" s="16"/>
      <c r="AEE107" s="16"/>
      <c r="AEF107" s="16">
        <v>0</v>
      </c>
      <c r="AEG107" s="16">
        <v>0</v>
      </c>
      <c r="AEH107" s="16">
        <v>0</v>
      </c>
      <c r="AEI107">
        <v>0</v>
      </c>
      <c r="AEJ107" t="s">
        <v>504</v>
      </c>
      <c r="AEK107">
        <v>65.5</v>
      </c>
      <c r="AEL107" s="16">
        <v>92.2</v>
      </c>
      <c r="AEM107" s="16">
        <v>80.400000000000006</v>
      </c>
      <c r="AEN107" s="16">
        <v>61.7</v>
      </c>
      <c r="AEO107">
        <v>22.46</v>
      </c>
      <c r="AEP107" s="17">
        <v>0</v>
      </c>
      <c r="AEQ107">
        <v>0</v>
      </c>
      <c r="AER107">
        <v>0</v>
      </c>
      <c r="AES107">
        <v>0</v>
      </c>
      <c r="AET107">
        <v>0</v>
      </c>
      <c r="AEU107">
        <v>70.92</v>
      </c>
      <c r="AEV107">
        <v>9.4</v>
      </c>
      <c r="AEW107">
        <v>33.69</v>
      </c>
      <c r="AEX107">
        <v>0</v>
      </c>
      <c r="AEY107">
        <v>0</v>
      </c>
      <c r="AEZ107">
        <v>14.46</v>
      </c>
      <c r="AFA107">
        <v>11.32</v>
      </c>
      <c r="AFB107">
        <v>6.58</v>
      </c>
      <c r="AFC107">
        <v>8.8800000000000008</v>
      </c>
      <c r="AFD107">
        <v>6.62</v>
      </c>
      <c r="AFE107">
        <v>0</v>
      </c>
      <c r="AFF107">
        <v>0</v>
      </c>
      <c r="AFS107">
        <v>3.2</v>
      </c>
      <c r="AFT107">
        <v>0</v>
      </c>
      <c r="AGE107" s="18"/>
      <c r="AGW107">
        <v>1</v>
      </c>
      <c r="AGX107">
        <v>60</v>
      </c>
      <c r="AGY107">
        <v>2</v>
      </c>
      <c r="AGZ107">
        <f>0.76*2</f>
        <v>1.52</v>
      </c>
      <c r="AHA107">
        <v>3</v>
      </c>
      <c r="AIH107" s="16">
        <v>0.63</v>
      </c>
      <c r="AII107" s="16">
        <v>1</v>
      </c>
      <c r="AIJ107" s="16">
        <v>1</v>
      </c>
      <c r="AIK107" s="16"/>
      <c r="AIL107" s="16">
        <v>3.17</v>
      </c>
      <c r="AIM107" s="16"/>
      <c r="AIN107" s="16"/>
      <c r="AIO107" s="16"/>
      <c r="AIP107" s="16"/>
      <c r="AIQ107" s="16"/>
      <c r="AIR107" s="16"/>
      <c r="AIS107" s="16">
        <v>0</v>
      </c>
      <c r="AIT107" s="16">
        <v>0</v>
      </c>
      <c r="AIU107" s="16"/>
      <c r="AIV107" s="16"/>
      <c r="AIW107" s="16">
        <v>0</v>
      </c>
      <c r="AIX107" s="16">
        <v>0</v>
      </c>
      <c r="AIY107" s="16">
        <v>0</v>
      </c>
      <c r="AIZ107">
        <v>0</v>
      </c>
      <c r="AJA107" t="s">
        <v>505</v>
      </c>
      <c r="AJB107">
        <v>59</v>
      </c>
      <c r="AJC107" s="16">
        <v>90.4</v>
      </c>
      <c r="AJD107" s="16">
        <v>80.400000000000006</v>
      </c>
      <c r="AJE107" s="16">
        <v>54.7</v>
      </c>
      <c r="AJF107">
        <v>26.42</v>
      </c>
      <c r="AJG107" s="17">
        <v>0</v>
      </c>
      <c r="AJH107">
        <v>0</v>
      </c>
      <c r="AJI107">
        <v>0</v>
      </c>
      <c r="AJJ107">
        <v>0</v>
      </c>
      <c r="AJK107">
        <v>0</v>
      </c>
      <c r="AJL107">
        <v>66.959999999999994</v>
      </c>
      <c r="AJM107">
        <v>6.55</v>
      </c>
      <c r="AJN107">
        <v>30.83</v>
      </c>
      <c r="AJO107">
        <v>0</v>
      </c>
      <c r="AJP107">
        <v>0</v>
      </c>
      <c r="AJQ107">
        <v>14.46</v>
      </c>
      <c r="AJR107">
        <v>11.57</v>
      </c>
      <c r="AJS107">
        <v>6.5</v>
      </c>
      <c r="AJT107">
        <v>6.03</v>
      </c>
      <c r="AJU107">
        <v>6.62</v>
      </c>
      <c r="AJV107">
        <v>0</v>
      </c>
      <c r="AJW107">
        <v>0</v>
      </c>
      <c r="AKJ107">
        <v>3.2</v>
      </c>
      <c r="AKK107">
        <v>0</v>
      </c>
      <c r="AKV107" s="18"/>
      <c r="ALN107">
        <v>1</v>
      </c>
      <c r="ALO107">
        <v>60</v>
      </c>
      <c r="ALP107">
        <v>2</v>
      </c>
      <c r="ALQ107">
        <v>1.52</v>
      </c>
      <c r="ALR107">
        <v>3</v>
      </c>
    </row>
    <row r="108" spans="1:1018" x14ac:dyDescent="0.2">
      <c r="A108" s="1" t="s">
        <v>506</v>
      </c>
      <c r="B108" s="12">
        <v>42905</v>
      </c>
      <c r="C108">
        <v>2</v>
      </c>
      <c r="D108" s="13">
        <v>42870</v>
      </c>
      <c r="E108" s="12">
        <v>30557</v>
      </c>
      <c r="F108" s="14">
        <f t="shared" si="42"/>
        <v>33.80698151950719</v>
      </c>
      <c r="G108" s="14">
        <f t="shared" si="43"/>
        <v>9.5824777549623541E-2</v>
      </c>
      <c r="H108" s="15" t="s">
        <v>183</v>
      </c>
      <c r="I108" s="15" t="s">
        <v>347</v>
      </c>
      <c r="J108" s="15" t="s">
        <v>181</v>
      </c>
      <c r="K108" s="21">
        <v>8</v>
      </c>
      <c r="L108" s="19">
        <v>70</v>
      </c>
      <c r="M108">
        <v>1.67</v>
      </c>
      <c r="N108" s="16">
        <f t="shared" si="44"/>
        <v>25.099501595611173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1</v>
      </c>
      <c r="X108" s="19">
        <v>0</v>
      </c>
      <c r="Y108" s="19">
        <v>1</v>
      </c>
      <c r="Z108" s="19">
        <v>2</v>
      </c>
      <c r="AA108" s="19">
        <v>120</v>
      </c>
      <c r="AB108" s="19" t="s">
        <v>184</v>
      </c>
      <c r="AC108" s="19">
        <v>0</v>
      </c>
      <c r="AD108" s="19">
        <v>0</v>
      </c>
      <c r="AE108" s="19">
        <v>0</v>
      </c>
      <c r="AF108" s="19">
        <v>0</v>
      </c>
      <c r="AG108" s="19">
        <v>0</v>
      </c>
      <c r="AH108" s="19">
        <v>0</v>
      </c>
      <c r="AI108" s="19">
        <v>0</v>
      </c>
      <c r="AJ108" s="19">
        <v>0</v>
      </c>
      <c r="AK108" s="19">
        <v>0</v>
      </c>
      <c r="AL108" s="19">
        <v>0</v>
      </c>
      <c r="AM108" s="19">
        <v>0</v>
      </c>
      <c r="AN108" s="19">
        <v>0</v>
      </c>
      <c r="AO108" s="19">
        <v>0</v>
      </c>
      <c r="AP108" s="19">
        <v>0</v>
      </c>
      <c r="AQ108" s="19">
        <v>0</v>
      </c>
      <c r="AR108" s="19">
        <v>0</v>
      </c>
      <c r="AS108" s="19">
        <v>1</v>
      </c>
      <c r="AT108" s="19">
        <v>1</v>
      </c>
      <c r="AU108" s="19">
        <v>0</v>
      </c>
      <c r="AV108" s="19">
        <v>0</v>
      </c>
      <c r="AW108" s="19">
        <v>0</v>
      </c>
      <c r="AX108" s="19">
        <v>0</v>
      </c>
      <c r="AY108" s="19">
        <v>0</v>
      </c>
      <c r="AZ108" s="19">
        <v>0</v>
      </c>
      <c r="BA108" s="19">
        <v>0</v>
      </c>
      <c r="BB108" s="19">
        <v>1</v>
      </c>
      <c r="BC108" s="19">
        <v>0</v>
      </c>
      <c r="BD108" s="19">
        <v>0</v>
      </c>
      <c r="BE108" s="19">
        <v>0</v>
      </c>
      <c r="BF108" s="19">
        <v>0</v>
      </c>
      <c r="BG108" s="19">
        <v>0</v>
      </c>
      <c r="BH108" s="19">
        <v>0</v>
      </c>
      <c r="BI108" s="19">
        <v>0</v>
      </c>
      <c r="BJ108" s="19">
        <v>1</v>
      </c>
      <c r="BK108" s="19">
        <v>1</v>
      </c>
      <c r="BL108" s="19">
        <v>0</v>
      </c>
      <c r="BM108" s="19">
        <v>0</v>
      </c>
      <c r="BN108" s="19">
        <v>1</v>
      </c>
      <c r="BO108" s="19">
        <v>0</v>
      </c>
      <c r="BP108" s="19">
        <v>1</v>
      </c>
      <c r="BQ108" s="19">
        <v>6</v>
      </c>
      <c r="BR108" s="19">
        <v>3</v>
      </c>
      <c r="BS108" s="19">
        <v>2</v>
      </c>
      <c r="BT108" s="19">
        <v>4</v>
      </c>
      <c r="BU108" s="19">
        <v>5</v>
      </c>
      <c r="BV108" s="19">
        <v>2</v>
      </c>
      <c r="BW108" s="19">
        <v>2</v>
      </c>
      <c r="BX108" s="19">
        <v>3</v>
      </c>
      <c r="BY108" s="19">
        <v>3</v>
      </c>
      <c r="BZ108" s="19">
        <v>2</v>
      </c>
      <c r="CA108" s="19">
        <v>4</v>
      </c>
      <c r="CB108" s="19">
        <v>4</v>
      </c>
      <c r="CC108" s="19">
        <v>4</v>
      </c>
      <c r="CD108" s="19">
        <v>2</v>
      </c>
      <c r="CE108" s="19">
        <v>3</v>
      </c>
      <c r="CF108" s="19">
        <v>3</v>
      </c>
      <c r="CG108" s="19">
        <v>5</v>
      </c>
      <c r="CH108" s="19">
        <v>3</v>
      </c>
      <c r="CI108" s="19">
        <v>3</v>
      </c>
      <c r="CJ108" s="19">
        <v>3</v>
      </c>
      <c r="CK108" s="19">
        <v>9</v>
      </c>
      <c r="CL108" t="s">
        <v>507</v>
      </c>
      <c r="CM108">
        <v>30</v>
      </c>
      <c r="CN108" s="16">
        <v>86.6</v>
      </c>
      <c r="CO108" s="16">
        <v>80.400000000000006</v>
      </c>
      <c r="CP108" s="16">
        <v>20.399999999999999</v>
      </c>
      <c r="CQ108">
        <v>82.62</v>
      </c>
      <c r="CR108" s="17">
        <v>0</v>
      </c>
      <c r="CS108">
        <v>15.49</v>
      </c>
      <c r="CT108">
        <v>1.49</v>
      </c>
      <c r="CU108">
        <v>0.4</v>
      </c>
      <c r="CV108">
        <v>0</v>
      </c>
      <c r="CW108">
        <v>0</v>
      </c>
      <c r="CY108">
        <v>0</v>
      </c>
      <c r="CZ108">
        <v>0</v>
      </c>
      <c r="DA108">
        <v>0</v>
      </c>
      <c r="DB108">
        <v>6.38</v>
      </c>
      <c r="DC108">
        <v>56.11</v>
      </c>
      <c r="DD108">
        <v>8.4600000000000009</v>
      </c>
      <c r="DE108">
        <v>1.21</v>
      </c>
      <c r="DF108">
        <v>0</v>
      </c>
      <c r="DG108">
        <v>0</v>
      </c>
      <c r="DH108">
        <v>0</v>
      </c>
      <c r="DU108">
        <v>0.5</v>
      </c>
      <c r="DV108">
        <v>0</v>
      </c>
      <c r="EG108" s="20"/>
      <c r="EY108">
        <v>1</v>
      </c>
      <c r="EZ108">
        <v>40</v>
      </c>
      <c r="FA108">
        <v>1</v>
      </c>
      <c r="FB108">
        <v>1.71</v>
      </c>
      <c r="FC108">
        <v>2</v>
      </c>
      <c r="FD108">
        <v>50</v>
      </c>
      <c r="FE108">
        <v>1</v>
      </c>
      <c r="FF108">
        <v>0.13</v>
      </c>
      <c r="FG108">
        <v>2</v>
      </c>
      <c r="GJ108" s="16">
        <v>0.62</v>
      </c>
      <c r="GK108" s="16">
        <v>1</v>
      </c>
      <c r="GL108" s="16">
        <v>1</v>
      </c>
      <c r="GM108" s="16"/>
      <c r="GN108" s="16">
        <v>4.1399999999999997</v>
      </c>
      <c r="GO108" s="16"/>
      <c r="GP108" s="16"/>
      <c r="GQ108" s="16"/>
      <c r="GR108" s="16"/>
      <c r="GS108" s="16"/>
      <c r="GT108" s="16"/>
      <c r="GU108" s="16">
        <v>0</v>
      </c>
      <c r="GV108" s="16">
        <v>0</v>
      </c>
      <c r="GW108" s="16">
        <v>0</v>
      </c>
      <c r="GX108" s="16">
        <v>0</v>
      </c>
      <c r="GY108" s="16">
        <v>5.97</v>
      </c>
      <c r="GZ108" s="16">
        <v>0</v>
      </c>
      <c r="HA108" s="16">
        <v>0</v>
      </c>
      <c r="HB108">
        <v>2</v>
      </c>
      <c r="HC108" t="s">
        <v>508</v>
      </c>
      <c r="HD108">
        <v>42.5</v>
      </c>
      <c r="HE108" s="16">
        <v>81.7</v>
      </c>
      <c r="HF108" s="16">
        <v>80.400000000000006</v>
      </c>
      <c r="HG108" s="16">
        <v>18.399999999999999</v>
      </c>
      <c r="HH108">
        <v>80.680000000000007</v>
      </c>
      <c r="HI108" s="17">
        <v>0</v>
      </c>
      <c r="HJ108">
        <v>8.41</v>
      </c>
      <c r="HK108">
        <v>1.93</v>
      </c>
      <c r="HL108">
        <v>8.98</v>
      </c>
      <c r="HM108">
        <v>0</v>
      </c>
      <c r="HN108">
        <v>0</v>
      </c>
      <c r="HP108">
        <v>0</v>
      </c>
      <c r="HQ108">
        <v>0</v>
      </c>
      <c r="HR108">
        <v>0</v>
      </c>
      <c r="HS108">
        <v>7.0000000000000007E-2</v>
      </c>
      <c r="HT108">
        <v>26.86</v>
      </c>
      <c r="HU108">
        <v>25.47</v>
      </c>
      <c r="HV108">
        <v>0</v>
      </c>
      <c r="HW108">
        <v>0</v>
      </c>
      <c r="HX108">
        <v>0</v>
      </c>
      <c r="HY108">
        <v>0</v>
      </c>
      <c r="IL108">
        <v>17.899999999999999</v>
      </c>
      <c r="IM108">
        <v>1</v>
      </c>
      <c r="IN108">
        <v>33</v>
      </c>
      <c r="IO108">
        <v>2</v>
      </c>
      <c r="IP108">
        <v>1.52</v>
      </c>
      <c r="IQ108">
        <v>4</v>
      </c>
      <c r="IR108">
        <v>35</v>
      </c>
      <c r="IS108">
        <v>3</v>
      </c>
      <c r="IT108">
        <v>1.3</v>
      </c>
      <c r="IU108">
        <v>3</v>
      </c>
      <c r="IX108" s="20"/>
      <c r="JP108">
        <v>0</v>
      </c>
      <c r="LA108" s="16">
        <v>0</v>
      </c>
      <c r="LB108" s="16">
        <v>0</v>
      </c>
      <c r="LC108" s="16"/>
      <c r="LD108" s="16"/>
      <c r="LE108" s="16"/>
      <c r="LF108" s="16"/>
      <c r="LG108" s="16"/>
      <c r="LH108" s="16"/>
      <c r="LI108" s="16"/>
      <c r="LJ108" s="16"/>
      <c r="LK108" s="16"/>
      <c r="LL108" s="16">
        <v>4.29</v>
      </c>
      <c r="LM108" s="16">
        <v>2.66</v>
      </c>
      <c r="LN108" s="16">
        <v>0</v>
      </c>
      <c r="LO108" s="16">
        <v>0</v>
      </c>
      <c r="LP108" s="16">
        <v>0</v>
      </c>
      <c r="LQ108" s="16">
        <v>0</v>
      </c>
      <c r="LR108" s="16">
        <v>0</v>
      </c>
      <c r="LS108">
        <v>0</v>
      </c>
      <c r="LT108" t="s">
        <v>509</v>
      </c>
      <c r="LU108">
        <v>29</v>
      </c>
      <c r="LV108" s="16">
        <v>76.099999999999994</v>
      </c>
      <c r="LW108" s="16">
        <v>80.400000000000006</v>
      </c>
      <c r="LX108" s="16">
        <v>20.5</v>
      </c>
      <c r="LY108">
        <v>77.86</v>
      </c>
      <c r="LZ108" s="17">
        <v>0</v>
      </c>
      <c r="MA108">
        <v>13.05</v>
      </c>
      <c r="MB108">
        <v>0</v>
      </c>
      <c r="MC108">
        <v>9.1</v>
      </c>
      <c r="MD108">
        <v>0</v>
      </c>
      <c r="ME108">
        <v>0</v>
      </c>
      <c r="MG108">
        <v>0</v>
      </c>
      <c r="MH108">
        <v>0</v>
      </c>
      <c r="MI108">
        <v>0</v>
      </c>
      <c r="MJ108">
        <v>0.56999999999999995</v>
      </c>
      <c r="MK108">
        <v>29.77</v>
      </c>
      <c r="ML108">
        <v>20.82</v>
      </c>
      <c r="MM108">
        <v>0</v>
      </c>
      <c r="MN108">
        <v>0</v>
      </c>
      <c r="MO108">
        <v>0</v>
      </c>
      <c r="MP108">
        <v>1</v>
      </c>
      <c r="MQ108">
        <v>2</v>
      </c>
      <c r="MS108">
        <v>1</v>
      </c>
      <c r="MW108">
        <v>2</v>
      </c>
      <c r="MY108">
        <v>1</v>
      </c>
      <c r="NC108">
        <v>0</v>
      </c>
      <c r="ND108">
        <v>0</v>
      </c>
      <c r="NO108" s="20"/>
      <c r="OG108">
        <v>0</v>
      </c>
      <c r="PR108" s="16">
        <v>0.32</v>
      </c>
      <c r="PS108" s="16">
        <v>1</v>
      </c>
      <c r="PT108" s="16">
        <v>1</v>
      </c>
      <c r="PU108" s="16"/>
      <c r="PV108" s="16">
        <v>1.32</v>
      </c>
      <c r="PW108" s="16"/>
      <c r="PX108" s="16"/>
      <c r="PY108" s="16"/>
      <c r="PZ108" s="16"/>
      <c r="QA108" s="16"/>
      <c r="QB108" s="16"/>
      <c r="QC108" s="16">
        <v>5.5</v>
      </c>
      <c r="QD108" s="16">
        <v>9.81</v>
      </c>
      <c r="QE108" s="16">
        <v>0</v>
      </c>
      <c r="QF108" s="16">
        <v>0</v>
      </c>
      <c r="QG108" s="16">
        <v>0</v>
      </c>
      <c r="QH108" s="16">
        <v>0</v>
      </c>
      <c r="QI108" s="16">
        <v>0</v>
      </c>
      <c r="QJ108">
        <v>0</v>
      </c>
      <c r="QK108" t="s">
        <v>510</v>
      </c>
      <c r="QL108">
        <v>33.5</v>
      </c>
      <c r="QM108" s="16">
        <v>74.7</v>
      </c>
      <c r="QN108" s="16">
        <v>80.400000000000006</v>
      </c>
      <c r="QO108" s="16">
        <v>23.3</v>
      </c>
      <c r="QP108">
        <v>67.739999999999995</v>
      </c>
      <c r="QQ108" s="17">
        <v>0</v>
      </c>
      <c r="QR108">
        <v>10.14</v>
      </c>
      <c r="QS108">
        <v>0</v>
      </c>
      <c r="QT108">
        <v>22.12</v>
      </c>
      <c r="QU108">
        <v>0</v>
      </c>
      <c r="QV108">
        <v>0</v>
      </c>
      <c r="QX108">
        <v>0</v>
      </c>
      <c r="QY108">
        <v>0</v>
      </c>
      <c r="QZ108">
        <v>0</v>
      </c>
      <c r="RA108">
        <v>0</v>
      </c>
      <c r="RB108">
        <v>51.2</v>
      </c>
      <c r="RC108">
        <v>15.83</v>
      </c>
      <c r="RD108">
        <v>0</v>
      </c>
      <c r="RE108">
        <v>0</v>
      </c>
      <c r="RF108">
        <v>0</v>
      </c>
      <c r="RG108">
        <v>0</v>
      </c>
      <c r="RT108">
        <v>2.2999999999999998</v>
      </c>
      <c r="RU108">
        <v>0</v>
      </c>
      <c r="SF108" s="20"/>
      <c r="SX108">
        <v>1</v>
      </c>
      <c r="SY108">
        <v>50</v>
      </c>
      <c r="SZ108">
        <v>20</v>
      </c>
      <c r="TA108">
        <v>30.66</v>
      </c>
      <c r="TB108">
        <v>3</v>
      </c>
      <c r="TC108">
        <v>60</v>
      </c>
      <c r="TD108">
        <v>33</v>
      </c>
      <c r="TE108">
        <v>0.56000000000000005</v>
      </c>
      <c r="TF108">
        <v>3</v>
      </c>
      <c r="UI108" s="16">
        <v>0</v>
      </c>
      <c r="UJ108" s="16">
        <v>0</v>
      </c>
      <c r="UK108" s="16"/>
      <c r="UL108" s="16"/>
      <c r="UM108" s="16"/>
      <c r="UN108" s="16"/>
      <c r="UO108" s="16"/>
      <c r="UP108" s="16"/>
      <c r="UQ108" s="16"/>
      <c r="UR108" s="16"/>
      <c r="US108" s="16"/>
      <c r="UT108" s="16">
        <v>5.22</v>
      </c>
      <c r="UU108" s="16">
        <v>7.07</v>
      </c>
      <c r="UV108" s="16">
        <v>0</v>
      </c>
      <c r="UW108" s="16">
        <v>0</v>
      </c>
      <c r="UX108" s="16">
        <v>0</v>
      </c>
      <c r="UY108" s="16">
        <v>0</v>
      </c>
      <c r="UZ108" s="16">
        <v>0</v>
      </c>
      <c r="VA108">
        <v>0</v>
      </c>
      <c r="VB108" t="s">
        <v>511</v>
      </c>
      <c r="VC108">
        <v>36.5</v>
      </c>
      <c r="VD108" s="16">
        <v>85.2</v>
      </c>
      <c r="VE108" s="16">
        <v>80.400000000000006</v>
      </c>
      <c r="VF108" s="16">
        <v>24.1</v>
      </c>
      <c r="VG108">
        <v>65.36</v>
      </c>
      <c r="VH108" s="17">
        <v>0</v>
      </c>
      <c r="VI108">
        <v>10.14</v>
      </c>
      <c r="VJ108">
        <v>0</v>
      </c>
      <c r="VK108">
        <v>24.5</v>
      </c>
      <c r="VL108">
        <v>0</v>
      </c>
      <c r="VM108">
        <v>0</v>
      </c>
      <c r="VO108">
        <v>0</v>
      </c>
      <c r="VP108">
        <v>0</v>
      </c>
      <c r="VQ108">
        <v>0</v>
      </c>
      <c r="VR108">
        <v>0</v>
      </c>
      <c r="VS108">
        <v>56.76</v>
      </c>
      <c r="VT108">
        <v>17.5</v>
      </c>
      <c r="VU108">
        <v>0</v>
      </c>
      <c r="VV108">
        <v>0</v>
      </c>
      <c r="VW108">
        <v>0</v>
      </c>
      <c r="VX108">
        <v>0</v>
      </c>
      <c r="WK108">
        <v>4.3</v>
      </c>
      <c r="WL108">
        <v>0</v>
      </c>
      <c r="WW108" s="20"/>
      <c r="XO108">
        <v>1</v>
      </c>
      <c r="XP108">
        <v>60</v>
      </c>
      <c r="XQ108">
        <v>53</v>
      </c>
      <c r="XR108">
        <v>35.979999999999997</v>
      </c>
      <c r="XS108">
        <v>3</v>
      </c>
      <c r="YZ108" s="16">
        <v>0</v>
      </c>
      <c r="ZA108" s="16">
        <v>0</v>
      </c>
      <c r="ZB108" s="16"/>
      <c r="ZC108" s="16"/>
      <c r="ZD108" s="16"/>
      <c r="ZE108" s="16"/>
      <c r="ZF108" s="16"/>
      <c r="ZG108" s="16"/>
      <c r="ZH108" s="16"/>
      <c r="ZI108" s="16"/>
      <c r="ZJ108" s="16"/>
      <c r="ZK108" s="16">
        <v>5.0999999999999996</v>
      </c>
      <c r="ZL108" s="16">
        <v>5.93</v>
      </c>
      <c r="ZM108" s="16">
        <v>0</v>
      </c>
      <c r="ZN108" s="16">
        <v>0</v>
      </c>
      <c r="ZO108" s="16">
        <v>0</v>
      </c>
      <c r="ZP108" s="16">
        <v>0</v>
      </c>
      <c r="ZQ108" s="16">
        <v>0</v>
      </c>
      <c r="ZR108">
        <v>0</v>
      </c>
      <c r="ZS108" t="s">
        <v>512</v>
      </c>
      <c r="ZT108">
        <v>33</v>
      </c>
      <c r="ZU108" s="16">
        <v>70.599999999999994</v>
      </c>
      <c r="ZV108" s="16">
        <v>80.400000000000006</v>
      </c>
      <c r="ZW108" s="16">
        <v>29.2</v>
      </c>
      <c r="ZX108">
        <v>16.940000000000001</v>
      </c>
      <c r="ZY108" s="17">
        <v>0</v>
      </c>
      <c r="ZZ108">
        <v>0</v>
      </c>
      <c r="AAA108">
        <v>0</v>
      </c>
      <c r="AAB108">
        <v>0</v>
      </c>
      <c r="AAC108">
        <v>0</v>
      </c>
      <c r="AAD108">
        <v>83.06</v>
      </c>
      <c r="AAE108">
        <v>25.18</v>
      </c>
      <c r="AAF108">
        <v>8.6999999999999993</v>
      </c>
      <c r="AAG108">
        <v>0</v>
      </c>
      <c r="AAH108">
        <v>0</v>
      </c>
      <c r="AAI108">
        <v>0</v>
      </c>
      <c r="AAJ108">
        <v>13.49</v>
      </c>
      <c r="AAK108">
        <v>16.48</v>
      </c>
      <c r="AAL108">
        <v>0</v>
      </c>
      <c r="AAM108">
        <v>0</v>
      </c>
      <c r="AAN108">
        <v>0</v>
      </c>
      <c r="AAO108">
        <v>0</v>
      </c>
      <c r="ABB108">
        <v>0</v>
      </c>
      <c r="ABC108">
        <v>0</v>
      </c>
      <c r="ABN108" s="20"/>
      <c r="ACF108">
        <v>0</v>
      </c>
      <c r="ADQ108" s="16">
        <v>3.62</v>
      </c>
      <c r="ADR108" s="16">
        <v>1</v>
      </c>
      <c r="ADS108" s="16">
        <v>1</v>
      </c>
      <c r="ADT108" s="16"/>
      <c r="ADU108" s="16">
        <v>16.739999999999998</v>
      </c>
      <c r="ADV108" s="16"/>
      <c r="ADW108" s="16"/>
      <c r="ADX108" s="16"/>
      <c r="ADY108" s="16"/>
      <c r="ADZ108" s="16"/>
      <c r="AEA108" s="16"/>
      <c r="AEB108" s="16">
        <v>0</v>
      </c>
      <c r="AEC108" s="16">
        <v>0</v>
      </c>
      <c r="AED108" s="16">
        <v>0</v>
      </c>
      <c r="AEE108" s="16">
        <v>0</v>
      </c>
      <c r="AEF108" s="16">
        <v>0</v>
      </c>
      <c r="AEG108" s="16">
        <v>0</v>
      </c>
      <c r="AEH108" s="16">
        <v>0</v>
      </c>
      <c r="AEI108">
        <v>0</v>
      </c>
      <c r="AEJ108" t="s">
        <v>513</v>
      </c>
      <c r="AEK108">
        <v>26</v>
      </c>
      <c r="AEL108" s="16">
        <v>68.5</v>
      </c>
      <c r="AEM108" s="16">
        <v>80.400000000000006</v>
      </c>
      <c r="AEN108" s="16">
        <v>15.6</v>
      </c>
      <c r="AEO108">
        <v>18.899999999999999</v>
      </c>
      <c r="AEP108" s="17">
        <v>0</v>
      </c>
      <c r="AEQ108">
        <v>0</v>
      </c>
      <c r="AER108">
        <v>0</v>
      </c>
      <c r="AES108">
        <v>3.51</v>
      </c>
      <c r="AET108">
        <v>0</v>
      </c>
      <c r="AEU108">
        <v>77.39</v>
      </c>
      <c r="AEV108">
        <v>0</v>
      </c>
      <c r="AEW108">
        <v>2.06</v>
      </c>
      <c r="AEX108">
        <v>0</v>
      </c>
      <c r="AEY108">
        <v>0</v>
      </c>
      <c r="AEZ108">
        <v>45.86</v>
      </c>
      <c r="AFA108">
        <v>16.260000000000002</v>
      </c>
      <c r="AFB108">
        <v>26.58</v>
      </c>
      <c r="AFC108">
        <v>0</v>
      </c>
      <c r="AFD108">
        <v>0</v>
      </c>
      <c r="AFE108">
        <v>0</v>
      </c>
      <c r="AFF108">
        <v>0</v>
      </c>
      <c r="AFS108">
        <v>3</v>
      </c>
      <c r="AFT108">
        <v>0</v>
      </c>
      <c r="AGE108" s="20"/>
      <c r="AGW108">
        <v>1</v>
      </c>
      <c r="AGX108">
        <v>50</v>
      </c>
      <c r="AGY108">
        <v>10</v>
      </c>
      <c r="AGZ108">
        <v>5.31</v>
      </c>
      <c r="AHA108">
        <v>3</v>
      </c>
      <c r="AIH108" s="16">
        <v>0.67</v>
      </c>
      <c r="AII108" s="16">
        <v>1</v>
      </c>
      <c r="AIJ108" s="16">
        <v>1</v>
      </c>
      <c r="AIK108" s="16"/>
      <c r="AIL108" s="16">
        <f>0.14+0.43+0.28</f>
        <v>0.85000000000000009</v>
      </c>
      <c r="AIM108" s="16">
        <v>2</v>
      </c>
      <c r="AIN108" s="16"/>
      <c r="AIO108" s="16">
        <v>0.46</v>
      </c>
      <c r="AIP108" s="16"/>
      <c r="AIQ108" s="16"/>
      <c r="AIR108" s="16"/>
      <c r="AIS108" s="16">
        <v>6.17</v>
      </c>
      <c r="AIT108" s="16">
        <v>5.86</v>
      </c>
      <c r="AIU108" s="16">
        <v>0</v>
      </c>
      <c r="AIV108" s="16">
        <v>0</v>
      </c>
      <c r="AIW108" s="16">
        <v>0</v>
      </c>
      <c r="AIX108" s="16">
        <v>0</v>
      </c>
      <c r="AIY108" s="16">
        <v>0</v>
      </c>
      <c r="AIZ108">
        <v>0</v>
      </c>
      <c r="AJA108" t="s">
        <v>514</v>
      </c>
      <c r="AJB108">
        <v>54.5</v>
      </c>
      <c r="AJC108" s="16">
        <v>77.7</v>
      </c>
      <c r="AJD108" s="16">
        <v>80.400000000000006</v>
      </c>
      <c r="AJE108" s="16">
        <v>22</v>
      </c>
      <c r="AJF108">
        <v>51.86</v>
      </c>
      <c r="AJG108" s="17">
        <v>0</v>
      </c>
      <c r="AJH108">
        <v>0</v>
      </c>
      <c r="AJI108">
        <v>0</v>
      </c>
      <c r="AJJ108">
        <v>11.71</v>
      </c>
      <c r="AJK108">
        <v>0</v>
      </c>
      <c r="AJL108">
        <v>36.43</v>
      </c>
      <c r="AJM108">
        <v>2.82</v>
      </c>
      <c r="AJN108">
        <v>3.85</v>
      </c>
      <c r="AJO108">
        <v>0</v>
      </c>
      <c r="AJP108">
        <v>0</v>
      </c>
      <c r="AJQ108">
        <v>33.64</v>
      </c>
      <c r="AJR108">
        <v>34.54</v>
      </c>
      <c r="AJS108">
        <v>11.9</v>
      </c>
      <c r="AJT108">
        <v>1.94</v>
      </c>
      <c r="AJU108">
        <v>0</v>
      </c>
      <c r="AJV108">
        <v>23</v>
      </c>
      <c r="AJW108">
        <v>1</v>
      </c>
      <c r="AJX108">
        <v>5</v>
      </c>
      <c r="AJZ108">
        <v>6</v>
      </c>
      <c r="AKD108">
        <v>5</v>
      </c>
      <c r="AKF108">
        <v>6</v>
      </c>
      <c r="AKJ108">
        <v>2.4</v>
      </c>
      <c r="AKK108">
        <v>1</v>
      </c>
      <c r="AKL108">
        <v>35</v>
      </c>
      <c r="AKM108">
        <v>3</v>
      </c>
      <c r="AKN108">
        <v>0.19</v>
      </c>
      <c r="AKO108">
        <v>3</v>
      </c>
      <c r="AKV108" s="20"/>
      <c r="ALN108">
        <v>1</v>
      </c>
      <c r="ALO108">
        <v>50</v>
      </c>
      <c r="ALP108">
        <v>4</v>
      </c>
      <c r="ALQ108">
        <v>1.52</v>
      </c>
      <c r="ALR108">
        <v>3</v>
      </c>
    </row>
    <row r="109" spans="1:1018" x14ac:dyDescent="0.2">
      <c r="A109" s="1" t="s">
        <v>515</v>
      </c>
      <c r="B109" s="12">
        <v>42901</v>
      </c>
      <c r="C109">
        <v>2</v>
      </c>
      <c r="D109" s="13">
        <v>34624</v>
      </c>
      <c r="E109" s="12">
        <v>26380</v>
      </c>
      <c r="F109" s="14">
        <f t="shared" si="42"/>
        <v>45.232032854209443</v>
      </c>
      <c r="G109" s="14">
        <f t="shared" si="43"/>
        <v>22.661190965092402</v>
      </c>
      <c r="H109" s="15" t="s">
        <v>183</v>
      </c>
      <c r="I109" s="15" t="s">
        <v>298</v>
      </c>
      <c r="J109" s="15" t="s">
        <v>181</v>
      </c>
      <c r="K109" s="21">
        <v>8</v>
      </c>
      <c r="L109" s="19">
        <v>78</v>
      </c>
      <c r="M109">
        <v>1.72</v>
      </c>
      <c r="N109" s="16">
        <f t="shared" si="44"/>
        <v>26.365603028664147</v>
      </c>
      <c r="O109" s="19">
        <v>0</v>
      </c>
      <c r="P109" s="19">
        <v>0</v>
      </c>
      <c r="Q109" s="19">
        <v>0</v>
      </c>
      <c r="R109" s="19">
        <v>0</v>
      </c>
      <c r="S109" s="19">
        <v>0</v>
      </c>
      <c r="T109" s="19">
        <v>0</v>
      </c>
      <c r="U109" s="19">
        <v>0</v>
      </c>
      <c r="V109" s="19">
        <v>0</v>
      </c>
      <c r="W109" s="19">
        <v>1</v>
      </c>
      <c r="X109" s="19">
        <v>0</v>
      </c>
      <c r="Y109" s="19">
        <v>1</v>
      </c>
      <c r="Z109" s="19">
        <v>2</v>
      </c>
      <c r="AA109" s="19">
        <v>60</v>
      </c>
      <c r="AB109" s="19" t="s">
        <v>516</v>
      </c>
      <c r="AC109" s="19">
        <v>0</v>
      </c>
      <c r="AD109" s="19">
        <v>0</v>
      </c>
      <c r="AE109" s="19">
        <v>1</v>
      </c>
      <c r="AF109" s="19">
        <v>0</v>
      </c>
      <c r="AG109" s="19">
        <v>0</v>
      </c>
      <c r="AH109" s="19">
        <v>0</v>
      </c>
      <c r="AI109" s="19">
        <v>2</v>
      </c>
      <c r="AJ109" s="19">
        <v>2</v>
      </c>
      <c r="AK109" s="19">
        <v>2</v>
      </c>
      <c r="AL109" s="19">
        <v>0</v>
      </c>
      <c r="AM109" s="19">
        <v>3</v>
      </c>
      <c r="AN109" s="19">
        <v>3</v>
      </c>
      <c r="AO109" s="19">
        <v>3</v>
      </c>
      <c r="AP109" s="19">
        <v>2</v>
      </c>
      <c r="AQ109" s="19">
        <v>0</v>
      </c>
      <c r="AR109" s="19">
        <v>2</v>
      </c>
      <c r="AS109" s="19">
        <v>3</v>
      </c>
      <c r="AT109" s="19">
        <v>3</v>
      </c>
      <c r="AU109" s="19">
        <v>3</v>
      </c>
      <c r="AV109" s="19">
        <v>2</v>
      </c>
      <c r="AW109" s="19">
        <v>2</v>
      </c>
      <c r="AX109" s="19">
        <v>0</v>
      </c>
      <c r="AY109" s="19">
        <v>0</v>
      </c>
      <c r="AZ109" s="19">
        <v>0</v>
      </c>
      <c r="BA109" s="19">
        <v>0</v>
      </c>
      <c r="BB109" s="19">
        <v>1</v>
      </c>
      <c r="BC109" s="19">
        <v>1</v>
      </c>
      <c r="BD109" s="19">
        <v>0</v>
      </c>
      <c r="BE109" s="19">
        <v>0</v>
      </c>
      <c r="BF109" s="19">
        <v>1</v>
      </c>
      <c r="BG109" s="19">
        <v>0</v>
      </c>
      <c r="BH109" s="19">
        <v>0</v>
      </c>
      <c r="BI109" s="19">
        <v>0</v>
      </c>
      <c r="BJ109" s="19">
        <v>1</v>
      </c>
      <c r="BK109" s="19">
        <v>1</v>
      </c>
      <c r="BL109" s="19">
        <v>0</v>
      </c>
      <c r="BM109" s="19">
        <v>0</v>
      </c>
      <c r="BN109" s="19">
        <v>1</v>
      </c>
      <c r="BO109" s="19">
        <v>1</v>
      </c>
      <c r="BP109" s="19">
        <v>1</v>
      </c>
      <c r="BQ109" s="19">
        <v>5</v>
      </c>
      <c r="BR109" s="19">
        <v>3</v>
      </c>
      <c r="BS109" s="19">
        <v>2</v>
      </c>
      <c r="BT109" s="19">
        <v>3</v>
      </c>
      <c r="BU109" s="19">
        <v>4</v>
      </c>
      <c r="BV109" s="19">
        <v>1</v>
      </c>
      <c r="BW109" s="19">
        <v>1</v>
      </c>
      <c r="BX109" s="19">
        <v>4</v>
      </c>
      <c r="BY109" s="19">
        <v>1</v>
      </c>
      <c r="BZ109" s="19">
        <v>1</v>
      </c>
      <c r="CA109" s="19">
        <v>2</v>
      </c>
      <c r="CB109" s="19">
        <v>3</v>
      </c>
      <c r="CC109" s="19">
        <v>5</v>
      </c>
      <c r="CD109" s="19">
        <v>2</v>
      </c>
      <c r="CE109" s="19">
        <v>4</v>
      </c>
      <c r="CF109" s="19">
        <v>5</v>
      </c>
      <c r="CG109" s="19">
        <v>4</v>
      </c>
      <c r="CH109" s="19">
        <v>4</v>
      </c>
      <c r="CI109" s="19">
        <v>4</v>
      </c>
      <c r="CJ109" s="19">
        <v>4</v>
      </c>
      <c r="CK109" s="19">
        <v>9</v>
      </c>
      <c r="CL109" t="s">
        <v>299</v>
      </c>
      <c r="CM109">
        <v>17.5</v>
      </c>
      <c r="CN109" s="16">
        <v>81.900000000000006</v>
      </c>
      <c r="CO109" s="16">
        <v>80.400000000000006</v>
      </c>
      <c r="CP109" s="16">
        <v>12.5</v>
      </c>
      <c r="CQ109">
        <v>85.79</v>
      </c>
      <c r="CS109">
        <v>10.02</v>
      </c>
      <c r="CT109">
        <v>0</v>
      </c>
      <c r="CU109">
        <v>0</v>
      </c>
      <c r="CV109">
        <v>0</v>
      </c>
      <c r="CW109">
        <v>4.1900000000000004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53.51</v>
      </c>
      <c r="DD109">
        <v>0</v>
      </c>
      <c r="DE109">
        <v>0</v>
      </c>
      <c r="DF109">
        <v>0</v>
      </c>
      <c r="DG109">
        <v>0</v>
      </c>
      <c r="DH109">
        <v>0</v>
      </c>
      <c r="DU109">
        <v>0</v>
      </c>
      <c r="DV109">
        <v>0</v>
      </c>
      <c r="EG109" s="20"/>
      <c r="EY109">
        <v>0</v>
      </c>
      <c r="GJ109" s="16">
        <v>3.38</v>
      </c>
      <c r="GK109" s="16">
        <v>1</v>
      </c>
      <c r="GL109" s="16">
        <v>1</v>
      </c>
      <c r="GM109" s="16"/>
      <c r="GN109" s="16">
        <v>12.64</v>
      </c>
      <c r="GO109" s="16"/>
      <c r="GP109" s="16"/>
      <c r="GQ109" s="16"/>
      <c r="GR109" s="16"/>
      <c r="GS109" s="16"/>
      <c r="GT109" s="16"/>
      <c r="GU109" s="16">
        <v>0</v>
      </c>
      <c r="GV109" s="16">
        <v>0</v>
      </c>
      <c r="GW109" s="16">
        <v>0</v>
      </c>
      <c r="GX109" s="16">
        <v>0</v>
      </c>
      <c r="GY109" s="16">
        <v>0</v>
      </c>
      <c r="GZ109" s="16">
        <v>0</v>
      </c>
      <c r="HA109" s="16">
        <v>0</v>
      </c>
      <c r="HB109">
        <v>0</v>
      </c>
      <c r="HC109" t="s">
        <v>300</v>
      </c>
      <c r="HD109">
        <v>31</v>
      </c>
      <c r="HE109" s="16">
        <v>86.2</v>
      </c>
      <c r="HF109" s="16">
        <v>80.400000000000006</v>
      </c>
      <c r="HG109" s="16">
        <v>19.399999999999999</v>
      </c>
      <c r="HH109">
        <v>23.44</v>
      </c>
      <c r="HJ109">
        <v>0</v>
      </c>
      <c r="HK109">
        <v>0</v>
      </c>
      <c r="HL109">
        <v>0.94</v>
      </c>
      <c r="HM109">
        <v>0</v>
      </c>
      <c r="HN109">
        <v>75.62</v>
      </c>
      <c r="HO109">
        <v>16.829999999999998</v>
      </c>
      <c r="HP109">
        <v>0</v>
      </c>
      <c r="HQ109">
        <v>0</v>
      </c>
      <c r="HR109">
        <v>0</v>
      </c>
      <c r="HS109">
        <v>0</v>
      </c>
      <c r="HT109">
        <v>6.9</v>
      </c>
      <c r="HU109">
        <v>42.32</v>
      </c>
      <c r="HV109">
        <v>0</v>
      </c>
      <c r="HW109">
        <v>0</v>
      </c>
      <c r="HX109">
        <v>0</v>
      </c>
      <c r="HY109">
        <v>0</v>
      </c>
      <c r="IL109">
        <v>0</v>
      </c>
      <c r="IM109">
        <v>0</v>
      </c>
      <c r="IX109" s="20"/>
      <c r="JP109">
        <v>0</v>
      </c>
      <c r="LA109" s="16">
        <v>5.0599999999999996</v>
      </c>
      <c r="LB109" s="16">
        <v>1</v>
      </c>
      <c r="LC109" s="16">
        <v>1</v>
      </c>
      <c r="LD109" s="16"/>
      <c r="LE109" s="16">
        <v>6.74</v>
      </c>
      <c r="LF109" s="16">
        <v>2</v>
      </c>
      <c r="LG109" s="16"/>
      <c r="LH109" s="16">
        <v>10.7</v>
      </c>
      <c r="LI109" s="16"/>
      <c r="LJ109" s="16"/>
      <c r="LK109" s="16"/>
      <c r="LL109" s="16">
        <v>0</v>
      </c>
      <c r="LM109" s="16">
        <v>0</v>
      </c>
      <c r="LN109" s="16">
        <v>0</v>
      </c>
      <c r="LO109" s="16">
        <v>0</v>
      </c>
      <c r="LP109" s="16">
        <v>5.97</v>
      </c>
      <c r="LQ109" s="16">
        <v>0</v>
      </c>
      <c r="LR109" s="16">
        <v>0</v>
      </c>
      <c r="LS109">
        <v>1</v>
      </c>
      <c r="LT109" t="s">
        <v>301</v>
      </c>
      <c r="LU109">
        <v>44</v>
      </c>
      <c r="LV109" s="16">
        <v>88.4</v>
      </c>
      <c r="LW109" s="16">
        <v>80.400000000000006</v>
      </c>
      <c r="LX109" s="16">
        <v>40</v>
      </c>
      <c r="LY109">
        <v>11.38</v>
      </c>
      <c r="MA109">
        <v>0</v>
      </c>
      <c r="MB109">
        <v>0</v>
      </c>
      <c r="MC109">
        <v>0</v>
      </c>
      <c r="MD109">
        <v>0</v>
      </c>
      <c r="ME109">
        <v>88.62</v>
      </c>
      <c r="MF109">
        <v>22.58</v>
      </c>
      <c r="MG109">
        <v>24.22</v>
      </c>
      <c r="MH109">
        <v>0</v>
      </c>
      <c r="MI109">
        <v>0</v>
      </c>
      <c r="MJ109">
        <v>0</v>
      </c>
      <c r="MK109">
        <v>26.59</v>
      </c>
      <c r="ML109">
        <v>0.54</v>
      </c>
      <c r="MM109">
        <v>0</v>
      </c>
      <c r="MN109">
        <v>0</v>
      </c>
      <c r="MO109">
        <v>0</v>
      </c>
      <c r="MP109">
        <v>0</v>
      </c>
      <c r="NC109">
        <v>0</v>
      </c>
      <c r="ND109">
        <v>0</v>
      </c>
      <c r="NO109" s="20"/>
      <c r="OG109">
        <v>1</v>
      </c>
      <c r="OH109">
        <v>40</v>
      </c>
      <c r="OI109">
        <v>2</v>
      </c>
      <c r="OJ109">
        <v>0.26</v>
      </c>
      <c r="OK109">
        <v>3</v>
      </c>
      <c r="PR109" s="16">
        <v>3.77</v>
      </c>
      <c r="PS109" s="16">
        <v>1</v>
      </c>
      <c r="PT109" s="16">
        <v>1</v>
      </c>
      <c r="PU109" s="16"/>
      <c r="PV109" s="16">
        <v>25.78</v>
      </c>
      <c r="PW109" s="16"/>
      <c r="PX109" s="16"/>
      <c r="PY109" s="16"/>
      <c r="PZ109" s="16"/>
      <c r="QA109" s="16"/>
      <c r="QB109" s="16"/>
      <c r="QC109" s="16">
        <v>0</v>
      </c>
      <c r="QD109" s="16">
        <v>0</v>
      </c>
      <c r="QE109" s="16">
        <v>0</v>
      </c>
      <c r="QF109" s="16">
        <v>0</v>
      </c>
      <c r="QG109" s="16">
        <v>0</v>
      </c>
      <c r="QH109" s="16">
        <v>0</v>
      </c>
      <c r="QI109" s="16">
        <v>0</v>
      </c>
      <c r="QJ109">
        <v>0</v>
      </c>
      <c r="QK109" t="s">
        <v>207</v>
      </c>
      <c r="QL109">
        <v>20.5</v>
      </c>
      <c r="QM109" s="16">
        <v>85.6</v>
      </c>
      <c r="QN109" s="16">
        <v>80.400000000000006</v>
      </c>
      <c r="QO109" s="16">
        <v>17.7</v>
      </c>
      <c r="QP109">
        <v>63.65</v>
      </c>
      <c r="QR109">
        <v>0</v>
      </c>
      <c r="QS109">
        <v>0</v>
      </c>
      <c r="QT109">
        <v>47.03</v>
      </c>
      <c r="QU109">
        <v>0</v>
      </c>
      <c r="QV109">
        <v>11.64</v>
      </c>
      <c r="QW109">
        <v>0</v>
      </c>
      <c r="QX109">
        <v>0</v>
      </c>
      <c r="QY109">
        <v>5.03</v>
      </c>
      <c r="QZ109">
        <v>0</v>
      </c>
      <c r="RA109">
        <v>2.93</v>
      </c>
      <c r="RB109">
        <v>24.27</v>
      </c>
      <c r="RC109">
        <v>17.25</v>
      </c>
      <c r="RD109">
        <v>0</v>
      </c>
      <c r="RE109">
        <v>0</v>
      </c>
      <c r="RF109">
        <v>0</v>
      </c>
      <c r="RG109">
        <v>0</v>
      </c>
      <c r="RT109">
        <v>0</v>
      </c>
      <c r="RU109">
        <v>0</v>
      </c>
      <c r="SF109" s="20"/>
      <c r="SX109">
        <v>0</v>
      </c>
      <c r="UI109" s="16">
        <v>1.47</v>
      </c>
      <c r="UJ109" s="16">
        <v>1</v>
      </c>
      <c r="UK109" s="16">
        <v>1</v>
      </c>
      <c r="UL109" s="16"/>
      <c r="UM109" s="16">
        <v>2.94</v>
      </c>
      <c r="UN109" s="16"/>
      <c r="UO109" s="16"/>
      <c r="UP109" s="16"/>
      <c r="UQ109" s="16"/>
      <c r="UR109" s="16"/>
      <c r="US109" s="16"/>
      <c r="UT109" s="16">
        <v>0</v>
      </c>
      <c r="UU109" s="16">
        <v>0</v>
      </c>
      <c r="UV109" s="16">
        <v>0</v>
      </c>
      <c r="UW109" s="16">
        <v>0</v>
      </c>
      <c r="UX109" s="16">
        <v>0</v>
      </c>
      <c r="UY109" s="16">
        <v>0</v>
      </c>
      <c r="UZ109" s="16">
        <v>0</v>
      </c>
      <c r="VA109">
        <v>0</v>
      </c>
      <c r="VB109" t="s">
        <v>208</v>
      </c>
      <c r="VC109">
        <v>35</v>
      </c>
      <c r="VD109" s="16">
        <v>69.2</v>
      </c>
      <c r="VE109" s="16">
        <v>80.400000000000006</v>
      </c>
      <c r="VF109" s="16">
        <v>24</v>
      </c>
      <c r="VG109">
        <v>71.73</v>
      </c>
      <c r="VI109">
        <v>0</v>
      </c>
      <c r="VJ109">
        <v>6.09</v>
      </c>
      <c r="VK109">
        <v>19.28</v>
      </c>
      <c r="VL109">
        <v>0</v>
      </c>
      <c r="VM109">
        <v>2.83</v>
      </c>
      <c r="VN109">
        <v>0</v>
      </c>
      <c r="VO109">
        <v>0</v>
      </c>
      <c r="VP109">
        <v>0</v>
      </c>
      <c r="VQ109">
        <v>0</v>
      </c>
      <c r="VR109">
        <v>14.46</v>
      </c>
      <c r="VS109">
        <v>19.89</v>
      </c>
      <c r="VT109">
        <v>24.43</v>
      </c>
      <c r="VU109">
        <v>0</v>
      </c>
      <c r="VV109">
        <v>7.0000000000000007E-2</v>
      </c>
      <c r="VW109">
        <v>0</v>
      </c>
      <c r="VX109">
        <v>0</v>
      </c>
      <c r="WK109">
        <v>2</v>
      </c>
      <c r="WL109">
        <v>0</v>
      </c>
      <c r="WW109" s="20"/>
      <c r="XO109">
        <v>1</v>
      </c>
      <c r="XP109">
        <v>40</v>
      </c>
      <c r="XQ109">
        <v>2</v>
      </c>
      <c r="XR109">
        <v>1.52</v>
      </c>
      <c r="XS109">
        <v>3</v>
      </c>
      <c r="XT109">
        <v>50</v>
      </c>
      <c r="XU109">
        <v>4</v>
      </c>
      <c r="XV109">
        <v>0.54</v>
      </c>
      <c r="XW109">
        <v>1</v>
      </c>
      <c r="YZ109" s="16">
        <v>1.6</v>
      </c>
      <c r="ZA109" s="16">
        <v>1</v>
      </c>
      <c r="ZB109" s="16">
        <v>1</v>
      </c>
      <c r="ZC109" s="16"/>
      <c r="ZD109" s="16">
        <v>7.09</v>
      </c>
      <c r="ZE109" s="16"/>
      <c r="ZF109" s="16"/>
      <c r="ZG109" s="16"/>
      <c r="ZH109" s="16"/>
      <c r="ZI109" s="16"/>
      <c r="ZJ109" s="16"/>
      <c r="ZK109" s="16">
        <v>1.1200000000000001</v>
      </c>
      <c r="ZL109" s="16">
        <v>0.27</v>
      </c>
      <c r="ZM109" s="16">
        <v>0</v>
      </c>
      <c r="ZN109" s="16">
        <v>0</v>
      </c>
      <c r="ZO109" s="16">
        <v>0</v>
      </c>
      <c r="ZP109" s="16">
        <v>0</v>
      </c>
      <c r="ZQ109" s="16">
        <v>3</v>
      </c>
      <c r="ZR109">
        <v>0</v>
      </c>
      <c r="ZS109" t="s">
        <v>302</v>
      </c>
      <c r="ZT109">
        <v>22</v>
      </c>
      <c r="ZU109" s="16">
        <v>87.6</v>
      </c>
      <c r="ZV109" s="16">
        <v>80.400000000000006</v>
      </c>
      <c r="ZW109" s="16">
        <v>4.5</v>
      </c>
      <c r="ZX109">
        <v>100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1.1399999999999999</v>
      </c>
      <c r="AAJ109">
        <v>27.07</v>
      </c>
      <c r="AAK109">
        <v>1.9</v>
      </c>
      <c r="AAL109">
        <v>0</v>
      </c>
      <c r="AAM109">
        <v>0</v>
      </c>
      <c r="AAN109">
        <v>0</v>
      </c>
      <c r="AAO109">
        <v>0</v>
      </c>
      <c r="ABB109">
        <v>8</v>
      </c>
      <c r="ABC109">
        <v>1</v>
      </c>
      <c r="ABD109">
        <v>35</v>
      </c>
      <c r="ABE109">
        <v>2</v>
      </c>
      <c r="ABF109">
        <v>1.52</v>
      </c>
      <c r="ABG109">
        <v>3</v>
      </c>
      <c r="ABN109" s="20"/>
      <c r="ACF109">
        <v>1</v>
      </c>
      <c r="ACG109">
        <v>40</v>
      </c>
      <c r="ACH109">
        <v>3</v>
      </c>
      <c r="ACI109">
        <v>2.2799999999999998</v>
      </c>
      <c r="ACJ109">
        <v>3</v>
      </c>
      <c r="ADQ109" s="16">
        <v>1.1200000000000001</v>
      </c>
      <c r="ADR109" s="16">
        <v>1</v>
      </c>
      <c r="ADS109" s="16">
        <v>1</v>
      </c>
      <c r="ADT109" s="16"/>
      <c r="ADU109" s="16">
        <v>2.2400000000000002</v>
      </c>
      <c r="ADV109" s="16"/>
      <c r="ADW109" s="16"/>
      <c r="ADX109" s="16"/>
      <c r="ADY109" s="16"/>
      <c r="ADZ109" s="16"/>
      <c r="AEA109" s="16"/>
      <c r="AEB109" s="16">
        <v>6.72</v>
      </c>
      <c r="AEC109" s="16">
        <v>0</v>
      </c>
      <c r="AED109" s="16">
        <v>0</v>
      </c>
      <c r="AEE109" s="16">
        <v>0</v>
      </c>
      <c r="AEF109" s="16">
        <v>0</v>
      </c>
      <c r="AEG109" s="16">
        <v>0</v>
      </c>
      <c r="AEH109" s="16">
        <v>0</v>
      </c>
      <c r="AEI109">
        <v>1</v>
      </c>
      <c r="AEJ109" t="s">
        <v>303</v>
      </c>
      <c r="AEK109">
        <v>18</v>
      </c>
      <c r="AEL109" s="16">
        <v>84.7</v>
      </c>
      <c r="AEM109" s="16">
        <v>80.400000000000006</v>
      </c>
      <c r="AEN109" s="16">
        <v>6.7</v>
      </c>
      <c r="AEO109">
        <v>100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14.84</v>
      </c>
      <c r="AFA109">
        <v>28.79</v>
      </c>
      <c r="AFB109">
        <v>1.9</v>
      </c>
      <c r="AFC109">
        <v>0</v>
      </c>
      <c r="AFD109">
        <v>0</v>
      </c>
      <c r="AFE109">
        <v>0</v>
      </c>
      <c r="AFF109">
        <v>0</v>
      </c>
      <c r="AFS109">
        <v>1.9</v>
      </c>
      <c r="AFT109">
        <v>0</v>
      </c>
      <c r="AGE109" s="20"/>
      <c r="AGW109">
        <v>1</v>
      </c>
      <c r="AGX109">
        <v>50</v>
      </c>
      <c r="AGY109">
        <v>3</v>
      </c>
      <c r="AGZ109">
        <v>2.2799999999999998</v>
      </c>
      <c r="AHA109">
        <v>3</v>
      </c>
      <c r="AIH109" s="16">
        <v>1.1200000000000001</v>
      </c>
      <c r="AII109" s="16">
        <v>1</v>
      </c>
      <c r="AIJ109" s="16">
        <v>1</v>
      </c>
      <c r="AIK109" s="16"/>
      <c r="AIL109" s="16">
        <v>2.2400000000000002</v>
      </c>
      <c r="AIM109" s="16"/>
      <c r="AIN109" s="16"/>
      <c r="AIO109" s="16"/>
      <c r="AIP109" s="16"/>
      <c r="AIQ109" s="16"/>
      <c r="AIR109" s="16"/>
      <c r="AIS109" s="16">
        <v>0</v>
      </c>
      <c r="AIT109" s="16">
        <v>0</v>
      </c>
      <c r="AIU109" s="16">
        <v>0</v>
      </c>
      <c r="AIV109" s="16">
        <v>0</v>
      </c>
      <c r="AIW109" s="16">
        <v>6.72</v>
      </c>
      <c r="AIX109" s="16">
        <v>0</v>
      </c>
      <c r="AIY109" s="16">
        <v>0</v>
      </c>
      <c r="AIZ109">
        <v>1</v>
      </c>
      <c r="AJA109" t="s">
        <v>304</v>
      </c>
      <c r="AJB109">
        <v>29</v>
      </c>
      <c r="AJC109" s="16">
        <v>84.9</v>
      </c>
      <c r="AJD109" s="16">
        <v>80.400000000000006</v>
      </c>
      <c r="AJE109" s="16">
        <v>22.7</v>
      </c>
      <c r="AJF109">
        <v>47.69</v>
      </c>
      <c r="AJH109">
        <v>0</v>
      </c>
      <c r="AJI109">
        <v>0</v>
      </c>
      <c r="AJJ109">
        <v>22.69</v>
      </c>
      <c r="AJK109">
        <v>0</v>
      </c>
      <c r="AJL109">
        <v>28.56</v>
      </c>
      <c r="AJM109">
        <v>0</v>
      </c>
      <c r="AJN109">
        <v>0</v>
      </c>
      <c r="AJO109">
        <v>0</v>
      </c>
      <c r="AJP109">
        <v>0</v>
      </c>
      <c r="AJQ109">
        <v>30.64</v>
      </c>
      <c r="AJR109">
        <v>8.3800000000000008</v>
      </c>
      <c r="AJS109">
        <v>43.35</v>
      </c>
      <c r="AJT109">
        <v>6.09</v>
      </c>
      <c r="AJU109">
        <v>0</v>
      </c>
      <c r="AJV109">
        <v>0</v>
      </c>
      <c r="AJW109">
        <v>0</v>
      </c>
      <c r="AKJ109">
        <v>2.5</v>
      </c>
      <c r="AKK109">
        <v>1</v>
      </c>
      <c r="AKL109">
        <v>35</v>
      </c>
      <c r="AKM109">
        <v>4</v>
      </c>
      <c r="AKN109">
        <v>0.54</v>
      </c>
      <c r="AKO109">
        <v>3</v>
      </c>
      <c r="AKV109" s="20"/>
      <c r="ALN109">
        <v>1</v>
      </c>
      <c r="ALO109">
        <v>40</v>
      </c>
      <c r="ALP109">
        <v>2</v>
      </c>
      <c r="ALQ109">
        <v>0.26</v>
      </c>
      <c r="ALR109">
        <v>3</v>
      </c>
    </row>
    <row r="110" spans="1:1018" x14ac:dyDescent="0.2">
      <c r="A110" s="1" t="s">
        <v>517</v>
      </c>
      <c r="B110" s="12">
        <v>42899</v>
      </c>
      <c r="C110">
        <v>2</v>
      </c>
      <c r="D110" s="13">
        <v>42804</v>
      </c>
      <c r="E110" s="12">
        <v>34927</v>
      </c>
      <c r="F110" s="14">
        <f t="shared" si="42"/>
        <v>21.826146475017111</v>
      </c>
      <c r="G110" s="14">
        <f t="shared" si="43"/>
        <v>0.26009582477754961</v>
      </c>
      <c r="H110" s="15" t="s">
        <v>217</v>
      </c>
      <c r="I110" s="15" t="s">
        <v>218</v>
      </c>
      <c r="J110" s="15" t="s">
        <v>181</v>
      </c>
      <c r="K110" s="21">
        <v>4</v>
      </c>
      <c r="L110" s="19"/>
      <c r="N110" s="16" t="e">
        <f t="shared" si="44"/>
        <v>#DIV/0!</v>
      </c>
      <c r="O110" s="19">
        <v>0</v>
      </c>
      <c r="P110" s="19">
        <v>0</v>
      </c>
      <c r="Q110" s="19">
        <v>0</v>
      </c>
      <c r="R110" s="19">
        <v>0</v>
      </c>
      <c r="S110" s="19">
        <v>0</v>
      </c>
      <c r="T110" s="19">
        <v>0</v>
      </c>
      <c r="U110" s="19">
        <v>0</v>
      </c>
      <c r="V110" s="19">
        <v>0</v>
      </c>
      <c r="W110" s="19">
        <v>0</v>
      </c>
      <c r="X110" s="19">
        <v>0</v>
      </c>
      <c r="Y110" s="19">
        <v>0</v>
      </c>
      <c r="Z110" s="19">
        <v>0</v>
      </c>
      <c r="AA110" s="19">
        <v>0</v>
      </c>
      <c r="AB110" s="19">
        <v>0</v>
      </c>
      <c r="AC110" s="19">
        <v>1</v>
      </c>
      <c r="AD110" s="19">
        <v>10</v>
      </c>
      <c r="AE110" s="19">
        <v>0</v>
      </c>
      <c r="AF110" s="19">
        <v>0</v>
      </c>
      <c r="AG110" s="19">
        <v>0</v>
      </c>
      <c r="AH110" s="19">
        <v>0</v>
      </c>
      <c r="AI110" s="19">
        <v>0</v>
      </c>
      <c r="AJ110" s="19">
        <v>0</v>
      </c>
      <c r="AK110" s="19">
        <v>0</v>
      </c>
      <c r="AL110" s="19">
        <v>0</v>
      </c>
      <c r="AM110" s="19">
        <v>0</v>
      </c>
      <c r="AN110" s="19">
        <v>0</v>
      </c>
      <c r="AO110" s="19">
        <v>0</v>
      </c>
      <c r="AP110" s="19">
        <v>0</v>
      </c>
      <c r="AQ110" s="19">
        <v>0</v>
      </c>
      <c r="AR110" s="19">
        <v>0</v>
      </c>
      <c r="AS110" s="19">
        <v>0</v>
      </c>
      <c r="AT110" s="19">
        <v>0</v>
      </c>
      <c r="AU110" s="19">
        <v>0</v>
      </c>
      <c r="AV110" s="19">
        <v>0</v>
      </c>
      <c r="AW110" s="19">
        <v>0</v>
      </c>
      <c r="AX110" s="19">
        <v>0</v>
      </c>
      <c r="AY110" s="19">
        <v>0</v>
      </c>
      <c r="AZ110" s="19">
        <v>0</v>
      </c>
      <c r="BA110" s="19">
        <v>0</v>
      </c>
      <c r="BB110" s="19">
        <v>0</v>
      </c>
      <c r="BC110" s="19">
        <v>0</v>
      </c>
      <c r="BD110" s="19">
        <v>0</v>
      </c>
      <c r="BE110" s="19">
        <v>0</v>
      </c>
      <c r="BF110" s="19">
        <v>0</v>
      </c>
      <c r="BG110" s="19">
        <v>0</v>
      </c>
      <c r="BH110" s="19">
        <v>0</v>
      </c>
      <c r="BI110" s="19">
        <v>0</v>
      </c>
      <c r="BJ110" s="19">
        <v>0</v>
      </c>
      <c r="BK110" s="19">
        <v>0</v>
      </c>
      <c r="BL110" s="19">
        <v>0</v>
      </c>
      <c r="BM110" s="19">
        <v>0</v>
      </c>
      <c r="BN110" s="19">
        <v>0</v>
      </c>
      <c r="BO110" s="19">
        <v>0</v>
      </c>
      <c r="BP110" s="19">
        <v>0</v>
      </c>
      <c r="BQ110" s="19">
        <v>0</v>
      </c>
      <c r="BR110" s="19">
        <v>2</v>
      </c>
      <c r="BS110" s="19">
        <v>2</v>
      </c>
      <c r="BT110" s="19">
        <v>3</v>
      </c>
      <c r="BU110" s="19">
        <v>5</v>
      </c>
      <c r="BV110" s="19">
        <v>3</v>
      </c>
      <c r="BW110" s="19"/>
      <c r="BX110" s="19">
        <v>5</v>
      </c>
      <c r="BY110" s="19">
        <v>5</v>
      </c>
      <c r="BZ110" s="19">
        <v>5</v>
      </c>
      <c r="CA110" s="19">
        <v>5</v>
      </c>
      <c r="CB110" s="19">
        <v>5</v>
      </c>
      <c r="CC110" s="19">
        <v>5</v>
      </c>
      <c r="CD110" s="19"/>
      <c r="CE110" s="19">
        <v>5</v>
      </c>
      <c r="CF110" s="19">
        <v>5</v>
      </c>
      <c r="CG110" s="19">
        <v>5</v>
      </c>
      <c r="CH110" s="19">
        <v>5</v>
      </c>
      <c r="CI110" s="19">
        <v>5</v>
      </c>
      <c r="CJ110" s="19">
        <v>5</v>
      </c>
      <c r="CK110" s="19">
        <v>10</v>
      </c>
      <c r="CL110" t="s">
        <v>219</v>
      </c>
      <c r="CM110">
        <v>33.5</v>
      </c>
      <c r="CN110" s="16">
        <v>91.5</v>
      </c>
      <c r="CO110" s="16">
        <v>80.400000000000006</v>
      </c>
      <c r="CP110" s="16">
        <v>20</v>
      </c>
      <c r="CQ110">
        <v>84.58</v>
      </c>
      <c r="CR110" s="17">
        <v>0</v>
      </c>
      <c r="CS110">
        <v>15.42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13.79</v>
      </c>
      <c r="DD110">
        <v>2.67</v>
      </c>
      <c r="DE110">
        <v>11.54</v>
      </c>
      <c r="DF110">
        <v>0</v>
      </c>
      <c r="DG110">
        <v>12.3</v>
      </c>
      <c r="DH110">
        <v>2</v>
      </c>
      <c r="DI110">
        <v>5</v>
      </c>
      <c r="DJ110">
        <v>2</v>
      </c>
      <c r="DO110">
        <v>5</v>
      </c>
      <c r="DP110">
        <v>2</v>
      </c>
      <c r="DU110">
        <v>0</v>
      </c>
      <c r="DV110">
        <v>1</v>
      </c>
      <c r="DW110">
        <v>34</v>
      </c>
      <c r="DX110">
        <v>2</v>
      </c>
      <c r="DY110">
        <v>0.1</v>
      </c>
      <c r="DZ110">
        <v>1</v>
      </c>
      <c r="EA110">
        <v>10</v>
      </c>
      <c r="EB110">
        <f>8*4</f>
        <v>32</v>
      </c>
      <c r="EC110">
        <f>0.06+0.01+0.4+1.7+0.24+0.14+0.96</f>
        <v>3.5100000000000002</v>
      </c>
      <c r="ED110">
        <v>3</v>
      </c>
      <c r="EG110" s="18"/>
      <c r="EY110">
        <v>0</v>
      </c>
      <c r="GJ110" s="16">
        <v>0.25</v>
      </c>
      <c r="GK110" s="16">
        <v>1</v>
      </c>
      <c r="GL110" s="16">
        <v>2</v>
      </c>
      <c r="GM110" s="16"/>
      <c r="GN110" s="16">
        <v>0.55000000000000004</v>
      </c>
      <c r="GO110" s="16"/>
      <c r="GP110" s="16"/>
      <c r="GQ110" s="16"/>
      <c r="GR110" s="16"/>
      <c r="GS110" s="16"/>
      <c r="GT110" s="16"/>
      <c r="GU110" s="16">
        <v>0.55000000000000004</v>
      </c>
      <c r="GV110" s="16">
        <v>0.55000000000000004</v>
      </c>
      <c r="GW110" s="16"/>
      <c r="GX110" s="16"/>
      <c r="GY110" s="16">
        <v>0</v>
      </c>
      <c r="GZ110" s="16">
        <v>0</v>
      </c>
      <c r="HA110" s="16">
        <v>0</v>
      </c>
      <c r="HB110">
        <v>0</v>
      </c>
      <c r="HC110" t="s">
        <v>220</v>
      </c>
      <c r="HD110">
        <v>27</v>
      </c>
      <c r="HE110" s="16">
        <v>54.4</v>
      </c>
      <c r="HF110" s="16">
        <v>80.400000000000006</v>
      </c>
      <c r="HG110" s="16">
        <v>18.100000000000001</v>
      </c>
      <c r="HH110">
        <v>81.88</v>
      </c>
      <c r="HI110" s="17">
        <v>0</v>
      </c>
      <c r="HJ110">
        <v>9.83</v>
      </c>
      <c r="HK110">
        <v>0</v>
      </c>
      <c r="HL110">
        <v>2.14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2.3199999999999998</v>
      </c>
      <c r="HU110">
        <v>19.66</v>
      </c>
      <c r="HV110">
        <v>3.64</v>
      </c>
      <c r="HW110">
        <v>0</v>
      </c>
      <c r="HX110">
        <v>0</v>
      </c>
      <c r="HY110">
        <v>0</v>
      </c>
      <c r="IL110">
        <v>0</v>
      </c>
      <c r="IM110">
        <v>1</v>
      </c>
      <c r="IN110">
        <v>26</v>
      </c>
      <c r="IO110">
        <v>2</v>
      </c>
      <c r="IP110">
        <v>0.05</v>
      </c>
      <c r="IQ110">
        <v>2</v>
      </c>
      <c r="IX110" s="18"/>
      <c r="JP110">
        <v>0</v>
      </c>
      <c r="LA110" s="16">
        <v>2.1</v>
      </c>
      <c r="LB110" s="16">
        <v>1</v>
      </c>
      <c r="LC110" s="16">
        <v>1</v>
      </c>
      <c r="LD110" s="16"/>
      <c r="LE110" s="16">
        <f>0.1+0.76*2+2.02+1.35*2+0.67</f>
        <v>7.01</v>
      </c>
      <c r="LF110" s="16"/>
      <c r="LG110" s="16"/>
      <c r="LH110" s="16"/>
      <c r="LI110" s="16"/>
      <c r="LJ110" s="16"/>
      <c r="LK110" s="16"/>
      <c r="LL110" s="16">
        <v>6.35</v>
      </c>
      <c r="LM110" s="16">
        <v>14.8</v>
      </c>
      <c r="LN110" s="16"/>
      <c r="LO110" s="16"/>
      <c r="LP110" s="16">
        <v>0</v>
      </c>
      <c r="LQ110" s="16">
        <v>0</v>
      </c>
      <c r="LR110" s="16">
        <v>0</v>
      </c>
      <c r="LS110">
        <v>0</v>
      </c>
      <c r="LT110" t="s">
        <v>221</v>
      </c>
      <c r="LU110">
        <v>20.5</v>
      </c>
      <c r="LV110" s="16">
        <v>76.900000000000006</v>
      </c>
      <c r="LW110" s="16">
        <v>80.400000000000006</v>
      </c>
      <c r="LX110" s="16">
        <v>9.1</v>
      </c>
      <c r="LY110">
        <v>88.58</v>
      </c>
      <c r="LZ110">
        <v>10.3</v>
      </c>
      <c r="MA110">
        <v>1.1200000000000001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6.33</v>
      </c>
      <c r="ML110">
        <v>16.97</v>
      </c>
      <c r="MM110">
        <v>0</v>
      </c>
      <c r="MN110">
        <v>0</v>
      </c>
      <c r="MO110">
        <v>4.0999999999999996</v>
      </c>
      <c r="MP110">
        <v>2</v>
      </c>
      <c r="MQ110">
        <v>5</v>
      </c>
      <c r="MR110">
        <v>1</v>
      </c>
      <c r="MW110">
        <v>5</v>
      </c>
      <c r="MX110">
        <v>1</v>
      </c>
      <c r="NC110">
        <v>0</v>
      </c>
      <c r="ND110">
        <v>0</v>
      </c>
      <c r="NO110" s="18"/>
      <c r="OG110">
        <v>0</v>
      </c>
      <c r="PR110" s="16">
        <v>2.2400000000000002</v>
      </c>
      <c r="PS110" s="16">
        <v>1</v>
      </c>
      <c r="PT110" s="16">
        <v>2</v>
      </c>
      <c r="PU110" s="16"/>
      <c r="PV110" s="16">
        <v>4.97</v>
      </c>
      <c r="PW110" s="16"/>
      <c r="PX110" s="16"/>
      <c r="PY110" s="16"/>
      <c r="PZ110" s="16"/>
      <c r="QA110" s="16"/>
      <c r="QB110" s="16"/>
      <c r="QC110" s="16">
        <v>5.0999999999999996</v>
      </c>
      <c r="QD110" s="16">
        <v>5.97</v>
      </c>
      <c r="QE110" s="16"/>
      <c r="QF110" s="16"/>
      <c r="QG110" s="16">
        <v>0</v>
      </c>
      <c r="QH110" s="16">
        <v>0</v>
      </c>
      <c r="QI110" s="16">
        <v>0</v>
      </c>
      <c r="QJ110">
        <v>0</v>
      </c>
      <c r="QK110" t="s">
        <v>222</v>
      </c>
      <c r="QL110">
        <v>32.5</v>
      </c>
      <c r="QM110" s="16">
        <v>96.7</v>
      </c>
      <c r="QN110" s="16">
        <v>80.400000000000006</v>
      </c>
      <c r="QO110" s="16">
        <v>15.1</v>
      </c>
      <c r="QP110">
        <v>52.24</v>
      </c>
      <c r="QQ110">
        <v>45.43</v>
      </c>
      <c r="QR110">
        <v>1.1200000000000001</v>
      </c>
      <c r="QS110">
        <v>0</v>
      </c>
      <c r="QT110">
        <v>1.2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1.2</v>
      </c>
      <c r="RB110">
        <v>15.88</v>
      </c>
      <c r="RC110">
        <v>48.59</v>
      </c>
      <c r="RD110">
        <v>0</v>
      </c>
      <c r="RE110">
        <v>0</v>
      </c>
      <c r="RF110">
        <v>0</v>
      </c>
      <c r="RG110">
        <v>0</v>
      </c>
      <c r="RT110">
        <v>0</v>
      </c>
      <c r="RU110">
        <v>0</v>
      </c>
      <c r="SF110" s="18"/>
      <c r="SX110">
        <v>1</v>
      </c>
      <c r="SY110">
        <v>50</v>
      </c>
      <c r="SZ110">
        <v>2</v>
      </c>
      <c r="TA110">
        <f>3.18+12.73</f>
        <v>15.91</v>
      </c>
      <c r="TB110">
        <v>1</v>
      </c>
      <c r="UI110" s="16">
        <v>5.9</v>
      </c>
      <c r="UJ110" s="16">
        <v>1</v>
      </c>
      <c r="UK110" s="16">
        <v>2</v>
      </c>
      <c r="UL110" s="16"/>
      <c r="UM110" s="16">
        <f>0.09+0.18*3+0.13+0.53+1.07*2+1.34*2+0.17*2+3.18+12.73</f>
        <v>22.36</v>
      </c>
      <c r="UN110" s="16"/>
      <c r="UO110" s="16"/>
      <c r="UP110" s="16"/>
      <c r="UQ110" s="16"/>
      <c r="UR110" s="16"/>
      <c r="US110" s="16"/>
      <c r="UT110" s="16">
        <v>11.45</v>
      </c>
      <c r="UU110" s="16">
        <v>41.19</v>
      </c>
      <c r="UV110" s="16"/>
      <c r="UW110" s="16"/>
      <c r="UX110" s="16">
        <v>0</v>
      </c>
      <c r="UY110" s="16">
        <v>0</v>
      </c>
      <c r="UZ110" s="16">
        <v>0</v>
      </c>
      <c r="VA110">
        <v>0</v>
      </c>
      <c r="VB110" t="s">
        <v>223</v>
      </c>
      <c r="VC110">
        <v>30.5</v>
      </c>
      <c r="VD110" s="16">
        <v>68.8</v>
      </c>
      <c r="VE110" s="16">
        <v>80.400000000000006</v>
      </c>
      <c r="VF110" s="16">
        <v>16.3</v>
      </c>
      <c r="VG110">
        <v>66.28</v>
      </c>
      <c r="VH110">
        <v>20.09</v>
      </c>
      <c r="VI110">
        <v>1.81</v>
      </c>
      <c r="VJ110">
        <v>0</v>
      </c>
      <c r="VK110">
        <v>11.82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13.17</v>
      </c>
      <c r="VT110">
        <v>35.75</v>
      </c>
      <c r="VU110">
        <v>0</v>
      </c>
      <c r="VV110">
        <v>0</v>
      </c>
      <c r="VW110">
        <v>0</v>
      </c>
      <c r="VX110">
        <v>0</v>
      </c>
      <c r="WK110">
        <v>0</v>
      </c>
      <c r="WL110">
        <v>1</v>
      </c>
      <c r="WM110">
        <v>52</v>
      </c>
      <c r="WN110">
        <v>1</v>
      </c>
      <c r="WO110">
        <v>0.01</v>
      </c>
      <c r="WP110">
        <v>2</v>
      </c>
      <c r="WW110" s="18"/>
      <c r="XO110">
        <v>0</v>
      </c>
      <c r="YZ110" s="16">
        <v>5.43</v>
      </c>
      <c r="ZA110" s="16">
        <v>1</v>
      </c>
      <c r="ZB110" s="16">
        <v>1</v>
      </c>
      <c r="ZC110" s="16"/>
      <c r="ZD110" s="16">
        <f>0.09*2+0.07+1.36</f>
        <v>1.61</v>
      </c>
      <c r="ZE110" s="16">
        <v>2</v>
      </c>
      <c r="ZF110" s="16"/>
      <c r="ZG110" s="16">
        <f>4.2+0.09+0.66+0.01+3.18+3.18</f>
        <v>11.32</v>
      </c>
      <c r="ZH110" s="16"/>
      <c r="ZI110" s="16"/>
      <c r="ZJ110" s="16"/>
      <c r="ZK110" s="16">
        <v>8.61</v>
      </c>
      <c r="ZL110" s="16">
        <v>26.91</v>
      </c>
      <c r="ZM110" s="16"/>
      <c r="ZN110" s="16"/>
      <c r="ZO110" s="16">
        <v>0</v>
      </c>
      <c r="ZP110" s="16">
        <v>0</v>
      </c>
      <c r="ZQ110" s="16">
        <v>0</v>
      </c>
      <c r="ZR110">
        <v>0</v>
      </c>
      <c r="ZS110" t="s">
        <v>224</v>
      </c>
      <c r="ZT110">
        <v>39.5</v>
      </c>
      <c r="ZU110" s="16">
        <v>60.8</v>
      </c>
      <c r="ZV110" s="16">
        <v>80.400000000000006</v>
      </c>
      <c r="ZW110" s="16">
        <v>22.9</v>
      </c>
      <c r="ZX110">
        <v>67.010000000000005</v>
      </c>
      <c r="ZY110">
        <v>11.71</v>
      </c>
      <c r="ZZ110">
        <v>16.61</v>
      </c>
      <c r="AAA110">
        <v>0</v>
      </c>
      <c r="AAB110">
        <v>4.67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20.9</v>
      </c>
      <c r="AAK110">
        <v>25.23</v>
      </c>
      <c r="AAL110">
        <v>0.57999999999999996</v>
      </c>
      <c r="AAM110">
        <v>0</v>
      </c>
      <c r="AAN110">
        <v>0</v>
      </c>
      <c r="AAO110">
        <v>0</v>
      </c>
      <c r="ABB110">
        <v>2</v>
      </c>
      <c r="ABC110">
        <v>1</v>
      </c>
      <c r="ABD110">
        <v>103</v>
      </c>
      <c r="ABE110">
        <v>2</v>
      </c>
      <c r="ABF110">
        <f>0.18+0.14</f>
        <v>0.32</v>
      </c>
      <c r="ABG110">
        <v>1</v>
      </c>
      <c r="ABH110">
        <v>68</v>
      </c>
      <c r="ABI110">
        <v>1</v>
      </c>
      <c r="ABJ110">
        <v>0.01</v>
      </c>
      <c r="ABK110">
        <v>1</v>
      </c>
      <c r="ABL110">
        <v>52</v>
      </c>
      <c r="ABM110">
        <v>3</v>
      </c>
      <c r="ABN110" s="18">
        <v>0.05</v>
      </c>
      <c r="ABO110">
        <v>2</v>
      </c>
      <c r="ACF110">
        <v>0</v>
      </c>
      <c r="ADQ110" s="16">
        <v>3.66</v>
      </c>
      <c r="ADR110" s="16">
        <v>1</v>
      </c>
      <c r="ADS110" s="16">
        <v>1</v>
      </c>
      <c r="ADT110" s="16"/>
      <c r="ADU110" s="16">
        <f>2.69*3+1.35*3+0.14*2+0.1</f>
        <v>12.5</v>
      </c>
      <c r="ADV110" s="16">
        <v>2</v>
      </c>
      <c r="ADW110" s="16"/>
      <c r="ADX110" s="16">
        <f>0.66+0.35+0.18+0.14+1.25+1.23</f>
        <v>3.81</v>
      </c>
      <c r="ADY110" s="16"/>
      <c r="ADZ110" s="16"/>
      <c r="AEA110" s="16"/>
      <c r="AEB110" s="16">
        <v>10.050000000000001</v>
      </c>
      <c r="AEC110" s="16">
        <v>27.11</v>
      </c>
      <c r="AED110" s="16"/>
      <c r="AEE110" s="16"/>
      <c r="AEF110" s="16">
        <v>0</v>
      </c>
      <c r="AEG110" s="16">
        <v>0</v>
      </c>
      <c r="AEH110" s="16">
        <v>0</v>
      </c>
      <c r="AEI110">
        <v>0</v>
      </c>
      <c r="AEJ110" t="s">
        <v>225</v>
      </c>
      <c r="AEK110">
        <v>47</v>
      </c>
      <c r="AEL110" s="16">
        <v>72.3</v>
      </c>
      <c r="AEM110" s="16">
        <v>80.400000000000006</v>
      </c>
      <c r="AEN110" s="16">
        <v>18</v>
      </c>
      <c r="AEO110">
        <v>70.55</v>
      </c>
      <c r="AEP110">
        <v>6.81</v>
      </c>
      <c r="AEQ110">
        <v>3.09</v>
      </c>
      <c r="AER110">
        <v>0</v>
      </c>
      <c r="AES110">
        <v>19.55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18.07</v>
      </c>
      <c r="AFB110">
        <v>30.57</v>
      </c>
      <c r="AFC110">
        <v>7.61</v>
      </c>
      <c r="AFD110">
        <v>0</v>
      </c>
      <c r="AFE110">
        <v>14</v>
      </c>
      <c r="AFF110">
        <v>2</v>
      </c>
      <c r="AFG110">
        <v>5</v>
      </c>
      <c r="AFH110">
        <v>4.47</v>
      </c>
      <c r="AFJ110">
        <v>7</v>
      </c>
      <c r="AFK110">
        <v>5.15</v>
      </c>
      <c r="AFM110">
        <v>5</v>
      </c>
      <c r="AFN110">
        <v>4.47</v>
      </c>
      <c r="AFP110">
        <v>7</v>
      </c>
      <c r="AFQ110">
        <v>5.15</v>
      </c>
      <c r="AFS110">
        <v>0</v>
      </c>
      <c r="AFT110">
        <v>0</v>
      </c>
      <c r="AGE110" s="18"/>
      <c r="AGW110">
        <v>0</v>
      </c>
      <c r="AIH110" s="16">
        <v>4.21</v>
      </c>
      <c r="AII110" s="16">
        <v>1</v>
      </c>
      <c r="AIJ110" s="16">
        <v>2</v>
      </c>
      <c r="AIK110" s="16"/>
      <c r="AIL110" s="16">
        <f>7.46+1.59+0.6</f>
        <v>9.65</v>
      </c>
      <c r="AIM110" s="16"/>
      <c r="AIN110" s="16"/>
      <c r="AIO110" s="16"/>
      <c r="AIP110" s="16"/>
      <c r="AIQ110" s="16"/>
      <c r="AIR110" s="16"/>
      <c r="AIS110" s="16">
        <v>10.63</v>
      </c>
      <c r="AIT110" s="16">
        <v>36.380000000000003</v>
      </c>
      <c r="AIU110" s="16"/>
      <c r="AIV110" s="16"/>
      <c r="AIW110" s="16">
        <v>0</v>
      </c>
      <c r="AIX110" s="16">
        <v>0</v>
      </c>
      <c r="AIY110" s="16">
        <v>0</v>
      </c>
      <c r="AIZ110">
        <v>0</v>
      </c>
      <c r="AJA110" t="s">
        <v>226</v>
      </c>
      <c r="AJB110">
        <v>19</v>
      </c>
      <c r="AJC110" s="16">
        <v>82.6</v>
      </c>
      <c r="AJD110" s="16">
        <v>80.400000000000006</v>
      </c>
      <c r="AJE110" s="16">
        <v>7.7</v>
      </c>
      <c r="AJF110">
        <v>86.83</v>
      </c>
      <c r="AJG110">
        <v>12.69</v>
      </c>
      <c r="AJH110">
        <v>0</v>
      </c>
      <c r="AJI110">
        <v>0</v>
      </c>
      <c r="AJJ110">
        <v>0.48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7.16</v>
      </c>
      <c r="AJS110">
        <v>10.76</v>
      </c>
      <c r="AJT110">
        <v>0</v>
      </c>
      <c r="AJU110">
        <v>0</v>
      </c>
      <c r="AJV110">
        <v>3.4</v>
      </c>
      <c r="AJW110">
        <v>2</v>
      </c>
      <c r="AJX110">
        <v>11.9</v>
      </c>
      <c r="AJY110">
        <v>0.48</v>
      </c>
      <c r="AKD110">
        <v>11.9</v>
      </c>
      <c r="AKE110">
        <v>0.48</v>
      </c>
      <c r="AKJ110">
        <v>0</v>
      </c>
      <c r="AKK110">
        <v>1</v>
      </c>
      <c r="AKL110">
        <v>34</v>
      </c>
      <c r="AKM110">
        <v>2</v>
      </c>
      <c r="AKN110">
        <f>0.84*2</f>
        <v>1.68</v>
      </c>
      <c r="AKO110">
        <v>1</v>
      </c>
      <c r="AKV110" s="18"/>
      <c r="ALN110">
        <v>0</v>
      </c>
    </row>
    <row r="111" spans="1:1018" x14ac:dyDescent="0.2">
      <c r="A111" s="1" t="s">
        <v>518</v>
      </c>
      <c r="B111" s="12">
        <v>42902</v>
      </c>
      <c r="C111">
        <v>1</v>
      </c>
      <c r="D111" s="13">
        <v>42793</v>
      </c>
      <c r="E111" s="12">
        <v>32197</v>
      </c>
      <c r="F111" s="14">
        <f t="shared" si="42"/>
        <v>29.308692676249144</v>
      </c>
      <c r="G111" s="14">
        <f t="shared" si="43"/>
        <v>0.29842573579739906</v>
      </c>
      <c r="H111" s="15" t="s">
        <v>217</v>
      </c>
      <c r="I111" s="15" t="s">
        <v>218</v>
      </c>
      <c r="J111" s="15" t="s">
        <v>181</v>
      </c>
      <c r="K111" s="21">
        <v>8</v>
      </c>
      <c r="L111" s="19">
        <v>70</v>
      </c>
      <c r="M111">
        <v>1.69</v>
      </c>
      <c r="N111" s="16">
        <f t="shared" si="44"/>
        <v>24.508945765204302</v>
      </c>
      <c r="O111" s="19">
        <v>0</v>
      </c>
      <c r="P111" s="19">
        <v>0</v>
      </c>
      <c r="Q111" s="19">
        <v>0</v>
      </c>
      <c r="R111" s="19">
        <v>0</v>
      </c>
      <c r="S111" s="19">
        <v>0</v>
      </c>
      <c r="T111" s="19">
        <v>0</v>
      </c>
      <c r="U111" s="19">
        <v>0</v>
      </c>
      <c r="V111" s="19">
        <v>0</v>
      </c>
      <c r="W111" s="19">
        <v>0</v>
      </c>
      <c r="X111" s="19">
        <v>0</v>
      </c>
      <c r="Y111" s="19">
        <v>1</v>
      </c>
      <c r="Z111" s="19">
        <v>1</v>
      </c>
      <c r="AA111" s="19">
        <v>120</v>
      </c>
      <c r="AB111" s="19" t="s">
        <v>349</v>
      </c>
      <c r="AC111" s="19">
        <v>1</v>
      </c>
      <c r="AD111" s="19">
        <v>10</v>
      </c>
      <c r="AE111" s="19">
        <v>0</v>
      </c>
      <c r="AF111" s="19">
        <v>0</v>
      </c>
      <c r="AG111" s="19">
        <v>0</v>
      </c>
      <c r="AH111" s="19">
        <v>0</v>
      </c>
      <c r="AI111" s="19">
        <v>0</v>
      </c>
      <c r="AJ111" s="19">
        <v>0</v>
      </c>
      <c r="AK111" s="19">
        <v>0</v>
      </c>
      <c r="AL111" s="19">
        <v>0</v>
      </c>
      <c r="AM111" s="19">
        <v>0</v>
      </c>
      <c r="AN111" s="19">
        <v>0</v>
      </c>
      <c r="AO111" s="19">
        <v>0</v>
      </c>
      <c r="AP111" s="19">
        <v>0</v>
      </c>
      <c r="AQ111" s="19">
        <v>0</v>
      </c>
      <c r="AR111" s="19">
        <v>0</v>
      </c>
      <c r="AS111" s="19">
        <v>0</v>
      </c>
      <c r="AT111" s="19">
        <v>0</v>
      </c>
      <c r="AU111" s="19">
        <v>0</v>
      </c>
      <c r="AV111" s="19">
        <v>0</v>
      </c>
      <c r="AW111" s="19">
        <v>0</v>
      </c>
      <c r="AX111" s="19">
        <v>0</v>
      </c>
      <c r="AY111" s="19">
        <v>0</v>
      </c>
      <c r="AZ111" s="19">
        <v>0</v>
      </c>
      <c r="BA111" s="19">
        <v>0</v>
      </c>
      <c r="BB111" s="19">
        <v>0</v>
      </c>
      <c r="BC111" s="19">
        <v>0</v>
      </c>
      <c r="BD111" s="19">
        <v>0</v>
      </c>
      <c r="BE111" s="19">
        <v>0</v>
      </c>
      <c r="BF111" s="19">
        <v>0</v>
      </c>
      <c r="BG111" s="19">
        <v>0</v>
      </c>
      <c r="BH111" s="19">
        <v>0</v>
      </c>
      <c r="BI111" s="19">
        <v>0</v>
      </c>
      <c r="BJ111" s="19">
        <v>0</v>
      </c>
      <c r="BK111" s="19">
        <v>0</v>
      </c>
      <c r="BL111" s="19">
        <v>0</v>
      </c>
      <c r="BM111" s="19">
        <v>0</v>
      </c>
      <c r="BN111" s="19">
        <v>0</v>
      </c>
      <c r="BO111" s="19">
        <v>0</v>
      </c>
      <c r="BP111" s="19">
        <v>0</v>
      </c>
      <c r="BQ111" s="19">
        <v>0</v>
      </c>
      <c r="BR111" s="19">
        <v>2</v>
      </c>
      <c r="BS111" s="19">
        <v>2</v>
      </c>
      <c r="BT111" s="19">
        <v>3</v>
      </c>
      <c r="BU111" s="19">
        <v>5</v>
      </c>
      <c r="BV111" s="19">
        <v>2</v>
      </c>
      <c r="BW111" s="19">
        <v>2</v>
      </c>
      <c r="BX111" s="19">
        <v>3</v>
      </c>
      <c r="BY111" s="19">
        <v>3</v>
      </c>
      <c r="BZ111" s="19">
        <v>4</v>
      </c>
      <c r="CA111" s="19">
        <v>4</v>
      </c>
      <c r="CB111" s="19">
        <v>4</v>
      </c>
      <c r="CC111" s="19">
        <v>5</v>
      </c>
      <c r="CD111" s="19">
        <v>4</v>
      </c>
      <c r="CE111" s="19">
        <v>5</v>
      </c>
      <c r="CF111" s="19">
        <v>5</v>
      </c>
      <c r="CG111" s="19">
        <v>5</v>
      </c>
      <c r="CH111" s="19">
        <v>4</v>
      </c>
      <c r="CI111" s="19">
        <v>4</v>
      </c>
      <c r="CJ111" s="19">
        <v>5</v>
      </c>
      <c r="CK111" s="19">
        <v>10</v>
      </c>
      <c r="CL111" t="s">
        <v>220</v>
      </c>
      <c r="CM111">
        <v>27</v>
      </c>
      <c r="CN111" s="16">
        <v>54.4</v>
      </c>
      <c r="CO111" s="16">
        <v>80.400000000000006</v>
      </c>
      <c r="CP111" s="16">
        <v>18.100000000000001</v>
      </c>
      <c r="CQ111">
        <v>81.88</v>
      </c>
      <c r="CR111" s="17">
        <v>0</v>
      </c>
      <c r="CS111">
        <v>9.83</v>
      </c>
      <c r="CT111">
        <v>0</v>
      </c>
      <c r="CU111">
        <v>2.14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2.3199999999999998</v>
      </c>
      <c r="DD111">
        <v>19.66</v>
      </c>
      <c r="DE111">
        <v>3.64</v>
      </c>
      <c r="DF111">
        <v>0</v>
      </c>
      <c r="DG111">
        <v>0</v>
      </c>
      <c r="DH111">
        <v>0</v>
      </c>
      <c r="DU111">
        <v>0</v>
      </c>
      <c r="DV111">
        <v>1</v>
      </c>
      <c r="DW111">
        <v>26</v>
      </c>
      <c r="DX111">
        <v>2</v>
      </c>
      <c r="DY111">
        <v>0.05</v>
      </c>
      <c r="DZ111">
        <v>2</v>
      </c>
      <c r="EG111" s="18"/>
      <c r="EY111">
        <v>0</v>
      </c>
      <c r="GJ111" s="16">
        <v>2.1</v>
      </c>
      <c r="GK111" s="16">
        <v>1</v>
      </c>
      <c r="GL111" s="16">
        <v>1</v>
      </c>
      <c r="GM111" s="16"/>
      <c r="GN111" s="16">
        <f>0.1+0.76*2+2.02+1.35*2+0.67</f>
        <v>7.01</v>
      </c>
      <c r="GO111" s="16"/>
      <c r="GP111" s="16"/>
      <c r="GQ111" s="16"/>
      <c r="GR111" s="16"/>
      <c r="GS111" s="16"/>
      <c r="GT111" s="16"/>
      <c r="GU111" s="16">
        <v>6.35</v>
      </c>
      <c r="GV111" s="16">
        <v>14.8</v>
      </c>
      <c r="GW111" s="16"/>
      <c r="GX111" s="16"/>
      <c r="GY111" s="16">
        <v>0</v>
      </c>
      <c r="GZ111" s="16">
        <v>0</v>
      </c>
      <c r="HA111" s="16">
        <v>0</v>
      </c>
      <c r="HB111">
        <v>0</v>
      </c>
      <c r="HC111" t="s">
        <v>223</v>
      </c>
      <c r="HD111">
        <v>30.5</v>
      </c>
      <c r="HE111" s="16">
        <v>68.8</v>
      </c>
      <c r="HF111" s="16">
        <v>80.400000000000006</v>
      </c>
      <c r="HG111" s="16">
        <v>16.3</v>
      </c>
      <c r="HH111">
        <v>66.28</v>
      </c>
      <c r="HI111">
        <v>20.09</v>
      </c>
      <c r="HJ111">
        <v>1.81</v>
      </c>
      <c r="HK111">
        <v>0</v>
      </c>
      <c r="HL111">
        <v>11.82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13.17</v>
      </c>
      <c r="HU111">
        <v>35.75</v>
      </c>
      <c r="HV111">
        <v>0</v>
      </c>
      <c r="HW111">
        <v>0</v>
      </c>
      <c r="HX111">
        <v>0</v>
      </c>
      <c r="HY111">
        <v>0</v>
      </c>
      <c r="IL111">
        <v>0</v>
      </c>
      <c r="IM111">
        <v>1</v>
      </c>
      <c r="IN111">
        <v>52</v>
      </c>
      <c r="IO111">
        <v>1</v>
      </c>
      <c r="IP111">
        <v>0.01</v>
      </c>
      <c r="IQ111">
        <v>2</v>
      </c>
      <c r="IX111" s="18"/>
      <c r="JP111">
        <v>0</v>
      </c>
      <c r="LA111" s="16">
        <v>5.43</v>
      </c>
      <c r="LB111" s="16">
        <v>1</v>
      </c>
      <c r="LC111" s="16">
        <v>1</v>
      </c>
      <c r="LD111" s="16"/>
      <c r="LE111" s="16">
        <f>0.09*2+0.07+1.36</f>
        <v>1.61</v>
      </c>
      <c r="LF111" s="16">
        <v>2</v>
      </c>
      <c r="LG111" s="16"/>
      <c r="LH111" s="16">
        <f>4.2+0.09+0.66+0.01+3.18+3.18</f>
        <v>11.32</v>
      </c>
      <c r="LI111" s="16"/>
      <c r="LJ111" s="16"/>
      <c r="LK111" s="16"/>
      <c r="LL111" s="16">
        <v>8.61</v>
      </c>
      <c r="LM111" s="16">
        <v>26.91</v>
      </c>
      <c r="LN111" s="16"/>
      <c r="LO111" s="16"/>
      <c r="LP111" s="16">
        <v>0</v>
      </c>
      <c r="LQ111" s="16">
        <v>0</v>
      </c>
      <c r="LR111" s="16">
        <v>0</v>
      </c>
      <c r="LS111">
        <v>0</v>
      </c>
      <c r="LT111" t="s">
        <v>224</v>
      </c>
      <c r="LU111">
        <v>39.5</v>
      </c>
      <c r="LV111" s="16">
        <v>60.8</v>
      </c>
      <c r="LW111" s="16">
        <v>80.400000000000006</v>
      </c>
      <c r="LX111" s="16">
        <v>22.9</v>
      </c>
      <c r="LY111">
        <v>67.010000000000005</v>
      </c>
      <c r="LZ111">
        <v>11.71</v>
      </c>
      <c r="MA111">
        <v>16.61</v>
      </c>
      <c r="MB111">
        <v>0</v>
      </c>
      <c r="MC111">
        <v>4.67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20.9</v>
      </c>
      <c r="ML111">
        <v>25.23</v>
      </c>
      <c r="MM111">
        <v>0.57999999999999996</v>
      </c>
      <c r="MN111">
        <v>0</v>
      </c>
      <c r="MO111">
        <v>0</v>
      </c>
      <c r="MP111">
        <v>0</v>
      </c>
      <c r="NC111">
        <v>2</v>
      </c>
      <c r="ND111">
        <v>1</v>
      </c>
      <c r="NE111">
        <v>103</v>
      </c>
      <c r="NF111">
        <v>2</v>
      </c>
      <c r="NG111">
        <f>0.18+0.14</f>
        <v>0.32</v>
      </c>
      <c r="NH111">
        <v>1</v>
      </c>
      <c r="NI111">
        <v>68</v>
      </c>
      <c r="NJ111">
        <v>1</v>
      </c>
      <c r="NK111">
        <v>0.01</v>
      </c>
      <c r="NL111">
        <v>1</v>
      </c>
      <c r="NM111">
        <v>52</v>
      </c>
      <c r="NN111">
        <v>3</v>
      </c>
      <c r="NO111" s="18">
        <v>0.05</v>
      </c>
      <c r="NP111">
        <v>2</v>
      </c>
      <c r="OG111">
        <v>0</v>
      </c>
      <c r="PR111" s="16">
        <v>3.66</v>
      </c>
      <c r="PS111" s="16">
        <v>1</v>
      </c>
      <c r="PT111" s="16">
        <v>1</v>
      </c>
      <c r="PU111" s="16"/>
      <c r="PV111" s="16">
        <f>2.69*3+1.35*3+0.14*2+0.1</f>
        <v>12.5</v>
      </c>
      <c r="PW111" s="16">
        <v>2</v>
      </c>
      <c r="PX111" s="16"/>
      <c r="PY111" s="16">
        <f>0.66+0.35+0.18+0.14+1.25+1.23</f>
        <v>3.81</v>
      </c>
      <c r="PZ111" s="16"/>
      <c r="QA111" s="16"/>
      <c r="QB111" s="16"/>
      <c r="QC111" s="16">
        <v>10.050000000000001</v>
      </c>
      <c r="QD111" s="16">
        <v>27.11</v>
      </c>
      <c r="QE111" s="16"/>
      <c r="QF111" s="16"/>
      <c r="QG111" s="16">
        <v>0</v>
      </c>
      <c r="QH111" s="16">
        <v>0</v>
      </c>
      <c r="QI111" s="16">
        <v>0</v>
      </c>
      <c r="QJ111">
        <v>0</v>
      </c>
      <c r="QK111" t="s">
        <v>225</v>
      </c>
      <c r="QL111">
        <v>47</v>
      </c>
      <c r="QM111" s="16">
        <v>72.3</v>
      </c>
      <c r="QN111" s="16">
        <v>80.400000000000006</v>
      </c>
      <c r="QO111" s="16">
        <v>18</v>
      </c>
      <c r="QP111">
        <v>70.55</v>
      </c>
      <c r="QQ111">
        <v>6.81</v>
      </c>
      <c r="QR111">
        <v>3.09</v>
      </c>
      <c r="QS111">
        <v>0</v>
      </c>
      <c r="QT111">
        <v>19.55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18.07</v>
      </c>
      <c r="RC111">
        <v>30.57</v>
      </c>
      <c r="RD111">
        <v>7.61</v>
      </c>
      <c r="RE111">
        <v>0</v>
      </c>
      <c r="RF111">
        <v>14</v>
      </c>
      <c r="RG111">
        <v>2</v>
      </c>
      <c r="RH111">
        <v>5</v>
      </c>
      <c r="RI111">
        <v>4.47</v>
      </c>
      <c r="RK111">
        <v>7</v>
      </c>
      <c r="RL111">
        <v>5.15</v>
      </c>
      <c r="RN111">
        <v>5</v>
      </c>
      <c r="RO111">
        <v>4.47</v>
      </c>
      <c r="RQ111">
        <v>7</v>
      </c>
      <c r="RR111">
        <v>5.15</v>
      </c>
      <c r="RT111">
        <v>0</v>
      </c>
      <c r="RU111">
        <v>0</v>
      </c>
      <c r="SF111" s="18"/>
      <c r="SX111">
        <v>0</v>
      </c>
      <c r="UI111" s="16">
        <v>4.21</v>
      </c>
      <c r="UJ111" s="16">
        <v>1</v>
      </c>
      <c r="UK111" s="16">
        <v>2</v>
      </c>
      <c r="UL111" s="16"/>
      <c r="UM111" s="16">
        <f>7.46+1.59+0.6</f>
        <v>9.65</v>
      </c>
      <c r="UN111" s="16"/>
      <c r="UO111" s="16"/>
      <c r="UP111" s="16"/>
      <c r="UQ111" s="16"/>
      <c r="UR111" s="16"/>
      <c r="US111" s="16"/>
      <c r="UT111" s="16">
        <v>10.63</v>
      </c>
      <c r="UU111" s="16">
        <v>36.380000000000003</v>
      </c>
      <c r="UV111" s="16"/>
      <c r="UW111" s="16"/>
      <c r="UX111" s="16">
        <v>0</v>
      </c>
      <c r="UY111" s="16">
        <v>0</v>
      </c>
      <c r="UZ111" s="16">
        <v>0</v>
      </c>
      <c r="VA111">
        <v>0</v>
      </c>
      <c r="VB111" t="s">
        <v>226</v>
      </c>
      <c r="VC111">
        <v>19</v>
      </c>
      <c r="VD111" s="16">
        <v>82.6</v>
      </c>
      <c r="VE111" s="16">
        <v>80.400000000000006</v>
      </c>
      <c r="VF111" s="16">
        <v>7.7</v>
      </c>
      <c r="VG111">
        <v>86.83</v>
      </c>
      <c r="VH111">
        <v>12.69</v>
      </c>
      <c r="VI111">
        <v>0</v>
      </c>
      <c r="VJ111">
        <v>0</v>
      </c>
      <c r="VK111">
        <v>0.48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7.16</v>
      </c>
      <c r="VT111">
        <v>10.76</v>
      </c>
      <c r="VU111">
        <v>0</v>
      </c>
      <c r="VV111">
        <v>0</v>
      </c>
      <c r="VW111">
        <v>3.4</v>
      </c>
      <c r="VX111">
        <v>2</v>
      </c>
      <c r="VY111">
        <v>11.9</v>
      </c>
      <c r="VZ111">
        <v>0.48</v>
      </c>
      <c r="WE111">
        <v>11.9</v>
      </c>
      <c r="WF111">
        <v>0.48</v>
      </c>
      <c r="WK111">
        <v>0</v>
      </c>
      <c r="WL111">
        <v>1</v>
      </c>
      <c r="WM111">
        <v>34</v>
      </c>
      <c r="WN111">
        <v>2</v>
      </c>
      <c r="WO111">
        <f>0.84*2</f>
        <v>1.68</v>
      </c>
      <c r="WP111">
        <v>1</v>
      </c>
      <c r="WW111" s="18"/>
      <c r="XO111">
        <v>0</v>
      </c>
      <c r="YZ111" s="16">
        <v>3.25</v>
      </c>
      <c r="ZA111" s="16">
        <v>1</v>
      </c>
      <c r="ZB111" s="16">
        <v>2</v>
      </c>
      <c r="ZC111" s="16"/>
      <c r="ZD111" s="16">
        <f>1.59*2+0.21*2</f>
        <v>3.6</v>
      </c>
      <c r="ZE111" s="16"/>
      <c r="ZF111" s="16"/>
      <c r="ZG111" s="16"/>
      <c r="ZH111" s="16"/>
      <c r="ZI111" s="16"/>
      <c r="ZJ111" s="16"/>
      <c r="ZK111" s="16">
        <v>4.26</v>
      </c>
      <c r="ZL111" s="16">
        <v>4.25</v>
      </c>
      <c r="ZM111" s="16"/>
      <c r="ZN111" s="16"/>
      <c r="ZO111" s="16">
        <v>0</v>
      </c>
      <c r="ZP111" s="16">
        <v>0</v>
      </c>
      <c r="ZQ111" s="16">
        <v>0</v>
      </c>
      <c r="ZR111">
        <v>0</v>
      </c>
      <c r="ZS111" t="s">
        <v>519</v>
      </c>
      <c r="ZT111">
        <v>17.5</v>
      </c>
      <c r="ZU111" s="16">
        <v>85.1</v>
      </c>
      <c r="ZV111" s="16">
        <v>80.400000000000006</v>
      </c>
      <c r="ZW111" s="16">
        <v>9.6</v>
      </c>
      <c r="ZX111">
        <v>86.79</v>
      </c>
      <c r="ZY111">
        <v>5.81</v>
      </c>
      <c r="ZZ111">
        <v>6.87</v>
      </c>
      <c r="AAA111">
        <v>0</v>
      </c>
      <c r="AAB111">
        <v>0.52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13.81</v>
      </c>
      <c r="AAK111">
        <v>2.99</v>
      </c>
      <c r="AAL111">
        <v>0</v>
      </c>
      <c r="AAM111">
        <v>0</v>
      </c>
      <c r="AAN111">
        <v>3.4</v>
      </c>
      <c r="AAO111">
        <v>2</v>
      </c>
      <c r="AAP111">
        <v>11.9</v>
      </c>
      <c r="AAQ111">
        <v>0.48</v>
      </c>
      <c r="AAV111">
        <v>11.9</v>
      </c>
      <c r="AAW111">
        <v>0.48</v>
      </c>
      <c r="ABB111">
        <v>0</v>
      </c>
      <c r="ABC111">
        <v>1</v>
      </c>
      <c r="ABD111">
        <v>34</v>
      </c>
      <c r="ABE111">
        <v>2</v>
      </c>
      <c r="ABF111">
        <f>0.84*2</f>
        <v>1.68</v>
      </c>
      <c r="ABG111">
        <v>1</v>
      </c>
      <c r="ABN111" s="18"/>
      <c r="ACF111">
        <v>0</v>
      </c>
      <c r="ADQ111" s="16">
        <v>0.81</v>
      </c>
      <c r="ADR111" s="16">
        <v>1</v>
      </c>
      <c r="ADS111" s="16">
        <v>2</v>
      </c>
      <c r="ADT111" s="16"/>
      <c r="ADU111" s="16">
        <f>1.35*2</f>
        <v>2.7</v>
      </c>
      <c r="ADV111" s="16"/>
      <c r="ADW111" s="16"/>
      <c r="ADX111" s="16"/>
      <c r="ADY111" s="16"/>
      <c r="ADZ111" s="16"/>
      <c r="AEA111" s="16"/>
      <c r="AEB111" s="16">
        <v>3.67</v>
      </c>
      <c r="AEC111" s="16">
        <v>3.18</v>
      </c>
      <c r="AED111" s="16"/>
      <c r="AEE111" s="16"/>
      <c r="AEF111" s="16">
        <v>0</v>
      </c>
      <c r="AEG111" s="16">
        <v>0</v>
      </c>
      <c r="AEH111" s="16">
        <v>0</v>
      </c>
      <c r="AEI111">
        <v>0</v>
      </c>
      <c r="AEJ111" t="s">
        <v>520</v>
      </c>
      <c r="AEK111">
        <v>40</v>
      </c>
      <c r="AEL111" s="16">
        <v>79.7</v>
      </c>
      <c r="AEM111" s="16">
        <v>80.400000000000006</v>
      </c>
      <c r="AEN111" s="16">
        <v>13.2</v>
      </c>
      <c r="AEO111">
        <v>64.849999999999994</v>
      </c>
      <c r="AEP111">
        <v>35.15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4.9800000000000004</v>
      </c>
      <c r="AFB111">
        <v>32.96</v>
      </c>
      <c r="AFC111">
        <v>0</v>
      </c>
      <c r="AFD111">
        <v>0</v>
      </c>
      <c r="AFE111">
        <v>0</v>
      </c>
      <c r="AFF111">
        <v>0</v>
      </c>
      <c r="AFS111">
        <v>0</v>
      </c>
      <c r="AFT111">
        <v>1</v>
      </c>
      <c r="AFU111">
        <v>34</v>
      </c>
      <c r="AFV111">
        <v>7</v>
      </c>
      <c r="AFW111">
        <f>1+1.59+1.2*2</f>
        <v>4.99</v>
      </c>
      <c r="AFX111">
        <v>1</v>
      </c>
      <c r="AGE111" s="18"/>
      <c r="AGW111">
        <v>0</v>
      </c>
      <c r="AIH111" s="16">
        <v>8.98</v>
      </c>
      <c r="AII111" s="16">
        <v>1</v>
      </c>
      <c r="AIJ111" s="16">
        <v>2</v>
      </c>
      <c r="AIK111" s="16"/>
      <c r="AIL111" s="16">
        <f>4.43*3+3.59+13.29</f>
        <v>30.169999999999998</v>
      </c>
      <c r="AIM111" s="16"/>
      <c r="AIN111" s="16"/>
      <c r="AIO111" s="16"/>
      <c r="AIP111" s="16"/>
      <c r="AIQ111" s="16"/>
      <c r="AIR111" s="16"/>
      <c r="AIS111" s="16">
        <v>17.43</v>
      </c>
      <c r="AIT111" s="16">
        <v>30.17</v>
      </c>
      <c r="AIU111" s="16"/>
      <c r="AIV111" s="16"/>
      <c r="AIW111" s="16">
        <v>0</v>
      </c>
      <c r="AIX111" s="16">
        <v>0</v>
      </c>
      <c r="AIY111" s="16">
        <v>0</v>
      </c>
      <c r="AIZ111">
        <v>0</v>
      </c>
      <c r="AJA111" t="s">
        <v>521</v>
      </c>
      <c r="AJB111">
        <v>39.5</v>
      </c>
      <c r="AJC111" s="16">
        <v>83.3</v>
      </c>
      <c r="AJD111" s="16">
        <v>80.400000000000006</v>
      </c>
      <c r="AJE111" s="16">
        <v>13.1</v>
      </c>
      <c r="AJF111">
        <v>63.39</v>
      </c>
      <c r="AJG111">
        <v>36.61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7.53</v>
      </c>
      <c r="AJS111">
        <v>32.96</v>
      </c>
      <c r="AJT111">
        <v>0</v>
      </c>
      <c r="AJU111">
        <v>0</v>
      </c>
      <c r="AJV111">
        <v>0</v>
      </c>
      <c r="AJW111">
        <v>0</v>
      </c>
      <c r="AKJ111">
        <v>0</v>
      </c>
      <c r="AKK111">
        <v>1</v>
      </c>
      <c r="AKL111">
        <v>34</v>
      </c>
      <c r="AKM111">
        <v>7</v>
      </c>
      <c r="AKN111">
        <f>1+1.59+1.2*2</f>
        <v>4.99</v>
      </c>
      <c r="AKO111">
        <v>1</v>
      </c>
      <c r="AKV111" s="18"/>
      <c r="ALN111">
        <v>0</v>
      </c>
    </row>
    <row r="112" spans="1:1018" x14ac:dyDescent="0.2">
      <c r="A112" s="1" t="s">
        <v>522</v>
      </c>
      <c r="B112" s="12">
        <v>42904</v>
      </c>
      <c r="C112">
        <v>2</v>
      </c>
      <c r="D112" s="13">
        <v>42801</v>
      </c>
      <c r="E112" s="12">
        <v>27944</v>
      </c>
      <c r="F112" s="14">
        <f t="shared" si="42"/>
        <v>40.958247775496233</v>
      </c>
      <c r="G112" s="14">
        <f t="shared" si="43"/>
        <v>0.28199863107460643</v>
      </c>
      <c r="H112" s="15" t="s">
        <v>183</v>
      </c>
      <c r="I112" s="15" t="s">
        <v>523</v>
      </c>
      <c r="J112" s="15" t="s">
        <v>181</v>
      </c>
      <c r="K112" s="21">
        <v>8</v>
      </c>
      <c r="L112" s="19">
        <v>67</v>
      </c>
      <c r="M112">
        <v>1.76</v>
      </c>
      <c r="N112" s="16">
        <f t="shared" si="44"/>
        <v>21.629648760330578</v>
      </c>
      <c r="O112" s="19">
        <v>0</v>
      </c>
      <c r="P112" s="19">
        <v>0</v>
      </c>
      <c r="Q112" s="19">
        <v>0</v>
      </c>
      <c r="R112" s="19">
        <v>0</v>
      </c>
      <c r="S112" s="19">
        <v>0</v>
      </c>
      <c r="T112" s="19">
        <v>0</v>
      </c>
      <c r="U112" s="19">
        <v>0</v>
      </c>
      <c r="V112" s="19">
        <v>0</v>
      </c>
      <c r="W112" s="19">
        <v>0</v>
      </c>
      <c r="X112" s="19">
        <v>0</v>
      </c>
      <c r="Y112" s="19">
        <v>1</v>
      </c>
      <c r="Z112" s="19">
        <v>2</v>
      </c>
      <c r="AA112" s="19">
        <v>60</v>
      </c>
      <c r="AB112" s="19" t="s">
        <v>524</v>
      </c>
      <c r="AC112" s="19">
        <v>0</v>
      </c>
      <c r="AD112" s="19">
        <v>0</v>
      </c>
      <c r="AE112" s="19">
        <v>0</v>
      </c>
      <c r="AF112" s="19">
        <v>0</v>
      </c>
      <c r="AG112" s="19">
        <v>0</v>
      </c>
      <c r="AH112" s="19">
        <v>0</v>
      </c>
      <c r="AI112" s="19">
        <v>0</v>
      </c>
      <c r="AJ112" s="19">
        <v>0</v>
      </c>
      <c r="AK112" s="19">
        <v>0</v>
      </c>
      <c r="AL112" s="19">
        <v>0</v>
      </c>
      <c r="AM112" s="19">
        <v>0</v>
      </c>
      <c r="AN112" s="19">
        <v>0</v>
      </c>
      <c r="AO112" s="19">
        <v>0</v>
      </c>
      <c r="AP112" s="19">
        <v>0</v>
      </c>
      <c r="AQ112" s="19">
        <v>0</v>
      </c>
      <c r="AR112" s="19">
        <v>0</v>
      </c>
      <c r="AS112" s="19">
        <v>0</v>
      </c>
      <c r="AT112" s="19">
        <v>0</v>
      </c>
      <c r="AU112" s="19">
        <v>0</v>
      </c>
      <c r="AV112" s="19">
        <v>0</v>
      </c>
      <c r="AW112" s="19">
        <v>0</v>
      </c>
      <c r="AX112" s="19">
        <v>0</v>
      </c>
      <c r="AY112" s="19">
        <v>0</v>
      </c>
      <c r="AZ112" s="19">
        <v>0</v>
      </c>
      <c r="BA112" s="19">
        <v>0</v>
      </c>
      <c r="BB112" s="19">
        <v>0</v>
      </c>
      <c r="BC112" s="19">
        <v>0</v>
      </c>
      <c r="BD112" s="19">
        <v>0</v>
      </c>
      <c r="BE112" s="19">
        <v>0</v>
      </c>
      <c r="BF112" s="19">
        <v>0</v>
      </c>
      <c r="BG112" s="19">
        <v>0</v>
      </c>
      <c r="BH112" s="19">
        <v>0</v>
      </c>
      <c r="BI112" s="19">
        <v>0</v>
      </c>
      <c r="BJ112" s="19">
        <v>0</v>
      </c>
      <c r="BK112" s="19">
        <v>0</v>
      </c>
      <c r="BL112" s="19">
        <v>0</v>
      </c>
      <c r="BM112" s="19">
        <v>0</v>
      </c>
      <c r="BN112" s="19">
        <v>0</v>
      </c>
      <c r="BO112" s="19">
        <v>0</v>
      </c>
      <c r="BP112" s="19">
        <v>0</v>
      </c>
      <c r="BQ112" s="19">
        <v>0</v>
      </c>
      <c r="BR112" s="19">
        <v>1</v>
      </c>
      <c r="BS112" s="19">
        <v>2</v>
      </c>
      <c r="BT112" s="19">
        <v>3</v>
      </c>
      <c r="BU112" s="19">
        <v>5</v>
      </c>
      <c r="BV112" s="19">
        <v>2</v>
      </c>
      <c r="BW112" s="19">
        <v>1</v>
      </c>
      <c r="BX112" s="19">
        <v>1</v>
      </c>
      <c r="BY112" s="19">
        <v>3</v>
      </c>
      <c r="BZ112" s="19">
        <v>4</v>
      </c>
      <c r="CA112" s="19">
        <v>2</v>
      </c>
      <c r="CB112" s="19">
        <v>5</v>
      </c>
      <c r="CC112" s="19">
        <v>5</v>
      </c>
      <c r="CD112" s="19">
        <v>5</v>
      </c>
      <c r="CE112" s="19">
        <v>5</v>
      </c>
      <c r="CF112" s="19">
        <v>5</v>
      </c>
      <c r="CG112" s="19">
        <v>5</v>
      </c>
      <c r="CH112" s="19">
        <v>5</v>
      </c>
      <c r="CI112" s="19">
        <v>5</v>
      </c>
      <c r="CJ112" s="19">
        <v>4</v>
      </c>
      <c r="CK112" s="19">
        <v>10</v>
      </c>
      <c r="CL112" t="s">
        <v>507</v>
      </c>
      <c r="CM112">
        <v>30</v>
      </c>
      <c r="CN112" s="16">
        <v>86.6</v>
      </c>
      <c r="CO112" s="16">
        <v>80.400000000000006</v>
      </c>
      <c r="CP112" s="16">
        <v>20.399999999999999</v>
      </c>
      <c r="CQ112">
        <v>82.62</v>
      </c>
      <c r="CR112" s="17">
        <v>0</v>
      </c>
      <c r="CS112">
        <v>15.49</v>
      </c>
      <c r="CT112">
        <v>1.49</v>
      </c>
      <c r="CU112">
        <v>0.4</v>
      </c>
      <c r="CV112">
        <v>0</v>
      </c>
      <c r="CW112">
        <v>0</v>
      </c>
      <c r="CY112">
        <v>0</v>
      </c>
      <c r="CZ112">
        <v>0</v>
      </c>
      <c r="DA112">
        <v>0</v>
      </c>
      <c r="DB112">
        <v>6.38</v>
      </c>
      <c r="DC112">
        <v>56.11</v>
      </c>
      <c r="DD112">
        <v>8.4600000000000009</v>
      </c>
      <c r="DE112">
        <v>1.21</v>
      </c>
      <c r="DF112">
        <v>0</v>
      </c>
      <c r="DG112">
        <v>0</v>
      </c>
      <c r="DH112">
        <v>0</v>
      </c>
      <c r="DU112">
        <v>0.5</v>
      </c>
      <c r="DV112">
        <v>0</v>
      </c>
      <c r="EG112" s="20"/>
      <c r="EY112">
        <v>1</v>
      </c>
      <c r="EZ112">
        <v>40</v>
      </c>
      <c r="FA112">
        <v>1</v>
      </c>
      <c r="FB112">
        <v>1.71</v>
      </c>
      <c r="FC112">
        <v>2</v>
      </c>
      <c r="FD112">
        <v>50</v>
      </c>
      <c r="FE112">
        <v>1</v>
      </c>
      <c r="FF112">
        <v>0.13</v>
      </c>
      <c r="FG112">
        <v>2</v>
      </c>
      <c r="GJ112" s="16">
        <v>0.62</v>
      </c>
      <c r="GK112" s="16">
        <v>1</v>
      </c>
      <c r="GL112" s="16">
        <v>1</v>
      </c>
      <c r="GM112" s="16"/>
      <c r="GN112" s="16">
        <v>4.1399999999999997</v>
      </c>
      <c r="GO112" s="16"/>
      <c r="GP112" s="16"/>
      <c r="GQ112" s="16"/>
      <c r="GR112" s="16"/>
      <c r="GS112" s="16"/>
      <c r="GT112" s="16"/>
      <c r="GU112" s="16">
        <v>0</v>
      </c>
      <c r="GV112" s="16">
        <v>0</v>
      </c>
      <c r="GW112" s="16">
        <v>0</v>
      </c>
      <c r="GX112" s="16">
        <v>0</v>
      </c>
      <c r="GY112" s="16">
        <v>5.97</v>
      </c>
      <c r="GZ112" s="16">
        <v>0</v>
      </c>
      <c r="HA112" s="16">
        <v>0</v>
      </c>
      <c r="HB112">
        <v>2</v>
      </c>
      <c r="HC112" t="s">
        <v>509</v>
      </c>
      <c r="HD112">
        <v>29</v>
      </c>
      <c r="HE112" s="16">
        <v>76.099999999999994</v>
      </c>
      <c r="HF112" s="16">
        <v>80.400000000000006</v>
      </c>
      <c r="HG112" s="16">
        <v>20.5</v>
      </c>
      <c r="HH112">
        <v>77.86</v>
      </c>
      <c r="HI112" s="17">
        <v>0</v>
      </c>
      <c r="HJ112">
        <v>13.05</v>
      </c>
      <c r="HK112">
        <v>0</v>
      </c>
      <c r="HL112">
        <v>9.1</v>
      </c>
      <c r="HM112">
        <v>0</v>
      </c>
      <c r="HN112">
        <v>0</v>
      </c>
      <c r="HP112">
        <v>0</v>
      </c>
      <c r="HQ112">
        <v>0</v>
      </c>
      <c r="HR112">
        <v>0</v>
      </c>
      <c r="HS112">
        <v>0.56999999999999995</v>
      </c>
      <c r="HT112">
        <v>29.77</v>
      </c>
      <c r="HU112">
        <v>20.82</v>
      </c>
      <c r="HV112">
        <v>0</v>
      </c>
      <c r="HW112">
        <v>0</v>
      </c>
      <c r="HX112">
        <v>0</v>
      </c>
      <c r="HY112">
        <v>1</v>
      </c>
      <c r="HZ112">
        <v>2</v>
      </c>
      <c r="IB112">
        <v>1</v>
      </c>
      <c r="IF112">
        <v>2</v>
      </c>
      <c r="IH112">
        <v>1</v>
      </c>
      <c r="IL112">
        <v>0</v>
      </c>
      <c r="IM112">
        <v>0</v>
      </c>
      <c r="IX112" s="20"/>
      <c r="JP112">
        <v>0</v>
      </c>
      <c r="LA112" s="16">
        <v>0.32</v>
      </c>
      <c r="LB112" s="16">
        <v>1</v>
      </c>
      <c r="LC112" s="16">
        <v>1</v>
      </c>
      <c r="LD112" s="16"/>
      <c r="LE112" s="16">
        <v>1.32</v>
      </c>
      <c r="LF112" s="16"/>
      <c r="LG112" s="16"/>
      <c r="LH112" s="16"/>
      <c r="LI112" s="16"/>
      <c r="LJ112" s="16"/>
      <c r="LK112" s="16"/>
      <c r="LL112" s="16">
        <v>5.5</v>
      </c>
      <c r="LM112" s="16">
        <v>9.81</v>
      </c>
      <c r="LN112" s="16">
        <v>0</v>
      </c>
      <c r="LO112" s="16">
        <v>0</v>
      </c>
      <c r="LP112" s="16">
        <v>0</v>
      </c>
      <c r="LQ112" s="16">
        <v>0</v>
      </c>
      <c r="LR112" s="16">
        <v>0</v>
      </c>
      <c r="LS112">
        <v>0</v>
      </c>
      <c r="LT112" t="s">
        <v>511</v>
      </c>
      <c r="LU112">
        <v>36.5</v>
      </c>
      <c r="LV112" s="16">
        <v>85.2</v>
      </c>
      <c r="LW112" s="16">
        <v>80.400000000000006</v>
      </c>
      <c r="LX112" s="16">
        <v>24.1</v>
      </c>
      <c r="LY112">
        <v>65.36</v>
      </c>
      <c r="LZ112" s="17">
        <v>0</v>
      </c>
      <c r="MA112">
        <v>10.14</v>
      </c>
      <c r="MB112">
        <v>0</v>
      </c>
      <c r="MC112">
        <v>24.5</v>
      </c>
      <c r="MD112">
        <v>0</v>
      </c>
      <c r="ME112">
        <v>0</v>
      </c>
      <c r="MG112">
        <v>0</v>
      </c>
      <c r="MH112">
        <v>0</v>
      </c>
      <c r="MI112">
        <v>0</v>
      </c>
      <c r="MJ112">
        <v>0</v>
      </c>
      <c r="MK112">
        <v>56.76</v>
      </c>
      <c r="ML112">
        <v>17.5</v>
      </c>
      <c r="MM112">
        <v>0</v>
      </c>
      <c r="MN112">
        <v>0</v>
      </c>
      <c r="MO112">
        <v>0</v>
      </c>
      <c r="MP112">
        <v>0</v>
      </c>
      <c r="NC112">
        <v>4.3</v>
      </c>
      <c r="ND112">
        <v>0</v>
      </c>
      <c r="NO112" s="20"/>
      <c r="OG112">
        <v>1</v>
      </c>
      <c r="OH112">
        <v>60</v>
      </c>
      <c r="OI112">
        <v>53</v>
      </c>
      <c r="OJ112">
        <v>35.979999999999997</v>
      </c>
      <c r="OK112">
        <v>3</v>
      </c>
      <c r="PR112" s="16">
        <v>0</v>
      </c>
      <c r="PS112" s="16">
        <v>0</v>
      </c>
      <c r="PT112" s="16"/>
      <c r="PU112" s="16"/>
      <c r="PV112" s="16"/>
      <c r="PW112" s="16"/>
      <c r="PX112" s="16"/>
      <c r="PY112" s="16"/>
      <c r="PZ112" s="16"/>
      <c r="QA112" s="16"/>
      <c r="QB112" s="16"/>
      <c r="QC112" s="16">
        <v>5.0999999999999996</v>
      </c>
      <c r="QD112" s="16">
        <v>5.93</v>
      </c>
      <c r="QE112" s="16">
        <v>0</v>
      </c>
      <c r="QF112" s="16">
        <v>0</v>
      </c>
      <c r="QG112" s="16">
        <v>0</v>
      </c>
      <c r="QH112" s="16">
        <v>0</v>
      </c>
      <c r="QI112" s="16">
        <v>0</v>
      </c>
      <c r="QJ112">
        <v>0</v>
      </c>
      <c r="QK112" t="s">
        <v>525</v>
      </c>
      <c r="QL112">
        <v>16.5</v>
      </c>
      <c r="QM112" s="16">
        <v>30.8</v>
      </c>
      <c r="QN112" s="16">
        <v>80.400000000000006</v>
      </c>
      <c r="QO112" s="16">
        <v>8.6999999999999993</v>
      </c>
      <c r="QP112">
        <v>86.39</v>
      </c>
      <c r="QQ112" s="17">
        <v>0</v>
      </c>
      <c r="QR112">
        <v>0</v>
      </c>
      <c r="QS112">
        <v>0</v>
      </c>
      <c r="QT112">
        <v>2.2799999999999998</v>
      </c>
      <c r="QU112">
        <v>0</v>
      </c>
      <c r="QV112">
        <v>9.09</v>
      </c>
      <c r="QW112">
        <v>3.57</v>
      </c>
      <c r="QX112">
        <v>0</v>
      </c>
      <c r="QY112">
        <v>1.8</v>
      </c>
      <c r="QZ112">
        <v>0</v>
      </c>
      <c r="RA112">
        <v>1.8</v>
      </c>
      <c r="RB112">
        <v>5.0599999999999996</v>
      </c>
      <c r="RC112">
        <v>7.89</v>
      </c>
      <c r="RD112">
        <v>0</v>
      </c>
      <c r="RE112">
        <v>0</v>
      </c>
      <c r="RF112">
        <v>0</v>
      </c>
      <c r="RG112">
        <v>0</v>
      </c>
      <c r="RT112">
        <v>0</v>
      </c>
      <c r="RU112">
        <v>1</v>
      </c>
      <c r="RV112">
        <v>23</v>
      </c>
      <c r="RW112">
        <v>2</v>
      </c>
      <c r="RX112">
        <v>0.72</v>
      </c>
      <c r="RY112">
        <v>3</v>
      </c>
      <c r="SF112" s="20"/>
      <c r="SX112">
        <v>0</v>
      </c>
      <c r="UI112" s="16">
        <v>0.82</v>
      </c>
      <c r="UJ112" s="16">
        <v>1</v>
      </c>
      <c r="UK112" s="16">
        <v>1</v>
      </c>
      <c r="UL112" s="16"/>
      <c r="UM112" s="16">
        <v>1.84</v>
      </c>
      <c r="UN112" s="16"/>
      <c r="UO112" s="16"/>
      <c r="UP112" s="16"/>
      <c r="UQ112" s="16"/>
      <c r="UR112" s="16"/>
      <c r="US112" s="16"/>
      <c r="UT112" s="16">
        <v>0</v>
      </c>
      <c r="UU112" s="16">
        <v>0</v>
      </c>
      <c r="UV112" s="16">
        <v>0</v>
      </c>
      <c r="UW112" s="16">
        <v>0</v>
      </c>
      <c r="UX112" s="16">
        <v>6.72</v>
      </c>
      <c r="UY112" s="16">
        <v>0</v>
      </c>
      <c r="UZ112" s="16">
        <v>0</v>
      </c>
      <c r="VA112">
        <v>0</v>
      </c>
      <c r="VB112" t="s">
        <v>526</v>
      </c>
      <c r="VC112">
        <v>33</v>
      </c>
      <c r="VD112" s="16">
        <v>81.8</v>
      </c>
      <c r="VE112" s="16">
        <v>80.400000000000006</v>
      </c>
      <c r="VF112" s="16">
        <v>20.6</v>
      </c>
      <c r="VG112">
        <v>53.66</v>
      </c>
      <c r="VH112" s="17">
        <v>0</v>
      </c>
      <c r="VI112">
        <v>8.94</v>
      </c>
      <c r="VJ112">
        <v>0</v>
      </c>
      <c r="VK112">
        <v>5.8</v>
      </c>
      <c r="VL112">
        <v>0</v>
      </c>
      <c r="VM112">
        <v>31.6</v>
      </c>
      <c r="VN112">
        <v>0.76</v>
      </c>
      <c r="VO112">
        <v>0</v>
      </c>
      <c r="VP112">
        <v>0</v>
      </c>
      <c r="VQ112">
        <v>0</v>
      </c>
      <c r="VR112">
        <v>35.590000000000003</v>
      </c>
      <c r="VS112">
        <v>40.15</v>
      </c>
      <c r="VT112">
        <v>14.76</v>
      </c>
      <c r="VU112">
        <v>6.55</v>
      </c>
      <c r="VV112">
        <v>0</v>
      </c>
      <c r="VW112">
        <v>0</v>
      </c>
      <c r="VX112">
        <v>0</v>
      </c>
      <c r="WK112">
        <v>1.1000000000000001</v>
      </c>
      <c r="WL112">
        <v>1</v>
      </c>
      <c r="WM112">
        <v>35</v>
      </c>
      <c r="WN112">
        <v>2</v>
      </c>
      <c r="WO112">
        <v>0.23</v>
      </c>
      <c r="WP112">
        <v>3</v>
      </c>
      <c r="WW112" s="20"/>
      <c r="XO112">
        <v>0</v>
      </c>
      <c r="YZ112" s="16">
        <v>3.2</v>
      </c>
      <c r="ZA112" s="16">
        <v>1</v>
      </c>
      <c r="ZB112" s="16">
        <v>1</v>
      </c>
      <c r="ZC112" s="16"/>
      <c r="ZD112" s="16">
        <v>0.37</v>
      </c>
      <c r="ZE112" s="16">
        <v>2</v>
      </c>
      <c r="ZF112" s="16"/>
      <c r="ZG112" s="16">
        <v>12.89</v>
      </c>
      <c r="ZH112" s="16"/>
      <c r="ZI112" s="16"/>
      <c r="ZJ112" s="16"/>
      <c r="ZK112" s="16">
        <v>5.89</v>
      </c>
      <c r="ZL112" s="16">
        <v>5.13</v>
      </c>
      <c r="ZM112" s="16">
        <v>0</v>
      </c>
      <c r="ZN112" s="16">
        <v>0</v>
      </c>
      <c r="ZO112" s="16">
        <v>0</v>
      </c>
      <c r="ZP112" s="16">
        <v>0</v>
      </c>
      <c r="ZQ112" s="16">
        <v>0</v>
      </c>
      <c r="ZR112">
        <v>0</v>
      </c>
      <c r="ZS112" t="s">
        <v>512</v>
      </c>
      <c r="ZT112">
        <v>33</v>
      </c>
      <c r="ZU112" s="16">
        <v>70.599999999999994</v>
      </c>
      <c r="ZV112" s="16">
        <v>80.400000000000006</v>
      </c>
      <c r="ZW112" s="16">
        <v>29.2</v>
      </c>
      <c r="ZX112">
        <v>16.940000000000001</v>
      </c>
      <c r="ZY112" s="17">
        <v>0</v>
      </c>
      <c r="ZZ112">
        <v>0</v>
      </c>
      <c r="AAA112">
        <v>0</v>
      </c>
      <c r="AAB112">
        <v>0</v>
      </c>
      <c r="AAC112">
        <v>0</v>
      </c>
      <c r="AAD112">
        <v>83.06</v>
      </c>
      <c r="AAE112">
        <v>25.18</v>
      </c>
      <c r="AAF112">
        <v>8.6999999999999993</v>
      </c>
      <c r="AAG112">
        <v>0</v>
      </c>
      <c r="AAH112">
        <v>0</v>
      </c>
      <c r="AAI112">
        <v>0</v>
      </c>
      <c r="AAJ112">
        <v>13.49</v>
      </c>
      <c r="AAK112">
        <v>16.48</v>
      </c>
      <c r="AAL112">
        <v>0</v>
      </c>
      <c r="AAM112">
        <v>0</v>
      </c>
      <c r="AAN112">
        <v>0</v>
      </c>
      <c r="AAO112">
        <v>0</v>
      </c>
      <c r="ABB112">
        <v>0</v>
      </c>
      <c r="ABC112">
        <v>0</v>
      </c>
      <c r="ABN112" s="20"/>
      <c r="ACF112">
        <v>0</v>
      </c>
      <c r="ADQ112" s="16">
        <v>3.62</v>
      </c>
      <c r="ADR112" s="16">
        <v>1</v>
      </c>
      <c r="ADS112" s="16">
        <v>1</v>
      </c>
      <c r="ADT112" s="16"/>
      <c r="ADU112" s="16">
        <v>16.739999999999998</v>
      </c>
      <c r="ADV112" s="16"/>
      <c r="ADW112" s="16"/>
      <c r="ADX112" s="16"/>
      <c r="ADY112" s="16"/>
      <c r="ADZ112" s="16"/>
      <c r="AEA112" s="16"/>
      <c r="AEB112" s="16">
        <v>0</v>
      </c>
      <c r="AEC112" s="16">
        <v>0</v>
      </c>
      <c r="AED112" s="16">
        <v>0</v>
      </c>
      <c r="AEE112" s="16">
        <v>0</v>
      </c>
      <c r="AEF112" s="16">
        <v>0</v>
      </c>
      <c r="AEG112" s="16">
        <v>0</v>
      </c>
      <c r="AEH112" s="16">
        <v>0</v>
      </c>
      <c r="AEI112">
        <v>0</v>
      </c>
      <c r="AEJ112" t="s">
        <v>527</v>
      </c>
      <c r="AEK112">
        <v>87.5</v>
      </c>
      <c r="AEL112" s="16">
        <v>78.400000000000006</v>
      </c>
      <c r="AEM112" s="16">
        <v>80.400000000000006</v>
      </c>
      <c r="AEN112" s="16">
        <v>46.6</v>
      </c>
      <c r="AEO112">
        <v>52.33</v>
      </c>
      <c r="AEP112" s="17">
        <v>0</v>
      </c>
      <c r="AEQ112">
        <v>27.04</v>
      </c>
      <c r="AER112">
        <v>12.9</v>
      </c>
      <c r="AES112">
        <v>7.73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2.2799999999999998</v>
      </c>
      <c r="AFA112">
        <v>28.16</v>
      </c>
      <c r="AFB112">
        <v>18.63</v>
      </c>
      <c r="AFC112">
        <v>1.27</v>
      </c>
      <c r="AFD112">
        <v>0</v>
      </c>
      <c r="AFE112">
        <v>15.7</v>
      </c>
      <c r="AFF112">
        <v>1</v>
      </c>
      <c r="AFG112">
        <v>3</v>
      </c>
      <c r="AFI112">
        <v>1</v>
      </c>
      <c r="AFM112">
        <v>3</v>
      </c>
      <c r="AFO112">
        <v>1</v>
      </c>
      <c r="AFS112">
        <v>14</v>
      </c>
      <c r="AFT112">
        <v>1</v>
      </c>
      <c r="AFU112">
        <v>35</v>
      </c>
      <c r="AFV112">
        <v>4</v>
      </c>
      <c r="AFW112">
        <v>2.98</v>
      </c>
      <c r="AFX112">
        <v>3</v>
      </c>
      <c r="AGE112" s="20"/>
      <c r="AGW112">
        <v>1</v>
      </c>
      <c r="AGX112">
        <v>50</v>
      </c>
      <c r="AGY112">
        <v>2</v>
      </c>
      <c r="AGZ112">
        <v>1.07</v>
      </c>
      <c r="AIH112" s="16">
        <v>1.51</v>
      </c>
      <c r="AII112" s="16">
        <v>1</v>
      </c>
      <c r="AIJ112" s="16">
        <v>1</v>
      </c>
      <c r="AIK112" s="16"/>
      <c r="AIL112" s="16">
        <v>2.86</v>
      </c>
      <c r="AIM112" s="16">
        <v>2</v>
      </c>
      <c r="AIN112" s="16"/>
      <c r="AIO112" s="16">
        <v>0.85</v>
      </c>
      <c r="AIP112" s="16"/>
      <c r="AIQ112" s="16"/>
      <c r="AIR112" s="16"/>
      <c r="AIS112" s="16">
        <v>8.1300000000000008</v>
      </c>
      <c r="AIT112" s="16">
        <v>5.84</v>
      </c>
      <c r="AIU112" s="16">
        <v>0</v>
      </c>
      <c r="AIV112" s="16">
        <v>0</v>
      </c>
      <c r="AIW112" s="16">
        <v>0</v>
      </c>
      <c r="AIX112" s="16">
        <v>0</v>
      </c>
      <c r="AIY112" s="16">
        <v>0</v>
      </c>
      <c r="AIZ112">
        <v>0</v>
      </c>
      <c r="AJA112" t="s">
        <v>528</v>
      </c>
      <c r="AJB112">
        <v>77</v>
      </c>
      <c r="AJC112" s="16">
        <v>57.3</v>
      </c>
      <c r="AJD112" s="16">
        <v>80.400000000000006</v>
      </c>
      <c r="AJE112" s="16">
        <v>31.1</v>
      </c>
      <c r="AJF112">
        <v>67.36</v>
      </c>
      <c r="AJG112" s="17">
        <v>0</v>
      </c>
      <c r="AJH112">
        <v>9.59</v>
      </c>
      <c r="AJI112">
        <v>13.3</v>
      </c>
      <c r="AJJ112">
        <v>0</v>
      </c>
      <c r="AJK112">
        <v>0</v>
      </c>
      <c r="AJL112">
        <v>9.75</v>
      </c>
      <c r="AJM112">
        <v>0.76</v>
      </c>
      <c r="AJN112">
        <v>0</v>
      </c>
      <c r="AJO112">
        <v>0</v>
      </c>
      <c r="AJP112">
        <v>0</v>
      </c>
      <c r="AJQ112">
        <v>3.43</v>
      </c>
      <c r="AJR112">
        <v>4.95</v>
      </c>
      <c r="AJS112">
        <v>6.47</v>
      </c>
      <c r="AJT112">
        <v>0</v>
      </c>
      <c r="AJU112">
        <v>0</v>
      </c>
      <c r="AJV112">
        <v>18.600000000000001</v>
      </c>
      <c r="AJW112">
        <v>1</v>
      </c>
      <c r="AJX112">
        <v>3</v>
      </c>
      <c r="AJZ112">
        <v>1</v>
      </c>
      <c r="AKD112">
        <v>3</v>
      </c>
      <c r="AKF112">
        <v>1</v>
      </c>
      <c r="AKJ112">
        <v>21</v>
      </c>
      <c r="AKK112">
        <v>1</v>
      </c>
      <c r="AKL112">
        <v>35</v>
      </c>
      <c r="AKM112">
        <v>4</v>
      </c>
      <c r="AKN112">
        <v>4.47</v>
      </c>
      <c r="AKO112">
        <v>3</v>
      </c>
      <c r="AKV112" s="20"/>
      <c r="ALN112">
        <v>0</v>
      </c>
    </row>
    <row r="113" spans="1:1024" x14ac:dyDescent="0.2">
      <c r="A113" s="1" t="s">
        <v>529</v>
      </c>
      <c r="B113" s="12">
        <v>42906</v>
      </c>
      <c r="C113">
        <v>2</v>
      </c>
      <c r="D113" s="13">
        <v>37096</v>
      </c>
      <c r="E113" s="12">
        <v>28185</v>
      </c>
      <c r="F113" s="14">
        <f t="shared" si="42"/>
        <v>40.303901437371664</v>
      </c>
      <c r="G113" s="14">
        <f t="shared" si="43"/>
        <v>15.906913073237508</v>
      </c>
      <c r="H113" s="15" t="s">
        <v>183</v>
      </c>
      <c r="I113" s="15" t="s">
        <v>523</v>
      </c>
      <c r="J113" s="15" t="s">
        <v>181</v>
      </c>
      <c r="K113" s="21">
        <v>8</v>
      </c>
      <c r="L113" s="19">
        <v>68</v>
      </c>
      <c r="M113">
        <v>1.67</v>
      </c>
      <c r="N113" s="16">
        <f t="shared" si="44"/>
        <v>24.382372978593711</v>
      </c>
      <c r="O113" s="19">
        <v>0</v>
      </c>
      <c r="P113" s="19">
        <v>0</v>
      </c>
      <c r="Q113" s="19">
        <v>0</v>
      </c>
      <c r="R113" s="19">
        <v>0</v>
      </c>
      <c r="S113" s="19">
        <v>0</v>
      </c>
      <c r="T113" s="19">
        <v>0</v>
      </c>
      <c r="U113" s="19">
        <v>0</v>
      </c>
      <c r="V113" s="19">
        <v>0</v>
      </c>
      <c r="W113" s="19">
        <v>1</v>
      </c>
      <c r="X113" s="19">
        <v>0</v>
      </c>
      <c r="Y113" s="19">
        <v>0</v>
      </c>
      <c r="Z113" s="19">
        <v>0</v>
      </c>
      <c r="AA113" s="19">
        <v>0</v>
      </c>
      <c r="AB113" s="19">
        <v>0</v>
      </c>
      <c r="AC113" s="19">
        <v>0</v>
      </c>
      <c r="AD113" s="19">
        <v>0</v>
      </c>
      <c r="AE113" s="19">
        <v>1</v>
      </c>
      <c r="AF113" s="19">
        <v>0</v>
      </c>
      <c r="AG113" s="19">
        <v>0</v>
      </c>
      <c r="AH113" s="19">
        <v>0</v>
      </c>
      <c r="AI113" s="19">
        <v>3</v>
      </c>
      <c r="AJ113" s="19">
        <v>0</v>
      </c>
      <c r="AK113" s="19">
        <v>0</v>
      </c>
      <c r="AL113" s="19">
        <v>0</v>
      </c>
      <c r="AM113" s="19">
        <v>0</v>
      </c>
      <c r="AN113" s="19">
        <v>3</v>
      </c>
      <c r="AO113" s="19">
        <v>0</v>
      </c>
      <c r="AP113" s="19">
        <v>0</v>
      </c>
      <c r="AQ113" s="19">
        <v>0</v>
      </c>
      <c r="AR113" s="19">
        <v>0</v>
      </c>
      <c r="AS113" s="19">
        <v>3</v>
      </c>
      <c r="AT113" s="19">
        <v>0</v>
      </c>
      <c r="AU113" s="19">
        <v>0</v>
      </c>
      <c r="AV113" s="19">
        <v>0</v>
      </c>
      <c r="AW113" s="19">
        <v>0</v>
      </c>
      <c r="AX113" s="19">
        <v>0</v>
      </c>
      <c r="AY113" s="19">
        <v>0</v>
      </c>
      <c r="AZ113" s="19">
        <v>0</v>
      </c>
      <c r="BA113" s="19">
        <v>0</v>
      </c>
      <c r="BB113" s="19">
        <v>1</v>
      </c>
      <c r="BC113" s="19">
        <v>0</v>
      </c>
      <c r="BD113" s="19">
        <v>0</v>
      </c>
      <c r="BE113" s="19">
        <v>0</v>
      </c>
      <c r="BF113" s="19">
        <v>0</v>
      </c>
      <c r="BG113" s="19">
        <v>0</v>
      </c>
      <c r="BH113" s="19">
        <v>0</v>
      </c>
      <c r="BI113" s="19">
        <v>0</v>
      </c>
      <c r="BJ113" s="19">
        <v>1</v>
      </c>
      <c r="BK113" s="19">
        <v>0</v>
      </c>
      <c r="BL113" s="19">
        <v>1</v>
      </c>
      <c r="BM113" s="19">
        <v>3</v>
      </c>
      <c r="BN113" s="19">
        <v>1</v>
      </c>
      <c r="BO113" s="19">
        <v>0</v>
      </c>
      <c r="BP113" s="19">
        <v>0</v>
      </c>
      <c r="BQ113" s="19">
        <v>0</v>
      </c>
      <c r="BR113" s="19">
        <v>3</v>
      </c>
      <c r="BS113" s="19">
        <v>3</v>
      </c>
      <c r="BT113" s="19">
        <v>5</v>
      </c>
      <c r="BU113" s="19">
        <v>5</v>
      </c>
      <c r="BV113" s="19">
        <v>1</v>
      </c>
      <c r="BW113" s="19">
        <v>1</v>
      </c>
      <c r="BX113" s="19">
        <v>1</v>
      </c>
      <c r="BY113" s="19">
        <v>2</v>
      </c>
      <c r="BZ113" s="19">
        <v>1</v>
      </c>
      <c r="CA113" s="19">
        <v>3</v>
      </c>
      <c r="CB113" s="19">
        <v>4</v>
      </c>
      <c r="CC113" s="19">
        <v>4</v>
      </c>
      <c r="CD113" s="19">
        <v>4</v>
      </c>
      <c r="CE113" s="19">
        <v>5</v>
      </c>
      <c r="CF113" s="19">
        <v>2</v>
      </c>
      <c r="CG113" s="19">
        <v>5</v>
      </c>
      <c r="CH113" s="19">
        <v>5</v>
      </c>
      <c r="CI113" s="19">
        <v>5</v>
      </c>
      <c r="CJ113" s="19">
        <v>5</v>
      </c>
      <c r="CK113" s="19">
        <v>9</v>
      </c>
      <c r="CL113" t="s">
        <v>508</v>
      </c>
      <c r="CM113">
        <v>42.5</v>
      </c>
      <c r="CN113" s="16">
        <v>81.7</v>
      </c>
      <c r="CO113" s="16">
        <v>80.400000000000006</v>
      </c>
      <c r="CP113" s="16">
        <v>18.399999999999999</v>
      </c>
      <c r="CQ113">
        <v>80.680000000000007</v>
      </c>
      <c r="CR113" s="17">
        <v>0</v>
      </c>
      <c r="CS113">
        <v>8.41</v>
      </c>
      <c r="CT113">
        <v>1.93</v>
      </c>
      <c r="CU113">
        <v>8.98</v>
      </c>
      <c r="CV113">
        <v>0</v>
      </c>
      <c r="CW113">
        <v>0</v>
      </c>
      <c r="CY113">
        <v>0</v>
      </c>
      <c r="CZ113">
        <v>0</v>
      </c>
      <c r="DA113">
        <v>0</v>
      </c>
      <c r="DB113">
        <v>7.0000000000000007E-2</v>
      </c>
      <c r="DC113">
        <v>26.86</v>
      </c>
      <c r="DD113">
        <v>25.47</v>
      </c>
      <c r="DE113">
        <v>0</v>
      </c>
      <c r="DF113">
        <v>0</v>
      </c>
      <c r="DG113">
        <v>0</v>
      </c>
      <c r="DH113">
        <v>0</v>
      </c>
      <c r="DU113">
        <v>17.899999999999999</v>
      </c>
      <c r="DV113">
        <v>1</v>
      </c>
      <c r="DW113">
        <v>33</v>
      </c>
      <c r="DX113">
        <v>2</v>
      </c>
      <c r="DY113">
        <v>1.52</v>
      </c>
      <c r="DZ113">
        <v>4</v>
      </c>
      <c r="EA113">
        <v>35</v>
      </c>
      <c r="EB113">
        <v>3</v>
      </c>
      <c r="EC113">
        <v>1.3</v>
      </c>
      <c r="ED113">
        <v>3</v>
      </c>
      <c r="EG113" s="20"/>
      <c r="EY113">
        <v>0</v>
      </c>
      <c r="GJ113" s="16">
        <v>0</v>
      </c>
      <c r="GK113" s="16">
        <v>0</v>
      </c>
      <c r="GL113" s="16"/>
      <c r="GM113" s="16"/>
      <c r="GN113" s="16"/>
      <c r="GO113" s="16"/>
      <c r="GP113" s="16"/>
      <c r="GQ113" s="16"/>
      <c r="GR113" s="16"/>
      <c r="GS113" s="16"/>
      <c r="GT113" s="16"/>
      <c r="GU113" s="16">
        <v>4.29</v>
      </c>
      <c r="GV113" s="16">
        <v>2.66</v>
      </c>
      <c r="GW113" s="16">
        <v>0</v>
      </c>
      <c r="GX113" s="16">
        <v>0</v>
      </c>
      <c r="GY113" s="16">
        <v>0</v>
      </c>
      <c r="GZ113" s="16">
        <v>0</v>
      </c>
      <c r="HA113" s="16">
        <v>0</v>
      </c>
      <c r="HB113">
        <v>0</v>
      </c>
      <c r="HC113" t="s">
        <v>509</v>
      </c>
      <c r="HD113">
        <v>29</v>
      </c>
      <c r="HE113" s="16">
        <v>76.099999999999994</v>
      </c>
      <c r="HF113" s="16">
        <v>80.400000000000006</v>
      </c>
      <c r="HG113" s="16">
        <v>20.5</v>
      </c>
      <c r="HH113">
        <v>77.86</v>
      </c>
      <c r="HI113" s="17">
        <v>0</v>
      </c>
      <c r="HJ113">
        <v>13.05</v>
      </c>
      <c r="HK113">
        <v>0</v>
      </c>
      <c r="HL113">
        <v>9.1</v>
      </c>
      <c r="HM113">
        <v>0</v>
      </c>
      <c r="HN113">
        <v>0</v>
      </c>
      <c r="HP113">
        <v>0</v>
      </c>
      <c r="HQ113">
        <v>0</v>
      </c>
      <c r="HR113">
        <v>0</v>
      </c>
      <c r="HS113">
        <v>0.56999999999999995</v>
      </c>
      <c r="HT113">
        <v>29.77</v>
      </c>
      <c r="HU113">
        <v>20.82</v>
      </c>
      <c r="HV113">
        <v>0</v>
      </c>
      <c r="HW113">
        <v>0</v>
      </c>
      <c r="HX113">
        <v>0</v>
      </c>
      <c r="HY113">
        <v>1</v>
      </c>
      <c r="HZ113">
        <v>2</v>
      </c>
      <c r="IB113">
        <v>1</v>
      </c>
      <c r="IF113">
        <v>2</v>
      </c>
      <c r="IH113">
        <v>1</v>
      </c>
      <c r="IL113">
        <v>0</v>
      </c>
      <c r="IM113">
        <v>0</v>
      </c>
      <c r="IX113" s="20"/>
      <c r="JP113">
        <v>0</v>
      </c>
      <c r="LA113" s="16">
        <v>0.32</v>
      </c>
      <c r="LB113" s="16">
        <v>1</v>
      </c>
      <c r="LC113" s="16">
        <v>1</v>
      </c>
      <c r="LD113" s="16"/>
      <c r="LE113" s="16">
        <v>1.32</v>
      </c>
      <c r="LF113" s="16"/>
      <c r="LG113" s="16"/>
      <c r="LH113" s="16"/>
      <c r="LI113" s="16"/>
      <c r="LJ113" s="16"/>
      <c r="LK113" s="16"/>
      <c r="LL113" s="16">
        <v>5.5</v>
      </c>
      <c r="LM113" s="16">
        <v>9.81</v>
      </c>
      <c r="LN113" s="16">
        <v>0</v>
      </c>
      <c r="LO113" s="16">
        <v>0</v>
      </c>
      <c r="LP113" s="16">
        <v>0</v>
      </c>
      <c r="LQ113" s="16">
        <v>0</v>
      </c>
      <c r="LR113" s="16">
        <v>0</v>
      </c>
      <c r="LS113">
        <v>0</v>
      </c>
      <c r="LT113" t="s">
        <v>510</v>
      </c>
      <c r="LU113">
        <v>33.5</v>
      </c>
      <c r="LV113" s="16">
        <v>74.7</v>
      </c>
      <c r="LW113" s="16">
        <v>80.400000000000006</v>
      </c>
      <c r="LX113" s="16">
        <v>23.3</v>
      </c>
      <c r="LY113">
        <v>67.739999999999995</v>
      </c>
      <c r="LZ113" s="17">
        <v>0</v>
      </c>
      <c r="MA113">
        <v>10.14</v>
      </c>
      <c r="MB113">
        <v>0</v>
      </c>
      <c r="MC113">
        <v>22.12</v>
      </c>
      <c r="MD113">
        <v>0</v>
      </c>
      <c r="ME113">
        <v>0</v>
      </c>
      <c r="MG113">
        <v>0</v>
      </c>
      <c r="MH113">
        <v>0</v>
      </c>
      <c r="MI113">
        <v>0</v>
      </c>
      <c r="MJ113">
        <v>0</v>
      </c>
      <c r="MK113">
        <v>51.2</v>
      </c>
      <c r="ML113">
        <v>15.83</v>
      </c>
      <c r="MM113">
        <v>0</v>
      </c>
      <c r="MN113">
        <v>0</v>
      </c>
      <c r="MO113">
        <v>0</v>
      </c>
      <c r="MP113">
        <v>0</v>
      </c>
      <c r="NC113">
        <v>2.2999999999999998</v>
      </c>
      <c r="ND113">
        <v>0</v>
      </c>
      <c r="NO113" s="20"/>
      <c r="OG113">
        <v>1</v>
      </c>
      <c r="OH113">
        <v>50</v>
      </c>
      <c r="OI113">
        <v>20</v>
      </c>
      <c r="OJ113">
        <v>30.66</v>
      </c>
      <c r="OK113">
        <v>3</v>
      </c>
      <c r="OL113">
        <v>60</v>
      </c>
      <c r="OM113">
        <v>33</v>
      </c>
      <c r="ON113">
        <v>0.56000000000000005</v>
      </c>
      <c r="OO113">
        <v>3</v>
      </c>
      <c r="PR113" s="16">
        <v>0</v>
      </c>
      <c r="PS113" s="16">
        <v>0</v>
      </c>
      <c r="PT113" s="16"/>
      <c r="PU113" s="16"/>
      <c r="PV113" s="16"/>
      <c r="PW113" s="16"/>
      <c r="PX113" s="16"/>
      <c r="PY113" s="16"/>
      <c r="PZ113" s="16"/>
      <c r="QA113" s="16"/>
      <c r="QB113" s="16"/>
      <c r="QC113" s="16">
        <v>5.22</v>
      </c>
      <c r="QD113" s="16">
        <v>7.07</v>
      </c>
      <c r="QE113" s="16">
        <v>0</v>
      </c>
      <c r="QF113" s="16">
        <v>0</v>
      </c>
      <c r="QG113" s="16">
        <v>0</v>
      </c>
      <c r="QH113" s="16">
        <v>0</v>
      </c>
      <c r="QI113" s="16">
        <v>0</v>
      </c>
      <c r="QJ113">
        <v>0</v>
      </c>
      <c r="QK113" t="s">
        <v>511</v>
      </c>
      <c r="QL113">
        <v>36.5</v>
      </c>
      <c r="QM113" s="16">
        <v>85.2</v>
      </c>
      <c r="QN113" s="16">
        <v>80.400000000000006</v>
      </c>
      <c r="QO113" s="16">
        <v>24.1</v>
      </c>
      <c r="QP113">
        <v>65.36</v>
      </c>
      <c r="QQ113" s="17">
        <v>0</v>
      </c>
      <c r="QR113">
        <v>10.14</v>
      </c>
      <c r="QS113">
        <v>0</v>
      </c>
      <c r="QT113">
        <v>24.5</v>
      </c>
      <c r="QU113">
        <v>0</v>
      </c>
      <c r="QV113">
        <v>0</v>
      </c>
      <c r="QX113">
        <v>0</v>
      </c>
      <c r="QY113">
        <v>0</v>
      </c>
      <c r="QZ113">
        <v>0</v>
      </c>
      <c r="RA113">
        <v>0</v>
      </c>
      <c r="RB113">
        <v>56.76</v>
      </c>
      <c r="RC113">
        <v>17.5</v>
      </c>
      <c r="RD113">
        <v>0</v>
      </c>
      <c r="RE113">
        <v>0</v>
      </c>
      <c r="RF113">
        <v>0</v>
      </c>
      <c r="RG113">
        <v>0</v>
      </c>
      <c r="RT113">
        <v>4.3</v>
      </c>
      <c r="RU113">
        <v>0</v>
      </c>
      <c r="SF113" s="20"/>
      <c r="SX113">
        <v>1</v>
      </c>
      <c r="SY113">
        <v>60</v>
      </c>
      <c r="SZ113">
        <v>53</v>
      </c>
      <c r="TA113">
        <v>35.979999999999997</v>
      </c>
      <c r="TB113">
        <v>3</v>
      </c>
      <c r="UI113" s="16">
        <v>0</v>
      </c>
      <c r="UJ113" s="16">
        <v>0</v>
      </c>
      <c r="UK113" s="16"/>
      <c r="UL113" s="16"/>
      <c r="UM113" s="16"/>
      <c r="UN113" s="16"/>
      <c r="UO113" s="16"/>
      <c r="UP113" s="16"/>
      <c r="UQ113" s="16"/>
      <c r="UR113" s="16"/>
      <c r="US113" s="16"/>
      <c r="UT113" s="16">
        <v>5.0999999999999996</v>
      </c>
      <c r="UU113" s="16">
        <v>5.93</v>
      </c>
      <c r="UV113" s="16">
        <v>0</v>
      </c>
      <c r="UW113" s="16">
        <v>0</v>
      </c>
      <c r="UX113" s="16">
        <v>0</v>
      </c>
      <c r="UY113" s="16">
        <v>0</v>
      </c>
      <c r="UZ113" s="16">
        <v>0</v>
      </c>
      <c r="VA113">
        <v>0</v>
      </c>
      <c r="VB113" t="s">
        <v>525</v>
      </c>
      <c r="VC113">
        <v>16.5</v>
      </c>
      <c r="VD113" s="16">
        <v>30.8</v>
      </c>
      <c r="VE113" s="16">
        <v>80.400000000000006</v>
      </c>
      <c r="VF113" s="16">
        <v>8.6999999999999993</v>
      </c>
      <c r="VG113">
        <v>86.39</v>
      </c>
      <c r="VH113" s="17">
        <v>0</v>
      </c>
      <c r="VI113">
        <v>0</v>
      </c>
      <c r="VJ113">
        <v>0</v>
      </c>
      <c r="VK113">
        <v>2.2799999999999998</v>
      </c>
      <c r="VL113">
        <v>0</v>
      </c>
      <c r="VM113">
        <v>9.09</v>
      </c>
      <c r="VN113">
        <v>3.57</v>
      </c>
      <c r="VO113">
        <v>0</v>
      </c>
      <c r="VP113">
        <v>1.8</v>
      </c>
      <c r="VQ113">
        <v>0</v>
      </c>
      <c r="VR113">
        <v>1.8</v>
      </c>
      <c r="VS113">
        <v>5.0599999999999996</v>
      </c>
      <c r="VT113">
        <v>7.89</v>
      </c>
      <c r="VU113">
        <v>0</v>
      </c>
      <c r="VV113">
        <v>0</v>
      </c>
      <c r="VW113">
        <v>0</v>
      </c>
      <c r="VX113">
        <v>0</v>
      </c>
      <c r="WK113">
        <v>0</v>
      </c>
      <c r="WL113">
        <v>1</v>
      </c>
      <c r="WM113">
        <v>23</v>
      </c>
      <c r="WN113">
        <v>2</v>
      </c>
      <c r="WO113">
        <v>0.72</v>
      </c>
      <c r="WP113">
        <v>3</v>
      </c>
      <c r="WW113" s="20"/>
      <c r="XO113">
        <v>0</v>
      </c>
      <c r="YZ113" s="16">
        <v>0.82</v>
      </c>
      <c r="ZA113" s="16">
        <v>1</v>
      </c>
      <c r="ZB113" s="16">
        <v>1</v>
      </c>
      <c r="ZC113" s="16"/>
      <c r="ZD113" s="16">
        <v>1.84</v>
      </c>
      <c r="ZE113" s="16"/>
      <c r="ZF113" s="16"/>
      <c r="ZG113" s="16"/>
      <c r="ZH113" s="16"/>
      <c r="ZI113" s="16"/>
      <c r="ZJ113" s="16"/>
      <c r="ZK113" s="16">
        <v>0</v>
      </c>
      <c r="ZL113" s="16">
        <v>0</v>
      </c>
      <c r="ZM113" s="16">
        <v>0</v>
      </c>
      <c r="ZN113" s="16">
        <v>0</v>
      </c>
      <c r="ZO113" s="16">
        <v>6.72</v>
      </c>
      <c r="ZP113" s="16">
        <v>0</v>
      </c>
      <c r="ZQ113" s="16">
        <v>0</v>
      </c>
      <c r="ZR113">
        <v>0</v>
      </c>
      <c r="ZS113" t="s">
        <v>530</v>
      </c>
      <c r="ZT113">
        <v>29.5</v>
      </c>
      <c r="ZU113" s="16">
        <v>87</v>
      </c>
      <c r="ZV113" s="16">
        <v>80.400000000000006</v>
      </c>
      <c r="ZW113" s="16">
        <v>20.9</v>
      </c>
      <c r="ZX113">
        <v>47.27</v>
      </c>
      <c r="ZY113" s="17">
        <v>0</v>
      </c>
      <c r="ZZ113">
        <v>8.94</v>
      </c>
      <c r="AAA113">
        <v>0</v>
      </c>
      <c r="AAB113">
        <v>5.89</v>
      </c>
      <c r="AAC113">
        <v>0</v>
      </c>
      <c r="AAD113">
        <v>37.82</v>
      </c>
      <c r="AAE113">
        <v>0.76</v>
      </c>
      <c r="AAF113">
        <v>0</v>
      </c>
      <c r="AAG113">
        <v>0</v>
      </c>
      <c r="AAH113">
        <v>0</v>
      </c>
      <c r="AAI113">
        <v>41.87</v>
      </c>
      <c r="AAJ113">
        <v>46.31</v>
      </c>
      <c r="AAK113">
        <v>18.03</v>
      </c>
      <c r="AAL113">
        <v>5.0599999999999996</v>
      </c>
      <c r="AAM113">
        <v>0</v>
      </c>
      <c r="AAN113">
        <v>0</v>
      </c>
      <c r="AAO113">
        <v>0</v>
      </c>
      <c r="ABB113">
        <v>1.1000000000000001</v>
      </c>
      <c r="ABC113">
        <v>1</v>
      </c>
      <c r="ABD113">
        <v>35</v>
      </c>
      <c r="ABE113">
        <v>2</v>
      </c>
      <c r="ABF113">
        <v>0.23</v>
      </c>
      <c r="ABG113">
        <v>3</v>
      </c>
      <c r="ABN113" s="20"/>
      <c r="ACF113">
        <v>0</v>
      </c>
      <c r="ADQ113" s="16">
        <v>3.92</v>
      </c>
      <c r="ADR113" s="16">
        <v>1</v>
      </c>
      <c r="ADS113" s="16">
        <v>1</v>
      </c>
      <c r="ADT113" s="16"/>
      <c r="ADU113" s="16">
        <v>0.37</v>
      </c>
      <c r="ADV113" s="16">
        <v>2</v>
      </c>
      <c r="ADW113" s="16"/>
      <c r="ADX113" s="16">
        <v>15.28</v>
      </c>
      <c r="ADY113" s="16"/>
      <c r="ADZ113" s="16"/>
      <c r="AEA113" s="16"/>
      <c r="AEB113" s="16">
        <v>2.34</v>
      </c>
      <c r="AEC113" s="16">
        <v>2.02</v>
      </c>
      <c r="AED113" s="16">
        <v>0</v>
      </c>
      <c r="AEE113" s="16">
        <v>0</v>
      </c>
      <c r="AEF113" s="16">
        <v>0</v>
      </c>
      <c r="AEG113" s="16">
        <v>0</v>
      </c>
      <c r="AEH113" s="16">
        <v>0</v>
      </c>
      <c r="AEI113">
        <v>0</v>
      </c>
      <c r="AEJ113" t="s">
        <v>526</v>
      </c>
      <c r="AEK113">
        <v>33</v>
      </c>
      <c r="AEL113" s="16">
        <v>81.8</v>
      </c>
      <c r="AEM113" s="16">
        <v>80.400000000000006</v>
      </c>
      <c r="AEN113" s="16">
        <v>20.6</v>
      </c>
      <c r="AEO113">
        <v>53.66</v>
      </c>
      <c r="AEP113" s="17">
        <v>0</v>
      </c>
      <c r="AEQ113">
        <v>8.94</v>
      </c>
      <c r="AER113">
        <v>0</v>
      </c>
      <c r="AES113">
        <v>5.8</v>
      </c>
      <c r="AET113">
        <v>0</v>
      </c>
      <c r="AEU113">
        <v>31.6</v>
      </c>
      <c r="AEV113">
        <v>0.76</v>
      </c>
      <c r="AEW113">
        <v>0</v>
      </c>
      <c r="AEX113">
        <v>0</v>
      </c>
      <c r="AEY113">
        <v>0</v>
      </c>
      <c r="AEZ113">
        <v>35.590000000000003</v>
      </c>
      <c r="AFA113">
        <v>40.15</v>
      </c>
      <c r="AFB113">
        <v>14.76</v>
      </c>
      <c r="AFC113">
        <v>6.55</v>
      </c>
      <c r="AFD113">
        <v>0</v>
      </c>
      <c r="AFE113">
        <v>0</v>
      </c>
      <c r="AFF113">
        <v>0</v>
      </c>
      <c r="AFS113">
        <v>1.1000000000000001</v>
      </c>
      <c r="AFT113">
        <v>1</v>
      </c>
      <c r="AFU113">
        <v>35</v>
      </c>
      <c r="AFV113">
        <v>2</v>
      </c>
      <c r="AFW113">
        <v>0.23</v>
      </c>
      <c r="AFX113">
        <v>3</v>
      </c>
      <c r="AGE113" s="20"/>
      <c r="AGW113">
        <v>0</v>
      </c>
      <c r="AIH113" s="16">
        <v>3.2</v>
      </c>
      <c r="AII113" s="16">
        <v>1</v>
      </c>
      <c r="AIJ113" s="16">
        <v>1</v>
      </c>
      <c r="AIK113" s="16"/>
      <c r="AIL113" s="16">
        <v>0.37</v>
      </c>
      <c r="AIM113" s="16">
        <v>2</v>
      </c>
      <c r="AIN113" s="16"/>
      <c r="AIO113" s="16">
        <v>12.89</v>
      </c>
      <c r="AIP113" s="16"/>
      <c r="AIQ113" s="16"/>
      <c r="AIR113" s="16"/>
      <c r="AIS113" s="16">
        <v>5.89</v>
      </c>
      <c r="AIT113" s="16">
        <v>5.13</v>
      </c>
      <c r="AIU113" s="16">
        <v>0</v>
      </c>
      <c r="AIV113" s="16">
        <v>0</v>
      </c>
      <c r="AIW113" s="16">
        <v>0</v>
      </c>
      <c r="AIX113" s="16">
        <v>0</v>
      </c>
      <c r="AIY113" s="16">
        <v>0</v>
      </c>
      <c r="AIZ113">
        <v>0</v>
      </c>
      <c r="AJA113" t="s">
        <v>512</v>
      </c>
      <c r="AJB113">
        <v>33</v>
      </c>
      <c r="AJC113" s="16">
        <v>70.599999999999994</v>
      </c>
      <c r="AJD113" s="16">
        <v>80.400000000000006</v>
      </c>
      <c r="AJE113" s="16">
        <v>29.2</v>
      </c>
      <c r="AJF113">
        <v>16.940000000000001</v>
      </c>
      <c r="AJG113" s="17">
        <v>0</v>
      </c>
      <c r="AJH113">
        <v>0</v>
      </c>
      <c r="AJI113">
        <v>0</v>
      </c>
      <c r="AJJ113">
        <v>0</v>
      </c>
      <c r="AJK113">
        <v>0</v>
      </c>
      <c r="AJL113">
        <v>83.06</v>
      </c>
      <c r="AJM113">
        <v>25.18</v>
      </c>
      <c r="AJN113">
        <v>8.6999999999999993</v>
      </c>
      <c r="AJO113">
        <v>0</v>
      </c>
      <c r="AJP113">
        <v>0</v>
      </c>
      <c r="AJQ113">
        <v>0</v>
      </c>
      <c r="AJR113">
        <v>13.49</v>
      </c>
      <c r="AJS113">
        <v>16.48</v>
      </c>
      <c r="AJT113">
        <v>0</v>
      </c>
      <c r="AJU113">
        <v>0</v>
      </c>
      <c r="AJV113">
        <v>0</v>
      </c>
      <c r="AJW113">
        <v>0</v>
      </c>
      <c r="AKJ113">
        <v>0</v>
      </c>
      <c r="AKK113">
        <v>0</v>
      </c>
      <c r="AKV113" s="20"/>
      <c r="ALN113">
        <v>0</v>
      </c>
    </row>
    <row r="114" spans="1:1024" x14ac:dyDescent="0.2">
      <c r="A114" s="1" t="s">
        <v>531</v>
      </c>
      <c r="B114" s="12">
        <v>42905</v>
      </c>
      <c r="C114">
        <v>2</v>
      </c>
      <c r="D114" s="13">
        <v>42814</v>
      </c>
      <c r="E114" s="12">
        <v>27339</v>
      </c>
      <c r="F114" s="14">
        <f t="shared" si="42"/>
        <v>42.617385352498289</v>
      </c>
      <c r="G114" s="14">
        <f t="shared" si="43"/>
        <v>0.24914442162902123</v>
      </c>
      <c r="H114" s="15" t="s">
        <v>183</v>
      </c>
      <c r="I114" s="15" t="s">
        <v>523</v>
      </c>
      <c r="J114" s="15" t="s">
        <v>181</v>
      </c>
      <c r="K114" s="21">
        <v>8</v>
      </c>
      <c r="L114" s="19">
        <v>67</v>
      </c>
      <c r="M114">
        <v>1.7</v>
      </c>
      <c r="N114" s="16">
        <f t="shared" si="44"/>
        <v>23.183391003460208</v>
      </c>
      <c r="O114" s="19">
        <v>0</v>
      </c>
      <c r="P114" s="19">
        <v>0</v>
      </c>
      <c r="Q114" s="19">
        <v>0</v>
      </c>
      <c r="R114" s="19">
        <v>0</v>
      </c>
      <c r="S114" s="19">
        <v>0</v>
      </c>
      <c r="T114" s="19">
        <v>0</v>
      </c>
      <c r="U114" s="19">
        <v>1</v>
      </c>
      <c r="V114" s="19">
        <v>2</v>
      </c>
      <c r="W114" s="19">
        <v>1</v>
      </c>
      <c r="X114" s="19">
        <v>0</v>
      </c>
      <c r="Y114" s="19">
        <v>1</v>
      </c>
      <c r="Z114" s="19">
        <v>2</v>
      </c>
      <c r="AA114" s="19">
        <v>90</v>
      </c>
      <c r="AB114" s="19" t="s">
        <v>532</v>
      </c>
      <c r="AC114" s="19">
        <v>1</v>
      </c>
      <c r="AD114" s="19">
        <v>25</v>
      </c>
      <c r="AE114" s="19">
        <v>0</v>
      </c>
      <c r="AF114" s="19">
        <v>0</v>
      </c>
      <c r="AG114" s="19">
        <v>0</v>
      </c>
      <c r="AH114" s="19">
        <v>0</v>
      </c>
      <c r="AI114" s="19">
        <v>0</v>
      </c>
      <c r="AJ114" s="19">
        <v>0</v>
      </c>
      <c r="AK114" s="19">
        <v>0</v>
      </c>
      <c r="AL114" s="19">
        <v>0</v>
      </c>
      <c r="AM114" s="19">
        <v>0</v>
      </c>
      <c r="AN114" s="19">
        <v>0</v>
      </c>
      <c r="AO114" s="19">
        <v>0</v>
      </c>
      <c r="AP114" s="19">
        <v>0</v>
      </c>
      <c r="AQ114" s="19">
        <v>0</v>
      </c>
      <c r="AR114" s="19">
        <v>0</v>
      </c>
      <c r="AS114" s="19">
        <v>1</v>
      </c>
      <c r="AT114" s="19">
        <v>0</v>
      </c>
      <c r="AU114" s="19">
        <v>0</v>
      </c>
      <c r="AV114" s="19">
        <v>0</v>
      </c>
      <c r="AW114" s="19">
        <v>0</v>
      </c>
      <c r="AX114" s="19">
        <v>0</v>
      </c>
      <c r="AY114" s="19">
        <v>0</v>
      </c>
      <c r="AZ114" s="19">
        <v>0</v>
      </c>
      <c r="BA114" s="19">
        <v>0</v>
      </c>
      <c r="BB114" s="19">
        <v>0</v>
      </c>
      <c r="BC114" s="19">
        <v>0</v>
      </c>
      <c r="BD114" s="19">
        <v>0</v>
      </c>
      <c r="BE114" s="19">
        <v>0</v>
      </c>
      <c r="BF114" s="19">
        <v>0</v>
      </c>
      <c r="BG114" s="19">
        <v>0</v>
      </c>
      <c r="BH114" s="19">
        <v>0</v>
      </c>
      <c r="BI114" s="19">
        <v>0</v>
      </c>
      <c r="BJ114" s="19">
        <v>0</v>
      </c>
      <c r="BK114" s="19">
        <v>0</v>
      </c>
      <c r="BL114" s="19">
        <v>0</v>
      </c>
      <c r="BM114" s="19">
        <v>0</v>
      </c>
      <c r="BN114" s="19">
        <v>0</v>
      </c>
      <c r="BO114" s="19">
        <v>0</v>
      </c>
      <c r="BP114" s="19">
        <v>0</v>
      </c>
      <c r="BQ114" s="19">
        <v>0</v>
      </c>
      <c r="BR114" s="19">
        <v>2</v>
      </c>
      <c r="BS114" s="19">
        <v>2</v>
      </c>
      <c r="BT114" s="19">
        <v>3</v>
      </c>
      <c r="BU114" s="19">
        <v>5</v>
      </c>
      <c r="BV114" s="19">
        <v>2</v>
      </c>
      <c r="BW114" s="19">
        <v>2</v>
      </c>
      <c r="BX114" s="19">
        <v>5</v>
      </c>
      <c r="BY114" s="19">
        <v>3</v>
      </c>
      <c r="BZ114" s="19">
        <v>2</v>
      </c>
      <c r="CA114" s="19">
        <v>4</v>
      </c>
      <c r="CB114" s="19">
        <v>4</v>
      </c>
      <c r="CC114" s="19">
        <v>5</v>
      </c>
      <c r="CD114" s="19">
        <v>1</v>
      </c>
      <c r="CE114" s="19">
        <v>5</v>
      </c>
      <c r="CF114" s="19">
        <v>5</v>
      </c>
      <c r="CG114" s="19">
        <v>5</v>
      </c>
      <c r="CH114" s="19">
        <v>4</v>
      </c>
      <c r="CI114" s="19">
        <v>5</v>
      </c>
      <c r="CJ114" s="19">
        <v>4</v>
      </c>
      <c r="CK114" s="19">
        <v>10</v>
      </c>
      <c r="CL114" t="s">
        <v>507</v>
      </c>
      <c r="CM114">
        <v>30</v>
      </c>
      <c r="CN114" s="16">
        <v>86.6</v>
      </c>
      <c r="CO114" s="16">
        <v>80.400000000000006</v>
      </c>
      <c r="CP114" s="16">
        <v>20.399999999999999</v>
      </c>
      <c r="CQ114">
        <v>82.62</v>
      </c>
      <c r="CR114" s="17">
        <v>0</v>
      </c>
      <c r="CS114">
        <v>15.49</v>
      </c>
      <c r="CT114">
        <v>1.49</v>
      </c>
      <c r="CU114">
        <v>0.4</v>
      </c>
      <c r="CV114">
        <v>0</v>
      </c>
      <c r="CW114">
        <v>0</v>
      </c>
      <c r="CY114">
        <v>0</v>
      </c>
      <c r="CZ114">
        <v>0</v>
      </c>
      <c r="DA114">
        <v>0</v>
      </c>
      <c r="DB114">
        <v>6.38</v>
      </c>
      <c r="DC114">
        <v>56.11</v>
      </c>
      <c r="DD114">
        <v>8.4600000000000009</v>
      </c>
      <c r="DE114">
        <v>1.21</v>
      </c>
      <c r="DF114">
        <v>0</v>
      </c>
      <c r="DG114">
        <v>0</v>
      </c>
      <c r="DH114">
        <v>0</v>
      </c>
      <c r="DU114">
        <v>0.5</v>
      </c>
      <c r="DV114">
        <v>0</v>
      </c>
      <c r="EG114" s="20"/>
      <c r="EY114">
        <v>1</v>
      </c>
      <c r="EZ114">
        <v>40</v>
      </c>
      <c r="FA114">
        <v>1</v>
      </c>
      <c r="FB114">
        <v>1.71</v>
      </c>
      <c r="FC114">
        <v>2</v>
      </c>
      <c r="FD114">
        <v>50</v>
      </c>
      <c r="FE114">
        <v>1</v>
      </c>
      <c r="FF114">
        <v>0.13</v>
      </c>
      <c r="FG114">
        <v>2</v>
      </c>
      <c r="GJ114" s="16">
        <v>0.62</v>
      </c>
      <c r="GK114" s="16">
        <v>1</v>
      </c>
      <c r="GL114" s="16">
        <v>1</v>
      </c>
      <c r="GM114" s="16"/>
      <c r="GN114" s="16">
        <v>4.1399999999999997</v>
      </c>
      <c r="GO114" s="16"/>
      <c r="GP114" s="16"/>
      <c r="GQ114" s="16"/>
      <c r="GR114" s="16"/>
      <c r="GS114" s="16"/>
      <c r="GT114" s="16"/>
      <c r="GU114" s="16">
        <v>0</v>
      </c>
      <c r="GV114" s="16">
        <v>0</v>
      </c>
      <c r="GW114" s="16">
        <v>0</v>
      </c>
      <c r="GX114" s="16">
        <v>0</v>
      </c>
      <c r="GY114" s="16">
        <v>5.97</v>
      </c>
      <c r="GZ114" s="16">
        <v>0</v>
      </c>
      <c r="HA114" s="16">
        <v>0</v>
      </c>
      <c r="HB114">
        <v>2</v>
      </c>
      <c r="HC114" t="s">
        <v>533</v>
      </c>
      <c r="HD114">
        <v>30.5</v>
      </c>
      <c r="HE114" s="16">
        <v>84.8</v>
      </c>
      <c r="HF114" s="16">
        <v>80.400000000000006</v>
      </c>
      <c r="HG114" s="16">
        <v>23.9</v>
      </c>
      <c r="HH114">
        <v>79.319999999999993</v>
      </c>
      <c r="HI114" s="17">
        <v>0</v>
      </c>
      <c r="HJ114">
        <v>18.78</v>
      </c>
      <c r="HK114">
        <v>1.49</v>
      </c>
      <c r="HL114">
        <v>0.4</v>
      </c>
      <c r="HM114">
        <v>0</v>
      </c>
      <c r="HN114">
        <v>0</v>
      </c>
      <c r="HP114">
        <v>0</v>
      </c>
      <c r="HQ114">
        <v>0</v>
      </c>
      <c r="HR114">
        <v>0</v>
      </c>
      <c r="HS114">
        <v>6.38</v>
      </c>
      <c r="HT114">
        <v>49.21</v>
      </c>
      <c r="HU114">
        <v>12.84</v>
      </c>
      <c r="HV114">
        <v>1.21</v>
      </c>
      <c r="HW114">
        <v>0</v>
      </c>
      <c r="HX114">
        <v>0</v>
      </c>
      <c r="HY114">
        <v>0</v>
      </c>
      <c r="IL114">
        <v>0</v>
      </c>
      <c r="IM114">
        <v>0</v>
      </c>
      <c r="IX114" s="20"/>
      <c r="JP114">
        <v>1</v>
      </c>
      <c r="JQ114">
        <v>40</v>
      </c>
      <c r="JR114">
        <v>1</v>
      </c>
      <c r="JS114">
        <v>2.09</v>
      </c>
      <c r="JT114">
        <v>1</v>
      </c>
      <c r="LA114" s="16">
        <v>0.62</v>
      </c>
      <c r="LB114" s="16">
        <v>1</v>
      </c>
      <c r="LC114" s="16">
        <v>1</v>
      </c>
      <c r="LD114" s="16"/>
      <c r="LE114" s="16">
        <v>4.1399999999999997</v>
      </c>
      <c r="LF114" s="16"/>
      <c r="LG114" s="16"/>
      <c r="LH114" s="16"/>
      <c r="LI114" s="16"/>
      <c r="LJ114" s="16"/>
      <c r="LK114" s="16"/>
      <c r="LL114" s="16">
        <v>0</v>
      </c>
      <c r="LM114" s="16">
        <v>0</v>
      </c>
      <c r="LN114" s="16">
        <v>0</v>
      </c>
      <c r="LO114" s="16">
        <v>0</v>
      </c>
      <c r="LP114" s="16">
        <v>0</v>
      </c>
      <c r="LQ114" s="16">
        <v>0</v>
      </c>
      <c r="LR114" s="16">
        <v>3.21</v>
      </c>
      <c r="LS114">
        <v>0</v>
      </c>
      <c r="LT114" t="s">
        <v>508</v>
      </c>
      <c r="LU114">
        <v>42.5</v>
      </c>
      <c r="LV114" s="16">
        <v>81.7</v>
      </c>
      <c r="LW114" s="16">
        <v>80.400000000000006</v>
      </c>
      <c r="LX114" s="16">
        <v>18.399999999999999</v>
      </c>
      <c r="LY114">
        <v>80.680000000000007</v>
      </c>
      <c r="LZ114" s="17">
        <v>0</v>
      </c>
      <c r="MA114">
        <v>8.41</v>
      </c>
      <c r="MB114">
        <v>1.93</v>
      </c>
      <c r="MC114">
        <v>8.98</v>
      </c>
      <c r="MD114">
        <v>0</v>
      </c>
      <c r="ME114">
        <v>0</v>
      </c>
      <c r="MG114">
        <v>0</v>
      </c>
      <c r="MH114">
        <v>0</v>
      </c>
      <c r="MI114">
        <v>0</v>
      </c>
      <c r="MJ114">
        <v>7.0000000000000007E-2</v>
      </c>
      <c r="MK114">
        <v>26.86</v>
      </c>
      <c r="ML114">
        <v>25.47</v>
      </c>
      <c r="MM114">
        <v>0</v>
      </c>
      <c r="MN114">
        <v>0</v>
      </c>
      <c r="MO114">
        <v>0</v>
      </c>
      <c r="MP114">
        <v>0</v>
      </c>
      <c r="NC114">
        <v>17.899999999999999</v>
      </c>
      <c r="ND114">
        <v>1</v>
      </c>
      <c r="NE114">
        <v>33</v>
      </c>
      <c r="NF114">
        <v>2</v>
      </c>
      <c r="NG114">
        <v>1.52</v>
      </c>
      <c r="NH114">
        <v>4</v>
      </c>
      <c r="NI114">
        <v>35</v>
      </c>
      <c r="NJ114">
        <v>3</v>
      </c>
      <c r="NK114">
        <v>1.3</v>
      </c>
      <c r="NL114">
        <v>3</v>
      </c>
      <c r="NO114" s="20"/>
      <c r="OG114">
        <v>0</v>
      </c>
      <c r="PR114" s="16">
        <v>0</v>
      </c>
      <c r="PS114" s="16">
        <v>0</v>
      </c>
      <c r="PT114" s="16"/>
      <c r="PU114" s="16"/>
      <c r="PV114" s="16"/>
      <c r="PW114" s="16"/>
      <c r="PX114" s="16"/>
      <c r="PY114" s="16"/>
      <c r="PZ114" s="16"/>
      <c r="QA114" s="16"/>
      <c r="QB114" s="16"/>
      <c r="QC114" s="16">
        <v>4.29</v>
      </c>
      <c r="QD114" s="16">
        <v>2.66</v>
      </c>
      <c r="QE114" s="16">
        <v>0</v>
      </c>
      <c r="QF114" s="16">
        <v>0</v>
      </c>
      <c r="QG114" s="16">
        <v>0</v>
      </c>
      <c r="QH114" s="16">
        <v>0</v>
      </c>
      <c r="QI114" s="16">
        <v>0</v>
      </c>
      <c r="QJ114">
        <v>0</v>
      </c>
      <c r="QK114" t="s">
        <v>509</v>
      </c>
      <c r="QL114">
        <v>29</v>
      </c>
      <c r="QM114" s="16">
        <v>76.099999999999994</v>
      </c>
      <c r="QN114" s="16">
        <v>80.400000000000006</v>
      </c>
      <c r="QO114" s="16">
        <v>20.5</v>
      </c>
      <c r="QP114">
        <v>77.86</v>
      </c>
      <c r="QQ114" s="17">
        <v>0</v>
      </c>
      <c r="QR114">
        <v>13.05</v>
      </c>
      <c r="QS114">
        <v>0</v>
      </c>
      <c r="QT114">
        <v>9.1</v>
      </c>
      <c r="QU114">
        <v>0</v>
      </c>
      <c r="QV114">
        <v>0</v>
      </c>
      <c r="QX114">
        <v>0</v>
      </c>
      <c r="QY114">
        <v>0</v>
      </c>
      <c r="QZ114">
        <v>0</v>
      </c>
      <c r="RA114">
        <v>0.56999999999999995</v>
      </c>
      <c r="RB114">
        <v>29.77</v>
      </c>
      <c r="RC114">
        <v>20.82</v>
      </c>
      <c r="RD114">
        <v>0</v>
      </c>
      <c r="RE114">
        <v>0</v>
      </c>
      <c r="RF114">
        <v>0</v>
      </c>
      <c r="RG114">
        <v>1</v>
      </c>
      <c r="RH114">
        <v>2</v>
      </c>
      <c r="RJ114">
        <v>1</v>
      </c>
      <c r="RN114">
        <v>2</v>
      </c>
      <c r="RP114">
        <v>1</v>
      </c>
      <c r="RT114">
        <v>0</v>
      </c>
      <c r="RU114">
        <v>0</v>
      </c>
      <c r="SF114" s="20"/>
      <c r="SX114">
        <v>0</v>
      </c>
      <c r="UI114" s="16">
        <v>0.32</v>
      </c>
      <c r="UJ114" s="16">
        <v>1</v>
      </c>
      <c r="UK114" s="16">
        <v>1</v>
      </c>
      <c r="UL114" s="16"/>
      <c r="UM114" s="16">
        <v>1.32</v>
      </c>
      <c r="UN114" s="16"/>
      <c r="UO114" s="16"/>
      <c r="UP114" s="16"/>
      <c r="UQ114" s="16"/>
      <c r="UR114" s="16"/>
      <c r="US114" s="16"/>
      <c r="UT114" s="16">
        <v>5.5</v>
      </c>
      <c r="UU114" s="16">
        <v>9.81</v>
      </c>
      <c r="UV114" s="16">
        <v>0</v>
      </c>
      <c r="UW114" s="16">
        <v>0</v>
      </c>
      <c r="UX114" s="16">
        <v>0</v>
      </c>
      <c r="UY114" s="16">
        <v>0</v>
      </c>
      <c r="UZ114" s="16">
        <v>0</v>
      </c>
      <c r="VA114">
        <v>0</v>
      </c>
      <c r="VB114" t="s">
        <v>510</v>
      </c>
      <c r="VC114">
        <v>33.5</v>
      </c>
      <c r="VD114" s="16">
        <v>74.7</v>
      </c>
      <c r="VE114" s="16">
        <v>80.400000000000006</v>
      </c>
      <c r="VF114" s="16">
        <v>23.3</v>
      </c>
      <c r="VG114">
        <v>67.739999999999995</v>
      </c>
      <c r="VH114" s="17">
        <v>0</v>
      </c>
      <c r="VI114">
        <v>10.14</v>
      </c>
      <c r="VJ114">
        <v>0</v>
      </c>
      <c r="VK114">
        <v>22.12</v>
      </c>
      <c r="VL114">
        <v>0</v>
      </c>
      <c r="VM114">
        <v>0</v>
      </c>
      <c r="VO114">
        <v>0</v>
      </c>
      <c r="VP114">
        <v>0</v>
      </c>
      <c r="VQ114">
        <v>0</v>
      </c>
      <c r="VR114">
        <v>0</v>
      </c>
      <c r="VS114">
        <v>51.2</v>
      </c>
      <c r="VT114">
        <v>15.83</v>
      </c>
      <c r="VU114">
        <v>0</v>
      </c>
      <c r="VV114">
        <v>0</v>
      </c>
      <c r="VW114">
        <v>0</v>
      </c>
      <c r="VX114">
        <v>0</v>
      </c>
      <c r="WK114">
        <v>2.2999999999999998</v>
      </c>
      <c r="WL114">
        <v>0</v>
      </c>
      <c r="WW114" s="20"/>
      <c r="XO114">
        <v>1</v>
      </c>
      <c r="XP114">
        <v>50</v>
      </c>
      <c r="XQ114">
        <v>20</v>
      </c>
      <c r="XR114">
        <v>30.66</v>
      </c>
      <c r="XS114">
        <v>3</v>
      </c>
      <c r="XT114">
        <v>60</v>
      </c>
      <c r="XU114">
        <v>33</v>
      </c>
      <c r="XV114">
        <v>0.56000000000000005</v>
      </c>
      <c r="XW114">
        <v>3</v>
      </c>
      <c r="YZ114" s="16">
        <v>0</v>
      </c>
      <c r="ZA114" s="16">
        <v>0</v>
      </c>
      <c r="ZB114" s="16"/>
      <c r="ZC114" s="16"/>
      <c r="ZD114" s="16"/>
      <c r="ZE114" s="16"/>
      <c r="ZF114" s="16"/>
      <c r="ZG114" s="16"/>
      <c r="ZH114" s="16"/>
      <c r="ZI114" s="16"/>
      <c r="ZJ114" s="16"/>
      <c r="ZK114" s="16">
        <v>5.22</v>
      </c>
      <c r="ZL114" s="16">
        <v>7.07</v>
      </c>
      <c r="ZM114" s="16">
        <v>0</v>
      </c>
      <c r="ZN114" s="16">
        <v>0</v>
      </c>
      <c r="ZO114" s="16">
        <v>0</v>
      </c>
      <c r="ZP114" s="16">
        <v>0</v>
      </c>
      <c r="ZQ114" s="16">
        <v>0</v>
      </c>
      <c r="ZR114">
        <v>0</v>
      </c>
      <c r="ZS114" t="s">
        <v>511</v>
      </c>
      <c r="ZT114">
        <v>36.5</v>
      </c>
      <c r="ZU114" s="16">
        <v>85.2</v>
      </c>
      <c r="ZV114" s="16">
        <v>80.400000000000006</v>
      </c>
      <c r="ZW114" s="16">
        <v>24.1</v>
      </c>
      <c r="ZX114">
        <v>65.36</v>
      </c>
      <c r="ZY114" s="17">
        <v>0</v>
      </c>
      <c r="ZZ114">
        <v>10.14</v>
      </c>
      <c r="AAA114">
        <v>0</v>
      </c>
      <c r="AAB114">
        <v>24.5</v>
      </c>
      <c r="AAC114">
        <v>0</v>
      </c>
      <c r="AAD114">
        <v>0</v>
      </c>
      <c r="AAF114">
        <v>0</v>
      </c>
      <c r="AAG114">
        <v>0</v>
      </c>
      <c r="AAH114">
        <v>0</v>
      </c>
      <c r="AAI114">
        <v>0</v>
      </c>
      <c r="AAJ114">
        <v>56.76</v>
      </c>
      <c r="AAK114">
        <v>17.5</v>
      </c>
      <c r="AAL114">
        <v>0</v>
      </c>
      <c r="AAM114">
        <v>0</v>
      </c>
      <c r="AAN114">
        <v>0</v>
      </c>
      <c r="AAO114">
        <v>0</v>
      </c>
      <c r="ABB114">
        <v>4.3</v>
      </c>
      <c r="ABC114">
        <v>0</v>
      </c>
      <c r="ABN114" s="20"/>
      <c r="ACF114">
        <v>1</v>
      </c>
      <c r="ACG114">
        <v>60</v>
      </c>
      <c r="ACH114">
        <v>53</v>
      </c>
      <c r="ACI114">
        <v>35.979999999999997</v>
      </c>
      <c r="ACJ114">
        <v>3</v>
      </c>
      <c r="ADQ114" s="16">
        <v>0</v>
      </c>
      <c r="ADR114" s="16">
        <v>0</v>
      </c>
      <c r="ADS114" s="16"/>
      <c r="ADT114" s="16"/>
      <c r="ADU114" s="16"/>
      <c r="ADV114" s="16"/>
      <c r="ADW114" s="16"/>
      <c r="ADX114" s="16"/>
      <c r="ADY114" s="16"/>
      <c r="ADZ114" s="16"/>
      <c r="AEA114" s="16"/>
      <c r="AEB114" s="16">
        <v>5.0999999999999996</v>
      </c>
      <c r="AEC114" s="16">
        <v>5.93</v>
      </c>
      <c r="AED114" s="16">
        <v>0</v>
      </c>
      <c r="AEE114" s="16">
        <v>0</v>
      </c>
      <c r="AEF114" s="16">
        <v>0</v>
      </c>
      <c r="AEG114" s="16">
        <v>0</v>
      </c>
      <c r="AEH114" s="16">
        <v>0</v>
      </c>
      <c r="AEI114">
        <v>0</v>
      </c>
      <c r="AEJ114" t="s">
        <v>525</v>
      </c>
      <c r="AEK114">
        <v>16.5</v>
      </c>
      <c r="AEL114" s="16">
        <v>30.8</v>
      </c>
      <c r="AEM114" s="16">
        <v>80.400000000000006</v>
      </c>
      <c r="AEN114" s="16">
        <v>8.6999999999999993</v>
      </c>
      <c r="AEO114">
        <v>86.39</v>
      </c>
      <c r="AEP114" s="17">
        <v>0</v>
      </c>
      <c r="AEQ114">
        <v>0</v>
      </c>
      <c r="AER114">
        <v>0</v>
      </c>
      <c r="AES114">
        <v>2.2799999999999998</v>
      </c>
      <c r="AET114">
        <v>0</v>
      </c>
      <c r="AEU114">
        <v>9.09</v>
      </c>
      <c r="AEV114">
        <v>3.57</v>
      </c>
      <c r="AEW114">
        <v>0</v>
      </c>
      <c r="AEX114">
        <v>1.8</v>
      </c>
      <c r="AEY114">
        <v>0</v>
      </c>
      <c r="AEZ114">
        <v>1.8</v>
      </c>
      <c r="AFA114">
        <v>5.0599999999999996</v>
      </c>
      <c r="AFB114">
        <v>7.89</v>
      </c>
      <c r="AFC114">
        <v>0</v>
      </c>
      <c r="AFD114">
        <v>0</v>
      </c>
      <c r="AFE114">
        <v>0</v>
      </c>
      <c r="AFF114">
        <v>0</v>
      </c>
      <c r="AFS114">
        <v>0</v>
      </c>
      <c r="AFT114">
        <v>1</v>
      </c>
      <c r="AFU114">
        <v>23</v>
      </c>
      <c r="AFV114">
        <v>2</v>
      </c>
      <c r="AFW114">
        <v>0.72</v>
      </c>
      <c r="AFX114">
        <v>3</v>
      </c>
      <c r="AGE114" s="20"/>
      <c r="AGW114">
        <v>0</v>
      </c>
      <c r="AIH114" s="16">
        <v>0.82</v>
      </c>
      <c r="AII114" s="16">
        <v>1</v>
      </c>
      <c r="AIJ114" s="16">
        <v>1</v>
      </c>
      <c r="AIK114" s="16"/>
      <c r="AIL114" s="16">
        <v>1.84</v>
      </c>
      <c r="AIM114" s="16"/>
      <c r="AIN114" s="16"/>
      <c r="AIO114" s="16"/>
      <c r="AIP114" s="16"/>
      <c r="AIQ114" s="16"/>
      <c r="AIR114" s="16"/>
      <c r="AIS114" s="16">
        <v>0</v>
      </c>
      <c r="AIT114" s="16">
        <v>0</v>
      </c>
      <c r="AIU114" s="16">
        <v>0</v>
      </c>
      <c r="AIV114" s="16">
        <v>0</v>
      </c>
      <c r="AIW114" s="16">
        <v>6.72</v>
      </c>
      <c r="AIX114" s="16">
        <v>0</v>
      </c>
      <c r="AIY114" s="16">
        <v>0</v>
      </c>
      <c r="AIZ114">
        <v>0</v>
      </c>
      <c r="AJA114" t="s">
        <v>530</v>
      </c>
      <c r="AJB114">
        <v>29.5</v>
      </c>
      <c r="AJC114" s="16">
        <v>87</v>
      </c>
      <c r="AJD114" s="16">
        <v>80.400000000000006</v>
      </c>
      <c r="AJE114" s="16">
        <v>20.9</v>
      </c>
      <c r="AJF114">
        <v>47.27</v>
      </c>
      <c r="AJG114" s="17">
        <v>0</v>
      </c>
      <c r="AJH114">
        <v>8.94</v>
      </c>
      <c r="AJI114">
        <v>0</v>
      </c>
      <c r="AJJ114">
        <v>5.89</v>
      </c>
      <c r="AJK114">
        <v>0</v>
      </c>
      <c r="AJL114">
        <v>37.82</v>
      </c>
      <c r="AJM114">
        <v>0.76</v>
      </c>
      <c r="AJN114">
        <v>0</v>
      </c>
      <c r="AJO114">
        <v>0</v>
      </c>
      <c r="AJP114">
        <v>0</v>
      </c>
      <c r="AJQ114">
        <v>41.87</v>
      </c>
      <c r="AJR114">
        <v>46.31</v>
      </c>
      <c r="AJS114">
        <v>18.03</v>
      </c>
      <c r="AJT114">
        <v>5.0599999999999996</v>
      </c>
      <c r="AJU114">
        <v>0</v>
      </c>
      <c r="AJV114">
        <v>0</v>
      </c>
      <c r="AJW114">
        <v>0</v>
      </c>
      <c r="AKJ114">
        <v>1.1000000000000001</v>
      </c>
      <c r="AKK114">
        <v>1</v>
      </c>
      <c r="AKL114">
        <v>35</v>
      </c>
      <c r="AKM114">
        <v>2</v>
      </c>
      <c r="AKN114">
        <v>0.23</v>
      </c>
      <c r="AKO114">
        <v>3</v>
      </c>
      <c r="AKV114" s="20"/>
      <c r="ALN114">
        <v>0</v>
      </c>
    </row>
    <row r="115" spans="1:1024" x14ac:dyDescent="0.2">
      <c r="A115" s="1" t="s">
        <v>534</v>
      </c>
      <c r="B115" s="12">
        <v>42901</v>
      </c>
      <c r="C115">
        <v>1</v>
      </c>
      <c r="D115" s="13">
        <v>42786</v>
      </c>
      <c r="E115" s="12">
        <v>32951</v>
      </c>
      <c r="F115" s="14">
        <f t="shared" si="42"/>
        <v>27.241615331964407</v>
      </c>
      <c r="G115" s="14">
        <f t="shared" si="43"/>
        <v>0.31485284052019163</v>
      </c>
      <c r="H115" s="15" t="s">
        <v>183</v>
      </c>
      <c r="I115" s="15" t="s">
        <v>523</v>
      </c>
      <c r="J115" s="15" t="s">
        <v>181</v>
      </c>
      <c r="K115" s="21">
        <v>8</v>
      </c>
      <c r="L115" s="19">
        <v>55</v>
      </c>
      <c r="M115">
        <v>1.56</v>
      </c>
      <c r="N115" s="16">
        <f t="shared" si="44"/>
        <v>22.600262984878366</v>
      </c>
      <c r="O115" s="19">
        <v>0</v>
      </c>
      <c r="P115" s="19">
        <v>0</v>
      </c>
      <c r="Q115" s="19">
        <v>0</v>
      </c>
      <c r="R115" s="19">
        <v>0</v>
      </c>
      <c r="S115" s="19">
        <v>0</v>
      </c>
      <c r="T115" s="19">
        <v>0</v>
      </c>
      <c r="U115" s="19">
        <v>0</v>
      </c>
      <c r="V115" s="19">
        <v>0</v>
      </c>
      <c r="W115" s="19">
        <v>0</v>
      </c>
      <c r="X115" s="19">
        <v>0</v>
      </c>
      <c r="Y115" s="19">
        <v>0</v>
      </c>
      <c r="Z115" s="19">
        <v>0</v>
      </c>
      <c r="AA115" s="19">
        <v>0</v>
      </c>
      <c r="AB115" s="19">
        <v>0</v>
      </c>
      <c r="AC115" s="19">
        <v>1</v>
      </c>
      <c r="AD115" s="19">
        <v>10</v>
      </c>
      <c r="AE115" s="19">
        <v>0</v>
      </c>
      <c r="AF115" s="19">
        <v>0</v>
      </c>
      <c r="AG115" s="19">
        <v>0</v>
      </c>
      <c r="AH115" s="19">
        <v>0</v>
      </c>
      <c r="AI115" s="19">
        <v>0</v>
      </c>
      <c r="AJ115" s="19">
        <v>0</v>
      </c>
      <c r="AK115" s="19">
        <v>0</v>
      </c>
      <c r="AL115" s="19">
        <v>0</v>
      </c>
      <c r="AM115" s="19">
        <v>0</v>
      </c>
      <c r="AN115" s="19">
        <v>0</v>
      </c>
      <c r="AO115" s="19">
        <v>0</v>
      </c>
      <c r="AP115" s="19">
        <v>0</v>
      </c>
      <c r="AQ115" s="19">
        <v>0</v>
      </c>
      <c r="AR115" s="19">
        <v>0</v>
      </c>
      <c r="AS115" s="19">
        <v>0</v>
      </c>
      <c r="AT115" s="19">
        <v>0</v>
      </c>
      <c r="AU115" s="19">
        <v>0</v>
      </c>
      <c r="AV115" s="19">
        <v>0</v>
      </c>
      <c r="AW115" s="19">
        <v>0</v>
      </c>
      <c r="AX115" s="19">
        <v>0</v>
      </c>
      <c r="AY115" s="19">
        <v>0</v>
      </c>
      <c r="AZ115" s="19">
        <v>0</v>
      </c>
      <c r="BA115" s="19">
        <v>0</v>
      </c>
      <c r="BB115" s="19">
        <v>0</v>
      </c>
      <c r="BC115" s="19">
        <v>0</v>
      </c>
      <c r="BD115" s="19">
        <v>0</v>
      </c>
      <c r="BE115" s="19">
        <v>0</v>
      </c>
      <c r="BF115" s="19">
        <v>0</v>
      </c>
      <c r="BG115" s="19">
        <v>0</v>
      </c>
      <c r="BH115" s="19">
        <v>0</v>
      </c>
      <c r="BI115" s="19">
        <v>0</v>
      </c>
      <c r="BJ115" s="19">
        <v>0</v>
      </c>
      <c r="BK115" s="19">
        <v>0</v>
      </c>
      <c r="BL115" s="19">
        <v>0</v>
      </c>
      <c r="BM115" s="19">
        <v>0</v>
      </c>
      <c r="BN115" s="19">
        <v>0</v>
      </c>
      <c r="BO115" s="19">
        <v>0</v>
      </c>
      <c r="BP115" s="19">
        <v>0</v>
      </c>
      <c r="BQ115" s="19">
        <v>0</v>
      </c>
      <c r="BR115" s="19">
        <v>2</v>
      </c>
      <c r="BS115" s="19">
        <v>1</v>
      </c>
      <c r="BT115" s="19">
        <v>3</v>
      </c>
      <c r="BU115" s="19">
        <v>5</v>
      </c>
      <c r="BV115" s="19">
        <v>2</v>
      </c>
      <c r="BW115" s="19">
        <v>2</v>
      </c>
      <c r="BX115" s="19">
        <v>3</v>
      </c>
      <c r="BY115" s="19">
        <v>5</v>
      </c>
      <c r="BZ115" s="19">
        <v>5</v>
      </c>
      <c r="CA115" s="19">
        <v>5</v>
      </c>
      <c r="CB115" s="19">
        <v>5</v>
      </c>
      <c r="CC115" s="19">
        <v>5</v>
      </c>
      <c r="CD115" s="19">
        <v>5</v>
      </c>
      <c r="CE115" s="19">
        <v>5</v>
      </c>
      <c r="CF115" s="19">
        <v>5</v>
      </c>
      <c r="CG115" s="19">
        <v>5</v>
      </c>
      <c r="CH115" s="19">
        <v>5</v>
      </c>
      <c r="CI115" s="19">
        <v>5</v>
      </c>
      <c r="CJ115" s="19">
        <v>5</v>
      </c>
      <c r="CK115" s="19">
        <v>10</v>
      </c>
      <c r="CL115" t="s">
        <v>507</v>
      </c>
      <c r="CM115">
        <v>30</v>
      </c>
      <c r="CN115" s="16">
        <v>86.6</v>
      </c>
      <c r="CO115" s="16">
        <v>80.400000000000006</v>
      </c>
      <c r="CP115" s="16">
        <v>20.399999999999999</v>
      </c>
      <c r="CQ115">
        <v>82.62</v>
      </c>
      <c r="CR115" s="17">
        <v>0</v>
      </c>
      <c r="CS115">
        <v>15.49</v>
      </c>
      <c r="CT115">
        <v>1.49</v>
      </c>
      <c r="CU115">
        <v>0.4</v>
      </c>
      <c r="CV115">
        <v>0</v>
      </c>
      <c r="CW115">
        <v>0</v>
      </c>
      <c r="CY115">
        <v>0</v>
      </c>
      <c r="CZ115">
        <v>0</v>
      </c>
      <c r="DA115">
        <v>0</v>
      </c>
      <c r="DB115">
        <v>6.38</v>
      </c>
      <c r="DC115">
        <v>56.11</v>
      </c>
      <c r="DD115">
        <v>8.4600000000000009</v>
      </c>
      <c r="DE115">
        <v>1.21</v>
      </c>
      <c r="DF115">
        <v>0</v>
      </c>
      <c r="DG115">
        <v>0</v>
      </c>
      <c r="DH115">
        <v>0</v>
      </c>
      <c r="DU115">
        <v>0.5</v>
      </c>
      <c r="DV115">
        <v>0</v>
      </c>
      <c r="EG115" s="20"/>
      <c r="EY115">
        <v>1</v>
      </c>
      <c r="EZ115">
        <v>40</v>
      </c>
      <c r="FA115">
        <v>1</v>
      </c>
      <c r="FB115">
        <v>1.71</v>
      </c>
      <c r="FC115">
        <v>2</v>
      </c>
      <c r="FD115">
        <v>50</v>
      </c>
      <c r="FE115">
        <v>1</v>
      </c>
      <c r="FF115">
        <v>0.13</v>
      </c>
      <c r="FG115">
        <v>2</v>
      </c>
      <c r="GJ115" s="16">
        <v>0.62</v>
      </c>
      <c r="GK115" s="16">
        <v>1</v>
      </c>
      <c r="GL115" s="16">
        <v>1</v>
      </c>
      <c r="GM115" s="16"/>
      <c r="GN115" s="16">
        <v>4.1399999999999997</v>
      </c>
      <c r="GO115" s="16"/>
      <c r="GP115" s="16"/>
      <c r="GQ115" s="16"/>
      <c r="GR115" s="16"/>
      <c r="GS115" s="16"/>
      <c r="GT115" s="16"/>
      <c r="GU115" s="16">
        <v>0</v>
      </c>
      <c r="GV115" s="16">
        <v>0</v>
      </c>
      <c r="GW115" s="16">
        <v>0</v>
      </c>
      <c r="GX115" s="16">
        <v>0</v>
      </c>
      <c r="GY115" s="16">
        <v>5.97</v>
      </c>
      <c r="GZ115" s="16">
        <v>0</v>
      </c>
      <c r="HA115" s="16">
        <v>0</v>
      </c>
      <c r="HB115">
        <v>2</v>
      </c>
      <c r="HC115" t="s">
        <v>533</v>
      </c>
      <c r="HD115">
        <v>30.5</v>
      </c>
      <c r="HE115" s="16">
        <v>84.8</v>
      </c>
      <c r="HF115" s="16">
        <v>80.400000000000006</v>
      </c>
      <c r="HG115" s="16">
        <v>23.9</v>
      </c>
      <c r="HH115">
        <v>79.319999999999993</v>
      </c>
      <c r="HI115" s="17">
        <v>0</v>
      </c>
      <c r="HJ115">
        <v>18.78</v>
      </c>
      <c r="HK115">
        <v>1.49</v>
      </c>
      <c r="HL115">
        <v>0.4</v>
      </c>
      <c r="HM115">
        <v>0</v>
      </c>
      <c r="HN115">
        <v>0</v>
      </c>
      <c r="HP115">
        <v>0</v>
      </c>
      <c r="HQ115">
        <v>0</v>
      </c>
      <c r="HR115">
        <v>0</v>
      </c>
      <c r="HS115">
        <v>6.38</v>
      </c>
      <c r="HT115">
        <v>49.21</v>
      </c>
      <c r="HU115">
        <v>12.84</v>
      </c>
      <c r="HV115">
        <v>1.21</v>
      </c>
      <c r="HW115">
        <v>0</v>
      </c>
      <c r="HX115">
        <v>0</v>
      </c>
      <c r="HY115">
        <v>0</v>
      </c>
      <c r="IL115">
        <v>0</v>
      </c>
      <c r="IM115">
        <v>0</v>
      </c>
      <c r="IX115" s="20"/>
      <c r="JP115">
        <v>1</v>
      </c>
      <c r="JQ115">
        <v>40</v>
      </c>
      <c r="JR115">
        <v>1</v>
      </c>
      <c r="JS115">
        <v>2.09</v>
      </c>
      <c r="JT115">
        <v>1</v>
      </c>
      <c r="LA115" s="16">
        <v>0.62</v>
      </c>
      <c r="LB115" s="16">
        <v>1</v>
      </c>
      <c r="LC115" s="16">
        <v>1</v>
      </c>
      <c r="LD115" s="16"/>
      <c r="LE115" s="16">
        <v>4.1399999999999997</v>
      </c>
      <c r="LF115" s="16"/>
      <c r="LG115" s="16"/>
      <c r="LH115" s="16"/>
      <c r="LI115" s="16"/>
      <c r="LJ115" s="16"/>
      <c r="LK115" s="16"/>
      <c r="LL115" s="16">
        <v>0</v>
      </c>
      <c r="LM115" s="16">
        <v>0</v>
      </c>
      <c r="LN115" s="16">
        <v>0</v>
      </c>
      <c r="LO115" s="16">
        <v>0</v>
      </c>
      <c r="LP115" s="16">
        <v>0</v>
      </c>
      <c r="LQ115" s="16">
        <v>0</v>
      </c>
      <c r="LR115" s="16">
        <v>3.21</v>
      </c>
      <c r="LS115">
        <v>0</v>
      </c>
      <c r="LT115" t="s">
        <v>508</v>
      </c>
      <c r="LU115">
        <v>42.5</v>
      </c>
      <c r="LV115" s="16">
        <v>81.7</v>
      </c>
      <c r="LW115" s="16">
        <v>80.400000000000006</v>
      </c>
      <c r="LX115" s="16">
        <v>18.399999999999999</v>
      </c>
      <c r="LY115">
        <v>80.680000000000007</v>
      </c>
      <c r="LZ115" s="17">
        <v>0</v>
      </c>
      <c r="MA115">
        <v>8.41</v>
      </c>
      <c r="MB115">
        <v>1.93</v>
      </c>
      <c r="MC115">
        <v>8.98</v>
      </c>
      <c r="MD115">
        <v>0</v>
      </c>
      <c r="ME115">
        <v>0</v>
      </c>
      <c r="MG115">
        <v>0</v>
      </c>
      <c r="MH115">
        <v>0</v>
      </c>
      <c r="MI115">
        <v>0</v>
      </c>
      <c r="MJ115">
        <v>7.0000000000000007E-2</v>
      </c>
      <c r="MK115">
        <v>26.86</v>
      </c>
      <c r="ML115">
        <v>25.47</v>
      </c>
      <c r="MM115">
        <v>0</v>
      </c>
      <c r="MN115">
        <v>0</v>
      </c>
      <c r="MO115">
        <v>0</v>
      </c>
      <c r="MP115">
        <v>0</v>
      </c>
      <c r="NC115">
        <v>17.899999999999999</v>
      </c>
      <c r="ND115">
        <v>1</v>
      </c>
      <c r="NE115">
        <v>33</v>
      </c>
      <c r="NF115">
        <v>2</v>
      </c>
      <c r="NG115">
        <v>1.52</v>
      </c>
      <c r="NH115">
        <v>4</v>
      </c>
      <c r="NI115">
        <v>35</v>
      </c>
      <c r="NJ115">
        <v>3</v>
      </c>
      <c r="NK115">
        <v>1.3</v>
      </c>
      <c r="NL115">
        <v>3</v>
      </c>
      <c r="NO115" s="20"/>
      <c r="OG115">
        <v>0</v>
      </c>
      <c r="PR115" s="16">
        <v>0</v>
      </c>
      <c r="PS115" s="16">
        <v>0</v>
      </c>
      <c r="PT115" s="16"/>
      <c r="PU115" s="16"/>
      <c r="PV115" s="16"/>
      <c r="PW115" s="16"/>
      <c r="PX115" s="16"/>
      <c r="PY115" s="16"/>
      <c r="PZ115" s="16"/>
      <c r="QA115" s="16"/>
      <c r="QB115" s="16"/>
      <c r="QC115" s="16">
        <v>4.29</v>
      </c>
      <c r="QD115" s="16">
        <v>2.66</v>
      </c>
      <c r="QE115" s="16">
        <v>0</v>
      </c>
      <c r="QF115" s="16">
        <v>0</v>
      </c>
      <c r="QG115" s="16">
        <v>0</v>
      </c>
      <c r="QH115" s="16">
        <v>0</v>
      </c>
      <c r="QI115" s="16">
        <v>0</v>
      </c>
      <c r="QJ115">
        <v>0</v>
      </c>
      <c r="QK115" t="s">
        <v>509</v>
      </c>
      <c r="QL115">
        <v>29</v>
      </c>
      <c r="QM115" s="16">
        <v>76.099999999999994</v>
      </c>
      <c r="QN115" s="16">
        <v>80.400000000000006</v>
      </c>
      <c r="QO115" s="16">
        <v>20.5</v>
      </c>
      <c r="QP115">
        <v>77.86</v>
      </c>
      <c r="QQ115" s="17">
        <v>0</v>
      </c>
      <c r="QR115">
        <v>13.05</v>
      </c>
      <c r="QS115">
        <v>0</v>
      </c>
      <c r="QT115">
        <v>9.1</v>
      </c>
      <c r="QU115">
        <v>0</v>
      </c>
      <c r="QV115">
        <v>0</v>
      </c>
      <c r="QX115">
        <v>0</v>
      </c>
      <c r="QY115">
        <v>0</v>
      </c>
      <c r="QZ115">
        <v>0</v>
      </c>
      <c r="RA115">
        <v>0.56999999999999995</v>
      </c>
      <c r="RB115">
        <v>29.77</v>
      </c>
      <c r="RC115">
        <v>20.82</v>
      </c>
      <c r="RD115">
        <v>0</v>
      </c>
      <c r="RE115">
        <v>0</v>
      </c>
      <c r="RF115">
        <v>0</v>
      </c>
      <c r="RG115">
        <v>1</v>
      </c>
      <c r="RH115">
        <v>2</v>
      </c>
      <c r="RJ115">
        <v>1</v>
      </c>
      <c r="RN115">
        <v>2</v>
      </c>
      <c r="RP115">
        <v>1</v>
      </c>
      <c r="RT115">
        <v>0</v>
      </c>
      <c r="RU115">
        <v>0</v>
      </c>
      <c r="SF115" s="20"/>
      <c r="SX115">
        <v>0</v>
      </c>
      <c r="UI115" s="16">
        <v>0.32</v>
      </c>
      <c r="UJ115" s="16">
        <v>1</v>
      </c>
      <c r="UK115" s="16">
        <v>1</v>
      </c>
      <c r="UL115" s="16"/>
      <c r="UM115" s="16">
        <v>1.32</v>
      </c>
      <c r="UN115" s="16"/>
      <c r="UO115" s="16"/>
      <c r="UP115" s="16"/>
      <c r="UQ115" s="16"/>
      <c r="UR115" s="16"/>
      <c r="US115" s="16"/>
      <c r="UT115" s="16">
        <v>5.5</v>
      </c>
      <c r="UU115" s="16">
        <v>9.81</v>
      </c>
      <c r="UV115" s="16">
        <v>0</v>
      </c>
      <c r="UW115" s="16">
        <v>0</v>
      </c>
      <c r="UX115" s="16">
        <v>0</v>
      </c>
      <c r="UY115" s="16">
        <v>0</v>
      </c>
      <c r="UZ115" s="16">
        <v>0</v>
      </c>
      <c r="VA115">
        <v>0</v>
      </c>
      <c r="VB115" t="s">
        <v>510</v>
      </c>
      <c r="VC115">
        <v>33.5</v>
      </c>
      <c r="VD115" s="16">
        <v>74.7</v>
      </c>
      <c r="VE115" s="16">
        <v>80.400000000000006</v>
      </c>
      <c r="VF115" s="16">
        <v>23.3</v>
      </c>
      <c r="VG115">
        <v>67.739999999999995</v>
      </c>
      <c r="VH115" s="17">
        <v>0</v>
      </c>
      <c r="VI115">
        <v>10.14</v>
      </c>
      <c r="VJ115">
        <v>0</v>
      </c>
      <c r="VK115">
        <v>22.12</v>
      </c>
      <c r="VL115">
        <v>0</v>
      </c>
      <c r="VM115">
        <v>0</v>
      </c>
      <c r="VO115">
        <v>0</v>
      </c>
      <c r="VP115">
        <v>0</v>
      </c>
      <c r="VQ115">
        <v>0</v>
      </c>
      <c r="VR115">
        <v>0</v>
      </c>
      <c r="VS115">
        <v>51.2</v>
      </c>
      <c r="VT115">
        <v>15.83</v>
      </c>
      <c r="VU115">
        <v>0</v>
      </c>
      <c r="VV115">
        <v>0</v>
      </c>
      <c r="VW115">
        <v>0</v>
      </c>
      <c r="VX115">
        <v>0</v>
      </c>
      <c r="WK115">
        <v>2.2999999999999998</v>
      </c>
      <c r="WL115">
        <v>0</v>
      </c>
      <c r="WW115" s="20"/>
      <c r="XO115">
        <v>1</v>
      </c>
      <c r="XP115">
        <v>50</v>
      </c>
      <c r="XQ115">
        <v>20</v>
      </c>
      <c r="XR115">
        <v>30.66</v>
      </c>
      <c r="XS115">
        <v>3</v>
      </c>
      <c r="XT115">
        <v>60</v>
      </c>
      <c r="XU115">
        <v>33</v>
      </c>
      <c r="XV115">
        <v>0.56000000000000005</v>
      </c>
      <c r="XW115">
        <v>3</v>
      </c>
      <c r="YZ115" s="16">
        <v>0</v>
      </c>
      <c r="ZA115" s="16">
        <v>0</v>
      </c>
      <c r="ZB115" s="16"/>
      <c r="ZC115" s="16"/>
      <c r="ZD115" s="16"/>
      <c r="ZE115" s="16"/>
      <c r="ZF115" s="16"/>
      <c r="ZG115" s="16"/>
      <c r="ZH115" s="16"/>
      <c r="ZI115" s="16"/>
      <c r="ZJ115" s="16"/>
      <c r="ZK115" s="16">
        <v>5.22</v>
      </c>
      <c r="ZL115" s="16">
        <v>7.07</v>
      </c>
      <c r="ZM115" s="16">
        <v>0</v>
      </c>
      <c r="ZN115" s="16">
        <v>0</v>
      </c>
      <c r="ZO115" s="16">
        <v>0</v>
      </c>
      <c r="ZP115" s="16">
        <v>0</v>
      </c>
      <c r="ZQ115" s="16">
        <v>0</v>
      </c>
      <c r="ZR115">
        <v>0</v>
      </c>
      <c r="ZS115" t="s">
        <v>511</v>
      </c>
      <c r="ZT115">
        <v>36.5</v>
      </c>
      <c r="ZU115" s="16">
        <v>85.2</v>
      </c>
      <c r="ZV115" s="16">
        <v>80.400000000000006</v>
      </c>
      <c r="ZW115" s="16">
        <v>24.1</v>
      </c>
      <c r="ZX115">
        <v>65.36</v>
      </c>
      <c r="ZY115" s="17">
        <v>0</v>
      </c>
      <c r="ZZ115">
        <v>10.14</v>
      </c>
      <c r="AAA115">
        <v>0</v>
      </c>
      <c r="AAB115">
        <v>24.5</v>
      </c>
      <c r="AAC115">
        <v>0</v>
      </c>
      <c r="AAD115">
        <v>0</v>
      </c>
      <c r="AAF115">
        <v>0</v>
      </c>
      <c r="AAG115">
        <v>0</v>
      </c>
      <c r="AAH115">
        <v>0</v>
      </c>
      <c r="AAI115">
        <v>0</v>
      </c>
      <c r="AAJ115">
        <v>56.76</v>
      </c>
      <c r="AAK115">
        <v>17.5</v>
      </c>
      <c r="AAL115">
        <v>0</v>
      </c>
      <c r="AAM115">
        <v>0</v>
      </c>
      <c r="AAN115">
        <v>0</v>
      </c>
      <c r="AAO115">
        <v>0</v>
      </c>
      <c r="ABB115">
        <v>4.3</v>
      </c>
      <c r="ABC115">
        <v>0</v>
      </c>
      <c r="ABN115" s="20"/>
      <c r="ACF115">
        <v>1</v>
      </c>
      <c r="ACG115">
        <v>60</v>
      </c>
      <c r="ACH115">
        <v>53</v>
      </c>
      <c r="ACI115">
        <v>35.979999999999997</v>
      </c>
      <c r="ACJ115">
        <v>3</v>
      </c>
      <c r="ADQ115" s="16">
        <v>0</v>
      </c>
      <c r="ADR115" s="16">
        <v>0</v>
      </c>
      <c r="ADS115" s="16"/>
      <c r="ADT115" s="16"/>
      <c r="ADU115" s="16"/>
      <c r="ADV115" s="16"/>
      <c r="ADW115" s="16"/>
      <c r="ADX115" s="16"/>
      <c r="ADY115" s="16"/>
      <c r="ADZ115" s="16"/>
      <c r="AEA115" s="16"/>
      <c r="AEB115" s="16">
        <v>5.0999999999999996</v>
      </c>
      <c r="AEC115" s="16">
        <v>5.93</v>
      </c>
      <c r="AED115" s="16">
        <v>0</v>
      </c>
      <c r="AEE115" s="16">
        <v>0</v>
      </c>
      <c r="AEF115" s="16">
        <v>0</v>
      </c>
      <c r="AEG115" s="16">
        <v>0</v>
      </c>
      <c r="AEH115" s="16">
        <v>0</v>
      </c>
      <c r="AEI115">
        <v>0</v>
      </c>
      <c r="AEJ115" t="s">
        <v>530</v>
      </c>
      <c r="AEK115">
        <v>29.5</v>
      </c>
      <c r="AEL115" s="16">
        <v>87</v>
      </c>
      <c r="AEM115" s="16">
        <v>80.400000000000006</v>
      </c>
      <c r="AEN115" s="16">
        <v>20.9</v>
      </c>
      <c r="AEO115">
        <v>47.27</v>
      </c>
      <c r="AEP115" s="17">
        <v>0</v>
      </c>
      <c r="AEQ115">
        <v>8.94</v>
      </c>
      <c r="AER115">
        <v>0</v>
      </c>
      <c r="AES115">
        <v>5.89</v>
      </c>
      <c r="AET115">
        <v>0</v>
      </c>
      <c r="AEU115">
        <v>37.82</v>
      </c>
      <c r="AEV115">
        <v>0.76</v>
      </c>
      <c r="AEW115">
        <v>0</v>
      </c>
      <c r="AEX115">
        <v>0</v>
      </c>
      <c r="AEY115">
        <v>0</v>
      </c>
      <c r="AEZ115">
        <v>41.87</v>
      </c>
      <c r="AFA115">
        <v>46.31</v>
      </c>
      <c r="AFB115">
        <v>18.03</v>
      </c>
      <c r="AFC115">
        <v>5.0599999999999996</v>
      </c>
      <c r="AFD115">
        <v>0</v>
      </c>
      <c r="AFE115">
        <v>0</v>
      </c>
      <c r="AFF115">
        <v>0</v>
      </c>
      <c r="AFS115">
        <v>1.1000000000000001</v>
      </c>
      <c r="AFT115">
        <v>1</v>
      </c>
      <c r="AFU115">
        <v>35</v>
      </c>
      <c r="AFV115">
        <v>2</v>
      </c>
      <c r="AFW115">
        <v>0.23</v>
      </c>
      <c r="AFX115">
        <v>3</v>
      </c>
      <c r="AGE115" s="20"/>
      <c r="AGW115">
        <v>0</v>
      </c>
      <c r="AIH115" s="16">
        <v>3.92</v>
      </c>
      <c r="AII115" s="16">
        <v>1</v>
      </c>
      <c r="AIJ115" s="16">
        <v>1</v>
      </c>
      <c r="AIK115" s="16"/>
      <c r="AIL115" s="16">
        <v>0.37</v>
      </c>
      <c r="AIM115" s="16">
        <v>2</v>
      </c>
      <c r="AIN115" s="16"/>
      <c r="AIO115" s="16">
        <v>15.28</v>
      </c>
      <c r="AIP115" s="16"/>
      <c r="AIQ115" s="16"/>
      <c r="AIR115" s="16"/>
      <c r="AIS115" s="16">
        <v>2.34</v>
      </c>
      <c r="AIT115" s="16">
        <v>2.02</v>
      </c>
      <c r="AIU115" s="16">
        <v>0</v>
      </c>
      <c r="AIV115" s="16">
        <v>0</v>
      </c>
      <c r="AIW115" s="16">
        <v>0</v>
      </c>
      <c r="AIX115" s="16">
        <v>0</v>
      </c>
      <c r="AIY115" s="16">
        <v>0</v>
      </c>
      <c r="AIZ115">
        <v>0</v>
      </c>
      <c r="AJA115" t="s">
        <v>512</v>
      </c>
      <c r="AJB115">
        <v>33</v>
      </c>
      <c r="AJC115" s="16">
        <v>70.599999999999994</v>
      </c>
      <c r="AJD115" s="16">
        <v>80.400000000000006</v>
      </c>
      <c r="AJE115" s="16">
        <v>29.2</v>
      </c>
      <c r="AJF115">
        <v>16.940000000000001</v>
      </c>
      <c r="AJG115" s="17">
        <v>0</v>
      </c>
      <c r="AJH115">
        <v>0</v>
      </c>
      <c r="AJI115">
        <v>0</v>
      </c>
      <c r="AJJ115">
        <v>0</v>
      </c>
      <c r="AJK115">
        <v>0</v>
      </c>
      <c r="AJL115">
        <v>83.06</v>
      </c>
      <c r="AJM115">
        <v>25.18</v>
      </c>
      <c r="AJN115">
        <v>8.6999999999999993</v>
      </c>
      <c r="AJO115">
        <v>0</v>
      </c>
      <c r="AJP115">
        <v>0</v>
      </c>
      <c r="AJQ115">
        <v>0</v>
      </c>
      <c r="AJR115">
        <v>13.49</v>
      </c>
      <c r="AJS115">
        <v>16.48</v>
      </c>
      <c r="AJT115">
        <v>0</v>
      </c>
      <c r="AJU115">
        <v>0</v>
      </c>
      <c r="AJV115">
        <v>0</v>
      </c>
      <c r="AJW115">
        <v>0</v>
      </c>
      <c r="AKJ115">
        <v>0</v>
      </c>
      <c r="AKK115">
        <v>0</v>
      </c>
      <c r="AKV115" s="20"/>
      <c r="ALN115">
        <v>0</v>
      </c>
    </row>
    <row r="116" spans="1:1024" x14ac:dyDescent="0.2">
      <c r="A116" s="1" t="s">
        <v>535</v>
      </c>
      <c r="B116" s="12">
        <v>42902</v>
      </c>
      <c r="C116">
        <v>2</v>
      </c>
      <c r="D116" s="13">
        <v>42807</v>
      </c>
      <c r="E116" s="12">
        <v>34107</v>
      </c>
      <c r="F116" s="14">
        <f t="shared" si="42"/>
        <v>24.079397672826833</v>
      </c>
      <c r="G116" s="14">
        <f t="shared" si="43"/>
        <v>0.26009582477754961</v>
      </c>
      <c r="H116" s="15" t="s">
        <v>183</v>
      </c>
      <c r="I116" s="15" t="s">
        <v>523</v>
      </c>
      <c r="J116" s="15" t="s">
        <v>181</v>
      </c>
      <c r="K116" s="21">
        <v>8</v>
      </c>
      <c r="L116" s="19">
        <v>84</v>
      </c>
      <c r="M116">
        <v>1.8</v>
      </c>
      <c r="N116" s="16">
        <f t="shared" si="44"/>
        <v>25.925925925925924</v>
      </c>
      <c r="O116" s="19">
        <v>0</v>
      </c>
      <c r="P116" s="19">
        <v>0</v>
      </c>
      <c r="Q116" s="19">
        <v>0</v>
      </c>
      <c r="R116" s="19">
        <v>0</v>
      </c>
      <c r="S116" s="19">
        <v>0</v>
      </c>
      <c r="T116" s="19">
        <v>0</v>
      </c>
      <c r="U116" s="19">
        <v>1</v>
      </c>
      <c r="V116" s="19">
        <v>6</v>
      </c>
      <c r="W116" s="19">
        <v>0</v>
      </c>
      <c r="X116" s="19">
        <v>0</v>
      </c>
      <c r="Y116" s="19">
        <v>1</v>
      </c>
      <c r="Z116" s="19">
        <v>2</v>
      </c>
      <c r="AA116" s="19">
        <v>120</v>
      </c>
      <c r="AB116" s="19" t="s">
        <v>308</v>
      </c>
      <c r="AC116" s="19">
        <v>0</v>
      </c>
      <c r="AD116" s="19">
        <v>0</v>
      </c>
      <c r="AE116" s="19">
        <v>0</v>
      </c>
      <c r="AF116" s="19">
        <v>0</v>
      </c>
      <c r="AG116" s="19">
        <v>0</v>
      </c>
      <c r="AH116" s="19">
        <v>0</v>
      </c>
      <c r="AI116" s="19">
        <v>0</v>
      </c>
      <c r="AJ116" s="19">
        <v>0</v>
      </c>
      <c r="AK116" s="19">
        <v>0</v>
      </c>
      <c r="AL116" s="19">
        <v>0</v>
      </c>
      <c r="AM116" s="19">
        <v>0</v>
      </c>
      <c r="AN116" s="19">
        <v>0</v>
      </c>
      <c r="AO116" s="19">
        <v>0</v>
      </c>
      <c r="AP116" s="19">
        <v>0</v>
      </c>
      <c r="AQ116" s="19">
        <v>0</v>
      </c>
      <c r="AR116" s="19">
        <v>0</v>
      </c>
      <c r="AS116" s="19">
        <v>0</v>
      </c>
      <c r="AT116" s="19">
        <v>0</v>
      </c>
      <c r="AU116" s="19">
        <v>0</v>
      </c>
      <c r="AV116" s="19">
        <v>0</v>
      </c>
      <c r="AW116" s="19">
        <v>0</v>
      </c>
      <c r="AX116" s="19">
        <v>0</v>
      </c>
      <c r="AY116" s="19">
        <v>0</v>
      </c>
      <c r="AZ116" s="19">
        <v>0</v>
      </c>
      <c r="BA116" s="19">
        <v>0</v>
      </c>
      <c r="BB116" s="19">
        <v>0</v>
      </c>
      <c r="BC116" s="19">
        <v>0</v>
      </c>
      <c r="BD116" s="19">
        <v>0</v>
      </c>
      <c r="BE116" s="19">
        <v>0</v>
      </c>
      <c r="BF116" s="19">
        <v>0</v>
      </c>
      <c r="BG116" s="19">
        <v>0</v>
      </c>
      <c r="BH116" s="19">
        <v>0</v>
      </c>
      <c r="BI116" s="19">
        <v>0</v>
      </c>
      <c r="BJ116" s="19">
        <v>0</v>
      </c>
      <c r="BK116" s="19">
        <v>0</v>
      </c>
      <c r="BL116" s="19">
        <v>0</v>
      </c>
      <c r="BM116" s="19">
        <v>0</v>
      </c>
      <c r="BN116" s="19">
        <v>0</v>
      </c>
      <c r="BO116" s="19">
        <v>0</v>
      </c>
      <c r="BP116" s="19">
        <v>0</v>
      </c>
      <c r="BQ116" s="19">
        <v>0</v>
      </c>
      <c r="BR116" s="19">
        <v>1</v>
      </c>
      <c r="BS116" s="19">
        <v>1</v>
      </c>
      <c r="BT116" s="19">
        <v>1</v>
      </c>
      <c r="BU116" s="19">
        <v>5</v>
      </c>
      <c r="BV116" s="19">
        <v>2</v>
      </c>
      <c r="BW116" s="19">
        <v>1</v>
      </c>
      <c r="BX116" s="19">
        <v>3</v>
      </c>
      <c r="BY116" s="19">
        <v>3</v>
      </c>
      <c r="BZ116" s="19">
        <v>5</v>
      </c>
      <c r="CA116" s="19">
        <v>5</v>
      </c>
      <c r="CB116" s="19">
        <v>5</v>
      </c>
      <c r="CC116" s="19">
        <v>5</v>
      </c>
      <c r="CD116" s="19">
        <v>5</v>
      </c>
      <c r="CE116" s="19">
        <v>5</v>
      </c>
      <c r="CF116" s="19">
        <v>5</v>
      </c>
      <c r="CG116" s="19">
        <v>5</v>
      </c>
      <c r="CH116" s="19">
        <v>5</v>
      </c>
      <c r="CI116" s="19">
        <v>5</v>
      </c>
      <c r="CJ116" s="19">
        <v>5</v>
      </c>
      <c r="CK116" s="19">
        <v>10</v>
      </c>
      <c r="CL116" t="s">
        <v>507</v>
      </c>
      <c r="CM116">
        <v>30</v>
      </c>
      <c r="CN116" s="16">
        <v>86.6</v>
      </c>
      <c r="CO116" s="16">
        <v>80.400000000000006</v>
      </c>
      <c r="CP116" s="16">
        <v>20.399999999999999</v>
      </c>
      <c r="CQ116">
        <v>82.62</v>
      </c>
      <c r="CR116" s="17">
        <v>0</v>
      </c>
      <c r="CS116">
        <v>15.49</v>
      </c>
      <c r="CT116">
        <v>1.49</v>
      </c>
      <c r="CU116">
        <v>0.4</v>
      </c>
      <c r="CV116">
        <v>0</v>
      </c>
      <c r="CW116">
        <v>0</v>
      </c>
      <c r="CY116">
        <v>0</v>
      </c>
      <c r="CZ116">
        <v>0</v>
      </c>
      <c r="DA116">
        <v>0</v>
      </c>
      <c r="DB116">
        <v>6.38</v>
      </c>
      <c r="DC116">
        <v>56.11</v>
      </c>
      <c r="DD116">
        <v>8.4600000000000009</v>
      </c>
      <c r="DE116">
        <v>1.21</v>
      </c>
      <c r="DF116">
        <v>0</v>
      </c>
      <c r="DG116">
        <v>0</v>
      </c>
      <c r="DH116">
        <v>0</v>
      </c>
      <c r="DU116">
        <v>0.5</v>
      </c>
      <c r="DV116">
        <v>0</v>
      </c>
      <c r="EG116" s="20"/>
      <c r="EY116">
        <v>1</v>
      </c>
      <c r="EZ116">
        <v>40</v>
      </c>
      <c r="FA116">
        <v>1</v>
      </c>
      <c r="FB116">
        <v>1.71</v>
      </c>
      <c r="FC116">
        <v>2</v>
      </c>
      <c r="FD116">
        <v>50</v>
      </c>
      <c r="FE116">
        <v>1</v>
      </c>
      <c r="FF116">
        <v>0.13</v>
      </c>
      <c r="FG116">
        <v>2</v>
      </c>
      <c r="GJ116" s="16">
        <v>0.62</v>
      </c>
      <c r="GK116" s="16">
        <v>1</v>
      </c>
      <c r="GL116" s="16">
        <v>1</v>
      </c>
      <c r="GM116" s="16"/>
      <c r="GN116" s="16">
        <v>4.1399999999999997</v>
      </c>
      <c r="GO116" s="16"/>
      <c r="GP116" s="16"/>
      <c r="GQ116" s="16"/>
      <c r="GR116" s="16"/>
      <c r="GS116" s="16"/>
      <c r="GT116" s="16"/>
      <c r="GU116" s="16">
        <v>0</v>
      </c>
      <c r="GV116" s="16">
        <v>0</v>
      </c>
      <c r="GW116" s="16">
        <v>0</v>
      </c>
      <c r="GX116" s="16">
        <v>0</v>
      </c>
      <c r="GY116" s="16">
        <v>5.97</v>
      </c>
      <c r="GZ116" s="16">
        <v>0</v>
      </c>
      <c r="HA116" s="16">
        <v>0</v>
      </c>
      <c r="HB116">
        <v>2</v>
      </c>
      <c r="HC116" t="s">
        <v>533</v>
      </c>
      <c r="HD116">
        <v>30.5</v>
      </c>
      <c r="HE116" s="16">
        <v>84.8</v>
      </c>
      <c r="HF116" s="16">
        <v>80.400000000000006</v>
      </c>
      <c r="HG116" s="16">
        <v>23.9</v>
      </c>
      <c r="HH116">
        <v>79.319999999999993</v>
      </c>
      <c r="HI116" s="17">
        <v>0</v>
      </c>
      <c r="HJ116">
        <v>18.78</v>
      </c>
      <c r="HK116">
        <v>1.49</v>
      </c>
      <c r="HL116">
        <v>0.4</v>
      </c>
      <c r="HM116">
        <v>0</v>
      </c>
      <c r="HN116">
        <v>0</v>
      </c>
      <c r="HP116">
        <v>0</v>
      </c>
      <c r="HQ116">
        <v>0</v>
      </c>
      <c r="HR116">
        <v>0</v>
      </c>
      <c r="HS116">
        <v>6.38</v>
      </c>
      <c r="HT116">
        <v>49.21</v>
      </c>
      <c r="HU116">
        <v>12.84</v>
      </c>
      <c r="HV116">
        <v>1.21</v>
      </c>
      <c r="HW116">
        <v>0</v>
      </c>
      <c r="HX116">
        <v>0</v>
      </c>
      <c r="HY116">
        <v>0</v>
      </c>
      <c r="IL116">
        <v>0</v>
      </c>
      <c r="IM116">
        <v>0</v>
      </c>
      <c r="IX116" s="20"/>
      <c r="JP116">
        <v>1</v>
      </c>
      <c r="JQ116">
        <v>40</v>
      </c>
      <c r="JR116">
        <v>1</v>
      </c>
      <c r="JS116">
        <v>2.09</v>
      </c>
      <c r="JT116">
        <v>1</v>
      </c>
      <c r="LA116" s="16">
        <v>0.62</v>
      </c>
      <c r="LB116" s="16">
        <v>1</v>
      </c>
      <c r="LC116" s="16">
        <v>1</v>
      </c>
      <c r="LD116" s="16"/>
      <c r="LE116" s="16">
        <v>4.1399999999999997</v>
      </c>
      <c r="LF116" s="16"/>
      <c r="LG116" s="16"/>
      <c r="LH116" s="16"/>
      <c r="LI116" s="16"/>
      <c r="LJ116" s="16"/>
      <c r="LK116" s="16"/>
      <c r="LL116" s="16">
        <v>0</v>
      </c>
      <c r="LM116" s="16">
        <v>0</v>
      </c>
      <c r="LN116" s="16">
        <v>0</v>
      </c>
      <c r="LO116" s="16">
        <v>0</v>
      </c>
      <c r="LP116" s="16">
        <v>0</v>
      </c>
      <c r="LQ116" s="16">
        <v>0</v>
      </c>
      <c r="LR116" s="16">
        <v>3.21</v>
      </c>
      <c r="LS116">
        <v>0</v>
      </c>
      <c r="LT116" t="s">
        <v>508</v>
      </c>
      <c r="LU116">
        <v>42.5</v>
      </c>
      <c r="LV116" s="16">
        <v>81.7</v>
      </c>
      <c r="LW116" s="16">
        <v>80.400000000000006</v>
      </c>
      <c r="LX116" s="16">
        <v>18.399999999999999</v>
      </c>
      <c r="LY116">
        <v>80.680000000000007</v>
      </c>
      <c r="LZ116" s="17">
        <v>0</v>
      </c>
      <c r="MA116">
        <v>8.41</v>
      </c>
      <c r="MB116">
        <v>1.93</v>
      </c>
      <c r="MC116">
        <v>8.98</v>
      </c>
      <c r="MD116">
        <v>0</v>
      </c>
      <c r="ME116">
        <v>0</v>
      </c>
      <c r="MG116">
        <v>0</v>
      </c>
      <c r="MH116">
        <v>0</v>
      </c>
      <c r="MI116">
        <v>0</v>
      </c>
      <c r="MJ116">
        <v>7.0000000000000007E-2</v>
      </c>
      <c r="MK116">
        <v>26.86</v>
      </c>
      <c r="ML116">
        <v>25.47</v>
      </c>
      <c r="MM116">
        <v>0</v>
      </c>
      <c r="MN116">
        <v>0</v>
      </c>
      <c r="MO116">
        <v>0</v>
      </c>
      <c r="MP116">
        <v>0</v>
      </c>
      <c r="NC116">
        <v>17.899999999999999</v>
      </c>
      <c r="ND116">
        <v>1</v>
      </c>
      <c r="NE116">
        <v>33</v>
      </c>
      <c r="NF116">
        <v>2</v>
      </c>
      <c r="NG116">
        <v>1.52</v>
      </c>
      <c r="NH116">
        <v>4</v>
      </c>
      <c r="NI116">
        <v>35</v>
      </c>
      <c r="NJ116">
        <v>3</v>
      </c>
      <c r="NK116">
        <v>1.3</v>
      </c>
      <c r="NL116">
        <v>3</v>
      </c>
      <c r="NO116" s="20"/>
      <c r="OG116">
        <v>0</v>
      </c>
      <c r="PR116" s="16">
        <v>0</v>
      </c>
      <c r="PS116" s="16">
        <v>0</v>
      </c>
      <c r="PT116" s="16"/>
      <c r="PU116" s="16"/>
      <c r="PV116" s="16"/>
      <c r="PW116" s="16"/>
      <c r="PX116" s="16"/>
      <c r="PY116" s="16"/>
      <c r="PZ116" s="16"/>
      <c r="QA116" s="16"/>
      <c r="QB116" s="16"/>
      <c r="QC116" s="16">
        <v>4.29</v>
      </c>
      <c r="QD116" s="16">
        <v>2.66</v>
      </c>
      <c r="QE116" s="16">
        <v>0</v>
      </c>
      <c r="QF116" s="16">
        <v>0</v>
      </c>
      <c r="QG116" s="16">
        <v>0</v>
      </c>
      <c r="QH116" s="16">
        <v>0</v>
      </c>
      <c r="QI116" s="16">
        <v>0</v>
      </c>
      <c r="QJ116">
        <v>0</v>
      </c>
      <c r="QK116" t="s">
        <v>509</v>
      </c>
      <c r="QL116">
        <v>29</v>
      </c>
      <c r="QM116" s="16">
        <v>76.099999999999994</v>
      </c>
      <c r="QN116" s="16">
        <v>80.400000000000006</v>
      </c>
      <c r="QO116" s="16">
        <v>20.5</v>
      </c>
      <c r="QP116">
        <v>77.86</v>
      </c>
      <c r="QQ116" s="17">
        <v>0</v>
      </c>
      <c r="QR116">
        <v>13.05</v>
      </c>
      <c r="QS116">
        <v>0</v>
      </c>
      <c r="QT116">
        <v>9.1</v>
      </c>
      <c r="QU116">
        <v>0</v>
      </c>
      <c r="QV116">
        <v>0</v>
      </c>
      <c r="QX116">
        <v>0</v>
      </c>
      <c r="QY116">
        <v>0</v>
      </c>
      <c r="QZ116">
        <v>0</v>
      </c>
      <c r="RA116">
        <v>0.56999999999999995</v>
      </c>
      <c r="RB116">
        <v>29.77</v>
      </c>
      <c r="RC116">
        <v>20.82</v>
      </c>
      <c r="RD116">
        <v>0</v>
      </c>
      <c r="RE116">
        <v>0</v>
      </c>
      <c r="RF116">
        <v>0</v>
      </c>
      <c r="RG116">
        <v>1</v>
      </c>
      <c r="RH116">
        <v>2</v>
      </c>
      <c r="RJ116">
        <v>1</v>
      </c>
      <c r="RN116">
        <v>2</v>
      </c>
      <c r="RP116">
        <v>1</v>
      </c>
      <c r="RT116">
        <v>0</v>
      </c>
      <c r="RU116">
        <v>0</v>
      </c>
      <c r="SF116" s="20"/>
      <c r="SX116">
        <v>0</v>
      </c>
      <c r="UI116" s="16">
        <v>0.32</v>
      </c>
      <c r="UJ116" s="16">
        <v>1</v>
      </c>
      <c r="UK116" s="16">
        <v>1</v>
      </c>
      <c r="UL116" s="16"/>
      <c r="UM116" s="16">
        <v>1.32</v>
      </c>
      <c r="UN116" s="16"/>
      <c r="UO116" s="16"/>
      <c r="UP116" s="16"/>
      <c r="UQ116" s="16"/>
      <c r="UR116" s="16"/>
      <c r="US116" s="16"/>
      <c r="UT116" s="16">
        <v>5.5</v>
      </c>
      <c r="UU116" s="16">
        <v>9.81</v>
      </c>
      <c r="UV116" s="16">
        <v>0</v>
      </c>
      <c r="UW116" s="16">
        <v>0</v>
      </c>
      <c r="UX116" s="16">
        <v>0</v>
      </c>
      <c r="UY116" s="16">
        <v>0</v>
      </c>
      <c r="UZ116" s="16">
        <v>0</v>
      </c>
      <c r="VA116">
        <v>0</v>
      </c>
      <c r="VB116" t="s">
        <v>510</v>
      </c>
      <c r="VC116">
        <v>33.5</v>
      </c>
      <c r="VD116" s="16">
        <v>74.7</v>
      </c>
      <c r="VE116" s="16">
        <v>80.400000000000006</v>
      </c>
      <c r="VF116" s="16">
        <v>23.3</v>
      </c>
      <c r="VG116">
        <v>67.739999999999995</v>
      </c>
      <c r="VH116" s="17">
        <v>0</v>
      </c>
      <c r="VI116">
        <v>10.14</v>
      </c>
      <c r="VJ116">
        <v>0</v>
      </c>
      <c r="VK116">
        <v>22.12</v>
      </c>
      <c r="VL116">
        <v>0</v>
      </c>
      <c r="VM116">
        <v>0</v>
      </c>
      <c r="VO116">
        <v>0</v>
      </c>
      <c r="VP116">
        <v>0</v>
      </c>
      <c r="VQ116">
        <v>0</v>
      </c>
      <c r="VR116">
        <v>0</v>
      </c>
      <c r="VS116">
        <v>51.2</v>
      </c>
      <c r="VT116">
        <v>15.83</v>
      </c>
      <c r="VU116">
        <v>0</v>
      </c>
      <c r="VV116">
        <v>0</v>
      </c>
      <c r="VW116">
        <v>0</v>
      </c>
      <c r="VX116">
        <v>0</v>
      </c>
      <c r="WK116">
        <v>2.2999999999999998</v>
      </c>
      <c r="WL116">
        <v>0</v>
      </c>
      <c r="WW116" s="20"/>
      <c r="XO116">
        <v>1</v>
      </c>
      <c r="XP116">
        <v>50</v>
      </c>
      <c r="XQ116">
        <v>20</v>
      </c>
      <c r="XR116">
        <v>30.66</v>
      </c>
      <c r="XS116">
        <v>3</v>
      </c>
      <c r="XT116">
        <v>60</v>
      </c>
      <c r="XU116">
        <v>33</v>
      </c>
      <c r="XV116">
        <v>0.56000000000000005</v>
      </c>
      <c r="XW116">
        <v>3</v>
      </c>
      <c r="YZ116" s="16">
        <v>0</v>
      </c>
      <c r="ZA116" s="16">
        <v>0</v>
      </c>
      <c r="ZB116" s="16"/>
      <c r="ZC116" s="16"/>
      <c r="ZD116" s="16"/>
      <c r="ZE116" s="16"/>
      <c r="ZF116" s="16"/>
      <c r="ZG116" s="16"/>
      <c r="ZH116" s="16"/>
      <c r="ZI116" s="16"/>
      <c r="ZJ116" s="16"/>
      <c r="ZK116" s="16">
        <v>5.22</v>
      </c>
      <c r="ZL116" s="16">
        <v>7.07</v>
      </c>
      <c r="ZM116" s="16">
        <v>0</v>
      </c>
      <c r="ZN116" s="16">
        <v>0</v>
      </c>
      <c r="ZO116" s="16">
        <v>0</v>
      </c>
      <c r="ZP116" s="16">
        <v>0</v>
      </c>
      <c r="ZQ116" s="16">
        <v>0</v>
      </c>
      <c r="ZR116">
        <v>0</v>
      </c>
      <c r="ZS116" t="s">
        <v>511</v>
      </c>
      <c r="ZT116">
        <v>36.5</v>
      </c>
      <c r="ZU116" s="16">
        <v>85.2</v>
      </c>
      <c r="ZV116" s="16">
        <v>80.400000000000006</v>
      </c>
      <c r="ZW116" s="16">
        <v>24.1</v>
      </c>
      <c r="ZX116">
        <v>65.36</v>
      </c>
      <c r="ZY116" s="17">
        <v>0</v>
      </c>
      <c r="ZZ116">
        <v>10.14</v>
      </c>
      <c r="AAA116">
        <v>0</v>
      </c>
      <c r="AAB116">
        <v>24.5</v>
      </c>
      <c r="AAC116">
        <v>0</v>
      </c>
      <c r="AAD116">
        <v>0</v>
      </c>
      <c r="AAF116">
        <v>0</v>
      </c>
      <c r="AAG116">
        <v>0</v>
      </c>
      <c r="AAH116">
        <v>0</v>
      </c>
      <c r="AAI116">
        <v>0</v>
      </c>
      <c r="AAJ116">
        <v>56.76</v>
      </c>
      <c r="AAK116">
        <v>17.5</v>
      </c>
      <c r="AAL116">
        <v>0</v>
      </c>
      <c r="AAM116">
        <v>0</v>
      </c>
      <c r="AAN116">
        <v>0</v>
      </c>
      <c r="AAO116">
        <v>0</v>
      </c>
      <c r="ABB116">
        <v>4.3</v>
      </c>
      <c r="ABC116">
        <v>0</v>
      </c>
      <c r="ABN116" s="20"/>
      <c r="ACF116">
        <v>1</v>
      </c>
      <c r="ACG116">
        <v>60</v>
      </c>
      <c r="ACH116">
        <v>53</v>
      </c>
      <c r="ACI116">
        <v>35.979999999999997</v>
      </c>
      <c r="ACJ116">
        <v>3</v>
      </c>
      <c r="ADQ116" s="16">
        <v>0</v>
      </c>
      <c r="ADR116" s="16">
        <v>0</v>
      </c>
      <c r="ADS116" s="16"/>
      <c r="ADT116" s="16"/>
      <c r="ADU116" s="16"/>
      <c r="ADV116" s="16"/>
      <c r="ADW116" s="16"/>
      <c r="ADX116" s="16"/>
      <c r="ADY116" s="16"/>
      <c r="ADZ116" s="16"/>
      <c r="AEA116" s="16"/>
      <c r="AEB116" s="16">
        <v>5.0999999999999996</v>
      </c>
      <c r="AEC116" s="16">
        <v>5.93</v>
      </c>
      <c r="AED116" s="16">
        <v>0</v>
      </c>
      <c r="AEE116" s="16">
        <v>0</v>
      </c>
      <c r="AEF116" s="16">
        <v>0</v>
      </c>
      <c r="AEG116" s="16">
        <v>0</v>
      </c>
      <c r="AEH116" s="16">
        <v>0</v>
      </c>
      <c r="AEI116">
        <v>0</v>
      </c>
      <c r="AEJ116" t="s">
        <v>525</v>
      </c>
      <c r="AEK116">
        <v>16.5</v>
      </c>
      <c r="AEL116" s="16">
        <v>30.8</v>
      </c>
      <c r="AEM116" s="16">
        <v>80.400000000000006</v>
      </c>
      <c r="AEN116" s="16">
        <v>8.6999999999999993</v>
      </c>
      <c r="AEO116">
        <v>86.39</v>
      </c>
      <c r="AEP116" s="17">
        <v>0</v>
      </c>
      <c r="AEQ116">
        <v>0</v>
      </c>
      <c r="AER116">
        <v>0</v>
      </c>
      <c r="AES116">
        <v>2.2799999999999998</v>
      </c>
      <c r="AET116">
        <v>0</v>
      </c>
      <c r="AEU116">
        <v>9.09</v>
      </c>
      <c r="AEV116">
        <v>3.57</v>
      </c>
      <c r="AEW116">
        <v>0</v>
      </c>
      <c r="AEX116">
        <v>1.8</v>
      </c>
      <c r="AEY116">
        <v>0</v>
      </c>
      <c r="AEZ116">
        <v>1.8</v>
      </c>
      <c r="AFA116">
        <v>5.0599999999999996</v>
      </c>
      <c r="AFB116">
        <v>7.89</v>
      </c>
      <c r="AFC116">
        <v>0</v>
      </c>
      <c r="AFD116">
        <v>0</v>
      </c>
      <c r="AFE116">
        <v>0</v>
      </c>
      <c r="AFF116">
        <v>0</v>
      </c>
      <c r="AFS116">
        <v>0</v>
      </c>
      <c r="AFT116">
        <v>1</v>
      </c>
      <c r="AFU116">
        <v>23</v>
      </c>
      <c r="AFV116">
        <v>2</v>
      </c>
      <c r="AFW116">
        <v>0.72</v>
      </c>
      <c r="AFX116">
        <v>3</v>
      </c>
      <c r="AGE116" s="20"/>
      <c r="AGW116">
        <v>0</v>
      </c>
      <c r="AIH116" s="16">
        <v>0.82</v>
      </c>
      <c r="AII116" s="16">
        <v>1</v>
      </c>
      <c r="AIJ116" s="16">
        <v>1</v>
      </c>
      <c r="AIK116" s="16"/>
      <c r="AIL116" s="16">
        <v>1.84</v>
      </c>
      <c r="AIM116" s="16"/>
      <c r="AIN116" s="16"/>
      <c r="AIO116" s="16"/>
      <c r="AIP116" s="16"/>
      <c r="AIQ116" s="16"/>
      <c r="AIR116" s="16"/>
      <c r="AIS116" s="16">
        <v>0</v>
      </c>
      <c r="AIT116" s="16">
        <v>0</v>
      </c>
      <c r="AIU116" s="16">
        <v>0</v>
      </c>
      <c r="AIV116" s="16">
        <v>0</v>
      </c>
      <c r="AIW116" s="16">
        <v>6.72</v>
      </c>
      <c r="AIX116" s="16">
        <v>0</v>
      </c>
      <c r="AIY116" s="16">
        <v>0</v>
      </c>
      <c r="AIZ116">
        <v>0</v>
      </c>
      <c r="AJA116" t="s">
        <v>530</v>
      </c>
      <c r="AJB116">
        <v>29.5</v>
      </c>
      <c r="AJC116" s="16">
        <v>87</v>
      </c>
      <c r="AJD116" s="16">
        <v>80.400000000000006</v>
      </c>
      <c r="AJE116" s="16">
        <v>20.9</v>
      </c>
      <c r="AJF116">
        <v>47.27</v>
      </c>
      <c r="AJG116" s="17">
        <v>0</v>
      </c>
      <c r="AJH116">
        <v>8.94</v>
      </c>
      <c r="AJI116">
        <v>0</v>
      </c>
      <c r="AJJ116">
        <v>5.89</v>
      </c>
      <c r="AJK116">
        <v>0</v>
      </c>
      <c r="AJL116">
        <v>37.82</v>
      </c>
      <c r="AJM116">
        <v>0.76</v>
      </c>
      <c r="AJN116">
        <v>0</v>
      </c>
      <c r="AJO116">
        <v>0</v>
      </c>
      <c r="AJP116">
        <v>0</v>
      </c>
      <c r="AJQ116">
        <v>41.87</v>
      </c>
      <c r="AJR116">
        <v>46.31</v>
      </c>
      <c r="AJS116">
        <v>18.03</v>
      </c>
      <c r="AJT116">
        <v>5.0599999999999996</v>
      </c>
      <c r="AJU116">
        <v>0</v>
      </c>
      <c r="AJV116">
        <v>0</v>
      </c>
      <c r="AJW116">
        <v>0</v>
      </c>
      <c r="AKJ116">
        <v>1.1000000000000001</v>
      </c>
      <c r="AKK116">
        <v>1</v>
      </c>
      <c r="AKL116">
        <v>35</v>
      </c>
      <c r="AKM116">
        <v>2</v>
      </c>
      <c r="AKN116">
        <v>0.23</v>
      </c>
      <c r="AKO116">
        <v>3</v>
      </c>
      <c r="AKV116" s="20"/>
      <c r="ALN116">
        <v>0</v>
      </c>
    </row>
    <row r="117" spans="1:1024" x14ac:dyDescent="0.2">
      <c r="A117" s="1" t="s">
        <v>536</v>
      </c>
      <c r="B117" s="12">
        <v>42905</v>
      </c>
      <c r="C117">
        <v>2</v>
      </c>
      <c r="D117" s="13">
        <v>42804</v>
      </c>
      <c r="E117" s="12">
        <v>33604</v>
      </c>
      <c r="F117" s="14">
        <f t="shared" si="42"/>
        <v>25.464750171115675</v>
      </c>
      <c r="G117" s="14">
        <f t="shared" si="43"/>
        <v>0.27652292950034224</v>
      </c>
      <c r="H117" s="15" t="s">
        <v>183</v>
      </c>
      <c r="I117" s="15" t="s">
        <v>523</v>
      </c>
      <c r="J117" s="15" t="s">
        <v>181</v>
      </c>
      <c r="K117" s="21">
        <v>8</v>
      </c>
      <c r="L117" s="19">
        <v>96</v>
      </c>
      <c r="M117">
        <v>1.77</v>
      </c>
      <c r="N117" s="16">
        <f t="shared" si="44"/>
        <v>30.642535669826675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1</v>
      </c>
      <c r="V117" s="19">
        <v>6</v>
      </c>
      <c r="W117" s="19">
        <v>0</v>
      </c>
      <c r="X117" s="19">
        <v>0</v>
      </c>
      <c r="Y117" s="19">
        <v>1</v>
      </c>
      <c r="Z117" s="19">
        <v>1</v>
      </c>
      <c r="AA117" s="19">
        <v>60</v>
      </c>
      <c r="AB117" s="19" t="s">
        <v>537</v>
      </c>
      <c r="AC117" s="19">
        <v>0</v>
      </c>
      <c r="AD117" s="19">
        <v>0</v>
      </c>
      <c r="AE117" s="19">
        <v>0</v>
      </c>
      <c r="AF117" s="19">
        <v>0</v>
      </c>
      <c r="AG117" s="19">
        <v>0</v>
      </c>
      <c r="AH117" s="19">
        <v>0</v>
      </c>
      <c r="AI117" s="19">
        <v>0</v>
      </c>
      <c r="AJ117" s="19">
        <v>0</v>
      </c>
      <c r="AK117" s="19">
        <v>0</v>
      </c>
      <c r="AL117" s="19">
        <v>0</v>
      </c>
      <c r="AM117" s="19">
        <v>0</v>
      </c>
      <c r="AN117" s="19">
        <v>0</v>
      </c>
      <c r="AO117" s="19">
        <v>0</v>
      </c>
      <c r="AP117" s="19">
        <v>0</v>
      </c>
      <c r="AQ117" s="19">
        <v>0</v>
      </c>
      <c r="AR117" s="19">
        <v>0</v>
      </c>
      <c r="AS117" s="19">
        <v>1</v>
      </c>
      <c r="AT117" s="19">
        <v>0</v>
      </c>
      <c r="AU117" s="19">
        <v>0</v>
      </c>
      <c r="AV117" s="19">
        <v>0</v>
      </c>
      <c r="AW117" s="19">
        <v>0</v>
      </c>
      <c r="AX117" s="19">
        <v>0</v>
      </c>
      <c r="AY117" s="19">
        <v>0</v>
      </c>
      <c r="AZ117" s="19">
        <v>0</v>
      </c>
      <c r="BA117" s="19">
        <v>0</v>
      </c>
      <c r="BB117" s="19">
        <v>0</v>
      </c>
      <c r="BC117" s="19">
        <v>0</v>
      </c>
      <c r="BD117" s="19">
        <v>0</v>
      </c>
      <c r="BE117" s="19">
        <v>0</v>
      </c>
      <c r="BF117" s="19">
        <v>0</v>
      </c>
      <c r="BG117" s="19">
        <v>0</v>
      </c>
      <c r="BH117" s="19">
        <v>0</v>
      </c>
      <c r="BI117" s="19">
        <v>0</v>
      </c>
      <c r="BJ117" s="19">
        <v>0</v>
      </c>
      <c r="BK117" s="19">
        <v>0</v>
      </c>
      <c r="BL117" s="19">
        <v>0</v>
      </c>
      <c r="BM117" s="19">
        <v>0</v>
      </c>
      <c r="BN117" s="19">
        <v>0</v>
      </c>
      <c r="BO117" s="19">
        <v>0</v>
      </c>
      <c r="BP117" s="19">
        <v>0</v>
      </c>
      <c r="BQ117" s="19">
        <v>0</v>
      </c>
      <c r="BR117" s="19">
        <v>1</v>
      </c>
      <c r="BS117" s="19">
        <v>1</v>
      </c>
      <c r="BT117" s="19">
        <v>2</v>
      </c>
      <c r="BU117" s="19">
        <v>5</v>
      </c>
      <c r="BV117" s="19">
        <v>3</v>
      </c>
      <c r="BW117" s="19">
        <v>1</v>
      </c>
      <c r="BX117" s="19">
        <v>3</v>
      </c>
      <c r="BY117" s="19">
        <v>5</v>
      </c>
      <c r="BZ117" s="19">
        <v>5</v>
      </c>
      <c r="CA117" s="19">
        <v>5</v>
      </c>
      <c r="CB117" s="19">
        <v>5</v>
      </c>
      <c r="CC117" s="19">
        <v>5</v>
      </c>
      <c r="CD117" s="19">
        <v>5</v>
      </c>
      <c r="CE117" s="19">
        <v>5</v>
      </c>
      <c r="CF117" s="19">
        <v>5</v>
      </c>
      <c r="CG117" s="19">
        <v>5</v>
      </c>
      <c r="CH117" s="19">
        <v>5</v>
      </c>
      <c r="CI117" s="19">
        <v>5</v>
      </c>
      <c r="CJ117" s="19">
        <v>5</v>
      </c>
      <c r="CK117" s="19">
        <v>8</v>
      </c>
      <c r="CL117" t="s">
        <v>533</v>
      </c>
      <c r="CM117">
        <v>30.5</v>
      </c>
      <c r="CN117" s="16">
        <v>84.8</v>
      </c>
      <c r="CO117" s="16">
        <v>80.400000000000006</v>
      </c>
      <c r="CP117" s="16">
        <v>23.9</v>
      </c>
      <c r="CQ117">
        <v>79.319999999999993</v>
      </c>
      <c r="CR117" s="17">
        <v>0</v>
      </c>
      <c r="CS117">
        <v>18.78</v>
      </c>
      <c r="CT117">
        <v>1.49</v>
      </c>
      <c r="CU117">
        <v>0.4</v>
      </c>
      <c r="CV117">
        <v>0</v>
      </c>
      <c r="CW117">
        <v>0</v>
      </c>
      <c r="CY117">
        <v>0</v>
      </c>
      <c r="CZ117">
        <v>0</v>
      </c>
      <c r="DA117">
        <v>0</v>
      </c>
      <c r="DB117">
        <v>6.38</v>
      </c>
      <c r="DC117">
        <v>49.21</v>
      </c>
      <c r="DD117">
        <v>12.84</v>
      </c>
      <c r="DE117">
        <v>1.21</v>
      </c>
      <c r="DF117">
        <v>0</v>
      </c>
      <c r="DG117">
        <v>0</v>
      </c>
      <c r="DH117">
        <v>0</v>
      </c>
      <c r="DU117">
        <v>0</v>
      </c>
      <c r="DV117">
        <v>0</v>
      </c>
      <c r="EG117" s="20"/>
      <c r="EY117">
        <v>1</v>
      </c>
      <c r="EZ117">
        <v>40</v>
      </c>
      <c r="FA117">
        <v>1</v>
      </c>
      <c r="FB117">
        <v>2.09</v>
      </c>
      <c r="FC117">
        <v>1</v>
      </c>
      <c r="GJ117" s="16">
        <v>0.62</v>
      </c>
      <c r="GK117" s="16">
        <v>1</v>
      </c>
      <c r="GL117" s="16">
        <v>1</v>
      </c>
      <c r="GM117" s="16"/>
      <c r="GN117" s="16">
        <v>4.1399999999999997</v>
      </c>
      <c r="GO117" s="16"/>
      <c r="GP117" s="16"/>
      <c r="GQ117" s="16"/>
      <c r="GR117" s="16"/>
      <c r="GS117" s="16"/>
      <c r="GT117" s="16"/>
      <c r="GU117" s="16">
        <v>0</v>
      </c>
      <c r="GV117" s="16">
        <v>0</v>
      </c>
      <c r="GW117" s="16">
        <v>0</v>
      </c>
      <c r="GX117" s="16">
        <v>0</v>
      </c>
      <c r="GY117" s="16">
        <v>0</v>
      </c>
      <c r="GZ117" s="16">
        <v>0</v>
      </c>
      <c r="HA117" s="16">
        <v>3.21</v>
      </c>
      <c r="HB117">
        <v>0</v>
      </c>
      <c r="HC117" t="s">
        <v>507</v>
      </c>
      <c r="HD117">
        <v>30</v>
      </c>
      <c r="HE117" s="16">
        <v>86.6</v>
      </c>
      <c r="HF117" s="16">
        <v>80.400000000000006</v>
      </c>
      <c r="HG117" s="16">
        <v>20.399999999999999</v>
      </c>
      <c r="HH117">
        <v>82.62</v>
      </c>
      <c r="HI117" s="17">
        <v>0</v>
      </c>
      <c r="HJ117">
        <v>15.49</v>
      </c>
      <c r="HK117">
        <v>1.49</v>
      </c>
      <c r="HL117">
        <v>0.4</v>
      </c>
      <c r="HM117">
        <v>0</v>
      </c>
      <c r="HN117">
        <v>0</v>
      </c>
      <c r="HP117">
        <v>0</v>
      </c>
      <c r="HQ117">
        <v>0</v>
      </c>
      <c r="HR117">
        <v>0</v>
      </c>
      <c r="HS117">
        <v>6.38</v>
      </c>
      <c r="HT117">
        <v>56.11</v>
      </c>
      <c r="HU117">
        <v>8.4600000000000009</v>
      </c>
      <c r="HV117">
        <v>1.21</v>
      </c>
      <c r="HW117">
        <v>0</v>
      </c>
      <c r="HX117">
        <v>0</v>
      </c>
      <c r="HY117">
        <v>0</v>
      </c>
      <c r="IL117">
        <v>0.5</v>
      </c>
      <c r="IM117">
        <v>0</v>
      </c>
      <c r="IX117" s="20"/>
      <c r="JP117">
        <v>1</v>
      </c>
      <c r="JQ117">
        <v>40</v>
      </c>
      <c r="JR117">
        <v>1</v>
      </c>
      <c r="JS117">
        <v>1.71</v>
      </c>
      <c r="JT117">
        <v>2</v>
      </c>
      <c r="JU117">
        <v>50</v>
      </c>
      <c r="JV117">
        <v>1</v>
      </c>
      <c r="JW117">
        <v>0.13</v>
      </c>
      <c r="JX117">
        <v>2</v>
      </c>
      <c r="LA117" s="16">
        <v>0.62</v>
      </c>
      <c r="LB117" s="16">
        <v>1</v>
      </c>
      <c r="LC117" s="16">
        <v>1</v>
      </c>
      <c r="LD117" s="16"/>
      <c r="LE117" s="16">
        <v>4.1399999999999997</v>
      </c>
      <c r="LF117" s="16"/>
      <c r="LG117" s="16"/>
      <c r="LH117" s="16"/>
      <c r="LI117" s="16"/>
      <c r="LJ117" s="16"/>
      <c r="LK117" s="16"/>
      <c r="LL117" s="16">
        <v>0</v>
      </c>
      <c r="LM117" s="16">
        <v>0</v>
      </c>
      <c r="LN117" s="16">
        <v>0</v>
      </c>
      <c r="LO117" s="16">
        <v>0</v>
      </c>
      <c r="LP117" s="16">
        <v>5.97</v>
      </c>
      <c r="LQ117" s="16">
        <v>0</v>
      </c>
      <c r="LR117" s="16">
        <v>0</v>
      </c>
      <c r="LS117">
        <v>2</v>
      </c>
      <c r="LT117" t="s">
        <v>508</v>
      </c>
      <c r="LU117">
        <v>42.5</v>
      </c>
      <c r="LV117" s="16">
        <v>81.7</v>
      </c>
      <c r="LW117" s="16">
        <v>80.400000000000006</v>
      </c>
      <c r="LX117" s="16">
        <v>18.399999999999999</v>
      </c>
      <c r="LY117">
        <v>80.680000000000007</v>
      </c>
      <c r="LZ117" s="17">
        <v>0</v>
      </c>
      <c r="MA117">
        <v>8.41</v>
      </c>
      <c r="MB117">
        <v>1.93</v>
      </c>
      <c r="MC117">
        <v>8.98</v>
      </c>
      <c r="MD117">
        <v>0</v>
      </c>
      <c r="ME117">
        <v>0</v>
      </c>
      <c r="MG117">
        <v>0</v>
      </c>
      <c r="MH117">
        <v>0</v>
      </c>
      <c r="MI117">
        <v>0</v>
      </c>
      <c r="MJ117">
        <v>7.0000000000000007E-2</v>
      </c>
      <c r="MK117">
        <v>26.86</v>
      </c>
      <c r="ML117">
        <v>25.47</v>
      </c>
      <c r="MM117">
        <v>0</v>
      </c>
      <c r="MN117">
        <v>0</v>
      </c>
      <c r="MO117">
        <v>0</v>
      </c>
      <c r="MP117">
        <v>0</v>
      </c>
      <c r="NC117">
        <v>17.899999999999999</v>
      </c>
      <c r="ND117">
        <v>1</v>
      </c>
      <c r="NE117">
        <v>33</v>
      </c>
      <c r="NF117">
        <v>2</v>
      </c>
      <c r="NG117">
        <v>1.52</v>
      </c>
      <c r="NH117">
        <v>4</v>
      </c>
      <c r="NI117">
        <v>35</v>
      </c>
      <c r="NJ117">
        <v>3</v>
      </c>
      <c r="NK117">
        <v>1.3</v>
      </c>
      <c r="NL117">
        <v>3</v>
      </c>
      <c r="NO117" s="20"/>
      <c r="OG117">
        <v>0</v>
      </c>
      <c r="PR117" s="16">
        <v>0</v>
      </c>
      <c r="PS117" s="16">
        <v>0</v>
      </c>
      <c r="PT117" s="16"/>
      <c r="PU117" s="16"/>
      <c r="PV117" s="16"/>
      <c r="PW117" s="16"/>
      <c r="PX117" s="16"/>
      <c r="PY117" s="16"/>
      <c r="PZ117" s="16"/>
      <c r="QA117" s="16"/>
      <c r="QB117" s="16"/>
      <c r="QC117" s="16">
        <v>4.29</v>
      </c>
      <c r="QD117" s="16">
        <v>2.66</v>
      </c>
      <c r="QE117" s="16">
        <v>0</v>
      </c>
      <c r="QF117" s="16">
        <v>0</v>
      </c>
      <c r="QG117" s="16">
        <v>0</v>
      </c>
      <c r="QH117" s="16">
        <v>0</v>
      </c>
      <c r="QI117" s="16">
        <v>0</v>
      </c>
      <c r="QJ117">
        <v>0</v>
      </c>
      <c r="QK117" t="s">
        <v>509</v>
      </c>
      <c r="QL117">
        <v>29</v>
      </c>
      <c r="QM117" s="16">
        <v>76.099999999999994</v>
      </c>
      <c r="QN117" s="16">
        <v>80.400000000000006</v>
      </c>
      <c r="QO117" s="16">
        <v>20.5</v>
      </c>
      <c r="QP117">
        <v>77.86</v>
      </c>
      <c r="QQ117" s="17">
        <v>0</v>
      </c>
      <c r="QR117">
        <v>13.05</v>
      </c>
      <c r="QS117">
        <v>0</v>
      </c>
      <c r="QT117">
        <v>9.1</v>
      </c>
      <c r="QU117">
        <v>0</v>
      </c>
      <c r="QV117">
        <v>0</v>
      </c>
      <c r="QX117">
        <v>0</v>
      </c>
      <c r="QY117">
        <v>0</v>
      </c>
      <c r="QZ117">
        <v>0</v>
      </c>
      <c r="RA117">
        <v>0.56999999999999995</v>
      </c>
      <c r="RB117">
        <v>29.77</v>
      </c>
      <c r="RC117">
        <v>20.82</v>
      </c>
      <c r="RD117">
        <v>0</v>
      </c>
      <c r="RE117">
        <v>0</v>
      </c>
      <c r="RF117">
        <v>0</v>
      </c>
      <c r="RG117">
        <v>1</v>
      </c>
      <c r="RH117">
        <v>2</v>
      </c>
      <c r="RJ117">
        <v>1</v>
      </c>
      <c r="RN117">
        <v>2</v>
      </c>
      <c r="RP117">
        <v>1</v>
      </c>
      <c r="RT117">
        <v>0</v>
      </c>
      <c r="RU117">
        <v>0</v>
      </c>
      <c r="SF117" s="20"/>
      <c r="SX117">
        <v>0</v>
      </c>
      <c r="UI117" s="16">
        <v>0.32</v>
      </c>
      <c r="UJ117" s="16">
        <v>1</v>
      </c>
      <c r="UK117" s="16">
        <v>1</v>
      </c>
      <c r="UL117" s="16"/>
      <c r="UM117" s="16">
        <v>1.32</v>
      </c>
      <c r="UN117" s="16"/>
      <c r="UO117" s="16"/>
      <c r="UP117" s="16"/>
      <c r="UQ117" s="16"/>
      <c r="UR117" s="16"/>
      <c r="US117" s="16"/>
      <c r="UT117" s="16">
        <v>5.5</v>
      </c>
      <c r="UU117" s="16">
        <v>9.81</v>
      </c>
      <c r="UV117" s="16">
        <v>0</v>
      </c>
      <c r="UW117" s="16">
        <v>0</v>
      </c>
      <c r="UX117" s="16">
        <v>0</v>
      </c>
      <c r="UY117" s="16">
        <v>0</v>
      </c>
      <c r="UZ117" s="16">
        <v>0</v>
      </c>
      <c r="VA117">
        <v>0</v>
      </c>
      <c r="VB117" t="s">
        <v>510</v>
      </c>
      <c r="VC117">
        <v>33.5</v>
      </c>
      <c r="VD117" s="16">
        <v>74.7</v>
      </c>
      <c r="VE117" s="16">
        <v>80.400000000000006</v>
      </c>
      <c r="VF117" s="16">
        <v>23.3</v>
      </c>
      <c r="VG117">
        <v>67.739999999999995</v>
      </c>
      <c r="VH117" s="17">
        <v>0</v>
      </c>
      <c r="VI117">
        <v>10.14</v>
      </c>
      <c r="VJ117">
        <v>0</v>
      </c>
      <c r="VK117">
        <v>22.12</v>
      </c>
      <c r="VL117">
        <v>0</v>
      </c>
      <c r="VM117">
        <v>0</v>
      </c>
      <c r="VO117">
        <v>0</v>
      </c>
      <c r="VP117">
        <v>0</v>
      </c>
      <c r="VQ117">
        <v>0</v>
      </c>
      <c r="VR117">
        <v>0</v>
      </c>
      <c r="VS117">
        <v>51.2</v>
      </c>
      <c r="VT117">
        <v>15.83</v>
      </c>
      <c r="VU117">
        <v>0</v>
      </c>
      <c r="VV117">
        <v>0</v>
      </c>
      <c r="VW117">
        <v>0</v>
      </c>
      <c r="VX117">
        <v>0</v>
      </c>
      <c r="WK117">
        <v>2.2999999999999998</v>
      </c>
      <c r="WL117">
        <v>0</v>
      </c>
      <c r="WW117" s="20"/>
      <c r="XO117">
        <v>1</v>
      </c>
      <c r="XP117">
        <v>50</v>
      </c>
      <c r="XQ117">
        <v>20</v>
      </c>
      <c r="XR117">
        <v>30.66</v>
      </c>
      <c r="XS117">
        <v>3</v>
      </c>
      <c r="XT117">
        <v>60</v>
      </c>
      <c r="XU117">
        <v>33</v>
      </c>
      <c r="XV117">
        <v>0.56000000000000005</v>
      </c>
      <c r="XW117">
        <v>3</v>
      </c>
      <c r="YZ117" s="16">
        <v>0</v>
      </c>
      <c r="ZA117" s="16">
        <v>0</v>
      </c>
      <c r="ZB117" s="16"/>
      <c r="ZC117" s="16"/>
      <c r="ZD117" s="16"/>
      <c r="ZE117" s="16"/>
      <c r="ZF117" s="16"/>
      <c r="ZG117" s="16"/>
      <c r="ZH117" s="16"/>
      <c r="ZI117" s="16"/>
      <c r="ZJ117" s="16"/>
      <c r="ZK117" s="16">
        <v>5.22</v>
      </c>
      <c r="ZL117" s="16">
        <v>7.07</v>
      </c>
      <c r="ZM117" s="16">
        <v>0</v>
      </c>
      <c r="ZN117" s="16">
        <v>0</v>
      </c>
      <c r="ZO117" s="16">
        <v>0</v>
      </c>
      <c r="ZP117" s="16">
        <v>0</v>
      </c>
      <c r="ZQ117" s="16">
        <v>0</v>
      </c>
      <c r="ZR117">
        <v>0</v>
      </c>
      <c r="ZS117" t="s">
        <v>511</v>
      </c>
      <c r="ZT117">
        <v>36.5</v>
      </c>
      <c r="ZU117" s="16">
        <v>85.2</v>
      </c>
      <c r="ZV117" s="16">
        <v>80.400000000000006</v>
      </c>
      <c r="ZW117" s="16">
        <v>24.1</v>
      </c>
      <c r="ZX117">
        <v>65.36</v>
      </c>
      <c r="ZY117" s="17">
        <v>0</v>
      </c>
      <c r="ZZ117">
        <v>10.14</v>
      </c>
      <c r="AAA117">
        <v>0</v>
      </c>
      <c r="AAB117">
        <v>24.5</v>
      </c>
      <c r="AAC117">
        <v>0</v>
      </c>
      <c r="AAD117">
        <v>0</v>
      </c>
      <c r="AAF117">
        <v>0</v>
      </c>
      <c r="AAG117">
        <v>0</v>
      </c>
      <c r="AAH117">
        <v>0</v>
      </c>
      <c r="AAI117">
        <v>0</v>
      </c>
      <c r="AAJ117">
        <v>56.76</v>
      </c>
      <c r="AAK117">
        <v>17.5</v>
      </c>
      <c r="AAL117">
        <v>0</v>
      </c>
      <c r="AAM117">
        <v>0</v>
      </c>
      <c r="AAN117">
        <v>0</v>
      </c>
      <c r="AAO117">
        <v>0</v>
      </c>
      <c r="ABB117">
        <v>4.3</v>
      </c>
      <c r="ABC117">
        <v>0</v>
      </c>
      <c r="ABN117" s="20"/>
      <c r="ACF117">
        <v>1</v>
      </c>
      <c r="ACG117">
        <v>60</v>
      </c>
      <c r="ACH117">
        <v>53</v>
      </c>
      <c r="ACI117">
        <v>35.979999999999997</v>
      </c>
      <c r="ACJ117">
        <v>3</v>
      </c>
      <c r="ADQ117" s="16">
        <v>0</v>
      </c>
      <c r="ADR117" s="16">
        <v>0</v>
      </c>
      <c r="ADS117" s="16"/>
      <c r="ADT117" s="16"/>
      <c r="ADU117" s="16"/>
      <c r="ADV117" s="16"/>
      <c r="ADW117" s="16"/>
      <c r="ADX117" s="16"/>
      <c r="ADY117" s="16"/>
      <c r="ADZ117" s="16"/>
      <c r="AEA117" s="16"/>
      <c r="AEB117" s="16">
        <v>5.0999999999999996</v>
      </c>
      <c r="AEC117" s="16">
        <v>5.93</v>
      </c>
      <c r="AED117" s="16">
        <v>0</v>
      </c>
      <c r="AEE117" s="16">
        <v>0</v>
      </c>
      <c r="AEF117" s="16">
        <v>0</v>
      </c>
      <c r="AEG117" s="16">
        <v>0</v>
      </c>
      <c r="AEH117" s="16">
        <v>0</v>
      </c>
      <c r="AEI117">
        <v>0</v>
      </c>
      <c r="AEJ117" t="s">
        <v>512</v>
      </c>
      <c r="AEK117">
        <v>33</v>
      </c>
      <c r="AEL117" s="16">
        <v>70.599999999999994</v>
      </c>
      <c r="AEM117" s="16">
        <v>80.400000000000006</v>
      </c>
      <c r="AEN117" s="16">
        <v>29.2</v>
      </c>
      <c r="AEO117">
        <v>16.940000000000001</v>
      </c>
      <c r="AEP117" s="17">
        <v>0</v>
      </c>
      <c r="AEQ117">
        <v>0</v>
      </c>
      <c r="AER117">
        <v>0</v>
      </c>
      <c r="AES117">
        <v>0</v>
      </c>
      <c r="AET117">
        <v>0</v>
      </c>
      <c r="AEU117">
        <v>83.06</v>
      </c>
      <c r="AEV117">
        <v>25.18</v>
      </c>
      <c r="AEW117">
        <v>8.6999999999999993</v>
      </c>
      <c r="AEX117">
        <v>0</v>
      </c>
      <c r="AEY117">
        <v>0</v>
      </c>
      <c r="AEZ117">
        <v>0</v>
      </c>
      <c r="AFA117">
        <v>13.49</v>
      </c>
      <c r="AFB117">
        <v>16.48</v>
      </c>
      <c r="AFC117">
        <v>0</v>
      </c>
      <c r="AFD117">
        <v>0</v>
      </c>
      <c r="AFE117">
        <v>0</v>
      </c>
      <c r="AFF117">
        <v>0</v>
      </c>
      <c r="AFS117">
        <v>0</v>
      </c>
      <c r="AFT117">
        <v>0</v>
      </c>
      <c r="AGE117" s="20"/>
      <c r="AGW117">
        <v>0</v>
      </c>
      <c r="AIH117" s="16">
        <v>3.62</v>
      </c>
      <c r="AII117" s="16">
        <v>1</v>
      </c>
      <c r="AIJ117" s="16">
        <v>1</v>
      </c>
      <c r="AIK117" s="16"/>
      <c r="AIL117" s="16">
        <v>16.739999999999998</v>
      </c>
      <c r="AIM117" s="16"/>
      <c r="AIN117" s="16"/>
      <c r="AIO117" s="16"/>
      <c r="AIP117" s="16"/>
      <c r="AIQ117" s="16"/>
      <c r="AIR117" s="16"/>
      <c r="AIS117" s="16">
        <v>0</v>
      </c>
      <c r="AIT117" s="16">
        <v>0</v>
      </c>
      <c r="AIU117" s="16">
        <v>0</v>
      </c>
      <c r="AIV117" s="16">
        <v>0</v>
      </c>
      <c r="AIW117" s="16">
        <v>0</v>
      </c>
      <c r="AIX117" s="16">
        <v>0</v>
      </c>
      <c r="AIY117" s="16">
        <v>0</v>
      </c>
      <c r="AIZ117">
        <v>0</v>
      </c>
      <c r="AJA117" t="s">
        <v>513</v>
      </c>
      <c r="AJB117">
        <v>26</v>
      </c>
      <c r="AJC117" s="16">
        <v>68.5</v>
      </c>
      <c r="AJD117" s="16">
        <v>80.400000000000006</v>
      </c>
      <c r="AJE117" s="16">
        <v>15.6</v>
      </c>
      <c r="AJF117">
        <v>18.899999999999999</v>
      </c>
      <c r="AJG117" s="17">
        <v>0</v>
      </c>
      <c r="AJH117">
        <v>0</v>
      </c>
      <c r="AJI117">
        <v>0</v>
      </c>
      <c r="AJJ117">
        <v>3.51</v>
      </c>
      <c r="AJK117">
        <v>0</v>
      </c>
      <c r="AJL117">
        <v>77.39</v>
      </c>
      <c r="AJM117">
        <v>0</v>
      </c>
      <c r="AJN117">
        <v>2.06</v>
      </c>
      <c r="AJO117">
        <v>0</v>
      </c>
      <c r="AJP117">
        <v>0</v>
      </c>
      <c r="AJQ117">
        <v>45.86</v>
      </c>
      <c r="AJR117">
        <v>16.260000000000002</v>
      </c>
      <c r="AJS117">
        <v>26.58</v>
      </c>
      <c r="AJT117">
        <v>0</v>
      </c>
      <c r="AJU117">
        <v>0</v>
      </c>
      <c r="AJV117">
        <v>0</v>
      </c>
      <c r="AJW117">
        <v>0</v>
      </c>
      <c r="AKJ117">
        <v>3</v>
      </c>
      <c r="AKK117">
        <v>0</v>
      </c>
      <c r="AKV117" s="20"/>
      <c r="ALN117">
        <v>1</v>
      </c>
      <c r="ALO117">
        <v>50</v>
      </c>
      <c r="ALP117">
        <v>10</v>
      </c>
      <c r="ALQ117">
        <v>5.31</v>
      </c>
      <c r="ALR117">
        <v>3</v>
      </c>
    </row>
    <row r="118" spans="1:1024" x14ac:dyDescent="0.2">
      <c r="A118" s="1" t="s">
        <v>538</v>
      </c>
      <c r="B118" s="12">
        <v>42906</v>
      </c>
      <c r="C118">
        <v>1</v>
      </c>
      <c r="D118" s="13">
        <v>40672</v>
      </c>
      <c r="E118" s="12">
        <v>25997</v>
      </c>
      <c r="F118" s="14">
        <f t="shared" si="42"/>
        <v>46.294318959616703</v>
      </c>
      <c r="G118" s="14">
        <f t="shared" si="43"/>
        <v>6.1163586584531142</v>
      </c>
      <c r="H118" s="15" t="s">
        <v>183</v>
      </c>
      <c r="I118" s="15" t="s">
        <v>523</v>
      </c>
      <c r="J118" s="15" t="s">
        <v>181</v>
      </c>
      <c r="K118" s="21">
        <v>8</v>
      </c>
      <c r="L118" s="19">
        <v>74</v>
      </c>
      <c r="M118">
        <v>1.67</v>
      </c>
      <c r="N118" s="16">
        <f t="shared" si="44"/>
        <v>26.533758829646096</v>
      </c>
      <c r="O118" s="19">
        <v>0</v>
      </c>
      <c r="P118" s="19">
        <v>0</v>
      </c>
      <c r="Q118" s="19">
        <v>0</v>
      </c>
      <c r="R118" s="19">
        <v>0</v>
      </c>
      <c r="S118" s="19">
        <v>0</v>
      </c>
      <c r="T118" s="19">
        <v>0</v>
      </c>
      <c r="U118" s="19">
        <v>0</v>
      </c>
      <c r="V118" s="19">
        <v>0</v>
      </c>
      <c r="W118" s="19">
        <v>1</v>
      </c>
      <c r="X118" s="19">
        <v>0</v>
      </c>
      <c r="Y118" s="19">
        <v>1</v>
      </c>
      <c r="Z118" s="19">
        <v>2</v>
      </c>
      <c r="AA118" s="19">
        <v>180</v>
      </c>
      <c r="AB118" s="19" t="s">
        <v>539</v>
      </c>
      <c r="AC118" s="19">
        <v>0</v>
      </c>
      <c r="AD118" s="19">
        <v>0</v>
      </c>
      <c r="AE118" s="19">
        <v>1</v>
      </c>
      <c r="AF118" s="19">
        <v>0</v>
      </c>
      <c r="AG118" s="19">
        <v>0</v>
      </c>
      <c r="AH118" s="19">
        <v>0</v>
      </c>
      <c r="AN118" s="19">
        <v>0</v>
      </c>
      <c r="AO118" s="19">
        <v>0</v>
      </c>
      <c r="AP118" s="19">
        <v>0</v>
      </c>
      <c r="AQ118" s="19">
        <v>0</v>
      </c>
      <c r="AR118" s="19">
        <v>0</v>
      </c>
      <c r="AS118" s="19">
        <v>3</v>
      </c>
      <c r="AT118" s="19">
        <v>0</v>
      </c>
      <c r="AU118" s="19">
        <v>0</v>
      </c>
      <c r="AV118" s="19">
        <v>0</v>
      </c>
      <c r="AW118" s="19">
        <v>0</v>
      </c>
      <c r="AX118" s="19">
        <v>0</v>
      </c>
      <c r="AY118" s="19">
        <v>0</v>
      </c>
      <c r="AZ118" s="19">
        <v>0</v>
      </c>
      <c r="BA118" s="19">
        <v>0</v>
      </c>
      <c r="BB118" s="19">
        <v>0</v>
      </c>
      <c r="BC118" s="19">
        <v>0</v>
      </c>
      <c r="BD118" s="19">
        <v>0</v>
      </c>
      <c r="BE118" s="19">
        <v>0</v>
      </c>
      <c r="BF118" s="19">
        <v>0</v>
      </c>
      <c r="BG118" s="19">
        <v>0</v>
      </c>
      <c r="BH118" s="19">
        <v>0</v>
      </c>
      <c r="BI118" s="19">
        <v>0</v>
      </c>
      <c r="BJ118" s="19">
        <v>1</v>
      </c>
      <c r="BK118" s="19">
        <v>1</v>
      </c>
      <c r="BL118" s="19">
        <v>1</v>
      </c>
      <c r="BM118" s="19">
        <v>10</v>
      </c>
      <c r="BN118" s="19">
        <v>0</v>
      </c>
      <c r="BO118" s="19">
        <v>0</v>
      </c>
      <c r="BP118" s="19">
        <v>0</v>
      </c>
      <c r="BQ118" s="19">
        <v>0</v>
      </c>
      <c r="BR118" s="19">
        <v>1</v>
      </c>
      <c r="BS118" s="19">
        <v>1</v>
      </c>
      <c r="BT118" s="19">
        <v>3</v>
      </c>
      <c r="BU118" s="19">
        <v>5</v>
      </c>
      <c r="BV118" s="19">
        <v>3</v>
      </c>
      <c r="BW118" s="19">
        <v>3</v>
      </c>
      <c r="BX118" s="19">
        <v>4</v>
      </c>
      <c r="BY118" s="19"/>
      <c r="BZ118" s="19"/>
      <c r="CA118" s="19"/>
      <c r="CB118" s="19">
        <v>3</v>
      </c>
      <c r="CC118" s="19">
        <v>4</v>
      </c>
      <c r="CD118" s="19">
        <v>4</v>
      </c>
      <c r="CE118" s="19">
        <v>3</v>
      </c>
      <c r="CF118" s="19">
        <v>3</v>
      </c>
      <c r="CG118" s="19">
        <v>4</v>
      </c>
      <c r="CH118" s="19">
        <v>4</v>
      </c>
      <c r="CI118" s="19">
        <v>4</v>
      </c>
      <c r="CJ118" s="19">
        <v>4</v>
      </c>
      <c r="CK118" s="19">
        <v>8</v>
      </c>
      <c r="CL118" t="s">
        <v>540</v>
      </c>
      <c r="CM118">
        <v>70.5</v>
      </c>
      <c r="CN118" s="16">
        <v>88.2</v>
      </c>
      <c r="CO118" s="16">
        <v>80.400000000000006</v>
      </c>
      <c r="CP118" s="16">
        <v>36.299999999999997</v>
      </c>
      <c r="CQ118">
        <v>72.69</v>
      </c>
      <c r="CR118" s="17">
        <v>0</v>
      </c>
      <c r="CS118">
        <v>10.32</v>
      </c>
      <c r="CT118">
        <v>16.989999999999998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36.659999999999997</v>
      </c>
      <c r="DD118">
        <v>7.54</v>
      </c>
      <c r="DE118">
        <v>10.32</v>
      </c>
      <c r="DF118">
        <v>0</v>
      </c>
      <c r="DG118">
        <v>0</v>
      </c>
      <c r="DH118">
        <v>0</v>
      </c>
      <c r="DU118">
        <v>21.2</v>
      </c>
      <c r="DV118">
        <v>1</v>
      </c>
      <c r="DW118">
        <v>35</v>
      </c>
      <c r="DX118">
        <v>7</v>
      </c>
      <c r="DY118">
        <f>5.71+0.54</f>
        <v>6.25</v>
      </c>
      <c r="DZ118">
        <v>3</v>
      </c>
      <c r="EA118">
        <v>47</v>
      </c>
      <c r="EB118">
        <v>2</v>
      </c>
      <c r="EC118">
        <v>0.4</v>
      </c>
      <c r="ED118">
        <v>3</v>
      </c>
      <c r="EG118" s="20"/>
      <c r="EY118">
        <v>0</v>
      </c>
      <c r="GJ118" s="16">
        <v>11.58</v>
      </c>
      <c r="GK118" s="16">
        <v>1</v>
      </c>
      <c r="GL118" s="16">
        <v>2</v>
      </c>
      <c r="GM118" s="16"/>
      <c r="GN118" s="16">
        <f>0.22+1.95+3.81+0.27+0.32+0.04+0.05</f>
        <v>6.66</v>
      </c>
      <c r="GO118" s="16"/>
      <c r="GP118" s="16"/>
      <c r="GQ118" s="16"/>
      <c r="GR118" s="16"/>
      <c r="GS118" s="16"/>
      <c r="GT118" s="16"/>
      <c r="GU118" s="16">
        <v>0.27</v>
      </c>
      <c r="GV118" s="16">
        <v>0.27</v>
      </c>
      <c r="GW118" s="16">
        <v>0</v>
      </c>
      <c r="GX118" s="16">
        <v>0</v>
      </c>
      <c r="GY118" s="16">
        <v>0</v>
      </c>
      <c r="GZ118" s="16">
        <v>0</v>
      </c>
      <c r="HA118" s="16">
        <v>0</v>
      </c>
      <c r="HB118">
        <v>0</v>
      </c>
      <c r="HC118" t="s">
        <v>541</v>
      </c>
      <c r="HD118">
        <v>94.5</v>
      </c>
      <c r="HE118" s="16">
        <v>88.2</v>
      </c>
      <c r="HF118" s="16">
        <v>80.400000000000006</v>
      </c>
      <c r="HG118" s="16">
        <v>73.099999999999994</v>
      </c>
      <c r="HH118">
        <v>41.34</v>
      </c>
      <c r="HI118" s="17">
        <v>0</v>
      </c>
      <c r="HJ118">
        <v>8.6300000000000008</v>
      </c>
      <c r="HK118">
        <v>0.04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8.06</v>
      </c>
      <c r="HU118">
        <v>3.65</v>
      </c>
      <c r="HV118">
        <v>7.2</v>
      </c>
      <c r="HW118">
        <v>0</v>
      </c>
      <c r="HX118">
        <v>0</v>
      </c>
      <c r="HY118">
        <v>0</v>
      </c>
      <c r="IL118">
        <v>9.4</v>
      </c>
      <c r="IM118">
        <v>1</v>
      </c>
      <c r="IN118">
        <v>35</v>
      </c>
      <c r="IO118">
        <v>2</v>
      </c>
      <c r="IP118">
        <f>0.76+0.45</f>
        <v>1.21</v>
      </c>
      <c r="IQ118">
        <v>3</v>
      </c>
      <c r="IX118" s="20"/>
      <c r="JP118">
        <v>1</v>
      </c>
      <c r="JQ118">
        <v>70</v>
      </c>
      <c r="JR118">
        <v>2</v>
      </c>
      <c r="JS118">
        <f>0.75+1.69</f>
        <v>2.44</v>
      </c>
      <c r="JT118">
        <v>2</v>
      </c>
      <c r="LA118" s="16">
        <v>0.84</v>
      </c>
      <c r="LB118" s="16">
        <v>1</v>
      </c>
      <c r="LC118" s="16">
        <v>1</v>
      </c>
      <c r="LD118" s="16"/>
      <c r="LE118" s="16">
        <v>0.6</v>
      </c>
      <c r="LF118" s="16"/>
      <c r="LG118" s="16"/>
      <c r="LH118" s="16"/>
      <c r="LI118" s="16"/>
      <c r="LJ118" s="16"/>
      <c r="LK118" s="16"/>
      <c r="LL118" s="16">
        <v>10.19</v>
      </c>
      <c r="LM118" s="16">
        <v>8.4600000000000009</v>
      </c>
      <c r="LN118" s="16">
        <v>0</v>
      </c>
      <c r="LO118" s="16">
        <v>0</v>
      </c>
      <c r="LP118" s="16">
        <v>0</v>
      </c>
      <c r="LQ118" s="16">
        <v>0</v>
      </c>
      <c r="LR118" s="16">
        <v>0</v>
      </c>
      <c r="LS118">
        <v>0</v>
      </c>
      <c r="LT118" t="s">
        <v>542</v>
      </c>
      <c r="LU118">
        <v>75</v>
      </c>
      <c r="LV118" s="16">
        <v>91.2</v>
      </c>
      <c r="LW118" s="16">
        <v>80.400000000000006</v>
      </c>
      <c r="LX118" s="16">
        <v>61</v>
      </c>
      <c r="LY118">
        <v>53.67</v>
      </c>
      <c r="LZ118" s="17">
        <v>0</v>
      </c>
      <c r="MA118">
        <v>16.760000000000002</v>
      </c>
      <c r="MB118">
        <v>29.58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6.79</v>
      </c>
      <c r="ML118">
        <v>14.97</v>
      </c>
      <c r="MM118">
        <v>18.239999999999998</v>
      </c>
      <c r="MN118">
        <v>0</v>
      </c>
      <c r="MO118">
        <v>0</v>
      </c>
      <c r="MP118">
        <v>0</v>
      </c>
      <c r="NC118">
        <v>9</v>
      </c>
      <c r="ND118">
        <v>1</v>
      </c>
      <c r="NE118">
        <v>68</v>
      </c>
      <c r="NF118">
        <v>1</v>
      </c>
      <c r="NG118">
        <v>0.38</v>
      </c>
      <c r="NH118">
        <v>1</v>
      </c>
      <c r="NI118">
        <v>47</v>
      </c>
      <c r="NJ118">
        <v>1</v>
      </c>
      <c r="NK118">
        <v>1.1299999999999999</v>
      </c>
      <c r="NL118">
        <v>3</v>
      </c>
      <c r="NO118" s="20"/>
      <c r="OG118">
        <v>1</v>
      </c>
      <c r="OH118">
        <v>70</v>
      </c>
      <c r="OI118">
        <v>2</v>
      </c>
      <c r="OJ118">
        <f>1.69+0.75</f>
        <v>2.44</v>
      </c>
      <c r="OK118">
        <v>2</v>
      </c>
      <c r="PR118" s="16">
        <v>1.88</v>
      </c>
      <c r="PS118" s="16">
        <v>1</v>
      </c>
      <c r="PT118" s="16">
        <v>1</v>
      </c>
      <c r="PU118" s="16"/>
      <c r="PV118" s="16">
        <f>1.04+1.04+1.04</f>
        <v>3.12</v>
      </c>
      <c r="PW118" s="16"/>
      <c r="PX118" s="16"/>
      <c r="PY118" s="16"/>
      <c r="PZ118" s="16"/>
      <c r="QA118" s="16"/>
      <c r="QB118" s="16"/>
      <c r="QC118" s="16">
        <v>1.5</v>
      </c>
      <c r="QD118" s="16">
        <v>1.5</v>
      </c>
      <c r="QE118" s="16">
        <v>0</v>
      </c>
      <c r="QF118" s="16">
        <v>0</v>
      </c>
      <c r="QG118" s="16">
        <v>0</v>
      </c>
      <c r="QH118" s="16">
        <v>0</v>
      </c>
      <c r="QI118" s="16">
        <v>0</v>
      </c>
      <c r="QJ118">
        <v>0</v>
      </c>
      <c r="QK118" t="s">
        <v>543</v>
      </c>
      <c r="QL118">
        <v>21</v>
      </c>
      <c r="QM118" s="16">
        <v>77.900000000000006</v>
      </c>
      <c r="QN118" s="16">
        <v>160.80000000000001</v>
      </c>
      <c r="QO118" s="16">
        <v>14.1</v>
      </c>
      <c r="QP118">
        <v>87.99</v>
      </c>
      <c r="QQ118" s="17">
        <v>0</v>
      </c>
      <c r="QR118">
        <v>3.38</v>
      </c>
      <c r="QS118">
        <v>0</v>
      </c>
      <c r="QT118">
        <v>8.6300000000000008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65.599999999999994</v>
      </c>
      <c r="RD118">
        <v>0</v>
      </c>
      <c r="RE118">
        <v>0</v>
      </c>
      <c r="RF118">
        <v>0</v>
      </c>
      <c r="RG118">
        <v>0</v>
      </c>
      <c r="RT118">
        <v>1.4</v>
      </c>
      <c r="RU118">
        <v>1</v>
      </c>
      <c r="RV118">
        <v>35</v>
      </c>
      <c r="RW118">
        <v>3</v>
      </c>
      <c r="RX118">
        <f>0.38</f>
        <v>0.38</v>
      </c>
      <c r="RY118">
        <v>3</v>
      </c>
      <c r="RZ118">
        <v>34</v>
      </c>
      <c r="SA118">
        <v>27</v>
      </c>
      <c r="SB118">
        <f>0.19+0.19+1.13+3.38+0.56+1.5+1.13+0.38</f>
        <v>8.4599999999999991</v>
      </c>
      <c r="SC118">
        <v>1</v>
      </c>
      <c r="SF118" s="20"/>
      <c r="SX118">
        <v>1</v>
      </c>
      <c r="SY118">
        <v>40</v>
      </c>
      <c r="SZ118">
        <v>9</v>
      </c>
      <c r="TA118">
        <f>0.38+1.13+3+1.88+0.75</f>
        <v>7.14</v>
      </c>
      <c r="TB118">
        <v>3</v>
      </c>
      <c r="UI118" s="16">
        <v>0</v>
      </c>
      <c r="UJ118" s="16">
        <v>0</v>
      </c>
      <c r="UK118" s="16"/>
      <c r="UL118" s="16"/>
      <c r="UM118" s="16"/>
      <c r="UN118" s="16"/>
      <c r="UO118" s="16"/>
      <c r="UP118" s="16"/>
      <c r="UQ118" s="16"/>
      <c r="UR118" s="16"/>
      <c r="US118" s="16"/>
      <c r="UT118" s="16">
        <v>5.27</v>
      </c>
      <c r="UU118" s="16">
        <v>1.5</v>
      </c>
      <c r="UV118" s="16">
        <v>0</v>
      </c>
      <c r="UW118" s="16">
        <v>0</v>
      </c>
      <c r="UX118" s="16">
        <v>0</v>
      </c>
      <c r="UY118" s="16">
        <v>0</v>
      </c>
      <c r="UZ118" s="16">
        <v>0</v>
      </c>
      <c r="VA118">
        <v>0</v>
      </c>
      <c r="VE118" s="15"/>
      <c r="VF118" s="15"/>
      <c r="VM118" s="15"/>
      <c r="VN118" s="15"/>
      <c r="VU118" s="15"/>
      <c r="VV118" s="15"/>
      <c r="WC118" s="15"/>
      <c r="WD118" s="15"/>
      <c r="WK118" s="15"/>
      <c r="WL118" s="15"/>
      <c r="WS118" s="15"/>
      <c r="WT118" s="15"/>
      <c r="XA118" s="15"/>
      <c r="XB118" s="15"/>
      <c r="XI118" s="15"/>
      <c r="XJ118" s="15"/>
      <c r="XQ118" s="15"/>
      <c r="XR118" s="15"/>
      <c r="XY118" s="15"/>
      <c r="XZ118" s="15"/>
      <c r="YG118" s="15"/>
      <c r="YH118" s="15"/>
      <c r="YO118" s="15"/>
      <c r="YP118" s="15"/>
      <c r="YW118" s="15"/>
      <c r="YX118" s="15"/>
      <c r="ZE118" s="15"/>
      <c r="ZF118" s="15"/>
      <c r="ZM118" s="15"/>
      <c r="ZN118" s="15"/>
      <c r="ZU118" s="15"/>
      <c r="ZV118" s="15"/>
      <c r="AAC118" s="15"/>
      <c r="AAD118" s="15"/>
      <c r="AAK118" s="15"/>
      <c r="AAL118" s="15"/>
      <c r="AAS118" s="15"/>
      <c r="AAT118" s="15"/>
      <c r="ABA118" s="15"/>
      <c r="ABB118" s="15"/>
      <c r="ABI118" s="15"/>
      <c r="ABJ118" s="15"/>
      <c r="ABQ118" s="15"/>
      <c r="ABR118" s="15"/>
      <c r="ABY118" s="15"/>
      <c r="ABZ118" s="15"/>
      <c r="ACG118" s="15"/>
      <c r="ACH118" s="15"/>
      <c r="ACO118" s="15"/>
      <c r="ACP118" s="15"/>
      <c r="ACW118" s="15"/>
      <c r="ACX118" s="15"/>
      <c r="ADE118" s="15"/>
      <c r="ADF118" s="15"/>
      <c r="ADM118" s="15"/>
      <c r="ADN118" s="15"/>
      <c r="ADU118" s="15"/>
      <c r="ADV118" s="15"/>
      <c r="AEC118" s="15"/>
      <c r="AED118" s="15"/>
      <c r="AEK118" s="15"/>
      <c r="AEL118" s="15"/>
      <c r="AES118" s="15"/>
      <c r="AET118" s="15"/>
      <c r="AFA118" s="15"/>
      <c r="AFB118" s="15"/>
      <c r="AFI118" s="15"/>
      <c r="AFJ118" s="15"/>
      <c r="AFQ118" s="15"/>
      <c r="AFR118" s="15"/>
      <c r="AFY118" s="15"/>
      <c r="AFZ118" s="15"/>
      <c r="AGG118" s="15"/>
      <c r="AGH118" s="15"/>
      <c r="AGO118" s="15"/>
      <c r="AGP118" s="15"/>
      <c r="AGW118" s="15"/>
      <c r="AGX118" s="15"/>
      <c r="AHE118" s="15"/>
      <c r="AHF118" s="15"/>
      <c r="AHM118" s="15"/>
      <c r="AHN118" s="15"/>
      <c r="AHU118" s="15"/>
      <c r="AHV118" s="15"/>
      <c r="AIC118" s="15"/>
      <c r="AID118" s="15"/>
      <c r="AIK118" s="15"/>
      <c r="AIL118" s="15"/>
      <c r="AIS118" s="15"/>
      <c r="AIT118" s="15"/>
      <c r="AJA118" s="15"/>
      <c r="AJB118" s="15"/>
      <c r="AJI118" s="15"/>
      <c r="AJJ118" s="15"/>
      <c r="AJQ118" s="15"/>
      <c r="AJR118" s="15"/>
      <c r="AJY118" s="15"/>
      <c r="AJZ118" s="15"/>
      <c r="AKG118" s="15"/>
      <c r="AKH118" s="15"/>
      <c r="AKO118" s="15"/>
      <c r="AKP118" s="15"/>
      <c r="AKW118" s="15"/>
      <c r="AKX118" s="15"/>
      <c r="ALE118" s="15"/>
      <c r="ALF118" s="15"/>
      <c r="ALM118" s="15"/>
      <c r="ALN118" s="15"/>
      <c r="ALU118" s="15"/>
      <c r="ALV118" s="15"/>
      <c r="AMC118" s="15"/>
      <c r="AMD118" s="15"/>
    </row>
    <row r="119" spans="1:1024" x14ac:dyDescent="0.2">
      <c r="A119" s="1" t="s">
        <v>544</v>
      </c>
      <c r="B119" s="12">
        <v>42905</v>
      </c>
      <c r="C119">
        <v>2</v>
      </c>
      <c r="D119" s="13">
        <v>42776</v>
      </c>
      <c r="E119" s="12">
        <v>35996</v>
      </c>
      <c r="F119" s="14">
        <f t="shared" si="42"/>
        <v>18.915811088295687</v>
      </c>
      <c r="G119" s="14">
        <f t="shared" si="43"/>
        <v>0.35318275154004108</v>
      </c>
      <c r="H119" s="15" t="s">
        <v>217</v>
      </c>
      <c r="I119" s="15" t="s">
        <v>545</v>
      </c>
      <c r="J119" s="15" t="s">
        <v>181</v>
      </c>
      <c r="K119" s="21">
        <v>8</v>
      </c>
      <c r="L119" s="19">
        <v>80</v>
      </c>
      <c r="M119">
        <v>1.75</v>
      </c>
      <c r="N119" s="16">
        <f t="shared" si="44"/>
        <v>26.122448979591837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  <c r="T119" s="19">
        <v>0</v>
      </c>
      <c r="U119" s="19">
        <v>0</v>
      </c>
      <c r="V119" s="19">
        <v>0</v>
      </c>
      <c r="W119" s="19">
        <v>0</v>
      </c>
      <c r="X119" s="19">
        <v>0</v>
      </c>
      <c r="Y119" s="19">
        <v>1</v>
      </c>
      <c r="Z119" s="19">
        <v>1</v>
      </c>
      <c r="AA119" s="19">
        <v>60</v>
      </c>
      <c r="AB119" s="19" t="s">
        <v>308</v>
      </c>
      <c r="AC119" s="19">
        <v>1</v>
      </c>
      <c r="AD119" s="19">
        <v>8</v>
      </c>
      <c r="AE119" s="19">
        <v>0</v>
      </c>
      <c r="AF119" s="19">
        <v>0</v>
      </c>
      <c r="AG119" s="19">
        <v>0</v>
      </c>
      <c r="AH119" s="19">
        <v>0</v>
      </c>
      <c r="AI119" s="19">
        <v>0</v>
      </c>
      <c r="AJ119" s="19">
        <v>0</v>
      </c>
      <c r="AK119" s="19">
        <v>0</v>
      </c>
      <c r="AL119" s="19">
        <v>0</v>
      </c>
      <c r="AM119" s="19">
        <v>0</v>
      </c>
      <c r="AN119" s="19">
        <v>0</v>
      </c>
      <c r="AO119" s="19">
        <v>0</v>
      </c>
      <c r="AP119" s="19">
        <v>0</v>
      </c>
      <c r="AQ119" s="19">
        <v>0</v>
      </c>
      <c r="AR119" s="19">
        <v>0</v>
      </c>
      <c r="AS119" s="19">
        <v>1</v>
      </c>
      <c r="AT119" s="19">
        <v>0</v>
      </c>
      <c r="AU119" s="19">
        <v>0</v>
      </c>
      <c r="AV119" s="19">
        <v>0</v>
      </c>
      <c r="AW119" s="19">
        <v>0</v>
      </c>
      <c r="AX119" s="19">
        <v>0</v>
      </c>
      <c r="AY119" s="19">
        <v>0</v>
      </c>
      <c r="AZ119" s="19">
        <v>0</v>
      </c>
      <c r="BA119" s="19">
        <v>0</v>
      </c>
      <c r="BB119" s="19">
        <v>0</v>
      </c>
      <c r="BC119" s="19">
        <v>0</v>
      </c>
      <c r="BD119" s="19">
        <v>0</v>
      </c>
      <c r="BE119" s="19">
        <v>0</v>
      </c>
      <c r="BF119" s="19">
        <v>0</v>
      </c>
      <c r="BG119" s="19">
        <v>0</v>
      </c>
      <c r="BH119" s="19">
        <v>0</v>
      </c>
      <c r="BI119" s="19">
        <v>0</v>
      </c>
      <c r="BJ119" s="19">
        <v>0</v>
      </c>
      <c r="BK119" s="19">
        <v>0</v>
      </c>
      <c r="BL119" s="19">
        <v>0</v>
      </c>
      <c r="BM119" s="19">
        <v>0</v>
      </c>
      <c r="BN119" s="19">
        <v>0</v>
      </c>
      <c r="BO119" s="19">
        <v>0</v>
      </c>
      <c r="BP119" s="19">
        <v>0</v>
      </c>
      <c r="BQ119" s="19">
        <v>0</v>
      </c>
      <c r="BR119" s="19"/>
      <c r="BS119" s="19"/>
      <c r="BT119" s="19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9"/>
      <c r="CG119" s="19"/>
      <c r="CH119" s="19">
        <v>4</v>
      </c>
      <c r="CI119" s="19">
        <v>5</v>
      </c>
      <c r="CJ119" s="19">
        <v>5</v>
      </c>
      <c r="CK119" s="19">
        <v>9</v>
      </c>
      <c r="CL119" t="s">
        <v>546</v>
      </c>
      <c r="CM119">
        <v>16.5</v>
      </c>
      <c r="CN119" s="16">
        <v>35.299999999999997</v>
      </c>
      <c r="CO119" s="16">
        <v>80.400000000000006</v>
      </c>
      <c r="CP119" s="16">
        <v>9.6999999999999993</v>
      </c>
      <c r="CQ119">
        <v>86.56</v>
      </c>
      <c r="CR119">
        <v>12.61</v>
      </c>
      <c r="CS119">
        <v>0</v>
      </c>
      <c r="CT119">
        <v>0</v>
      </c>
      <c r="CU119">
        <v>0.83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2.2200000000000002</v>
      </c>
      <c r="DD119">
        <v>20.83</v>
      </c>
      <c r="DE119">
        <v>0</v>
      </c>
      <c r="DF119">
        <v>0</v>
      </c>
      <c r="DG119">
        <v>0</v>
      </c>
      <c r="DH119">
        <v>0</v>
      </c>
      <c r="DU119">
        <v>0.3</v>
      </c>
      <c r="DV119">
        <v>1</v>
      </c>
      <c r="DW119">
        <v>34</v>
      </c>
      <c r="DX119">
        <v>4</v>
      </c>
      <c r="DY119">
        <f>1.35+0.45+1.35+0.45</f>
        <v>3.6000000000000005</v>
      </c>
      <c r="DZ119">
        <v>1</v>
      </c>
      <c r="EA119">
        <v>52</v>
      </c>
      <c r="EB119">
        <v>1</v>
      </c>
      <c r="EC119">
        <f>0.18</f>
        <v>0.18</v>
      </c>
      <c r="ED119">
        <v>2</v>
      </c>
      <c r="EG119" s="18"/>
      <c r="EY119">
        <v>0</v>
      </c>
      <c r="GJ119" s="16">
        <v>0.28000000000000003</v>
      </c>
      <c r="GK119" s="16">
        <v>1</v>
      </c>
      <c r="GL119" s="16">
        <v>2</v>
      </c>
      <c r="GM119" s="16"/>
      <c r="GN119" s="16">
        <f>0.37+0.26</f>
        <v>0.63</v>
      </c>
      <c r="GO119" s="16"/>
      <c r="GP119" s="16"/>
      <c r="GQ119" s="16"/>
      <c r="GR119" s="16"/>
      <c r="GS119" s="16"/>
      <c r="GT119" s="16"/>
      <c r="GU119" s="16">
        <v>5.99</v>
      </c>
      <c r="GV119" s="16">
        <v>5.34</v>
      </c>
      <c r="GW119" s="16"/>
      <c r="GX119" s="16"/>
      <c r="GY119" s="16">
        <v>0</v>
      </c>
      <c r="GZ119" s="16">
        <v>0</v>
      </c>
      <c r="HA119" s="16">
        <v>0</v>
      </c>
      <c r="HB119">
        <v>0</v>
      </c>
      <c r="HC119" t="s">
        <v>547</v>
      </c>
      <c r="HD119">
        <v>29.5</v>
      </c>
      <c r="HE119" s="16">
        <v>87.5</v>
      </c>
      <c r="HF119" s="16">
        <v>80.400000000000006</v>
      </c>
      <c r="HG119" s="16">
        <v>14.3</v>
      </c>
      <c r="HH119">
        <v>68.7</v>
      </c>
      <c r="HI119">
        <v>23.24</v>
      </c>
      <c r="HJ119">
        <v>1.79</v>
      </c>
      <c r="HK119">
        <v>0</v>
      </c>
      <c r="HL119">
        <v>6.27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7.01</v>
      </c>
      <c r="HU119">
        <v>58.72</v>
      </c>
      <c r="HV119">
        <v>0.23</v>
      </c>
      <c r="HW119">
        <v>0</v>
      </c>
      <c r="HX119">
        <v>0.5</v>
      </c>
      <c r="HY119">
        <v>2</v>
      </c>
      <c r="HZ119">
        <v>7</v>
      </c>
      <c r="IA119">
        <v>0.08</v>
      </c>
      <c r="IF119">
        <v>7</v>
      </c>
      <c r="IG119">
        <v>0.08</v>
      </c>
      <c r="IL119">
        <v>0</v>
      </c>
      <c r="IM119">
        <v>1</v>
      </c>
      <c r="IN119">
        <v>23</v>
      </c>
      <c r="IO119">
        <v>2</v>
      </c>
      <c r="IP119">
        <v>0.9</v>
      </c>
      <c r="IQ119">
        <v>3</v>
      </c>
      <c r="IX119" s="18"/>
      <c r="JP119">
        <v>1</v>
      </c>
      <c r="JQ119">
        <v>50</v>
      </c>
      <c r="JR119">
        <v>2</v>
      </c>
      <c r="JS119">
        <f>3.13+23.63</f>
        <v>26.759999999999998</v>
      </c>
      <c r="JT119">
        <v>3</v>
      </c>
      <c r="LA119" s="16">
        <v>1.49</v>
      </c>
      <c r="LB119" s="16">
        <v>1</v>
      </c>
      <c r="LC119" s="16">
        <v>1</v>
      </c>
      <c r="LD119" s="16"/>
      <c r="LE119" s="16">
        <f>1.91+2.02+2.02+1.35</f>
        <v>7.2999999999999989</v>
      </c>
      <c r="LF119" s="16">
        <v>2</v>
      </c>
      <c r="LG119" s="16"/>
      <c r="LH119" s="16">
        <v>0.21</v>
      </c>
      <c r="LI119" s="16"/>
      <c r="LJ119" s="16"/>
      <c r="LK119" s="16"/>
      <c r="LL119" s="16">
        <v>10.82</v>
      </c>
      <c r="LM119" s="16">
        <v>14.57</v>
      </c>
      <c r="LN119" s="16"/>
      <c r="LO119" s="16"/>
      <c r="LP119" s="16">
        <v>2.2400000000000002</v>
      </c>
      <c r="LQ119" s="16">
        <v>0.9</v>
      </c>
      <c r="LR119" s="16">
        <v>0</v>
      </c>
      <c r="LS119">
        <v>0</v>
      </c>
      <c r="LT119" t="s">
        <v>548</v>
      </c>
      <c r="LU119">
        <v>50</v>
      </c>
      <c r="LV119" s="16">
        <v>80</v>
      </c>
      <c r="LW119" s="16">
        <v>80.400000000000006</v>
      </c>
      <c r="LX119" s="16">
        <v>16.899999999999999</v>
      </c>
      <c r="LY119">
        <v>58.18</v>
      </c>
      <c r="LZ119">
        <v>32.94</v>
      </c>
      <c r="MA119">
        <v>1.79</v>
      </c>
      <c r="MB119">
        <v>0</v>
      </c>
      <c r="MC119">
        <v>7.09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3.53</v>
      </c>
      <c r="ML119">
        <v>45.12</v>
      </c>
      <c r="MM119">
        <v>0</v>
      </c>
      <c r="MN119">
        <v>0</v>
      </c>
      <c r="MO119">
        <v>0</v>
      </c>
      <c r="MP119">
        <v>0</v>
      </c>
      <c r="NC119">
        <v>8.1999999999999993</v>
      </c>
      <c r="ND119">
        <v>1</v>
      </c>
      <c r="NE119">
        <v>23</v>
      </c>
      <c r="NF119">
        <v>1</v>
      </c>
      <c r="NG119">
        <v>0.45</v>
      </c>
      <c r="NH119">
        <v>3</v>
      </c>
      <c r="NI119">
        <v>34</v>
      </c>
      <c r="NJ119">
        <v>28</v>
      </c>
      <c r="NK119">
        <f>0.45+0.18+1.6+0.24+0.37+4.39+0.49+0.04+0.32+0.05+1.38</f>
        <v>9.5100000000000016</v>
      </c>
      <c r="NL119">
        <v>1</v>
      </c>
      <c r="NO119" s="18"/>
      <c r="OG119">
        <v>0</v>
      </c>
      <c r="PR119" s="16">
        <v>1.65</v>
      </c>
      <c r="PS119" s="16">
        <v>1</v>
      </c>
      <c r="PT119" s="16">
        <v>1</v>
      </c>
      <c r="PU119" s="16"/>
      <c r="PV119" s="16">
        <f>0.18</f>
        <v>0.18</v>
      </c>
      <c r="PW119" s="16">
        <v>2</v>
      </c>
      <c r="PX119" s="16"/>
      <c r="PY119" s="16">
        <f>1.65+0.91+6.23+0.66</f>
        <v>9.4500000000000011</v>
      </c>
      <c r="PZ119" s="16"/>
      <c r="QA119" s="16"/>
      <c r="QB119" s="16"/>
      <c r="QC119" s="16">
        <v>20.65</v>
      </c>
      <c r="QD119" s="16">
        <v>33.56</v>
      </c>
      <c r="QE119" s="16"/>
      <c r="QF119" s="16"/>
      <c r="QG119" s="16">
        <v>2.2400000000000002</v>
      </c>
      <c r="QH119" s="16">
        <v>0.45</v>
      </c>
      <c r="QI119" s="16">
        <v>0</v>
      </c>
      <c r="QJ119">
        <v>0.45</v>
      </c>
      <c r="QK119" t="s">
        <v>549</v>
      </c>
      <c r="QL119">
        <v>31.5</v>
      </c>
      <c r="QM119" s="16">
        <v>79.900000000000006</v>
      </c>
      <c r="QN119" s="16">
        <v>80.400000000000006</v>
      </c>
      <c r="QO119" s="16">
        <v>17.8</v>
      </c>
      <c r="QP119">
        <v>71.45</v>
      </c>
      <c r="QQ119">
        <v>9.43</v>
      </c>
      <c r="QR119">
        <v>1.1200000000000001</v>
      </c>
      <c r="QS119">
        <v>0</v>
      </c>
      <c r="QT119">
        <v>18.010000000000002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8.44</v>
      </c>
      <c r="RC119">
        <v>63.45</v>
      </c>
      <c r="RD119">
        <v>0</v>
      </c>
      <c r="RE119">
        <v>0</v>
      </c>
      <c r="RF119">
        <v>0</v>
      </c>
      <c r="RG119">
        <v>0</v>
      </c>
      <c r="RT119">
        <v>2</v>
      </c>
      <c r="RU119">
        <v>1</v>
      </c>
      <c r="RV119">
        <v>52</v>
      </c>
      <c r="RW119">
        <v>2</v>
      </c>
      <c r="RX119">
        <f>0.9+0.02</f>
        <v>0.92</v>
      </c>
      <c r="RY119">
        <v>2</v>
      </c>
      <c r="SF119" s="18"/>
      <c r="SX119">
        <v>1</v>
      </c>
      <c r="SY119">
        <v>50</v>
      </c>
      <c r="SZ119">
        <v>9</v>
      </c>
      <c r="TA119">
        <f>19.9+3.13</f>
        <v>23.029999999999998</v>
      </c>
      <c r="TB119">
        <v>3</v>
      </c>
      <c r="UI119" s="16">
        <v>1.47</v>
      </c>
      <c r="UJ119" s="16">
        <v>1</v>
      </c>
      <c r="UK119" s="16">
        <v>1</v>
      </c>
      <c r="UL119" s="16"/>
      <c r="UM119" s="16">
        <v>2.13</v>
      </c>
      <c r="UN119" s="16">
        <v>2</v>
      </c>
      <c r="UO119" s="16"/>
      <c r="UP119" s="16">
        <v>3.37</v>
      </c>
      <c r="UQ119" s="16"/>
      <c r="UR119" s="16"/>
      <c r="US119" s="16"/>
      <c r="UT119" s="16">
        <v>5.55</v>
      </c>
      <c r="UU119" s="16">
        <v>6.42</v>
      </c>
      <c r="UV119" s="16"/>
      <c r="UW119" s="16"/>
      <c r="UX119" s="16">
        <v>0</v>
      </c>
      <c r="UY119" s="16">
        <v>0</v>
      </c>
      <c r="UZ119" s="16">
        <v>4.4800000000000004</v>
      </c>
      <c r="VA119">
        <v>0</v>
      </c>
      <c r="VB119" t="s">
        <v>550</v>
      </c>
      <c r="VC119">
        <v>17</v>
      </c>
      <c r="VD119" s="16">
        <v>87.8</v>
      </c>
      <c r="VE119" s="16">
        <v>80.400000000000006</v>
      </c>
      <c r="VF119" s="16">
        <v>11.6</v>
      </c>
      <c r="VG119">
        <v>86.21</v>
      </c>
      <c r="VH119">
        <v>1.64</v>
      </c>
      <c r="VI119">
        <v>0.45</v>
      </c>
      <c r="VJ119">
        <v>0</v>
      </c>
      <c r="VK119">
        <v>11.7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14.73</v>
      </c>
      <c r="VT119">
        <v>7.98</v>
      </c>
      <c r="VU119">
        <v>0</v>
      </c>
      <c r="VV119">
        <v>0</v>
      </c>
      <c r="VW119">
        <v>0</v>
      </c>
      <c r="VX119">
        <v>0</v>
      </c>
      <c r="WK119">
        <v>0</v>
      </c>
      <c r="WL119">
        <v>0</v>
      </c>
      <c r="WW119" s="18"/>
      <c r="XO119">
        <v>0</v>
      </c>
      <c r="YZ119" s="16">
        <v>0</v>
      </c>
      <c r="ZA119" s="16">
        <v>0</v>
      </c>
      <c r="ZB119" s="16"/>
      <c r="ZC119" s="16"/>
      <c r="ZD119" s="16"/>
      <c r="ZE119" s="16"/>
      <c r="ZF119" s="16"/>
      <c r="ZG119" s="16"/>
      <c r="ZH119" s="16"/>
      <c r="ZI119" s="16"/>
      <c r="ZJ119" s="16"/>
      <c r="ZK119" s="16">
        <v>5.22</v>
      </c>
      <c r="ZL119" s="16">
        <v>5.37</v>
      </c>
      <c r="ZM119" s="16"/>
      <c r="ZN119" s="16"/>
      <c r="ZO119" s="16">
        <v>0</v>
      </c>
      <c r="ZP119" s="16">
        <v>0</v>
      </c>
      <c r="ZQ119" s="16">
        <v>0.19</v>
      </c>
      <c r="ZR119">
        <v>0</v>
      </c>
      <c r="ZS119" t="s">
        <v>551</v>
      </c>
      <c r="ZT119">
        <v>17.5</v>
      </c>
      <c r="ZU119" s="16">
        <v>87.6</v>
      </c>
      <c r="ZV119" s="16">
        <v>80.400000000000006</v>
      </c>
      <c r="ZW119" s="16">
        <v>12</v>
      </c>
      <c r="ZX119">
        <v>84.96</v>
      </c>
      <c r="ZY119">
        <v>1.61</v>
      </c>
      <c r="ZZ119">
        <v>0.45</v>
      </c>
      <c r="AAA119">
        <v>0</v>
      </c>
      <c r="AAB119">
        <v>12.98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15.99</v>
      </c>
      <c r="AAK119">
        <v>7.84</v>
      </c>
      <c r="AAL119">
        <v>0</v>
      </c>
      <c r="AAM119">
        <v>0</v>
      </c>
      <c r="AAN119">
        <v>0</v>
      </c>
      <c r="AAO119">
        <v>0</v>
      </c>
      <c r="ABB119">
        <v>0</v>
      </c>
      <c r="ABC119">
        <v>0</v>
      </c>
      <c r="ABN119" s="18"/>
      <c r="ACF119">
        <v>0</v>
      </c>
      <c r="ADQ119" s="16">
        <v>0</v>
      </c>
      <c r="ADR119" s="16">
        <v>0</v>
      </c>
      <c r="ADS119" s="16"/>
      <c r="ADT119" s="16"/>
      <c r="ADU119" s="16"/>
      <c r="ADV119" s="16"/>
      <c r="ADW119" s="16"/>
      <c r="ADX119" s="16"/>
      <c r="ADY119" s="16"/>
      <c r="ADZ119" s="16"/>
      <c r="AEA119" s="16"/>
      <c r="AEB119" s="16">
        <v>5.22</v>
      </c>
      <c r="AEC119" s="16">
        <v>5.37</v>
      </c>
      <c r="AED119" s="16"/>
      <c r="AEE119" s="16"/>
      <c r="AEF119" s="16">
        <v>0</v>
      </c>
      <c r="AEG119" s="16">
        <v>0</v>
      </c>
      <c r="AEH119" s="16">
        <v>0.19</v>
      </c>
      <c r="AEI119">
        <v>0</v>
      </c>
      <c r="AEJ119" t="s">
        <v>552</v>
      </c>
      <c r="AEK119">
        <v>16.5</v>
      </c>
      <c r="AEL119" s="16">
        <v>73.2</v>
      </c>
      <c r="AEM119" s="16">
        <v>80.400000000000006</v>
      </c>
      <c r="AEN119" s="16">
        <v>10.199999999999999</v>
      </c>
      <c r="AEO119">
        <v>69.430000000000007</v>
      </c>
      <c r="AEP119">
        <v>29.45</v>
      </c>
      <c r="AEQ119">
        <v>1.1200000000000001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29.3</v>
      </c>
      <c r="AFB119">
        <v>10.81</v>
      </c>
      <c r="AFC119">
        <v>0</v>
      </c>
      <c r="AFD119">
        <v>0</v>
      </c>
      <c r="AFE119">
        <v>5.9</v>
      </c>
      <c r="AFF119">
        <v>2</v>
      </c>
      <c r="AFG119">
        <v>3</v>
      </c>
      <c r="AFH119">
        <v>2.0099999999999998</v>
      </c>
      <c r="AFM119">
        <v>3</v>
      </c>
      <c r="AFN119">
        <v>2.0099999999999998</v>
      </c>
      <c r="AFS119">
        <v>0</v>
      </c>
      <c r="AFT119">
        <v>0</v>
      </c>
      <c r="AGE119" s="18"/>
      <c r="AGW119">
        <v>0</v>
      </c>
      <c r="AIH119" s="16">
        <v>0</v>
      </c>
      <c r="AII119" s="16">
        <v>0</v>
      </c>
      <c r="AIJ119" s="16"/>
      <c r="AIK119" s="16"/>
      <c r="AIL119" s="16"/>
      <c r="AIM119" s="16"/>
      <c r="AIN119" s="16"/>
      <c r="AIO119" s="16"/>
      <c r="AIP119" s="16"/>
      <c r="AIQ119" s="16"/>
      <c r="AIR119" s="16"/>
      <c r="AIS119" s="16">
        <v>0</v>
      </c>
      <c r="AIT119" s="16">
        <v>0</v>
      </c>
      <c r="AIU119" s="16"/>
      <c r="AIV119" s="16"/>
      <c r="AIW119" s="16">
        <v>0</v>
      </c>
      <c r="AIX119" s="16">
        <v>0</v>
      </c>
      <c r="AIY119" s="16">
        <v>0</v>
      </c>
      <c r="AIZ119">
        <v>0</v>
      </c>
      <c r="AJA119" t="s">
        <v>553</v>
      </c>
      <c r="AJB119">
        <v>16.5</v>
      </c>
      <c r="AJC119" s="16">
        <v>66.900000000000006</v>
      </c>
      <c r="AJD119" s="16">
        <v>80.400000000000006</v>
      </c>
      <c r="AJE119" s="16">
        <v>10.199999999999999</v>
      </c>
      <c r="AJF119">
        <v>69.430000000000007</v>
      </c>
      <c r="AJG119">
        <v>29.45</v>
      </c>
      <c r="AJH119">
        <v>1.1200000000000001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29.3</v>
      </c>
      <c r="AJS119">
        <v>10.81</v>
      </c>
      <c r="AJT119">
        <v>0</v>
      </c>
      <c r="AJU119">
        <v>0</v>
      </c>
      <c r="AJV119">
        <v>5.9</v>
      </c>
      <c r="AJW119">
        <v>2</v>
      </c>
      <c r="AJX119">
        <v>3</v>
      </c>
      <c r="AJY119">
        <v>2.0099999999999998</v>
      </c>
      <c r="AKD119">
        <v>3</v>
      </c>
      <c r="AKE119">
        <v>2.0099999999999998</v>
      </c>
      <c r="AKJ119">
        <v>0</v>
      </c>
      <c r="AKK119">
        <v>0</v>
      </c>
      <c r="AKV119" s="18"/>
      <c r="ALN119">
        <v>0</v>
      </c>
    </row>
    <row r="120" spans="1:1024" x14ac:dyDescent="0.2">
      <c r="A120" s="1" t="s">
        <v>554</v>
      </c>
      <c r="B120" s="12">
        <v>42905</v>
      </c>
      <c r="C120">
        <v>1</v>
      </c>
      <c r="D120" s="13">
        <v>42797</v>
      </c>
      <c r="E120" s="12">
        <v>29736</v>
      </c>
      <c r="F120" s="14">
        <f t="shared" si="42"/>
        <v>36.054757015742645</v>
      </c>
      <c r="G120" s="14">
        <f t="shared" si="43"/>
        <v>0.29568788501026694</v>
      </c>
      <c r="H120" s="15" t="s">
        <v>217</v>
      </c>
      <c r="I120" s="15" t="s">
        <v>545</v>
      </c>
      <c r="J120" s="15" t="s">
        <v>181</v>
      </c>
      <c r="K120" s="21">
        <v>8</v>
      </c>
      <c r="L120" s="19">
        <v>57</v>
      </c>
      <c r="M120">
        <v>1.61</v>
      </c>
      <c r="N120" s="16">
        <f t="shared" si="44"/>
        <v>21.989892365263682</v>
      </c>
      <c r="O120" s="19">
        <v>0</v>
      </c>
      <c r="P120" s="19">
        <v>0</v>
      </c>
      <c r="Q120" s="19">
        <v>0</v>
      </c>
      <c r="R120" s="19">
        <v>0</v>
      </c>
      <c r="S120" s="19">
        <v>0</v>
      </c>
      <c r="T120" s="19">
        <v>0</v>
      </c>
      <c r="U120" s="19">
        <v>0</v>
      </c>
      <c r="V120" s="19">
        <v>0</v>
      </c>
      <c r="W120" s="19">
        <v>0</v>
      </c>
      <c r="X120" s="19">
        <v>0</v>
      </c>
      <c r="Y120" s="19">
        <v>0</v>
      </c>
      <c r="Z120" s="19">
        <v>0</v>
      </c>
      <c r="AA120" s="19">
        <v>0</v>
      </c>
      <c r="AB120" s="19">
        <v>0</v>
      </c>
      <c r="AC120" s="19">
        <v>0</v>
      </c>
      <c r="AD120" s="19">
        <v>0</v>
      </c>
      <c r="AE120" s="19"/>
      <c r="AF120" s="19"/>
      <c r="AG120" s="19">
        <v>0</v>
      </c>
      <c r="AH120" s="19">
        <v>0</v>
      </c>
      <c r="AI120" s="19"/>
      <c r="AJ120" s="19"/>
      <c r="AK120" s="19">
        <v>0</v>
      </c>
      <c r="AL120" s="19">
        <v>0</v>
      </c>
      <c r="AM120" s="19">
        <v>0</v>
      </c>
      <c r="AN120" s="19">
        <v>1</v>
      </c>
      <c r="AO120" s="19"/>
      <c r="AP120" s="19">
        <v>1</v>
      </c>
      <c r="AQ120" s="19">
        <v>6</v>
      </c>
      <c r="AR120" s="19">
        <v>0</v>
      </c>
      <c r="AS120" s="19">
        <v>1</v>
      </c>
      <c r="AT120" s="19"/>
      <c r="AU120" s="19">
        <v>1</v>
      </c>
      <c r="AV120" s="19">
        <v>6</v>
      </c>
      <c r="AW120" s="19">
        <v>0</v>
      </c>
      <c r="AX120" s="19"/>
      <c r="AY120" s="19"/>
      <c r="AZ120" s="19">
        <v>0</v>
      </c>
      <c r="BA120" s="19">
        <v>0</v>
      </c>
      <c r="BB120" s="19">
        <v>1</v>
      </c>
      <c r="BC120" s="19"/>
      <c r="BD120" s="19">
        <v>1</v>
      </c>
      <c r="BE120" s="19">
        <v>5</v>
      </c>
      <c r="BF120" s="19"/>
      <c r="BG120" s="19"/>
      <c r="BH120" s="19">
        <v>0</v>
      </c>
      <c r="BI120" s="19"/>
      <c r="BJ120" s="19"/>
      <c r="BK120" s="19"/>
      <c r="BL120" s="19">
        <v>0</v>
      </c>
      <c r="BM120" s="19">
        <v>0</v>
      </c>
      <c r="BN120" s="19">
        <v>1</v>
      </c>
      <c r="BO120" s="19"/>
      <c r="BP120" s="19">
        <v>1</v>
      </c>
      <c r="BQ120" s="19">
        <v>5</v>
      </c>
      <c r="BR120" s="19">
        <v>2</v>
      </c>
      <c r="BS120" s="19">
        <v>1</v>
      </c>
      <c r="BT120" s="19">
        <v>3</v>
      </c>
      <c r="BU120" s="19">
        <v>5</v>
      </c>
      <c r="BV120" s="19">
        <v>1</v>
      </c>
      <c r="BW120" s="19">
        <v>1</v>
      </c>
      <c r="BX120" s="19">
        <v>3</v>
      </c>
      <c r="BY120" s="19">
        <v>3</v>
      </c>
      <c r="BZ120" s="19">
        <v>5</v>
      </c>
      <c r="CA120" s="19">
        <v>5</v>
      </c>
      <c r="CB120" s="19">
        <v>4</v>
      </c>
      <c r="CC120" s="19">
        <v>5</v>
      </c>
      <c r="CD120" s="19">
        <v>4</v>
      </c>
      <c r="CE120" s="19">
        <v>5</v>
      </c>
      <c r="CF120" s="19">
        <v>5</v>
      </c>
      <c r="CG120" s="19">
        <v>5</v>
      </c>
      <c r="CH120" s="19">
        <v>4</v>
      </c>
      <c r="CI120" s="19">
        <v>4</v>
      </c>
      <c r="CJ120" s="19">
        <v>5</v>
      </c>
      <c r="CK120" s="19">
        <v>9</v>
      </c>
      <c r="CL120" t="s">
        <v>555</v>
      </c>
      <c r="CM120">
        <v>35</v>
      </c>
      <c r="CN120" s="16">
        <v>78.8</v>
      </c>
      <c r="CO120" s="16">
        <v>80.400000000000006</v>
      </c>
      <c r="CP120" s="16">
        <v>17.2</v>
      </c>
      <c r="CQ120">
        <v>72.069999999999993</v>
      </c>
      <c r="CR120">
        <v>11.09</v>
      </c>
      <c r="CS120">
        <v>1.1200000000000001</v>
      </c>
      <c r="CT120">
        <v>0</v>
      </c>
      <c r="CU120">
        <v>15.71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1.66</v>
      </c>
      <c r="DD120">
        <v>34.99</v>
      </c>
      <c r="DE120">
        <v>0</v>
      </c>
      <c r="DF120">
        <v>0</v>
      </c>
      <c r="DG120">
        <v>0</v>
      </c>
      <c r="DH120">
        <v>0</v>
      </c>
      <c r="DU120">
        <v>11.2</v>
      </c>
      <c r="DV120">
        <v>1</v>
      </c>
      <c r="DW120">
        <v>52</v>
      </c>
      <c r="DX120">
        <f>18+1+15</f>
        <v>34</v>
      </c>
      <c r="DY120">
        <f>3.2+2.05+0.07</f>
        <v>5.32</v>
      </c>
      <c r="DZ120">
        <v>2</v>
      </c>
      <c r="EG120" s="18"/>
      <c r="EY120">
        <v>0</v>
      </c>
      <c r="GJ120" s="16">
        <v>0</v>
      </c>
      <c r="GK120" s="16">
        <v>0</v>
      </c>
      <c r="GL120" s="16"/>
      <c r="GM120" s="16"/>
      <c r="GN120" s="16"/>
      <c r="GO120" s="16"/>
      <c r="GP120" s="16"/>
      <c r="GQ120" s="16"/>
      <c r="GR120" s="16"/>
      <c r="GS120" s="16"/>
      <c r="GT120" s="16"/>
      <c r="GU120" s="16">
        <v>6.16</v>
      </c>
      <c r="GV120" s="16">
        <v>7.21</v>
      </c>
      <c r="GW120" s="16"/>
      <c r="GX120" s="16"/>
      <c r="GY120" s="16">
        <v>0</v>
      </c>
      <c r="GZ120" s="16">
        <v>0</v>
      </c>
      <c r="HA120" s="16">
        <v>0</v>
      </c>
      <c r="HB120">
        <v>0</v>
      </c>
      <c r="HC120" t="s">
        <v>546</v>
      </c>
      <c r="HD120">
        <v>16.5</v>
      </c>
      <c r="HE120" s="16">
        <v>35.299999999999997</v>
      </c>
      <c r="HF120" s="16">
        <v>80.400000000000006</v>
      </c>
      <c r="HG120" s="16">
        <v>9.6999999999999993</v>
      </c>
      <c r="HH120">
        <v>86.56</v>
      </c>
      <c r="HI120">
        <v>12.61</v>
      </c>
      <c r="HJ120">
        <v>0</v>
      </c>
      <c r="HK120">
        <v>0</v>
      </c>
      <c r="HL120">
        <v>0.83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2.2200000000000002</v>
      </c>
      <c r="HU120">
        <v>20.83</v>
      </c>
      <c r="HV120">
        <v>0</v>
      </c>
      <c r="HW120">
        <v>0</v>
      </c>
      <c r="HX120">
        <v>0</v>
      </c>
      <c r="HY120">
        <v>0</v>
      </c>
      <c r="IL120">
        <v>0.3</v>
      </c>
      <c r="IM120">
        <v>1</v>
      </c>
      <c r="IN120">
        <v>34</v>
      </c>
      <c r="IO120">
        <v>4</v>
      </c>
      <c r="IP120">
        <f>1.35+0.45+1.35+0.45</f>
        <v>3.6000000000000005</v>
      </c>
      <c r="IQ120">
        <v>1</v>
      </c>
      <c r="IR120">
        <v>52</v>
      </c>
      <c r="IS120">
        <v>1</v>
      </c>
      <c r="IT120">
        <f>0.18</f>
        <v>0.18</v>
      </c>
      <c r="IU120">
        <v>2</v>
      </c>
      <c r="IX120" s="18"/>
      <c r="JP120">
        <v>0</v>
      </c>
      <c r="LA120" s="16">
        <v>0.28000000000000003</v>
      </c>
      <c r="LB120" s="16">
        <v>1</v>
      </c>
      <c r="LC120" s="16">
        <v>2</v>
      </c>
      <c r="LD120" s="16"/>
      <c r="LE120" s="16">
        <f>0.37+0.26</f>
        <v>0.63</v>
      </c>
      <c r="LF120" s="16"/>
      <c r="LG120" s="16"/>
      <c r="LH120" s="16"/>
      <c r="LI120" s="16"/>
      <c r="LJ120" s="16"/>
      <c r="LK120" s="16"/>
      <c r="LL120" s="16">
        <v>5.99</v>
      </c>
      <c r="LM120" s="16">
        <v>5.34</v>
      </c>
      <c r="LN120" s="16"/>
      <c r="LO120" s="16"/>
      <c r="LP120" s="16">
        <v>0</v>
      </c>
      <c r="LQ120" s="16">
        <v>0</v>
      </c>
      <c r="LR120" s="16">
        <v>0</v>
      </c>
      <c r="LS120">
        <v>0</v>
      </c>
      <c r="LT120" t="s">
        <v>547</v>
      </c>
      <c r="LU120">
        <v>29.5</v>
      </c>
      <c r="LV120" s="16">
        <v>87.5</v>
      </c>
      <c r="LW120" s="16">
        <v>80.400000000000006</v>
      </c>
      <c r="LX120" s="16">
        <v>14.3</v>
      </c>
      <c r="LY120">
        <v>68.7</v>
      </c>
      <c r="LZ120">
        <v>23.24</v>
      </c>
      <c r="MA120">
        <v>1.79</v>
      </c>
      <c r="MB120">
        <v>0</v>
      </c>
      <c r="MC120">
        <v>6.27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7.01</v>
      </c>
      <c r="ML120">
        <v>58.72</v>
      </c>
      <c r="MM120">
        <v>0.23</v>
      </c>
      <c r="MN120">
        <v>0</v>
      </c>
      <c r="MO120">
        <v>0.5</v>
      </c>
      <c r="MP120">
        <v>2</v>
      </c>
      <c r="MQ120">
        <v>7</v>
      </c>
      <c r="MR120">
        <v>0.08</v>
      </c>
      <c r="MW120">
        <v>7</v>
      </c>
      <c r="MX120">
        <v>0.08</v>
      </c>
      <c r="NC120">
        <v>0</v>
      </c>
      <c r="ND120">
        <v>1</v>
      </c>
      <c r="NE120">
        <v>23</v>
      </c>
      <c r="NF120">
        <v>2</v>
      </c>
      <c r="NG120">
        <v>0.9</v>
      </c>
      <c r="NH120">
        <v>3</v>
      </c>
      <c r="NO120" s="18"/>
      <c r="OG120">
        <v>1</v>
      </c>
      <c r="OH120">
        <v>50</v>
      </c>
      <c r="OI120">
        <v>2</v>
      </c>
      <c r="OJ120">
        <f>3.13+23.63</f>
        <v>26.759999999999998</v>
      </c>
      <c r="OK120">
        <v>3</v>
      </c>
      <c r="PR120" s="16">
        <v>1.49</v>
      </c>
      <c r="PS120" s="16">
        <v>1</v>
      </c>
      <c r="PT120" s="16">
        <v>1</v>
      </c>
      <c r="PU120" s="16"/>
      <c r="PV120" s="16">
        <f>1.91+2.02+2.02+1.35</f>
        <v>7.2999999999999989</v>
      </c>
      <c r="PW120" s="16">
        <v>2</v>
      </c>
      <c r="PX120" s="16"/>
      <c r="PY120" s="16">
        <v>0.21</v>
      </c>
      <c r="PZ120" s="16"/>
      <c r="QA120" s="16"/>
      <c r="QB120" s="16"/>
      <c r="QC120" s="16">
        <v>10.82</v>
      </c>
      <c r="QD120" s="16">
        <v>14.57</v>
      </c>
      <c r="QE120" s="16"/>
      <c r="QF120" s="16"/>
      <c r="QG120" s="16">
        <v>2.2400000000000002</v>
      </c>
      <c r="QH120" s="16">
        <v>0.9</v>
      </c>
      <c r="QI120" s="16">
        <v>0</v>
      </c>
      <c r="QJ120">
        <v>0</v>
      </c>
      <c r="QK120" t="s">
        <v>548</v>
      </c>
      <c r="QL120">
        <v>50</v>
      </c>
      <c r="QM120" s="16">
        <v>80</v>
      </c>
      <c r="QN120" s="16">
        <v>80.400000000000006</v>
      </c>
      <c r="QO120" s="16">
        <v>16.899999999999999</v>
      </c>
      <c r="QP120">
        <v>58.18</v>
      </c>
      <c r="QQ120">
        <v>32.94</v>
      </c>
      <c r="QR120">
        <v>1.79</v>
      </c>
      <c r="QS120">
        <v>0</v>
      </c>
      <c r="QT120">
        <v>7.09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3.53</v>
      </c>
      <c r="RC120">
        <v>45.12</v>
      </c>
      <c r="RD120">
        <v>0</v>
      </c>
      <c r="RE120">
        <v>0</v>
      </c>
      <c r="RF120">
        <v>0</v>
      </c>
      <c r="RG120">
        <v>0</v>
      </c>
      <c r="RT120">
        <v>8.1999999999999993</v>
      </c>
      <c r="RU120">
        <v>1</v>
      </c>
      <c r="RV120">
        <v>23</v>
      </c>
      <c r="RW120">
        <v>1</v>
      </c>
      <c r="RX120">
        <v>0.45</v>
      </c>
      <c r="RY120">
        <v>3</v>
      </c>
      <c r="RZ120">
        <v>34</v>
      </c>
      <c r="SA120">
        <v>28</v>
      </c>
      <c r="SB120">
        <f>0.45+0.18+1.6+0.24+0.37+4.39+0.49+0.04+0.32+0.05+1.38</f>
        <v>9.5100000000000016</v>
      </c>
      <c r="SC120">
        <v>1</v>
      </c>
      <c r="SF120" s="18"/>
      <c r="SX120">
        <v>0</v>
      </c>
      <c r="UI120" s="16">
        <v>1.65</v>
      </c>
      <c r="UJ120" s="16">
        <v>1</v>
      </c>
      <c r="UK120" s="16">
        <v>1</v>
      </c>
      <c r="UL120" s="16"/>
      <c r="UM120" s="16">
        <f>0.18</f>
        <v>0.18</v>
      </c>
      <c r="UN120" s="16">
        <v>2</v>
      </c>
      <c r="UO120" s="16"/>
      <c r="UP120" s="16">
        <f>1.65+0.91+6.23+0.66</f>
        <v>9.4500000000000011</v>
      </c>
      <c r="UQ120" s="16"/>
      <c r="UR120" s="16"/>
      <c r="US120" s="16"/>
      <c r="UT120" s="16">
        <v>20.65</v>
      </c>
      <c r="UU120" s="16">
        <v>33.56</v>
      </c>
      <c r="UV120" s="16"/>
      <c r="UW120" s="16"/>
      <c r="UX120" s="16">
        <v>2.2400000000000002</v>
      </c>
      <c r="UY120" s="16">
        <v>0.45</v>
      </c>
      <c r="UZ120" s="16">
        <v>0</v>
      </c>
      <c r="VA120">
        <v>0.45</v>
      </c>
      <c r="VB120" t="s">
        <v>549</v>
      </c>
      <c r="VC120">
        <v>31.5</v>
      </c>
      <c r="VD120" s="16">
        <v>79.900000000000006</v>
      </c>
      <c r="VE120" s="16">
        <v>80.400000000000006</v>
      </c>
      <c r="VF120" s="16">
        <v>17.8</v>
      </c>
      <c r="VG120">
        <v>71.45</v>
      </c>
      <c r="VH120">
        <v>9.43</v>
      </c>
      <c r="VI120">
        <v>1.1200000000000001</v>
      </c>
      <c r="VJ120">
        <v>0</v>
      </c>
      <c r="VK120">
        <v>18.010000000000002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8.44</v>
      </c>
      <c r="VT120">
        <v>63.45</v>
      </c>
      <c r="VU120">
        <v>0</v>
      </c>
      <c r="VV120">
        <v>0</v>
      </c>
      <c r="VW120">
        <v>0</v>
      </c>
      <c r="VX120">
        <v>0</v>
      </c>
      <c r="WK120">
        <v>2</v>
      </c>
      <c r="WL120">
        <v>1</v>
      </c>
      <c r="WM120">
        <v>52</v>
      </c>
      <c r="WN120">
        <v>2</v>
      </c>
      <c r="WO120">
        <f>0.9+0.02</f>
        <v>0.92</v>
      </c>
      <c r="WP120">
        <v>2</v>
      </c>
      <c r="WW120" s="18"/>
      <c r="XO120">
        <v>1</v>
      </c>
      <c r="XP120">
        <v>50</v>
      </c>
      <c r="XQ120">
        <v>9</v>
      </c>
      <c r="XR120">
        <f>19.9+3.13</f>
        <v>23.029999999999998</v>
      </c>
      <c r="XS120">
        <v>3</v>
      </c>
      <c r="YZ120" s="16">
        <v>1.47</v>
      </c>
      <c r="ZA120" s="16">
        <v>1</v>
      </c>
      <c r="ZB120" s="16">
        <v>1</v>
      </c>
      <c r="ZC120" s="16"/>
      <c r="ZD120" s="16">
        <v>2.13</v>
      </c>
      <c r="ZE120" s="16">
        <v>2</v>
      </c>
      <c r="ZF120" s="16"/>
      <c r="ZG120" s="16">
        <v>3.37</v>
      </c>
      <c r="ZH120" s="16"/>
      <c r="ZI120" s="16"/>
      <c r="ZJ120" s="16"/>
      <c r="ZK120" s="16">
        <v>5.55</v>
      </c>
      <c r="ZL120" s="16">
        <v>6.42</v>
      </c>
      <c r="ZM120" s="16"/>
      <c r="ZN120" s="16"/>
      <c r="ZO120" s="16">
        <v>0</v>
      </c>
      <c r="ZP120" s="16">
        <v>0</v>
      </c>
      <c r="ZQ120" s="16">
        <v>4.4800000000000004</v>
      </c>
      <c r="ZR120">
        <v>0</v>
      </c>
      <c r="ZS120" t="s">
        <v>550</v>
      </c>
      <c r="ZT120">
        <v>17</v>
      </c>
      <c r="ZU120" s="16">
        <v>87.8</v>
      </c>
      <c r="ZV120" s="16">
        <v>80.400000000000006</v>
      </c>
      <c r="ZW120" s="16">
        <v>11.6</v>
      </c>
      <c r="ZX120">
        <v>86.21</v>
      </c>
      <c r="ZY120">
        <v>1.64</v>
      </c>
      <c r="ZZ120">
        <v>0.45</v>
      </c>
      <c r="AAA120">
        <v>0</v>
      </c>
      <c r="AAB120">
        <v>11.7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14.73</v>
      </c>
      <c r="AAK120">
        <v>7.98</v>
      </c>
      <c r="AAL120">
        <v>0</v>
      </c>
      <c r="AAM120">
        <v>0</v>
      </c>
      <c r="AAN120">
        <v>0</v>
      </c>
      <c r="AAO120">
        <v>0</v>
      </c>
      <c r="ABB120">
        <v>0</v>
      </c>
      <c r="ABC120">
        <v>0</v>
      </c>
      <c r="ABN120" s="18"/>
      <c r="ACF120">
        <v>0</v>
      </c>
      <c r="ADQ120" s="16">
        <v>0</v>
      </c>
      <c r="ADR120" s="16">
        <v>0</v>
      </c>
      <c r="ADS120" s="16"/>
      <c r="ADT120" s="16"/>
      <c r="ADU120" s="16"/>
      <c r="ADV120" s="16"/>
      <c r="ADW120" s="16"/>
      <c r="ADX120" s="16"/>
      <c r="ADY120" s="16"/>
      <c r="ADZ120" s="16"/>
      <c r="AEA120" s="16"/>
      <c r="AEB120" s="16">
        <v>5.22</v>
      </c>
      <c r="AEC120" s="16">
        <v>5.37</v>
      </c>
      <c r="AED120" s="16"/>
      <c r="AEE120" s="16"/>
      <c r="AEF120" s="16">
        <v>0</v>
      </c>
      <c r="AEG120" s="16">
        <v>0</v>
      </c>
      <c r="AEH120" s="16">
        <v>0.19</v>
      </c>
      <c r="AEI120">
        <v>0</v>
      </c>
      <c r="AEJ120" t="s">
        <v>551</v>
      </c>
      <c r="AEK120">
        <v>17.5</v>
      </c>
      <c r="AEL120" s="16">
        <v>87.6</v>
      </c>
      <c r="AEM120" s="16">
        <v>80.400000000000006</v>
      </c>
      <c r="AEN120" s="16">
        <v>12</v>
      </c>
      <c r="AEO120">
        <v>84.96</v>
      </c>
      <c r="AEP120">
        <v>1.61</v>
      </c>
      <c r="AEQ120">
        <v>0.45</v>
      </c>
      <c r="AER120">
        <v>0</v>
      </c>
      <c r="AES120">
        <v>12.98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15.99</v>
      </c>
      <c r="AFB120">
        <v>7.84</v>
      </c>
      <c r="AFC120">
        <v>0</v>
      </c>
      <c r="AFD120">
        <v>0</v>
      </c>
      <c r="AFE120">
        <v>0</v>
      </c>
      <c r="AFF120">
        <v>0</v>
      </c>
      <c r="AFS120">
        <v>0</v>
      </c>
      <c r="AFT120">
        <v>0</v>
      </c>
      <c r="AGE120" s="18"/>
      <c r="AGW120">
        <v>0</v>
      </c>
      <c r="AIH120" s="16">
        <v>0</v>
      </c>
      <c r="AII120" s="16">
        <v>0</v>
      </c>
      <c r="AIJ120" s="16"/>
      <c r="AIK120" s="16"/>
      <c r="AIL120" s="16"/>
      <c r="AIM120" s="16"/>
      <c r="AIN120" s="16"/>
      <c r="AIO120" s="16"/>
      <c r="AIP120" s="16"/>
      <c r="AIQ120" s="16"/>
      <c r="AIR120" s="16"/>
      <c r="AIS120" s="16">
        <v>5.22</v>
      </c>
      <c r="AIT120" s="16">
        <v>5.37</v>
      </c>
      <c r="AIU120" s="16"/>
      <c r="AIV120" s="16"/>
      <c r="AIW120" s="16">
        <v>0</v>
      </c>
      <c r="AIX120" s="16">
        <v>0</v>
      </c>
      <c r="AIY120" s="16">
        <v>0.19</v>
      </c>
      <c r="AIZ120">
        <v>0</v>
      </c>
      <c r="AJA120" t="s">
        <v>552</v>
      </c>
      <c r="AJB120">
        <v>16.5</v>
      </c>
      <c r="AJC120" s="16">
        <v>73.2</v>
      </c>
      <c r="AJD120" s="16">
        <v>80.400000000000006</v>
      </c>
      <c r="AJE120" s="16">
        <v>10.199999999999999</v>
      </c>
      <c r="AJF120">
        <v>69.430000000000007</v>
      </c>
      <c r="AJG120">
        <v>29.45</v>
      </c>
      <c r="AJH120">
        <v>1.1200000000000001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29.3</v>
      </c>
      <c r="AJS120">
        <v>10.81</v>
      </c>
      <c r="AJT120">
        <v>0</v>
      </c>
      <c r="AJU120">
        <v>0</v>
      </c>
      <c r="AJV120">
        <v>5.9</v>
      </c>
      <c r="AJW120">
        <v>2</v>
      </c>
      <c r="AJX120">
        <v>3</v>
      </c>
      <c r="AJY120">
        <v>2.0099999999999998</v>
      </c>
      <c r="AKD120">
        <v>3</v>
      </c>
      <c r="AKE120">
        <v>2.0099999999999998</v>
      </c>
      <c r="AKJ120">
        <v>0</v>
      </c>
      <c r="AKK120">
        <v>0</v>
      </c>
      <c r="AKV120" s="18"/>
      <c r="ALN120">
        <v>0</v>
      </c>
    </row>
    <row r="121" spans="1:1024" x14ac:dyDescent="0.2">
      <c r="A121" s="1" t="s">
        <v>556</v>
      </c>
      <c r="B121" s="12">
        <v>42905</v>
      </c>
      <c r="C121">
        <v>2</v>
      </c>
      <c r="D121" s="13">
        <v>42797</v>
      </c>
      <c r="E121" s="12">
        <v>30772</v>
      </c>
      <c r="F121" s="14">
        <f t="shared" si="42"/>
        <v>33.218343600273784</v>
      </c>
      <c r="G121" s="14">
        <f t="shared" si="43"/>
        <v>0.29568788501026694</v>
      </c>
      <c r="H121" s="15" t="s">
        <v>217</v>
      </c>
      <c r="I121" s="15" t="s">
        <v>545</v>
      </c>
      <c r="J121" s="15" t="s">
        <v>181</v>
      </c>
      <c r="K121" s="21">
        <v>8</v>
      </c>
      <c r="L121" s="19">
        <v>78</v>
      </c>
      <c r="M121">
        <v>1.78</v>
      </c>
      <c r="N121" s="16">
        <f t="shared" si="44"/>
        <v>24.618103774775911</v>
      </c>
      <c r="O121" s="19">
        <v>0</v>
      </c>
      <c r="P121" s="19">
        <v>0</v>
      </c>
      <c r="Q121" s="19">
        <v>0</v>
      </c>
      <c r="R121" s="19">
        <v>0</v>
      </c>
      <c r="S121" s="19">
        <v>0</v>
      </c>
      <c r="T121" s="19">
        <v>0</v>
      </c>
      <c r="U121" s="19">
        <v>0</v>
      </c>
      <c r="V121" s="19">
        <v>0</v>
      </c>
      <c r="W121" s="19">
        <v>0</v>
      </c>
      <c r="X121" s="19">
        <v>0</v>
      </c>
      <c r="Y121" s="19">
        <v>0</v>
      </c>
      <c r="Z121" s="19">
        <v>0</v>
      </c>
      <c r="AA121" s="19">
        <v>0</v>
      </c>
      <c r="AB121" s="19">
        <v>0</v>
      </c>
      <c r="AC121" s="19">
        <v>0</v>
      </c>
      <c r="AD121" s="19">
        <v>0</v>
      </c>
      <c r="AE121" s="19">
        <v>0</v>
      </c>
      <c r="AF121" s="19">
        <v>0</v>
      </c>
      <c r="AG121" s="19">
        <v>0</v>
      </c>
      <c r="AH121" s="19">
        <v>0</v>
      </c>
      <c r="AI121" s="19">
        <v>0</v>
      </c>
      <c r="AJ121" s="19">
        <v>0</v>
      </c>
      <c r="AK121" s="19">
        <v>0</v>
      </c>
      <c r="AL121" s="19">
        <v>0</v>
      </c>
      <c r="AM121" s="19">
        <v>0</v>
      </c>
      <c r="AN121" s="19">
        <v>0</v>
      </c>
      <c r="AO121" s="19">
        <v>0</v>
      </c>
      <c r="AP121" s="19">
        <v>0</v>
      </c>
      <c r="AQ121" s="19">
        <v>0</v>
      </c>
      <c r="AR121" s="19">
        <v>0</v>
      </c>
      <c r="AS121" s="19">
        <v>1</v>
      </c>
      <c r="AT121" s="19">
        <v>0</v>
      </c>
      <c r="AU121" s="19">
        <v>1</v>
      </c>
      <c r="AV121" s="19">
        <v>4</v>
      </c>
      <c r="AW121" s="19">
        <v>0</v>
      </c>
      <c r="AX121" s="19">
        <v>0</v>
      </c>
      <c r="AY121" s="19">
        <v>0</v>
      </c>
      <c r="AZ121" s="19">
        <v>0</v>
      </c>
      <c r="BA121" s="19">
        <v>0</v>
      </c>
      <c r="BB121" s="19">
        <v>0</v>
      </c>
      <c r="BC121" s="19">
        <v>0</v>
      </c>
      <c r="BD121" s="19">
        <v>0</v>
      </c>
      <c r="BE121" s="19">
        <v>0</v>
      </c>
      <c r="BF121" s="19">
        <v>0</v>
      </c>
      <c r="BG121" s="19">
        <v>0</v>
      </c>
      <c r="BH121" s="19">
        <v>0</v>
      </c>
      <c r="BI121" s="19">
        <v>0</v>
      </c>
      <c r="BJ121" s="19">
        <v>0</v>
      </c>
      <c r="BK121" s="19">
        <v>0</v>
      </c>
      <c r="BL121" s="19">
        <v>0</v>
      </c>
      <c r="BM121" s="19">
        <v>0</v>
      </c>
      <c r="BN121" s="19">
        <v>0</v>
      </c>
      <c r="BO121" s="19">
        <v>0</v>
      </c>
      <c r="BP121" s="19">
        <v>0</v>
      </c>
      <c r="BQ121" s="19">
        <v>0</v>
      </c>
      <c r="BR121" s="19">
        <v>1</v>
      </c>
      <c r="BS121" s="19">
        <v>2</v>
      </c>
      <c r="BT121" s="19">
        <v>2</v>
      </c>
      <c r="BU121" s="19">
        <v>5</v>
      </c>
      <c r="BV121" s="19">
        <v>3</v>
      </c>
      <c r="BW121" s="19">
        <v>1</v>
      </c>
      <c r="BX121" s="19">
        <v>3</v>
      </c>
      <c r="BY121" s="19">
        <v>3</v>
      </c>
      <c r="BZ121" s="19">
        <v>3</v>
      </c>
      <c r="CA121" s="19">
        <v>4</v>
      </c>
      <c r="CB121" s="19">
        <v>5</v>
      </c>
      <c r="CC121" s="19">
        <v>5</v>
      </c>
      <c r="CD121" s="19">
        <v>4</v>
      </c>
      <c r="CE121" s="19">
        <v>4</v>
      </c>
      <c r="CF121" s="19">
        <v>5</v>
      </c>
      <c r="CG121" s="19">
        <v>5</v>
      </c>
      <c r="CH121" s="19">
        <v>4</v>
      </c>
      <c r="CI121" s="19">
        <v>5</v>
      </c>
      <c r="CJ121" s="19">
        <v>4</v>
      </c>
      <c r="CK121" s="19">
        <v>9</v>
      </c>
      <c r="CL121" t="s">
        <v>555</v>
      </c>
      <c r="CM121">
        <v>35</v>
      </c>
      <c r="CN121" s="16">
        <v>78.8</v>
      </c>
      <c r="CO121" s="16">
        <v>80.400000000000006</v>
      </c>
      <c r="CP121" s="16">
        <v>17.2</v>
      </c>
      <c r="CQ121">
        <v>72.069999999999993</v>
      </c>
      <c r="CR121">
        <v>11.09</v>
      </c>
      <c r="CS121">
        <v>1.1200000000000001</v>
      </c>
      <c r="CT121">
        <v>0</v>
      </c>
      <c r="CU121">
        <v>15.71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1.66</v>
      </c>
      <c r="DD121">
        <v>34.99</v>
      </c>
      <c r="DE121">
        <v>0</v>
      </c>
      <c r="DF121">
        <v>0</v>
      </c>
      <c r="DG121">
        <v>0</v>
      </c>
      <c r="DH121">
        <v>0</v>
      </c>
      <c r="DU121">
        <v>11.2</v>
      </c>
      <c r="DV121">
        <v>1</v>
      </c>
      <c r="DW121">
        <v>52</v>
      </c>
      <c r="DX121">
        <f>18+1+15</f>
        <v>34</v>
      </c>
      <c r="DY121">
        <f>3.2+2.05+0.07</f>
        <v>5.32</v>
      </c>
      <c r="DZ121">
        <v>2</v>
      </c>
      <c r="EG121" s="18"/>
      <c r="EY121">
        <v>0</v>
      </c>
      <c r="GJ121" s="16">
        <v>0</v>
      </c>
      <c r="GK121" s="16">
        <v>0</v>
      </c>
      <c r="GL121" s="16"/>
      <c r="GM121" s="16"/>
      <c r="GN121" s="16"/>
      <c r="GO121" s="16"/>
      <c r="GP121" s="16"/>
      <c r="GQ121" s="16"/>
      <c r="GR121" s="16"/>
      <c r="GS121" s="16"/>
      <c r="GT121" s="16"/>
      <c r="GU121" s="16">
        <v>6.16</v>
      </c>
      <c r="GV121" s="16">
        <v>7.21</v>
      </c>
      <c r="GW121" s="16"/>
      <c r="GX121" s="16"/>
      <c r="GY121" s="16">
        <v>0</v>
      </c>
      <c r="GZ121" s="16">
        <v>0</v>
      </c>
      <c r="HA121" s="16">
        <v>0</v>
      </c>
      <c r="HB121">
        <v>0</v>
      </c>
      <c r="HC121" t="s">
        <v>546</v>
      </c>
      <c r="HD121">
        <v>16.5</v>
      </c>
      <c r="HE121" s="16">
        <v>35.299999999999997</v>
      </c>
      <c r="HF121" s="16">
        <v>80.400000000000006</v>
      </c>
      <c r="HG121" s="16">
        <v>9.6999999999999993</v>
      </c>
      <c r="HH121">
        <v>86.56</v>
      </c>
      <c r="HI121">
        <v>12.61</v>
      </c>
      <c r="HJ121">
        <v>0</v>
      </c>
      <c r="HK121">
        <v>0</v>
      </c>
      <c r="HL121">
        <v>0.83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2.2200000000000002</v>
      </c>
      <c r="HU121">
        <v>20.83</v>
      </c>
      <c r="HV121">
        <v>0</v>
      </c>
      <c r="HW121">
        <v>0</v>
      </c>
      <c r="HX121">
        <v>0</v>
      </c>
      <c r="HY121">
        <v>0</v>
      </c>
      <c r="IL121">
        <v>0.3</v>
      </c>
      <c r="IM121">
        <v>1</v>
      </c>
      <c r="IN121">
        <v>34</v>
      </c>
      <c r="IO121">
        <v>4</v>
      </c>
      <c r="IP121">
        <f>1.35+0.45+1.35+0.45</f>
        <v>3.6000000000000005</v>
      </c>
      <c r="IQ121">
        <v>1</v>
      </c>
      <c r="IR121">
        <v>52</v>
      </c>
      <c r="IS121">
        <v>1</v>
      </c>
      <c r="IT121">
        <f>0.18</f>
        <v>0.18</v>
      </c>
      <c r="IU121">
        <v>2</v>
      </c>
      <c r="IX121" s="18"/>
      <c r="JP121">
        <v>0</v>
      </c>
      <c r="LA121" s="16">
        <v>0.28000000000000003</v>
      </c>
      <c r="LB121" s="16">
        <v>1</v>
      </c>
      <c r="LC121" s="16">
        <v>2</v>
      </c>
      <c r="LD121" s="16"/>
      <c r="LE121" s="16">
        <f>0.37+0.26</f>
        <v>0.63</v>
      </c>
      <c r="LF121" s="16"/>
      <c r="LG121" s="16"/>
      <c r="LH121" s="16"/>
      <c r="LI121" s="16"/>
      <c r="LJ121" s="16"/>
      <c r="LK121" s="16"/>
      <c r="LL121" s="16">
        <v>5.99</v>
      </c>
      <c r="LM121" s="16">
        <v>5.34</v>
      </c>
      <c r="LN121" s="16"/>
      <c r="LO121" s="16"/>
      <c r="LP121" s="16">
        <v>0</v>
      </c>
      <c r="LQ121" s="16">
        <v>0</v>
      </c>
      <c r="LR121" s="16">
        <v>0</v>
      </c>
      <c r="LS121">
        <v>0</v>
      </c>
      <c r="LT121" t="s">
        <v>547</v>
      </c>
      <c r="LU121">
        <v>29.5</v>
      </c>
      <c r="LV121" s="16">
        <v>87.5</v>
      </c>
      <c r="LW121" s="16">
        <v>80.400000000000006</v>
      </c>
      <c r="LX121" s="16">
        <v>14.3</v>
      </c>
      <c r="LY121">
        <v>68.7</v>
      </c>
      <c r="LZ121">
        <v>23.24</v>
      </c>
      <c r="MA121">
        <v>1.79</v>
      </c>
      <c r="MB121">
        <v>0</v>
      </c>
      <c r="MC121">
        <v>6.27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7.01</v>
      </c>
      <c r="ML121">
        <v>58.72</v>
      </c>
      <c r="MM121">
        <v>0.23</v>
      </c>
      <c r="MN121">
        <v>0</v>
      </c>
      <c r="MO121">
        <v>0.5</v>
      </c>
      <c r="MP121">
        <v>2</v>
      </c>
      <c r="MQ121">
        <v>7</v>
      </c>
      <c r="MR121">
        <v>0.08</v>
      </c>
      <c r="MW121">
        <v>7</v>
      </c>
      <c r="MX121">
        <v>0.08</v>
      </c>
      <c r="NC121">
        <v>0</v>
      </c>
      <c r="ND121">
        <v>1</v>
      </c>
      <c r="NE121">
        <v>23</v>
      </c>
      <c r="NF121">
        <v>2</v>
      </c>
      <c r="NG121">
        <v>0.9</v>
      </c>
      <c r="NH121">
        <v>3</v>
      </c>
      <c r="NO121" s="18"/>
      <c r="OG121">
        <v>1</v>
      </c>
      <c r="OH121">
        <v>50</v>
      </c>
      <c r="OI121">
        <v>2</v>
      </c>
      <c r="OJ121">
        <f>3.13+23.63</f>
        <v>26.759999999999998</v>
      </c>
      <c r="OK121">
        <v>3</v>
      </c>
      <c r="PR121" s="16">
        <v>1.49</v>
      </c>
      <c r="PS121" s="16">
        <v>1</v>
      </c>
      <c r="PT121" s="16">
        <v>1</v>
      </c>
      <c r="PU121" s="16"/>
      <c r="PV121" s="16">
        <f>1.91+2.02+2.02+1.35</f>
        <v>7.2999999999999989</v>
      </c>
      <c r="PW121" s="16">
        <v>2</v>
      </c>
      <c r="PX121" s="16"/>
      <c r="PY121" s="16">
        <v>0.21</v>
      </c>
      <c r="PZ121" s="16"/>
      <c r="QA121" s="16"/>
      <c r="QB121" s="16"/>
      <c r="QC121" s="16">
        <v>10.82</v>
      </c>
      <c r="QD121" s="16">
        <v>14.57</v>
      </c>
      <c r="QE121" s="16"/>
      <c r="QF121" s="16"/>
      <c r="QG121" s="16">
        <v>2.2400000000000002</v>
      </c>
      <c r="QH121" s="16">
        <v>0.9</v>
      </c>
      <c r="QI121" s="16">
        <v>0</v>
      </c>
      <c r="QJ121">
        <v>0</v>
      </c>
      <c r="QK121" t="s">
        <v>548</v>
      </c>
      <c r="QL121">
        <v>50</v>
      </c>
      <c r="QM121" s="16">
        <v>80</v>
      </c>
      <c r="QN121" s="16">
        <v>80.400000000000006</v>
      </c>
      <c r="QO121" s="16">
        <v>16.899999999999999</v>
      </c>
      <c r="QP121">
        <v>58.18</v>
      </c>
      <c r="QQ121">
        <v>32.94</v>
      </c>
      <c r="QR121">
        <v>1.79</v>
      </c>
      <c r="QS121">
        <v>0</v>
      </c>
      <c r="QT121">
        <v>7.09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3.53</v>
      </c>
      <c r="RC121">
        <v>45.12</v>
      </c>
      <c r="RD121">
        <v>0</v>
      </c>
      <c r="RE121">
        <v>0</v>
      </c>
      <c r="RF121">
        <v>0</v>
      </c>
      <c r="RG121">
        <v>0</v>
      </c>
      <c r="RT121">
        <v>8.1999999999999993</v>
      </c>
      <c r="RU121">
        <v>1</v>
      </c>
      <c r="RV121">
        <v>23</v>
      </c>
      <c r="RW121">
        <v>1</v>
      </c>
      <c r="RX121">
        <v>0.45</v>
      </c>
      <c r="RY121">
        <v>3</v>
      </c>
      <c r="RZ121">
        <v>34</v>
      </c>
      <c r="SA121">
        <v>28</v>
      </c>
      <c r="SB121">
        <f>0.45+0.18+1.6+0.24+0.37+4.39+0.49+0.04+0.32+0.05+1.38</f>
        <v>9.5100000000000016</v>
      </c>
      <c r="SC121">
        <v>1</v>
      </c>
      <c r="SF121" s="18"/>
      <c r="SX121">
        <v>0</v>
      </c>
      <c r="UI121" s="16">
        <v>1.65</v>
      </c>
      <c r="UJ121" s="16">
        <v>1</v>
      </c>
      <c r="UK121" s="16">
        <v>1</v>
      </c>
      <c r="UL121" s="16"/>
      <c r="UM121" s="16">
        <f>0.18</f>
        <v>0.18</v>
      </c>
      <c r="UN121" s="16">
        <v>2</v>
      </c>
      <c r="UO121" s="16"/>
      <c r="UP121" s="16">
        <f>1.65+0.91+6.23+0.66</f>
        <v>9.4500000000000011</v>
      </c>
      <c r="UQ121" s="16"/>
      <c r="UR121" s="16"/>
      <c r="US121" s="16"/>
      <c r="UT121" s="16">
        <v>20.65</v>
      </c>
      <c r="UU121" s="16">
        <v>33.56</v>
      </c>
      <c r="UV121" s="16"/>
      <c r="UW121" s="16"/>
      <c r="UX121" s="16">
        <v>2.2400000000000002</v>
      </c>
      <c r="UY121" s="16">
        <v>0.45</v>
      </c>
      <c r="UZ121" s="16">
        <v>0</v>
      </c>
      <c r="VA121">
        <v>0.45</v>
      </c>
      <c r="VB121" t="s">
        <v>549</v>
      </c>
      <c r="VC121">
        <v>31.5</v>
      </c>
      <c r="VD121" s="16">
        <v>79.900000000000006</v>
      </c>
      <c r="VE121" s="16">
        <v>80.400000000000006</v>
      </c>
      <c r="VF121" s="16">
        <v>17.8</v>
      </c>
      <c r="VG121">
        <v>71.45</v>
      </c>
      <c r="VH121">
        <v>9.43</v>
      </c>
      <c r="VI121">
        <v>1.1200000000000001</v>
      </c>
      <c r="VJ121">
        <v>0</v>
      </c>
      <c r="VK121">
        <v>18.010000000000002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8.44</v>
      </c>
      <c r="VT121">
        <v>63.45</v>
      </c>
      <c r="VU121">
        <v>0</v>
      </c>
      <c r="VV121">
        <v>0</v>
      </c>
      <c r="VW121">
        <v>0</v>
      </c>
      <c r="VX121">
        <v>0</v>
      </c>
      <c r="WK121">
        <v>2</v>
      </c>
      <c r="WL121">
        <v>1</v>
      </c>
      <c r="WM121">
        <v>52</v>
      </c>
      <c r="WN121">
        <v>2</v>
      </c>
      <c r="WO121">
        <f>0.9+0.02</f>
        <v>0.92</v>
      </c>
      <c r="WP121">
        <v>2</v>
      </c>
      <c r="WW121" s="18"/>
      <c r="XO121">
        <v>1</v>
      </c>
      <c r="XP121">
        <v>50</v>
      </c>
      <c r="XQ121">
        <v>9</v>
      </c>
      <c r="XR121">
        <f>19.9+3.13</f>
        <v>23.029999999999998</v>
      </c>
      <c r="XS121">
        <v>3</v>
      </c>
      <c r="YZ121" s="16">
        <v>1.47</v>
      </c>
      <c r="ZA121" s="16">
        <v>1</v>
      </c>
      <c r="ZB121" s="16">
        <v>1</v>
      </c>
      <c r="ZC121" s="16"/>
      <c r="ZD121" s="16">
        <v>2.13</v>
      </c>
      <c r="ZE121" s="16">
        <v>2</v>
      </c>
      <c r="ZF121" s="16"/>
      <c r="ZG121" s="16">
        <v>3.37</v>
      </c>
      <c r="ZH121" s="16"/>
      <c r="ZI121" s="16"/>
      <c r="ZJ121" s="16"/>
      <c r="ZK121" s="16">
        <v>5.55</v>
      </c>
      <c r="ZL121" s="16">
        <v>6.42</v>
      </c>
      <c r="ZM121" s="16"/>
      <c r="ZN121" s="16"/>
      <c r="ZO121" s="16">
        <v>0</v>
      </c>
      <c r="ZP121" s="16">
        <v>0</v>
      </c>
      <c r="ZQ121" s="16">
        <v>4.4800000000000004</v>
      </c>
      <c r="ZR121">
        <v>0</v>
      </c>
      <c r="ZS121" t="s">
        <v>550</v>
      </c>
      <c r="ZT121">
        <v>17</v>
      </c>
      <c r="ZU121" s="16">
        <v>87.8</v>
      </c>
      <c r="ZV121" s="16">
        <v>80.400000000000006</v>
      </c>
      <c r="ZW121" s="16">
        <v>11.6</v>
      </c>
      <c r="ZX121">
        <v>86.21</v>
      </c>
      <c r="ZY121">
        <v>1.64</v>
      </c>
      <c r="ZZ121">
        <v>0.45</v>
      </c>
      <c r="AAA121">
        <v>0</v>
      </c>
      <c r="AAB121">
        <v>11.7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14.73</v>
      </c>
      <c r="AAK121">
        <v>7.98</v>
      </c>
      <c r="AAL121">
        <v>0</v>
      </c>
      <c r="AAM121">
        <v>0</v>
      </c>
      <c r="AAN121">
        <v>0</v>
      </c>
      <c r="AAO121">
        <v>0</v>
      </c>
      <c r="ABB121">
        <v>0</v>
      </c>
      <c r="ABC121">
        <v>0</v>
      </c>
      <c r="ABN121" s="18"/>
      <c r="ACF121">
        <v>0</v>
      </c>
      <c r="ADQ121" s="16">
        <v>0</v>
      </c>
      <c r="ADR121" s="16">
        <v>0</v>
      </c>
      <c r="ADS121" s="16"/>
      <c r="ADT121" s="16"/>
      <c r="ADU121" s="16"/>
      <c r="ADV121" s="16"/>
      <c r="ADW121" s="16"/>
      <c r="ADX121" s="16"/>
      <c r="ADY121" s="16"/>
      <c r="ADZ121" s="16"/>
      <c r="AEA121" s="16"/>
      <c r="AEB121" s="16">
        <v>5.22</v>
      </c>
      <c r="AEC121" s="16">
        <v>5.37</v>
      </c>
      <c r="AED121" s="16"/>
      <c r="AEE121" s="16"/>
      <c r="AEF121" s="16">
        <v>0</v>
      </c>
      <c r="AEG121" s="16">
        <v>0</v>
      </c>
      <c r="AEH121" s="16">
        <v>0.19</v>
      </c>
      <c r="AEI121">
        <v>0</v>
      </c>
      <c r="AEJ121" t="s">
        <v>551</v>
      </c>
      <c r="AEK121">
        <v>17.5</v>
      </c>
      <c r="AEL121" s="16">
        <v>87.6</v>
      </c>
      <c r="AEM121" s="16">
        <v>80.400000000000006</v>
      </c>
      <c r="AEN121" s="16">
        <v>12</v>
      </c>
      <c r="AEO121">
        <v>84.96</v>
      </c>
      <c r="AEP121">
        <v>1.61</v>
      </c>
      <c r="AEQ121">
        <v>0.45</v>
      </c>
      <c r="AER121">
        <v>0</v>
      </c>
      <c r="AES121">
        <v>12.98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15.99</v>
      </c>
      <c r="AFB121">
        <v>7.84</v>
      </c>
      <c r="AFC121">
        <v>0</v>
      </c>
      <c r="AFD121">
        <v>0</v>
      </c>
      <c r="AFE121">
        <v>0</v>
      </c>
      <c r="AFF121">
        <v>0</v>
      </c>
      <c r="AFS121">
        <v>0</v>
      </c>
      <c r="AFT121">
        <v>0</v>
      </c>
      <c r="AGE121" s="18"/>
      <c r="AGW121">
        <v>0</v>
      </c>
      <c r="AIH121" s="16">
        <v>0</v>
      </c>
      <c r="AII121" s="16">
        <v>0</v>
      </c>
      <c r="AIJ121" s="16"/>
      <c r="AIK121" s="16"/>
      <c r="AIL121" s="16"/>
      <c r="AIM121" s="16"/>
      <c r="AIN121" s="16"/>
      <c r="AIO121" s="16"/>
      <c r="AIP121" s="16"/>
      <c r="AIQ121" s="16"/>
      <c r="AIR121" s="16"/>
      <c r="AIS121" s="16">
        <v>5.22</v>
      </c>
      <c r="AIT121" s="16">
        <v>5.37</v>
      </c>
      <c r="AIU121" s="16"/>
      <c r="AIV121" s="16"/>
      <c r="AIW121" s="16">
        <v>0</v>
      </c>
      <c r="AIX121" s="16">
        <v>0</v>
      </c>
      <c r="AIY121" s="16">
        <v>0.19</v>
      </c>
      <c r="AIZ121">
        <v>0</v>
      </c>
      <c r="AJA121" t="s">
        <v>552</v>
      </c>
      <c r="AJB121">
        <v>16.5</v>
      </c>
      <c r="AJC121" s="16">
        <v>73.2</v>
      </c>
      <c r="AJD121" s="16">
        <v>80.400000000000006</v>
      </c>
      <c r="AJE121" s="16">
        <v>10.199999999999999</v>
      </c>
      <c r="AJF121">
        <v>69.430000000000007</v>
      </c>
      <c r="AJG121">
        <v>29.45</v>
      </c>
      <c r="AJH121">
        <v>1.1200000000000001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29.3</v>
      </c>
      <c r="AJS121">
        <v>10.81</v>
      </c>
      <c r="AJT121">
        <v>0</v>
      </c>
      <c r="AJU121">
        <v>0</v>
      </c>
      <c r="AJV121">
        <v>5.9</v>
      </c>
      <c r="AJW121">
        <v>2</v>
      </c>
      <c r="AJX121">
        <v>3</v>
      </c>
      <c r="AJY121">
        <v>2.0099999999999998</v>
      </c>
      <c r="AKD121">
        <v>3</v>
      </c>
      <c r="AKE121">
        <v>2.0099999999999998</v>
      </c>
      <c r="AKJ121">
        <v>0</v>
      </c>
      <c r="AKK121">
        <v>0</v>
      </c>
      <c r="AKV121" s="18"/>
      <c r="ALN121">
        <v>0</v>
      </c>
    </row>
    <row r="122" spans="1:1024" x14ac:dyDescent="0.2">
      <c r="A122" s="1" t="s">
        <v>557</v>
      </c>
      <c r="B122" s="12">
        <v>42902</v>
      </c>
      <c r="C122">
        <v>2</v>
      </c>
      <c r="D122" s="13">
        <v>42783</v>
      </c>
      <c r="E122" s="12">
        <v>34410</v>
      </c>
      <c r="F122" s="14">
        <f t="shared" si="42"/>
        <v>23.249828884325805</v>
      </c>
      <c r="G122" s="14">
        <f t="shared" si="43"/>
        <v>0.32580424366872007</v>
      </c>
      <c r="H122" s="15" t="s">
        <v>217</v>
      </c>
      <c r="I122" s="15" t="s">
        <v>545</v>
      </c>
      <c r="J122" s="15" t="s">
        <v>181</v>
      </c>
      <c r="K122" s="21">
        <v>8</v>
      </c>
      <c r="L122" s="19">
        <v>55</v>
      </c>
      <c r="M122">
        <v>1.66</v>
      </c>
      <c r="N122" s="16">
        <f t="shared" si="44"/>
        <v>19.959355494266223</v>
      </c>
      <c r="O122" s="19">
        <v>0</v>
      </c>
      <c r="P122" s="19">
        <v>0</v>
      </c>
      <c r="Q122" s="19">
        <v>0</v>
      </c>
      <c r="R122" s="19">
        <v>0</v>
      </c>
      <c r="S122" s="19">
        <v>0</v>
      </c>
      <c r="T122" s="19">
        <v>0</v>
      </c>
      <c r="U122" s="19">
        <v>0</v>
      </c>
      <c r="V122" s="19">
        <v>0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1</v>
      </c>
      <c r="AD122" s="19">
        <v>6</v>
      </c>
      <c r="AE122" s="19">
        <v>0</v>
      </c>
      <c r="AF122" s="19">
        <v>0</v>
      </c>
      <c r="AG122" s="19">
        <v>0</v>
      </c>
      <c r="AH122" s="19">
        <v>0</v>
      </c>
      <c r="AI122" s="19">
        <v>0</v>
      </c>
      <c r="AJ122" s="19">
        <v>0</v>
      </c>
      <c r="AK122" s="19">
        <v>0</v>
      </c>
      <c r="AL122" s="19">
        <v>0</v>
      </c>
      <c r="AM122" s="19">
        <v>0</v>
      </c>
      <c r="AN122" s="19">
        <v>0</v>
      </c>
      <c r="AO122" s="19">
        <v>0</v>
      </c>
      <c r="AP122" s="19">
        <v>0</v>
      </c>
      <c r="AQ122" s="19">
        <v>0</v>
      </c>
      <c r="AR122" s="19">
        <v>0</v>
      </c>
      <c r="AS122" s="19">
        <v>0</v>
      </c>
      <c r="AT122" s="19">
        <v>0</v>
      </c>
      <c r="AU122" s="19">
        <v>0</v>
      </c>
      <c r="AV122" s="19">
        <v>0</v>
      </c>
      <c r="AW122" s="19">
        <v>0</v>
      </c>
      <c r="AX122" s="19">
        <v>0</v>
      </c>
      <c r="AY122" s="19">
        <v>0</v>
      </c>
      <c r="AZ122" s="19">
        <v>0</v>
      </c>
      <c r="BA122" s="19">
        <v>0</v>
      </c>
      <c r="BB122" s="19">
        <v>0</v>
      </c>
      <c r="BC122" s="19">
        <v>0</v>
      </c>
      <c r="BD122" s="19">
        <v>0</v>
      </c>
      <c r="BE122" s="19">
        <v>0</v>
      </c>
      <c r="BF122" s="19">
        <v>0</v>
      </c>
      <c r="BG122" s="19">
        <v>0</v>
      </c>
      <c r="BH122" s="19">
        <v>0</v>
      </c>
      <c r="BI122" s="19">
        <v>0</v>
      </c>
      <c r="BJ122" s="19">
        <v>0</v>
      </c>
      <c r="BK122" s="19">
        <v>0</v>
      </c>
      <c r="BL122" s="19">
        <v>0</v>
      </c>
      <c r="BM122" s="19">
        <v>0</v>
      </c>
      <c r="BN122" s="19">
        <v>0</v>
      </c>
      <c r="BO122" s="19">
        <v>0</v>
      </c>
      <c r="BP122" s="19">
        <v>0</v>
      </c>
      <c r="BQ122" s="19">
        <v>0</v>
      </c>
      <c r="BR122" s="19">
        <v>2</v>
      </c>
      <c r="BS122" s="19">
        <v>2</v>
      </c>
      <c r="BT122" s="19">
        <v>5</v>
      </c>
      <c r="BU122" s="19">
        <v>5</v>
      </c>
      <c r="BV122" s="19">
        <v>3</v>
      </c>
      <c r="BW122" s="19">
        <v>1</v>
      </c>
      <c r="BX122" s="19">
        <v>3</v>
      </c>
      <c r="BY122" s="19">
        <v>5</v>
      </c>
      <c r="BZ122" s="19">
        <v>5</v>
      </c>
      <c r="CA122" s="19">
        <v>5</v>
      </c>
      <c r="CB122" s="19">
        <v>5</v>
      </c>
      <c r="CC122" s="19">
        <v>5</v>
      </c>
      <c r="CD122" s="19">
        <v>5</v>
      </c>
      <c r="CE122" s="19">
        <v>5</v>
      </c>
      <c r="CF122" s="19">
        <v>4</v>
      </c>
      <c r="CG122" s="19">
        <v>5</v>
      </c>
      <c r="CH122" s="19">
        <v>5</v>
      </c>
      <c r="CI122" s="19">
        <v>5</v>
      </c>
      <c r="CJ122" s="19">
        <v>5</v>
      </c>
      <c r="CK122" s="19">
        <v>10</v>
      </c>
      <c r="CL122" t="s">
        <v>555</v>
      </c>
      <c r="CM122">
        <v>35</v>
      </c>
      <c r="CN122" s="16">
        <v>78.8</v>
      </c>
      <c r="CO122" s="16">
        <v>80.400000000000006</v>
      </c>
      <c r="CP122" s="16">
        <v>17.2</v>
      </c>
      <c r="CQ122">
        <v>72.069999999999993</v>
      </c>
      <c r="CR122">
        <v>11.09</v>
      </c>
      <c r="CS122">
        <v>1.1200000000000001</v>
      </c>
      <c r="CT122">
        <v>0</v>
      </c>
      <c r="CU122">
        <v>15.71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1.66</v>
      </c>
      <c r="DD122">
        <v>34.99</v>
      </c>
      <c r="DE122">
        <v>0</v>
      </c>
      <c r="DF122">
        <v>0</v>
      </c>
      <c r="DG122">
        <v>0</v>
      </c>
      <c r="DH122">
        <v>0</v>
      </c>
      <c r="DU122">
        <v>11.2</v>
      </c>
      <c r="DV122">
        <v>1</v>
      </c>
      <c r="DW122">
        <v>52</v>
      </c>
      <c r="DX122">
        <f>18+1+15</f>
        <v>34</v>
      </c>
      <c r="DY122">
        <f>3.2+2.05+0.07</f>
        <v>5.32</v>
      </c>
      <c r="DZ122">
        <v>2</v>
      </c>
      <c r="EG122" s="18"/>
      <c r="EY122">
        <v>0</v>
      </c>
      <c r="GJ122" s="16">
        <v>0</v>
      </c>
      <c r="GK122" s="16">
        <v>0</v>
      </c>
      <c r="GL122" s="16"/>
      <c r="GM122" s="16"/>
      <c r="GN122" s="16"/>
      <c r="GO122" s="16"/>
      <c r="GP122" s="16"/>
      <c r="GQ122" s="16"/>
      <c r="GR122" s="16"/>
      <c r="GS122" s="16"/>
      <c r="GT122" s="16"/>
      <c r="GU122" s="16">
        <v>6.16</v>
      </c>
      <c r="GV122" s="16">
        <v>7.21</v>
      </c>
      <c r="GW122" s="16"/>
      <c r="GX122" s="16"/>
      <c r="GY122" s="16">
        <v>0</v>
      </c>
      <c r="GZ122" s="16">
        <v>0</v>
      </c>
      <c r="HA122" s="16">
        <v>0</v>
      </c>
      <c r="HB122">
        <v>0</v>
      </c>
      <c r="HC122" t="s">
        <v>546</v>
      </c>
      <c r="HD122">
        <v>16.5</v>
      </c>
      <c r="HE122" s="16">
        <v>35.299999999999997</v>
      </c>
      <c r="HF122" s="16">
        <v>80.400000000000006</v>
      </c>
      <c r="HG122" s="16">
        <v>9.6999999999999993</v>
      </c>
      <c r="HH122">
        <v>86.56</v>
      </c>
      <c r="HI122">
        <v>12.61</v>
      </c>
      <c r="HJ122">
        <v>0</v>
      </c>
      <c r="HK122">
        <v>0</v>
      </c>
      <c r="HL122">
        <v>0.83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2.2200000000000002</v>
      </c>
      <c r="HU122">
        <v>20.83</v>
      </c>
      <c r="HV122">
        <v>0</v>
      </c>
      <c r="HW122">
        <v>0</v>
      </c>
      <c r="HX122">
        <v>0</v>
      </c>
      <c r="HY122">
        <v>0</v>
      </c>
      <c r="IL122">
        <v>0.3</v>
      </c>
      <c r="IM122">
        <v>1</v>
      </c>
      <c r="IN122">
        <v>34</v>
      </c>
      <c r="IO122">
        <v>4</v>
      </c>
      <c r="IP122">
        <f>1.35+0.45+1.35+0.45</f>
        <v>3.6000000000000005</v>
      </c>
      <c r="IQ122">
        <v>1</v>
      </c>
      <c r="IR122">
        <v>52</v>
      </c>
      <c r="IS122">
        <v>1</v>
      </c>
      <c r="IT122">
        <f>0.18</f>
        <v>0.18</v>
      </c>
      <c r="IU122">
        <v>2</v>
      </c>
      <c r="IX122" s="18"/>
      <c r="JP122">
        <v>0</v>
      </c>
      <c r="LA122" s="16">
        <v>0.28000000000000003</v>
      </c>
      <c r="LB122" s="16">
        <v>1</v>
      </c>
      <c r="LC122" s="16">
        <v>2</v>
      </c>
      <c r="LD122" s="16"/>
      <c r="LE122" s="16">
        <f>0.37+0.26</f>
        <v>0.63</v>
      </c>
      <c r="LF122" s="16"/>
      <c r="LG122" s="16"/>
      <c r="LH122" s="16"/>
      <c r="LI122" s="16"/>
      <c r="LJ122" s="16"/>
      <c r="LK122" s="16"/>
      <c r="LL122" s="16">
        <v>5.99</v>
      </c>
      <c r="LM122" s="16">
        <v>5.34</v>
      </c>
      <c r="LN122" s="16"/>
      <c r="LO122" s="16"/>
      <c r="LP122" s="16">
        <v>0</v>
      </c>
      <c r="LQ122" s="16">
        <v>0</v>
      </c>
      <c r="LR122" s="16">
        <v>0</v>
      </c>
      <c r="LS122">
        <v>0</v>
      </c>
      <c r="LT122" t="s">
        <v>547</v>
      </c>
      <c r="LU122">
        <v>29.5</v>
      </c>
      <c r="LV122" s="16">
        <v>87.5</v>
      </c>
      <c r="LW122" s="16">
        <v>80.400000000000006</v>
      </c>
      <c r="LX122" s="16">
        <v>14.3</v>
      </c>
      <c r="LY122">
        <v>68.7</v>
      </c>
      <c r="LZ122">
        <v>23.24</v>
      </c>
      <c r="MA122">
        <v>1.79</v>
      </c>
      <c r="MB122">
        <v>0</v>
      </c>
      <c r="MC122">
        <v>6.27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7.01</v>
      </c>
      <c r="ML122">
        <v>58.72</v>
      </c>
      <c r="MM122">
        <v>0.23</v>
      </c>
      <c r="MN122">
        <v>0</v>
      </c>
      <c r="MO122">
        <v>0.5</v>
      </c>
      <c r="MP122">
        <v>2</v>
      </c>
      <c r="MQ122">
        <v>7</v>
      </c>
      <c r="MR122">
        <v>0.08</v>
      </c>
      <c r="MW122">
        <v>7</v>
      </c>
      <c r="MX122">
        <v>0.08</v>
      </c>
      <c r="NC122">
        <v>0</v>
      </c>
      <c r="ND122">
        <v>1</v>
      </c>
      <c r="NE122">
        <v>23</v>
      </c>
      <c r="NF122">
        <v>2</v>
      </c>
      <c r="NG122">
        <v>0.9</v>
      </c>
      <c r="NH122">
        <v>3</v>
      </c>
      <c r="NO122" s="18"/>
      <c r="OG122">
        <v>1</v>
      </c>
      <c r="OH122">
        <v>50</v>
      </c>
      <c r="OI122">
        <v>2</v>
      </c>
      <c r="OJ122">
        <f>3.13+23.63</f>
        <v>26.759999999999998</v>
      </c>
      <c r="OK122">
        <v>3</v>
      </c>
      <c r="PR122" s="16">
        <v>1.49</v>
      </c>
      <c r="PS122" s="16">
        <v>1</v>
      </c>
      <c r="PT122" s="16">
        <v>1</v>
      </c>
      <c r="PU122" s="16"/>
      <c r="PV122" s="16">
        <f>1.91+2.02+2.02+1.35</f>
        <v>7.2999999999999989</v>
      </c>
      <c r="PW122" s="16">
        <v>2</v>
      </c>
      <c r="PX122" s="16"/>
      <c r="PY122" s="16">
        <v>0.21</v>
      </c>
      <c r="PZ122" s="16"/>
      <c r="QA122" s="16"/>
      <c r="QB122" s="16"/>
      <c r="QC122" s="16">
        <v>10.82</v>
      </c>
      <c r="QD122" s="16">
        <v>14.57</v>
      </c>
      <c r="QE122" s="16"/>
      <c r="QF122" s="16"/>
      <c r="QG122" s="16">
        <v>2.2400000000000002</v>
      </c>
      <c r="QH122" s="16">
        <v>0.9</v>
      </c>
      <c r="QI122" s="16">
        <v>0</v>
      </c>
      <c r="QJ122">
        <v>0</v>
      </c>
      <c r="QK122" t="s">
        <v>548</v>
      </c>
      <c r="QL122">
        <v>50</v>
      </c>
      <c r="QM122" s="16">
        <v>80</v>
      </c>
      <c r="QN122" s="16">
        <v>80.400000000000006</v>
      </c>
      <c r="QO122" s="16">
        <v>16.899999999999999</v>
      </c>
      <c r="QP122">
        <v>58.18</v>
      </c>
      <c r="QQ122">
        <v>32.94</v>
      </c>
      <c r="QR122">
        <v>1.79</v>
      </c>
      <c r="QS122">
        <v>0</v>
      </c>
      <c r="QT122">
        <v>7.09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3.53</v>
      </c>
      <c r="RC122">
        <v>45.12</v>
      </c>
      <c r="RD122">
        <v>0</v>
      </c>
      <c r="RE122">
        <v>0</v>
      </c>
      <c r="RF122">
        <v>0</v>
      </c>
      <c r="RG122">
        <v>0</v>
      </c>
      <c r="RT122">
        <v>8.1999999999999993</v>
      </c>
      <c r="RU122">
        <v>1</v>
      </c>
      <c r="RV122">
        <v>23</v>
      </c>
      <c r="RW122">
        <v>1</v>
      </c>
      <c r="RX122">
        <v>0.45</v>
      </c>
      <c r="RY122">
        <v>3</v>
      </c>
      <c r="RZ122">
        <v>34</v>
      </c>
      <c r="SA122">
        <v>28</v>
      </c>
      <c r="SB122">
        <f>0.45+0.18+1.6+0.24+0.37+4.39+0.49+0.04+0.32+0.05+1.38</f>
        <v>9.5100000000000016</v>
      </c>
      <c r="SC122">
        <v>1</v>
      </c>
      <c r="SF122" s="18"/>
      <c r="SX122">
        <v>0</v>
      </c>
      <c r="UI122" s="16">
        <v>1.65</v>
      </c>
      <c r="UJ122" s="16">
        <v>1</v>
      </c>
      <c r="UK122" s="16">
        <v>1</v>
      </c>
      <c r="UL122" s="16"/>
      <c r="UM122" s="16">
        <f>0.18</f>
        <v>0.18</v>
      </c>
      <c r="UN122" s="16">
        <v>2</v>
      </c>
      <c r="UO122" s="16"/>
      <c r="UP122" s="16">
        <f>1.65+0.91+6.23+0.66</f>
        <v>9.4500000000000011</v>
      </c>
      <c r="UQ122" s="16"/>
      <c r="UR122" s="16"/>
      <c r="US122" s="16"/>
      <c r="UT122" s="16">
        <v>20.65</v>
      </c>
      <c r="UU122" s="16">
        <v>33.56</v>
      </c>
      <c r="UV122" s="16"/>
      <c r="UW122" s="16"/>
      <c r="UX122" s="16">
        <v>2.2400000000000002</v>
      </c>
      <c r="UY122" s="16">
        <v>0.45</v>
      </c>
      <c r="UZ122" s="16">
        <v>0</v>
      </c>
      <c r="VA122">
        <v>0.45</v>
      </c>
      <c r="VB122" t="s">
        <v>549</v>
      </c>
      <c r="VC122">
        <v>31.5</v>
      </c>
      <c r="VD122" s="16">
        <v>79.900000000000006</v>
      </c>
      <c r="VE122" s="16">
        <v>80.400000000000006</v>
      </c>
      <c r="VF122" s="16">
        <v>17.8</v>
      </c>
      <c r="VG122">
        <v>71.45</v>
      </c>
      <c r="VH122">
        <v>9.43</v>
      </c>
      <c r="VI122">
        <v>1.1200000000000001</v>
      </c>
      <c r="VJ122">
        <v>0</v>
      </c>
      <c r="VK122">
        <v>18.010000000000002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8.44</v>
      </c>
      <c r="VT122">
        <v>63.45</v>
      </c>
      <c r="VU122">
        <v>0</v>
      </c>
      <c r="VV122">
        <v>0</v>
      </c>
      <c r="VW122">
        <v>0</v>
      </c>
      <c r="VX122">
        <v>0</v>
      </c>
      <c r="WK122">
        <v>2</v>
      </c>
      <c r="WL122">
        <v>1</v>
      </c>
      <c r="WM122">
        <v>52</v>
      </c>
      <c r="WN122">
        <v>2</v>
      </c>
      <c r="WO122">
        <f>0.9+0.02</f>
        <v>0.92</v>
      </c>
      <c r="WP122">
        <v>2</v>
      </c>
      <c r="WW122" s="18"/>
      <c r="XO122">
        <v>1</v>
      </c>
      <c r="XP122">
        <v>50</v>
      </c>
      <c r="XQ122">
        <v>9</v>
      </c>
      <c r="XR122">
        <f>19.9+3.13</f>
        <v>23.029999999999998</v>
      </c>
      <c r="XS122">
        <v>3</v>
      </c>
      <c r="YZ122" s="16">
        <v>1.47</v>
      </c>
      <c r="ZA122" s="16">
        <v>1</v>
      </c>
      <c r="ZB122" s="16">
        <v>1</v>
      </c>
      <c r="ZC122" s="16"/>
      <c r="ZD122" s="16">
        <v>2.13</v>
      </c>
      <c r="ZE122" s="16">
        <v>2</v>
      </c>
      <c r="ZF122" s="16"/>
      <c r="ZG122" s="16">
        <v>3.37</v>
      </c>
      <c r="ZH122" s="16"/>
      <c r="ZI122" s="16"/>
      <c r="ZJ122" s="16"/>
      <c r="ZK122" s="16">
        <v>5.55</v>
      </c>
      <c r="ZL122" s="16">
        <v>6.42</v>
      </c>
      <c r="ZM122" s="16"/>
      <c r="ZN122" s="16"/>
      <c r="ZO122" s="16">
        <v>0</v>
      </c>
      <c r="ZP122" s="16">
        <v>0</v>
      </c>
      <c r="ZQ122" s="16">
        <v>4.4800000000000004</v>
      </c>
      <c r="ZR122">
        <v>0</v>
      </c>
      <c r="ZS122" t="s">
        <v>550</v>
      </c>
      <c r="ZT122">
        <v>17</v>
      </c>
      <c r="ZU122" s="16">
        <v>87.8</v>
      </c>
      <c r="ZV122" s="16">
        <v>80.400000000000006</v>
      </c>
      <c r="ZW122" s="16">
        <v>11.6</v>
      </c>
      <c r="ZX122">
        <v>86.21</v>
      </c>
      <c r="ZY122">
        <v>1.64</v>
      </c>
      <c r="ZZ122">
        <v>0.45</v>
      </c>
      <c r="AAA122">
        <v>0</v>
      </c>
      <c r="AAB122">
        <v>11.7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14.73</v>
      </c>
      <c r="AAK122">
        <v>7.98</v>
      </c>
      <c r="AAL122">
        <v>0</v>
      </c>
      <c r="AAM122">
        <v>0</v>
      </c>
      <c r="AAN122">
        <v>0</v>
      </c>
      <c r="AAO122">
        <v>0</v>
      </c>
      <c r="ABB122">
        <v>0</v>
      </c>
      <c r="ABC122">
        <v>0</v>
      </c>
      <c r="ABN122" s="18"/>
      <c r="ACF122">
        <v>0</v>
      </c>
      <c r="ADQ122" s="16">
        <v>0</v>
      </c>
      <c r="ADR122" s="16">
        <v>0</v>
      </c>
      <c r="ADS122" s="16"/>
      <c r="ADT122" s="16"/>
      <c r="ADU122" s="16"/>
      <c r="ADV122" s="16"/>
      <c r="ADW122" s="16"/>
      <c r="ADX122" s="16"/>
      <c r="ADY122" s="16"/>
      <c r="ADZ122" s="16"/>
      <c r="AEA122" s="16"/>
      <c r="AEB122" s="16">
        <v>5.22</v>
      </c>
      <c r="AEC122" s="16">
        <v>5.37</v>
      </c>
      <c r="AED122" s="16"/>
      <c r="AEE122" s="16"/>
      <c r="AEF122" s="16">
        <v>0</v>
      </c>
      <c r="AEG122" s="16">
        <v>0</v>
      </c>
      <c r="AEH122" s="16">
        <v>0.19</v>
      </c>
      <c r="AEI122">
        <v>0</v>
      </c>
      <c r="AEJ122" t="s">
        <v>551</v>
      </c>
      <c r="AEK122">
        <v>17.5</v>
      </c>
      <c r="AEL122" s="16">
        <v>87.6</v>
      </c>
      <c r="AEM122" s="16">
        <v>80.400000000000006</v>
      </c>
      <c r="AEN122" s="16">
        <v>12</v>
      </c>
      <c r="AEO122">
        <v>84.96</v>
      </c>
      <c r="AEP122">
        <v>1.61</v>
      </c>
      <c r="AEQ122">
        <v>0.45</v>
      </c>
      <c r="AER122">
        <v>0</v>
      </c>
      <c r="AES122">
        <v>12.98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15.99</v>
      </c>
      <c r="AFB122">
        <v>7.84</v>
      </c>
      <c r="AFC122">
        <v>0</v>
      </c>
      <c r="AFD122">
        <v>0</v>
      </c>
      <c r="AFE122">
        <v>0</v>
      </c>
      <c r="AFF122">
        <v>0</v>
      </c>
      <c r="AFS122">
        <v>0</v>
      </c>
      <c r="AFT122">
        <v>0</v>
      </c>
      <c r="AGE122" s="18"/>
      <c r="AGW122">
        <v>0</v>
      </c>
      <c r="AIH122" s="16">
        <v>0</v>
      </c>
      <c r="AII122" s="16">
        <v>0</v>
      </c>
      <c r="AIJ122" s="16"/>
      <c r="AIK122" s="16"/>
      <c r="AIL122" s="16"/>
      <c r="AIM122" s="16"/>
      <c r="AIN122" s="16"/>
      <c r="AIO122" s="16"/>
      <c r="AIP122" s="16"/>
      <c r="AIQ122" s="16"/>
      <c r="AIR122" s="16"/>
      <c r="AIS122" s="16">
        <v>5.22</v>
      </c>
      <c r="AIT122" s="16">
        <v>5.37</v>
      </c>
      <c r="AIU122" s="16"/>
      <c r="AIV122" s="16"/>
      <c r="AIW122" s="16">
        <v>0</v>
      </c>
      <c r="AIX122" s="16">
        <v>0</v>
      </c>
      <c r="AIY122" s="16">
        <v>0.19</v>
      </c>
      <c r="AIZ122">
        <v>0</v>
      </c>
      <c r="AJA122" t="s">
        <v>552</v>
      </c>
      <c r="AJB122">
        <v>16.5</v>
      </c>
      <c r="AJC122" s="16">
        <v>73.2</v>
      </c>
      <c r="AJD122" s="16">
        <v>80.400000000000006</v>
      </c>
      <c r="AJE122" s="16">
        <v>10.199999999999999</v>
      </c>
      <c r="AJF122">
        <v>69.430000000000007</v>
      </c>
      <c r="AJG122">
        <v>29.45</v>
      </c>
      <c r="AJH122">
        <v>1.1200000000000001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29.3</v>
      </c>
      <c r="AJS122">
        <v>10.81</v>
      </c>
      <c r="AJT122">
        <v>0</v>
      </c>
      <c r="AJU122">
        <v>0</v>
      </c>
      <c r="AJV122">
        <v>5.9</v>
      </c>
      <c r="AJW122">
        <v>2</v>
      </c>
      <c r="AJX122">
        <v>3</v>
      </c>
      <c r="AJY122">
        <v>2.0099999999999998</v>
      </c>
      <c r="AKD122">
        <v>3</v>
      </c>
      <c r="AKE122">
        <v>2.0099999999999998</v>
      </c>
      <c r="AKJ122">
        <v>0</v>
      </c>
      <c r="AKK122">
        <v>0</v>
      </c>
      <c r="AKV122" s="18"/>
      <c r="ALN122">
        <v>0</v>
      </c>
    </row>
    <row r="123" spans="1:1024" x14ac:dyDescent="0.2">
      <c r="A123" s="1" t="s">
        <v>558</v>
      </c>
      <c r="B123" s="12">
        <v>42902</v>
      </c>
      <c r="C123">
        <v>2</v>
      </c>
      <c r="D123" s="13">
        <v>42811</v>
      </c>
      <c r="E123" s="12">
        <v>30468</v>
      </c>
      <c r="F123" s="14">
        <f t="shared" si="42"/>
        <v>34.042436687200549</v>
      </c>
      <c r="G123" s="14">
        <f t="shared" si="43"/>
        <v>0.24914442162902123</v>
      </c>
      <c r="H123" s="15" t="s">
        <v>217</v>
      </c>
      <c r="I123" s="15" t="s">
        <v>545</v>
      </c>
      <c r="J123" s="15" t="s">
        <v>181</v>
      </c>
      <c r="K123" s="21">
        <v>8</v>
      </c>
      <c r="L123" s="19">
        <v>74</v>
      </c>
      <c r="M123">
        <v>1.82</v>
      </c>
      <c r="N123" s="16">
        <f t="shared" si="44"/>
        <v>22.340297065571789</v>
      </c>
      <c r="O123" s="19">
        <v>0</v>
      </c>
      <c r="P123" s="19">
        <v>0</v>
      </c>
      <c r="Q123" s="19">
        <v>0</v>
      </c>
      <c r="R123" s="19">
        <v>0</v>
      </c>
      <c r="S123" s="19">
        <v>0</v>
      </c>
      <c r="T123" s="19">
        <v>0</v>
      </c>
      <c r="U123" s="19">
        <v>0</v>
      </c>
      <c r="V123" s="19">
        <v>0</v>
      </c>
      <c r="W123" s="19">
        <v>0</v>
      </c>
      <c r="X123" s="19">
        <v>0</v>
      </c>
      <c r="Y123" s="19">
        <v>1</v>
      </c>
      <c r="Z123" s="19">
        <v>3</v>
      </c>
      <c r="AA123" s="19">
        <v>60</v>
      </c>
      <c r="AB123" s="19" t="s">
        <v>559</v>
      </c>
      <c r="AC123" s="19">
        <v>1</v>
      </c>
      <c r="AD123" s="19">
        <v>7</v>
      </c>
      <c r="AE123" s="19">
        <v>0</v>
      </c>
      <c r="AF123" s="19">
        <v>0</v>
      </c>
      <c r="AG123" s="19">
        <v>0</v>
      </c>
      <c r="AH123" s="19">
        <v>0</v>
      </c>
      <c r="AI123" s="19">
        <v>0</v>
      </c>
      <c r="AJ123" s="19">
        <v>0</v>
      </c>
      <c r="AK123" s="19">
        <v>0</v>
      </c>
      <c r="AL123" s="19">
        <v>0</v>
      </c>
      <c r="AM123" s="19">
        <v>0</v>
      </c>
      <c r="AN123" s="19">
        <v>0</v>
      </c>
      <c r="AO123" s="19">
        <v>0</v>
      </c>
      <c r="AP123" s="19">
        <v>0</v>
      </c>
      <c r="AQ123" s="19">
        <v>0</v>
      </c>
      <c r="AR123" s="19">
        <v>0</v>
      </c>
      <c r="AS123" s="19">
        <v>0</v>
      </c>
      <c r="AT123" s="19">
        <v>0</v>
      </c>
      <c r="AU123" s="19">
        <v>0</v>
      </c>
      <c r="AV123" s="19">
        <v>0</v>
      </c>
      <c r="AW123" s="19">
        <v>0</v>
      </c>
      <c r="AX123" s="19">
        <v>0</v>
      </c>
      <c r="AY123" s="19">
        <v>0</v>
      </c>
      <c r="AZ123" s="19">
        <v>0</v>
      </c>
      <c r="BA123" s="19">
        <v>0</v>
      </c>
      <c r="BB123" s="19">
        <v>0</v>
      </c>
      <c r="BC123" s="19">
        <v>0</v>
      </c>
      <c r="BD123" s="19">
        <v>0</v>
      </c>
      <c r="BE123" s="19">
        <v>0</v>
      </c>
      <c r="BF123" s="19">
        <v>0</v>
      </c>
      <c r="BG123" s="19">
        <v>0</v>
      </c>
      <c r="BH123" s="19">
        <v>0</v>
      </c>
      <c r="BI123" s="19">
        <v>0</v>
      </c>
      <c r="BJ123" s="19">
        <v>0</v>
      </c>
      <c r="BK123" s="19">
        <v>0</v>
      </c>
      <c r="BL123" s="19">
        <v>0</v>
      </c>
      <c r="BM123" s="19">
        <v>0</v>
      </c>
      <c r="BN123" s="19">
        <v>0</v>
      </c>
      <c r="BO123" s="19">
        <v>0</v>
      </c>
      <c r="BP123" s="19">
        <v>0</v>
      </c>
      <c r="BQ123" s="19">
        <v>0</v>
      </c>
      <c r="BR123" s="19">
        <v>1</v>
      </c>
      <c r="BS123" s="19">
        <v>5</v>
      </c>
      <c r="BT123" s="19">
        <v>3</v>
      </c>
      <c r="BU123" s="19">
        <v>5</v>
      </c>
      <c r="BV123" s="19">
        <v>1</v>
      </c>
      <c r="BW123" s="19">
        <v>1</v>
      </c>
      <c r="BX123" s="19">
        <v>1</v>
      </c>
      <c r="BY123" s="19">
        <v>3</v>
      </c>
      <c r="BZ123" s="19">
        <v>4</v>
      </c>
      <c r="CA123" s="19">
        <v>4</v>
      </c>
      <c r="CB123" s="19">
        <v>4</v>
      </c>
      <c r="CC123" s="19">
        <v>5</v>
      </c>
      <c r="CD123" s="19">
        <v>4</v>
      </c>
      <c r="CE123" s="19">
        <v>4</v>
      </c>
      <c r="CF123" s="19">
        <v>5</v>
      </c>
      <c r="CG123" s="19">
        <v>5</v>
      </c>
      <c r="CH123" s="19">
        <v>5</v>
      </c>
      <c r="CI123" s="19">
        <v>5</v>
      </c>
      <c r="CJ123" s="19">
        <v>4</v>
      </c>
      <c r="CK123" s="19">
        <v>7</v>
      </c>
      <c r="CL123" t="s">
        <v>555</v>
      </c>
      <c r="CM123">
        <v>35</v>
      </c>
      <c r="CN123" s="16">
        <v>78.8</v>
      </c>
      <c r="CO123" s="16">
        <v>80.400000000000006</v>
      </c>
      <c r="CP123" s="16">
        <v>17.2</v>
      </c>
      <c r="CQ123">
        <v>72.069999999999993</v>
      </c>
      <c r="CR123">
        <v>11.09</v>
      </c>
      <c r="CS123">
        <v>1.1200000000000001</v>
      </c>
      <c r="CT123">
        <v>0</v>
      </c>
      <c r="CU123">
        <v>15.71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1.66</v>
      </c>
      <c r="DD123">
        <v>34.99</v>
      </c>
      <c r="DE123">
        <v>0</v>
      </c>
      <c r="DF123">
        <v>0</v>
      </c>
      <c r="DG123">
        <v>0</v>
      </c>
      <c r="DH123">
        <v>0</v>
      </c>
      <c r="DU123">
        <v>11.2</v>
      </c>
      <c r="DV123">
        <v>1</v>
      </c>
      <c r="DW123">
        <v>52</v>
      </c>
      <c r="DX123">
        <f>18+1+15</f>
        <v>34</v>
      </c>
      <c r="DY123">
        <f>3.2+2.05+0.07</f>
        <v>5.32</v>
      </c>
      <c r="DZ123">
        <v>2</v>
      </c>
      <c r="EG123" s="18"/>
      <c r="EY123">
        <v>0</v>
      </c>
      <c r="GJ123" s="16">
        <v>0</v>
      </c>
      <c r="GK123" s="16">
        <v>0</v>
      </c>
      <c r="GL123" s="16"/>
      <c r="GM123" s="16"/>
      <c r="GN123" s="16"/>
      <c r="GO123" s="16"/>
      <c r="GP123" s="16"/>
      <c r="GQ123" s="16"/>
      <c r="GR123" s="16"/>
      <c r="GS123" s="16"/>
      <c r="GT123" s="16"/>
      <c r="GU123" s="16">
        <v>6.16</v>
      </c>
      <c r="GV123" s="16">
        <v>7.21</v>
      </c>
      <c r="GW123" s="16"/>
      <c r="GX123" s="16"/>
      <c r="GY123" s="16">
        <v>0</v>
      </c>
      <c r="GZ123" s="16">
        <v>0</v>
      </c>
      <c r="HA123" s="16">
        <v>0</v>
      </c>
      <c r="HB123">
        <v>0</v>
      </c>
      <c r="HC123" t="s">
        <v>546</v>
      </c>
      <c r="HD123">
        <v>16.5</v>
      </c>
      <c r="HE123" s="16">
        <v>35.299999999999997</v>
      </c>
      <c r="HF123" s="16">
        <v>80.400000000000006</v>
      </c>
      <c r="HG123" s="16">
        <v>9.6999999999999993</v>
      </c>
      <c r="HH123">
        <v>86.56</v>
      </c>
      <c r="HI123">
        <v>12.61</v>
      </c>
      <c r="HJ123">
        <v>0</v>
      </c>
      <c r="HK123">
        <v>0</v>
      </c>
      <c r="HL123">
        <v>0.83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2.2200000000000002</v>
      </c>
      <c r="HU123">
        <v>20.83</v>
      </c>
      <c r="HV123">
        <v>0</v>
      </c>
      <c r="HW123">
        <v>0</v>
      </c>
      <c r="HX123">
        <v>0</v>
      </c>
      <c r="HY123">
        <v>0</v>
      </c>
      <c r="IL123">
        <v>0.3</v>
      </c>
      <c r="IM123">
        <v>1</v>
      </c>
      <c r="IN123">
        <v>34</v>
      </c>
      <c r="IO123">
        <v>4</v>
      </c>
      <c r="IP123">
        <f>1.35+0.45+1.35+0.45</f>
        <v>3.6000000000000005</v>
      </c>
      <c r="IQ123">
        <v>1</v>
      </c>
      <c r="IR123">
        <v>52</v>
      </c>
      <c r="IS123">
        <v>1</v>
      </c>
      <c r="IT123">
        <f>0.18</f>
        <v>0.18</v>
      </c>
      <c r="IU123">
        <v>2</v>
      </c>
      <c r="IX123" s="18"/>
      <c r="JP123">
        <v>0</v>
      </c>
      <c r="LA123" s="16">
        <v>0.28000000000000003</v>
      </c>
      <c r="LB123" s="16">
        <v>1</v>
      </c>
      <c r="LC123" s="16">
        <v>2</v>
      </c>
      <c r="LD123" s="16"/>
      <c r="LE123" s="16">
        <f>0.37+0.26</f>
        <v>0.63</v>
      </c>
      <c r="LF123" s="16"/>
      <c r="LG123" s="16"/>
      <c r="LH123" s="16"/>
      <c r="LI123" s="16"/>
      <c r="LJ123" s="16"/>
      <c r="LK123" s="16"/>
      <c r="LL123" s="16">
        <v>5.99</v>
      </c>
      <c r="LM123" s="16">
        <v>5.34</v>
      </c>
      <c r="LN123" s="16"/>
      <c r="LO123" s="16"/>
      <c r="LP123" s="16">
        <v>0</v>
      </c>
      <c r="LQ123" s="16">
        <v>0</v>
      </c>
      <c r="LR123" s="16">
        <v>0</v>
      </c>
      <c r="LS123">
        <v>0</v>
      </c>
      <c r="LT123" t="s">
        <v>547</v>
      </c>
      <c r="LU123">
        <v>29.5</v>
      </c>
      <c r="LV123" s="16">
        <v>87.5</v>
      </c>
      <c r="LW123" s="16">
        <v>80.400000000000006</v>
      </c>
      <c r="LX123" s="16">
        <v>14.3</v>
      </c>
      <c r="LY123">
        <v>68.7</v>
      </c>
      <c r="LZ123">
        <v>23.24</v>
      </c>
      <c r="MA123">
        <v>1.79</v>
      </c>
      <c r="MB123">
        <v>0</v>
      </c>
      <c r="MC123">
        <v>6.27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7.01</v>
      </c>
      <c r="ML123">
        <v>58.72</v>
      </c>
      <c r="MM123">
        <v>0.23</v>
      </c>
      <c r="MN123">
        <v>0</v>
      </c>
      <c r="MO123">
        <v>0.5</v>
      </c>
      <c r="MP123">
        <v>2</v>
      </c>
      <c r="MQ123">
        <v>7</v>
      </c>
      <c r="MR123">
        <v>0.08</v>
      </c>
      <c r="MW123">
        <v>7</v>
      </c>
      <c r="MX123">
        <v>0.08</v>
      </c>
      <c r="NC123">
        <v>0</v>
      </c>
      <c r="ND123">
        <v>1</v>
      </c>
      <c r="NE123">
        <v>23</v>
      </c>
      <c r="NF123">
        <v>2</v>
      </c>
      <c r="NG123">
        <v>0.9</v>
      </c>
      <c r="NH123">
        <v>3</v>
      </c>
      <c r="NO123" s="18"/>
      <c r="OG123">
        <v>1</v>
      </c>
      <c r="OH123">
        <v>50</v>
      </c>
      <c r="OI123">
        <v>2</v>
      </c>
      <c r="OJ123">
        <f>3.13+23.63</f>
        <v>26.759999999999998</v>
      </c>
      <c r="OK123">
        <v>3</v>
      </c>
      <c r="PR123" s="16">
        <v>1.49</v>
      </c>
      <c r="PS123" s="16">
        <v>1</v>
      </c>
      <c r="PT123" s="16">
        <v>1</v>
      </c>
      <c r="PU123" s="16"/>
      <c r="PV123" s="16">
        <f>1.91+2.02+2.02+1.35</f>
        <v>7.2999999999999989</v>
      </c>
      <c r="PW123" s="16">
        <v>2</v>
      </c>
      <c r="PX123" s="16"/>
      <c r="PY123" s="16">
        <v>0.21</v>
      </c>
      <c r="PZ123" s="16"/>
      <c r="QA123" s="16"/>
      <c r="QB123" s="16"/>
      <c r="QC123" s="16">
        <v>10.82</v>
      </c>
      <c r="QD123" s="16">
        <v>14.57</v>
      </c>
      <c r="QE123" s="16"/>
      <c r="QF123" s="16"/>
      <c r="QG123" s="16">
        <v>2.2400000000000002</v>
      </c>
      <c r="QH123" s="16">
        <v>0.9</v>
      </c>
      <c r="QI123" s="16">
        <v>0</v>
      </c>
      <c r="QJ123">
        <v>0</v>
      </c>
      <c r="QK123" t="s">
        <v>548</v>
      </c>
      <c r="QL123">
        <v>50</v>
      </c>
      <c r="QM123" s="16">
        <v>80</v>
      </c>
      <c r="QN123" s="16">
        <v>80.400000000000006</v>
      </c>
      <c r="QO123" s="16">
        <v>16.899999999999999</v>
      </c>
      <c r="QP123">
        <v>58.18</v>
      </c>
      <c r="QQ123">
        <v>32.94</v>
      </c>
      <c r="QR123">
        <v>1.79</v>
      </c>
      <c r="QS123">
        <v>0</v>
      </c>
      <c r="QT123">
        <v>7.09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3.53</v>
      </c>
      <c r="RC123">
        <v>45.12</v>
      </c>
      <c r="RD123">
        <v>0</v>
      </c>
      <c r="RE123">
        <v>0</v>
      </c>
      <c r="RF123">
        <v>0</v>
      </c>
      <c r="RG123">
        <v>0</v>
      </c>
      <c r="RT123">
        <v>8.1999999999999993</v>
      </c>
      <c r="RU123">
        <v>1</v>
      </c>
      <c r="RV123">
        <v>23</v>
      </c>
      <c r="RW123">
        <v>1</v>
      </c>
      <c r="RX123">
        <v>0.45</v>
      </c>
      <c r="RY123">
        <v>3</v>
      </c>
      <c r="RZ123">
        <v>34</v>
      </c>
      <c r="SA123">
        <v>28</v>
      </c>
      <c r="SB123">
        <f>0.45+0.18+1.6+0.24+0.37+4.39+0.49+0.04+0.32+0.05+1.38</f>
        <v>9.5100000000000016</v>
      </c>
      <c r="SC123">
        <v>1</v>
      </c>
      <c r="SF123" s="18"/>
      <c r="SX123">
        <v>0</v>
      </c>
      <c r="UI123" s="16">
        <v>1.65</v>
      </c>
      <c r="UJ123" s="16">
        <v>1</v>
      </c>
      <c r="UK123" s="16">
        <v>1</v>
      </c>
      <c r="UL123" s="16"/>
      <c r="UM123" s="16">
        <f>0.18</f>
        <v>0.18</v>
      </c>
      <c r="UN123" s="16">
        <v>2</v>
      </c>
      <c r="UO123" s="16"/>
      <c r="UP123" s="16">
        <f>1.65+0.91+6.23+0.66</f>
        <v>9.4500000000000011</v>
      </c>
      <c r="UQ123" s="16"/>
      <c r="UR123" s="16"/>
      <c r="US123" s="16"/>
      <c r="UT123" s="16">
        <v>20.65</v>
      </c>
      <c r="UU123" s="16">
        <v>33.56</v>
      </c>
      <c r="UV123" s="16"/>
      <c r="UW123" s="16"/>
      <c r="UX123" s="16">
        <v>2.2400000000000002</v>
      </c>
      <c r="UY123" s="16">
        <v>0.45</v>
      </c>
      <c r="UZ123" s="16">
        <v>0</v>
      </c>
      <c r="VA123">
        <v>0.45</v>
      </c>
      <c r="VB123" t="s">
        <v>549</v>
      </c>
      <c r="VC123">
        <v>31.5</v>
      </c>
      <c r="VD123" s="16">
        <v>79.900000000000006</v>
      </c>
      <c r="VE123" s="16">
        <v>80.400000000000006</v>
      </c>
      <c r="VF123" s="16">
        <v>17.8</v>
      </c>
      <c r="VG123">
        <v>71.45</v>
      </c>
      <c r="VH123">
        <v>9.43</v>
      </c>
      <c r="VI123">
        <v>1.1200000000000001</v>
      </c>
      <c r="VJ123">
        <v>0</v>
      </c>
      <c r="VK123">
        <v>18.010000000000002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8.44</v>
      </c>
      <c r="VT123">
        <v>63.45</v>
      </c>
      <c r="VU123">
        <v>0</v>
      </c>
      <c r="VV123">
        <v>0</v>
      </c>
      <c r="VW123">
        <v>0</v>
      </c>
      <c r="VX123">
        <v>0</v>
      </c>
      <c r="WK123">
        <v>2</v>
      </c>
      <c r="WL123">
        <v>1</v>
      </c>
      <c r="WM123">
        <v>52</v>
      </c>
      <c r="WN123">
        <v>2</v>
      </c>
      <c r="WO123">
        <f>0.9+0.02</f>
        <v>0.92</v>
      </c>
      <c r="WP123">
        <v>2</v>
      </c>
      <c r="WW123" s="18"/>
      <c r="XO123">
        <v>1</v>
      </c>
      <c r="XP123">
        <v>50</v>
      </c>
      <c r="XQ123">
        <v>9</v>
      </c>
      <c r="XR123">
        <f>19.9+3.13</f>
        <v>23.029999999999998</v>
      </c>
      <c r="XS123">
        <v>3</v>
      </c>
      <c r="YZ123" s="16">
        <v>1.47</v>
      </c>
      <c r="ZA123" s="16">
        <v>1</v>
      </c>
      <c r="ZB123" s="16">
        <v>1</v>
      </c>
      <c r="ZC123" s="16"/>
      <c r="ZD123" s="16">
        <v>2.13</v>
      </c>
      <c r="ZE123" s="16">
        <v>2</v>
      </c>
      <c r="ZF123" s="16"/>
      <c r="ZG123" s="16">
        <v>3.37</v>
      </c>
      <c r="ZH123" s="16"/>
      <c r="ZI123" s="16"/>
      <c r="ZJ123" s="16"/>
      <c r="ZK123" s="16">
        <v>5.55</v>
      </c>
      <c r="ZL123" s="16">
        <v>6.42</v>
      </c>
      <c r="ZM123" s="16"/>
      <c r="ZN123" s="16"/>
      <c r="ZO123" s="16">
        <v>0</v>
      </c>
      <c r="ZP123" s="16">
        <v>0</v>
      </c>
      <c r="ZQ123" s="16">
        <v>4.4800000000000004</v>
      </c>
      <c r="ZR123">
        <v>0</v>
      </c>
      <c r="ZS123" t="s">
        <v>550</v>
      </c>
      <c r="ZT123">
        <v>17</v>
      </c>
      <c r="ZU123" s="16">
        <v>87.8</v>
      </c>
      <c r="ZV123" s="16">
        <v>80.400000000000006</v>
      </c>
      <c r="ZW123" s="16">
        <v>11.6</v>
      </c>
      <c r="ZX123">
        <v>86.21</v>
      </c>
      <c r="ZY123">
        <v>1.64</v>
      </c>
      <c r="ZZ123">
        <v>0.45</v>
      </c>
      <c r="AAA123">
        <v>0</v>
      </c>
      <c r="AAB123">
        <v>11.7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14.73</v>
      </c>
      <c r="AAK123">
        <v>7.98</v>
      </c>
      <c r="AAL123">
        <v>0</v>
      </c>
      <c r="AAM123">
        <v>0</v>
      </c>
      <c r="AAN123">
        <v>0</v>
      </c>
      <c r="AAO123">
        <v>0</v>
      </c>
      <c r="ABB123">
        <v>0</v>
      </c>
      <c r="ABC123">
        <v>0</v>
      </c>
      <c r="ABN123" s="18"/>
      <c r="ACF123">
        <v>0</v>
      </c>
      <c r="ADQ123" s="16">
        <v>0</v>
      </c>
      <c r="ADR123" s="16">
        <v>0</v>
      </c>
      <c r="ADS123" s="16"/>
      <c r="ADT123" s="16"/>
      <c r="ADU123" s="16"/>
      <c r="ADV123" s="16"/>
      <c r="ADW123" s="16"/>
      <c r="ADX123" s="16"/>
      <c r="ADY123" s="16"/>
      <c r="ADZ123" s="16"/>
      <c r="AEA123" s="16"/>
      <c r="AEB123" s="16">
        <v>5.22</v>
      </c>
      <c r="AEC123" s="16">
        <v>5.37</v>
      </c>
      <c r="AED123" s="16"/>
      <c r="AEE123" s="16"/>
      <c r="AEF123" s="16">
        <v>0</v>
      </c>
      <c r="AEG123" s="16">
        <v>0</v>
      </c>
      <c r="AEH123" s="16">
        <v>0.19</v>
      </c>
      <c r="AEI123">
        <v>0</v>
      </c>
      <c r="AEJ123" t="s">
        <v>551</v>
      </c>
      <c r="AEK123">
        <v>17.5</v>
      </c>
      <c r="AEL123" s="16">
        <v>87.6</v>
      </c>
      <c r="AEM123" s="16">
        <v>80.400000000000006</v>
      </c>
      <c r="AEN123" s="16">
        <v>12</v>
      </c>
      <c r="AEO123">
        <v>84.96</v>
      </c>
      <c r="AEP123">
        <v>1.61</v>
      </c>
      <c r="AEQ123">
        <v>0.45</v>
      </c>
      <c r="AER123">
        <v>0</v>
      </c>
      <c r="AES123">
        <v>12.98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15.99</v>
      </c>
      <c r="AFB123">
        <v>7.84</v>
      </c>
      <c r="AFC123">
        <v>0</v>
      </c>
      <c r="AFD123">
        <v>0</v>
      </c>
      <c r="AFE123">
        <v>0</v>
      </c>
      <c r="AFF123">
        <v>0</v>
      </c>
      <c r="AFS123">
        <v>0</v>
      </c>
      <c r="AFT123">
        <v>0</v>
      </c>
      <c r="AGE123" s="18"/>
      <c r="AGW123">
        <v>0</v>
      </c>
      <c r="AIH123" s="16">
        <v>0</v>
      </c>
      <c r="AII123" s="16">
        <v>0</v>
      </c>
      <c r="AIJ123" s="16"/>
      <c r="AIK123" s="16"/>
      <c r="AIL123" s="16"/>
      <c r="AIM123" s="16"/>
      <c r="AIN123" s="16"/>
      <c r="AIO123" s="16"/>
      <c r="AIP123" s="16"/>
      <c r="AIQ123" s="16"/>
      <c r="AIR123" s="16"/>
      <c r="AIS123" s="16">
        <v>5.22</v>
      </c>
      <c r="AIT123" s="16">
        <v>5.37</v>
      </c>
      <c r="AIU123" s="16"/>
      <c r="AIV123" s="16"/>
      <c r="AIW123" s="16">
        <v>0</v>
      </c>
      <c r="AIX123" s="16">
        <v>0</v>
      </c>
      <c r="AIY123" s="16">
        <v>0.19</v>
      </c>
      <c r="AIZ123">
        <v>0</v>
      </c>
      <c r="AJA123" t="s">
        <v>552</v>
      </c>
      <c r="AJB123">
        <v>16.5</v>
      </c>
      <c r="AJC123" s="16">
        <v>73.2</v>
      </c>
      <c r="AJD123" s="16">
        <v>80.400000000000006</v>
      </c>
      <c r="AJE123" s="16">
        <v>10.199999999999999</v>
      </c>
      <c r="AJF123">
        <v>69.430000000000007</v>
      </c>
      <c r="AJG123">
        <v>29.45</v>
      </c>
      <c r="AJH123">
        <v>1.1200000000000001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29.3</v>
      </c>
      <c r="AJS123">
        <v>10.81</v>
      </c>
      <c r="AJT123">
        <v>0</v>
      </c>
      <c r="AJU123">
        <v>0</v>
      </c>
      <c r="AJV123">
        <v>5.9</v>
      </c>
      <c r="AJW123">
        <v>2</v>
      </c>
      <c r="AJX123">
        <v>3</v>
      </c>
      <c r="AJY123">
        <v>2.0099999999999998</v>
      </c>
      <c r="AKD123">
        <v>3</v>
      </c>
      <c r="AKE123">
        <v>2.0099999999999998</v>
      </c>
      <c r="AKJ123">
        <v>0</v>
      </c>
      <c r="AKK123">
        <v>0</v>
      </c>
      <c r="AKV123" s="18"/>
      <c r="ALN123">
        <v>0</v>
      </c>
    </row>
    <row r="124" spans="1:1024" x14ac:dyDescent="0.2">
      <c r="A124" s="1" t="s">
        <v>560</v>
      </c>
      <c r="B124" s="12">
        <v>42901</v>
      </c>
      <c r="C124">
        <v>2</v>
      </c>
      <c r="D124" s="13">
        <v>42821</v>
      </c>
      <c r="E124" s="12">
        <v>31461</v>
      </c>
      <c r="F124" s="14">
        <f t="shared" si="42"/>
        <v>31.32101300479124</v>
      </c>
      <c r="G124" s="14">
        <f t="shared" si="43"/>
        <v>0.21902806297056809</v>
      </c>
      <c r="H124" s="15" t="s">
        <v>217</v>
      </c>
      <c r="I124" s="15" t="s">
        <v>545</v>
      </c>
      <c r="J124" s="15" t="s">
        <v>181</v>
      </c>
      <c r="K124" s="21">
        <v>8</v>
      </c>
      <c r="L124" s="19">
        <v>126</v>
      </c>
      <c r="M124">
        <v>1.78</v>
      </c>
      <c r="N124" s="16">
        <f t="shared" si="44"/>
        <v>39.767706097714935</v>
      </c>
      <c r="O124" s="19">
        <v>0</v>
      </c>
      <c r="P124" s="19">
        <v>0</v>
      </c>
      <c r="Q124" s="19">
        <v>0</v>
      </c>
      <c r="R124" s="19">
        <v>0</v>
      </c>
      <c r="S124" s="19">
        <v>0</v>
      </c>
      <c r="T124" s="19">
        <v>0</v>
      </c>
      <c r="U124" s="19">
        <v>0</v>
      </c>
      <c r="V124" s="19">
        <v>0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0</v>
      </c>
      <c r="AD124" s="19">
        <v>0</v>
      </c>
      <c r="AE124" s="19">
        <v>0</v>
      </c>
      <c r="AF124" s="19">
        <v>0</v>
      </c>
      <c r="AG124" s="19">
        <v>0</v>
      </c>
      <c r="AH124" s="19">
        <v>0</v>
      </c>
      <c r="AI124" s="19">
        <v>0</v>
      </c>
      <c r="AJ124" s="19">
        <v>0</v>
      </c>
      <c r="AK124" s="19">
        <v>0</v>
      </c>
      <c r="AL124" s="19">
        <v>0</v>
      </c>
      <c r="AM124" s="19">
        <v>0</v>
      </c>
      <c r="AN124" s="19">
        <v>0</v>
      </c>
      <c r="AO124" s="19">
        <v>0</v>
      </c>
      <c r="AP124" s="19">
        <v>0</v>
      </c>
      <c r="AQ124" s="19">
        <v>0</v>
      </c>
      <c r="AR124" s="19">
        <v>0</v>
      </c>
      <c r="AS124" s="19">
        <v>0</v>
      </c>
      <c r="AT124" s="19">
        <v>0</v>
      </c>
      <c r="AU124" s="19">
        <v>0</v>
      </c>
      <c r="AV124" s="19">
        <v>0</v>
      </c>
      <c r="AW124" s="19">
        <v>0</v>
      </c>
      <c r="AX124" s="19">
        <v>0</v>
      </c>
      <c r="AY124" s="19">
        <v>0</v>
      </c>
      <c r="AZ124" s="19">
        <v>0</v>
      </c>
      <c r="BA124" s="19">
        <v>0</v>
      </c>
      <c r="BB124" s="19">
        <v>0</v>
      </c>
      <c r="BC124" s="19">
        <v>0</v>
      </c>
      <c r="BD124" s="19">
        <v>0</v>
      </c>
      <c r="BE124" s="19">
        <v>0</v>
      </c>
      <c r="BF124" s="19">
        <v>0</v>
      </c>
      <c r="BG124" s="19">
        <v>0</v>
      </c>
      <c r="BH124" s="19">
        <v>0</v>
      </c>
      <c r="BI124" s="19">
        <v>0</v>
      </c>
      <c r="BJ124" s="19">
        <v>0</v>
      </c>
      <c r="BK124" s="19">
        <v>0</v>
      </c>
      <c r="BL124" s="19">
        <v>0</v>
      </c>
      <c r="BM124" s="19">
        <v>0</v>
      </c>
      <c r="BN124" s="19">
        <v>0</v>
      </c>
      <c r="BO124" s="19">
        <v>0</v>
      </c>
      <c r="BP124" s="19">
        <v>0</v>
      </c>
      <c r="BQ124" s="19">
        <v>0</v>
      </c>
      <c r="BR124" s="19">
        <v>1</v>
      </c>
      <c r="BS124" s="19">
        <v>1</v>
      </c>
      <c r="BT124" s="19">
        <v>2</v>
      </c>
      <c r="BU124" s="19">
        <v>5</v>
      </c>
      <c r="BV124" s="19">
        <v>2</v>
      </c>
      <c r="BW124" s="19">
        <v>5</v>
      </c>
      <c r="BX124" s="19"/>
      <c r="BY124" s="19">
        <v>4</v>
      </c>
      <c r="BZ124" s="19">
        <v>5</v>
      </c>
      <c r="CA124" s="19">
        <v>4</v>
      </c>
      <c r="CB124" s="19">
        <v>4</v>
      </c>
      <c r="CC124" s="19">
        <v>4</v>
      </c>
      <c r="CD124" s="19">
        <v>4</v>
      </c>
      <c r="CE124" s="19">
        <v>5</v>
      </c>
      <c r="CF124" s="19">
        <v>5</v>
      </c>
      <c r="CG124" s="19">
        <v>5</v>
      </c>
      <c r="CH124" s="19">
        <v>5</v>
      </c>
      <c r="CI124" s="19">
        <v>5</v>
      </c>
      <c r="CJ124" s="19">
        <v>4</v>
      </c>
      <c r="CK124" s="19">
        <v>9</v>
      </c>
      <c r="CL124" t="s">
        <v>555</v>
      </c>
      <c r="CM124">
        <v>35</v>
      </c>
      <c r="CN124" s="16">
        <v>78.8</v>
      </c>
      <c r="CO124" s="16">
        <v>80.400000000000006</v>
      </c>
      <c r="CP124" s="16">
        <v>17.2</v>
      </c>
      <c r="CQ124">
        <v>72.069999999999993</v>
      </c>
      <c r="CR124">
        <v>11.09</v>
      </c>
      <c r="CS124">
        <v>1.1200000000000001</v>
      </c>
      <c r="CT124">
        <v>0</v>
      </c>
      <c r="CU124">
        <v>15.71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1.66</v>
      </c>
      <c r="DD124">
        <v>34.99</v>
      </c>
      <c r="DE124">
        <v>0</v>
      </c>
      <c r="DF124">
        <v>0</v>
      </c>
      <c r="DG124">
        <v>0</v>
      </c>
      <c r="DH124">
        <v>0</v>
      </c>
      <c r="DU124">
        <v>11.2</v>
      </c>
      <c r="DV124">
        <v>1</v>
      </c>
      <c r="DW124">
        <v>52</v>
      </c>
      <c r="DX124">
        <f>18+1+15</f>
        <v>34</v>
      </c>
      <c r="DY124">
        <f>3.2+2.05+0.07</f>
        <v>5.32</v>
      </c>
      <c r="DZ124">
        <v>2</v>
      </c>
      <c r="EG124" s="18"/>
      <c r="EY124">
        <v>0</v>
      </c>
      <c r="GJ124" s="16">
        <v>0</v>
      </c>
      <c r="GK124" s="16">
        <v>0</v>
      </c>
      <c r="GL124" s="16"/>
      <c r="GM124" s="16"/>
      <c r="GN124" s="16"/>
      <c r="GO124" s="16"/>
      <c r="GP124" s="16"/>
      <c r="GQ124" s="16"/>
      <c r="GR124" s="16"/>
      <c r="GS124" s="16"/>
      <c r="GT124" s="16"/>
      <c r="GU124" s="16">
        <v>6.16</v>
      </c>
      <c r="GV124" s="16">
        <v>7.21</v>
      </c>
      <c r="GW124" s="16"/>
      <c r="GX124" s="16"/>
      <c r="GY124" s="16">
        <v>0</v>
      </c>
      <c r="GZ124" s="16">
        <v>0</v>
      </c>
      <c r="HA124" s="16">
        <v>0</v>
      </c>
      <c r="HB124">
        <v>0</v>
      </c>
      <c r="HC124" t="s">
        <v>546</v>
      </c>
      <c r="HD124">
        <v>16.5</v>
      </c>
      <c r="HE124" s="16">
        <v>35.299999999999997</v>
      </c>
      <c r="HF124" s="16">
        <v>80.400000000000006</v>
      </c>
      <c r="HG124" s="16">
        <v>9.6999999999999993</v>
      </c>
      <c r="HH124">
        <v>86.56</v>
      </c>
      <c r="HI124">
        <v>12.61</v>
      </c>
      <c r="HJ124">
        <v>0</v>
      </c>
      <c r="HK124">
        <v>0</v>
      </c>
      <c r="HL124">
        <v>0.83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2.2200000000000002</v>
      </c>
      <c r="HU124">
        <v>20.83</v>
      </c>
      <c r="HV124">
        <v>0</v>
      </c>
      <c r="HW124">
        <v>0</v>
      </c>
      <c r="HX124">
        <v>0</v>
      </c>
      <c r="HY124">
        <v>0</v>
      </c>
      <c r="IL124">
        <v>0.3</v>
      </c>
      <c r="IM124">
        <v>1</v>
      </c>
      <c r="IN124">
        <v>34</v>
      </c>
      <c r="IO124">
        <v>4</v>
      </c>
      <c r="IP124">
        <f>1.35+0.45+1.35+0.45</f>
        <v>3.6000000000000005</v>
      </c>
      <c r="IQ124">
        <v>1</v>
      </c>
      <c r="IR124">
        <v>52</v>
      </c>
      <c r="IS124">
        <v>1</v>
      </c>
      <c r="IT124">
        <f>0.18</f>
        <v>0.18</v>
      </c>
      <c r="IU124">
        <v>2</v>
      </c>
      <c r="IX124" s="18"/>
      <c r="JP124">
        <v>0</v>
      </c>
      <c r="LA124" s="16">
        <v>0.28000000000000003</v>
      </c>
      <c r="LB124" s="16">
        <v>1</v>
      </c>
      <c r="LC124" s="16">
        <v>2</v>
      </c>
      <c r="LD124" s="16"/>
      <c r="LE124" s="16">
        <f>0.37+0.26</f>
        <v>0.63</v>
      </c>
      <c r="LF124" s="16"/>
      <c r="LG124" s="16"/>
      <c r="LH124" s="16"/>
      <c r="LI124" s="16"/>
      <c r="LJ124" s="16"/>
      <c r="LK124" s="16"/>
      <c r="LL124" s="16">
        <v>5.99</v>
      </c>
      <c r="LM124" s="16">
        <v>5.34</v>
      </c>
      <c r="LN124" s="16"/>
      <c r="LO124" s="16"/>
      <c r="LP124" s="16">
        <v>0</v>
      </c>
      <c r="LQ124" s="16">
        <v>0</v>
      </c>
      <c r="LR124" s="16">
        <v>0</v>
      </c>
      <c r="LS124">
        <v>0</v>
      </c>
      <c r="LT124" t="s">
        <v>547</v>
      </c>
      <c r="LU124">
        <v>29.5</v>
      </c>
      <c r="LV124" s="16">
        <v>87.5</v>
      </c>
      <c r="LW124" s="16">
        <v>80.400000000000006</v>
      </c>
      <c r="LX124" s="16">
        <v>14.3</v>
      </c>
      <c r="LY124">
        <v>68.7</v>
      </c>
      <c r="LZ124">
        <v>23.24</v>
      </c>
      <c r="MA124">
        <v>1.79</v>
      </c>
      <c r="MB124">
        <v>0</v>
      </c>
      <c r="MC124">
        <v>6.27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7.01</v>
      </c>
      <c r="ML124">
        <v>58.72</v>
      </c>
      <c r="MM124">
        <v>0.23</v>
      </c>
      <c r="MN124">
        <v>0</v>
      </c>
      <c r="MO124">
        <v>0.5</v>
      </c>
      <c r="MP124">
        <v>2</v>
      </c>
      <c r="MQ124">
        <v>7</v>
      </c>
      <c r="MR124">
        <v>0.08</v>
      </c>
      <c r="MW124">
        <v>7</v>
      </c>
      <c r="MX124">
        <v>0.08</v>
      </c>
      <c r="NC124">
        <v>0</v>
      </c>
      <c r="ND124">
        <v>1</v>
      </c>
      <c r="NE124">
        <v>23</v>
      </c>
      <c r="NF124">
        <v>2</v>
      </c>
      <c r="NG124">
        <v>0.9</v>
      </c>
      <c r="NH124">
        <v>3</v>
      </c>
      <c r="NO124" s="18"/>
      <c r="OG124">
        <v>1</v>
      </c>
      <c r="OH124">
        <v>50</v>
      </c>
      <c r="OI124">
        <v>2</v>
      </c>
      <c r="OJ124">
        <f>3.13+23.63</f>
        <v>26.759999999999998</v>
      </c>
      <c r="OK124">
        <v>3</v>
      </c>
      <c r="PR124" s="16">
        <v>1.49</v>
      </c>
      <c r="PS124" s="16">
        <v>1</v>
      </c>
      <c r="PT124" s="16">
        <v>1</v>
      </c>
      <c r="PU124" s="16"/>
      <c r="PV124" s="16">
        <f>1.91+2.02+2.02+1.35</f>
        <v>7.2999999999999989</v>
      </c>
      <c r="PW124" s="16">
        <v>2</v>
      </c>
      <c r="PX124" s="16"/>
      <c r="PY124" s="16">
        <v>0.21</v>
      </c>
      <c r="PZ124" s="16"/>
      <c r="QA124" s="16"/>
      <c r="QB124" s="16"/>
      <c r="QC124" s="16">
        <v>10.82</v>
      </c>
      <c r="QD124" s="16">
        <v>14.57</v>
      </c>
      <c r="QE124" s="16"/>
      <c r="QF124" s="16"/>
      <c r="QG124" s="16">
        <v>2.2400000000000002</v>
      </c>
      <c r="QH124" s="16">
        <v>0.9</v>
      </c>
      <c r="QI124" s="16">
        <v>0</v>
      </c>
      <c r="QJ124">
        <v>0</v>
      </c>
      <c r="QK124" t="s">
        <v>548</v>
      </c>
      <c r="QL124">
        <v>50</v>
      </c>
      <c r="QM124" s="16">
        <v>80</v>
      </c>
      <c r="QN124" s="16">
        <v>80.400000000000006</v>
      </c>
      <c r="QO124" s="16">
        <v>16.899999999999999</v>
      </c>
      <c r="QP124">
        <v>58.18</v>
      </c>
      <c r="QQ124">
        <v>32.94</v>
      </c>
      <c r="QR124">
        <v>1.79</v>
      </c>
      <c r="QS124">
        <v>0</v>
      </c>
      <c r="QT124">
        <v>7.09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3.53</v>
      </c>
      <c r="RC124">
        <v>45.12</v>
      </c>
      <c r="RD124">
        <v>0</v>
      </c>
      <c r="RE124">
        <v>0</v>
      </c>
      <c r="RF124">
        <v>0</v>
      </c>
      <c r="RG124">
        <v>0</v>
      </c>
      <c r="RT124">
        <v>8.1999999999999993</v>
      </c>
      <c r="RU124">
        <v>1</v>
      </c>
      <c r="RV124">
        <v>23</v>
      </c>
      <c r="RW124">
        <v>1</v>
      </c>
      <c r="RX124">
        <v>0.45</v>
      </c>
      <c r="RY124">
        <v>3</v>
      </c>
      <c r="RZ124">
        <v>34</v>
      </c>
      <c r="SA124">
        <v>28</v>
      </c>
      <c r="SB124">
        <f>0.45+0.18+1.6+0.24+0.37+4.39+0.49+0.04+0.32+0.05+1.38</f>
        <v>9.5100000000000016</v>
      </c>
      <c r="SC124">
        <v>1</v>
      </c>
      <c r="SF124" s="18"/>
      <c r="SX124">
        <v>0</v>
      </c>
      <c r="UI124" s="16">
        <v>1.65</v>
      </c>
      <c r="UJ124" s="16">
        <v>1</v>
      </c>
      <c r="UK124" s="16">
        <v>1</v>
      </c>
      <c r="UL124" s="16"/>
      <c r="UM124" s="16">
        <f>0.18</f>
        <v>0.18</v>
      </c>
      <c r="UN124" s="16">
        <v>2</v>
      </c>
      <c r="UO124" s="16"/>
      <c r="UP124" s="16">
        <f>1.65+0.91+6.23+0.66</f>
        <v>9.4500000000000011</v>
      </c>
      <c r="UQ124" s="16"/>
      <c r="UR124" s="16"/>
      <c r="US124" s="16"/>
      <c r="UT124" s="16">
        <v>20.65</v>
      </c>
      <c r="UU124" s="16">
        <v>33.56</v>
      </c>
      <c r="UV124" s="16"/>
      <c r="UW124" s="16"/>
      <c r="UX124" s="16">
        <v>2.2400000000000002</v>
      </c>
      <c r="UY124" s="16">
        <v>0.45</v>
      </c>
      <c r="UZ124" s="16">
        <v>0</v>
      </c>
      <c r="VA124">
        <v>0.45</v>
      </c>
      <c r="VB124" t="s">
        <v>549</v>
      </c>
      <c r="VC124">
        <v>31.5</v>
      </c>
      <c r="VD124" s="16">
        <v>79.900000000000006</v>
      </c>
      <c r="VE124" s="16">
        <v>80.400000000000006</v>
      </c>
      <c r="VF124" s="16">
        <v>17.8</v>
      </c>
      <c r="VG124">
        <v>71.45</v>
      </c>
      <c r="VH124">
        <v>9.43</v>
      </c>
      <c r="VI124">
        <v>1.1200000000000001</v>
      </c>
      <c r="VJ124">
        <v>0</v>
      </c>
      <c r="VK124">
        <v>18.010000000000002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8.44</v>
      </c>
      <c r="VT124">
        <v>63.45</v>
      </c>
      <c r="VU124">
        <v>0</v>
      </c>
      <c r="VV124">
        <v>0</v>
      </c>
      <c r="VW124">
        <v>0</v>
      </c>
      <c r="VX124">
        <v>0</v>
      </c>
      <c r="WK124">
        <v>2</v>
      </c>
      <c r="WL124">
        <v>1</v>
      </c>
      <c r="WM124">
        <v>52</v>
      </c>
      <c r="WN124">
        <v>2</v>
      </c>
      <c r="WO124">
        <f>0.9+0.02</f>
        <v>0.92</v>
      </c>
      <c r="WP124">
        <v>2</v>
      </c>
      <c r="WW124" s="18"/>
      <c r="XO124">
        <v>1</v>
      </c>
      <c r="XP124">
        <v>50</v>
      </c>
      <c r="XQ124">
        <v>9</v>
      </c>
      <c r="XR124">
        <f>19.9+3.13</f>
        <v>23.029999999999998</v>
      </c>
      <c r="XS124">
        <v>3</v>
      </c>
      <c r="YZ124" s="16">
        <v>1.47</v>
      </c>
      <c r="ZA124" s="16">
        <v>1</v>
      </c>
      <c r="ZB124" s="16">
        <v>1</v>
      </c>
      <c r="ZC124" s="16"/>
      <c r="ZD124" s="16">
        <v>2.13</v>
      </c>
      <c r="ZE124" s="16">
        <v>2</v>
      </c>
      <c r="ZF124" s="16"/>
      <c r="ZG124" s="16">
        <v>3.37</v>
      </c>
      <c r="ZH124" s="16"/>
      <c r="ZI124" s="16"/>
      <c r="ZJ124" s="16"/>
      <c r="ZK124" s="16">
        <v>5.55</v>
      </c>
      <c r="ZL124" s="16">
        <v>6.42</v>
      </c>
      <c r="ZM124" s="16"/>
      <c r="ZN124" s="16"/>
      <c r="ZO124" s="16">
        <v>0</v>
      </c>
      <c r="ZP124" s="16">
        <v>0</v>
      </c>
      <c r="ZQ124" s="16">
        <v>4.4800000000000004</v>
      </c>
      <c r="ZR124">
        <v>0</v>
      </c>
      <c r="ZS124" t="s">
        <v>550</v>
      </c>
      <c r="ZT124">
        <v>17</v>
      </c>
      <c r="ZU124" s="16">
        <v>87.8</v>
      </c>
      <c r="ZV124" s="16">
        <v>80.400000000000006</v>
      </c>
      <c r="ZW124" s="16">
        <v>11.6</v>
      </c>
      <c r="ZX124">
        <v>86.21</v>
      </c>
      <c r="ZY124">
        <v>1.64</v>
      </c>
      <c r="ZZ124">
        <v>0.45</v>
      </c>
      <c r="AAA124">
        <v>0</v>
      </c>
      <c r="AAB124">
        <v>11.7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14.73</v>
      </c>
      <c r="AAK124">
        <v>7.98</v>
      </c>
      <c r="AAL124">
        <v>0</v>
      </c>
      <c r="AAM124">
        <v>0</v>
      </c>
      <c r="AAN124">
        <v>0</v>
      </c>
      <c r="AAO124">
        <v>0</v>
      </c>
      <c r="ABB124">
        <v>0</v>
      </c>
      <c r="ABC124">
        <v>0</v>
      </c>
      <c r="ABN124" s="18"/>
      <c r="ACF124">
        <v>0</v>
      </c>
      <c r="ADQ124" s="16">
        <v>0</v>
      </c>
      <c r="ADR124" s="16">
        <v>0</v>
      </c>
      <c r="ADS124" s="16"/>
      <c r="ADT124" s="16"/>
      <c r="ADU124" s="16"/>
      <c r="ADV124" s="16"/>
      <c r="ADW124" s="16"/>
      <c r="ADX124" s="16"/>
      <c r="ADY124" s="16"/>
      <c r="ADZ124" s="16"/>
      <c r="AEA124" s="16"/>
      <c r="AEB124" s="16">
        <v>5.22</v>
      </c>
      <c r="AEC124" s="16">
        <v>5.37</v>
      </c>
      <c r="AED124" s="16"/>
      <c r="AEE124" s="16"/>
      <c r="AEF124" s="16">
        <v>0</v>
      </c>
      <c r="AEG124" s="16">
        <v>0</v>
      </c>
      <c r="AEH124" s="16">
        <v>0.19</v>
      </c>
      <c r="AEI124">
        <v>0</v>
      </c>
      <c r="AEJ124" t="s">
        <v>551</v>
      </c>
      <c r="AEK124">
        <v>17.5</v>
      </c>
      <c r="AEL124" s="16">
        <v>87.6</v>
      </c>
      <c r="AEM124" s="16">
        <v>80.400000000000006</v>
      </c>
      <c r="AEN124" s="16">
        <v>12</v>
      </c>
      <c r="AEO124">
        <v>84.96</v>
      </c>
      <c r="AEP124">
        <v>1.61</v>
      </c>
      <c r="AEQ124">
        <v>0.45</v>
      </c>
      <c r="AER124">
        <v>0</v>
      </c>
      <c r="AES124">
        <v>12.98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15.99</v>
      </c>
      <c r="AFB124">
        <v>7.84</v>
      </c>
      <c r="AFC124">
        <v>0</v>
      </c>
      <c r="AFD124">
        <v>0</v>
      </c>
      <c r="AFE124">
        <v>0</v>
      </c>
      <c r="AFF124">
        <v>0</v>
      </c>
      <c r="AFS124">
        <v>0</v>
      </c>
      <c r="AFT124">
        <v>0</v>
      </c>
      <c r="AGE124" s="18"/>
      <c r="AGW124">
        <v>0</v>
      </c>
      <c r="AIH124" s="16">
        <v>0</v>
      </c>
      <c r="AII124" s="16">
        <v>0</v>
      </c>
      <c r="AIJ124" s="16"/>
      <c r="AIK124" s="16"/>
      <c r="AIL124" s="16"/>
      <c r="AIM124" s="16"/>
      <c r="AIN124" s="16"/>
      <c r="AIO124" s="16"/>
      <c r="AIP124" s="16"/>
      <c r="AIQ124" s="16"/>
      <c r="AIR124" s="16"/>
      <c r="AIS124" s="16">
        <v>5.22</v>
      </c>
      <c r="AIT124" s="16">
        <v>5.37</v>
      </c>
      <c r="AIU124" s="16"/>
      <c r="AIV124" s="16"/>
      <c r="AIW124" s="16">
        <v>0</v>
      </c>
      <c r="AIX124" s="16">
        <v>0</v>
      </c>
      <c r="AIY124" s="16">
        <v>0.19</v>
      </c>
      <c r="AIZ124">
        <v>0</v>
      </c>
      <c r="AJA124" t="s">
        <v>552</v>
      </c>
      <c r="AJB124">
        <v>16.5</v>
      </c>
      <c r="AJC124" s="16">
        <v>73.2</v>
      </c>
      <c r="AJD124" s="16">
        <v>80.400000000000006</v>
      </c>
      <c r="AJE124" s="16">
        <v>10.199999999999999</v>
      </c>
      <c r="AJF124">
        <v>69.430000000000007</v>
      </c>
      <c r="AJG124">
        <v>29.45</v>
      </c>
      <c r="AJH124">
        <v>1.1200000000000001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29.3</v>
      </c>
      <c r="AJS124">
        <v>10.81</v>
      </c>
      <c r="AJT124">
        <v>0</v>
      </c>
      <c r="AJU124">
        <v>0</v>
      </c>
      <c r="AJV124">
        <v>5.9</v>
      </c>
      <c r="AJW124">
        <v>2</v>
      </c>
      <c r="AJX124">
        <v>3</v>
      </c>
      <c r="AJY124">
        <v>2.0099999999999998</v>
      </c>
      <c r="AKD124">
        <v>3</v>
      </c>
      <c r="AKE124">
        <v>2.0099999999999998</v>
      </c>
      <c r="AKJ124">
        <v>0</v>
      </c>
      <c r="AKK124">
        <v>0</v>
      </c>
      <c r="AKV124" s="18"/>
      <c r="ALN124">
        <v>0</v>
      </c>
    </row>
    <row r="125" spans="1:1024" x14ac:dyDescent="0.2">
      <c r="A125" s="1" t="s">
        <v>561</v>
      </c>
      <c r="B125" s="12">
        <v>42894</v>
      </c>
      <c r="C125">
        <v>2</v>
      </c>
      <c r="D125" s="13">
        <v>34700</v>
      </c>
      <c r="E125" s="12">
        <v>27419</v>
      </c>
      <c r="F125" s="14">
        <f t="shared" si="42"/>
        <v>42.36824093086927</v>
      </c>
      <c r="G125" s="14">
        <f t="shared" si="43"/>
        <v>22.433949349760439</v>
      </c>
      <c r="H125" s="15" t="s">
        <v>183</v>
      </c>
      <c r="I125" s="15" t="s">
        <v>383</v>
      </c>
      <c r="J125" s="15" t="s">
        <v>183</v>
      </c>
      <c r="K125" s="21">
        <v>8</v>
      </c>
      <c r="L125" s="19">
        <v>64</v>
      </c>
      <c r="M125">
        <v>1.73</v>
      </c>
      <c r="N125" s="16">
        <f t="shared" si="44"/>
        <v>21.383941996057334</v>
      </c>
      <c r="O125" s="19">
        <v>0</v>
      </c>
      <c r="P125" s="19">
        <v>0</v>
      </c>
      <c r="Q125" s="19">
        <v>0</v>
      </c>
      <c r="R125" s="19">
        <v>0</v>
      </c>
      <c r="S125" s="19">
        <v>0</v>
      </c>
      <c r="T125" s="19">
        <v>0</v>
      </c>
      <c r="U125" s="19">
        <v>0</v>
      </c>
      <c r="V125" s="19">
        <v>0</v>
      </c>
      <c r="W125" s="19">
        <v>1</v>
      </c>
      <c r="X125" s="19">
        <v>1</v>
      </c>
      <c r="Y125" s="19">
        <v>0</v>
      </c>
      <c r="Z125" s="19">
        <v>0</v>
      </c>
      <c r="AA125" s="19">
        <v>0</v>
      </c>
      <c r="AB125" s="19">
        <v>0</v>
      </c>
      <c r="AC125" s="19">
        <v>0</v>
      </c>
      <c r="AD125" s="19">
        <v>0</v>
      </c>
      <c r="AE125" s="19">
        <v>0</v>
      </c>
      <c r="AF125" s="19">
        <v>0</v>
      </c>
      <c r="AG125" s="19">
        <v>0</v>
      </c>
      <c r="AH125" s="19">
        <v>0</v>
      </c>
      <c r="AI125" s="19">
        <v>0</v>
      </c>
      <c r="AJ125" s="19">
        <v>0</v>
      </c>
      <c r="AK125" s="19">
        <v>0</v>
      </c>
      <c r="AL125" s="19">
        <v>0</v>
      </c>
      <c r="AM125" s="19">
        <v>0</v>
      </c>
      <c r="AN125" s="19">
        <v>2</v>
      </c>
      <c r="AO125" s="19">
        <v>2</v>
      </c>
      <c r="AP125" s="19">
        <v>2</v>
      </c>
      <c r="AQ125" s="19">
        <v>0</v>
      </c>
      <c r="AR125" s="19">
        <v>8</v>
      </c>
      <c r="AS125" s="19">
        <v>1</v>
      </c>
      <c r="AT125" s="19">
        <v>1</v>
      </c>
      <c r="AU125" s="19">
        <v>1</v>
      </c>
      <c r="AV125" s="19">
        <v>10</v>
      </c>
      <c r="AW125" s="19">
        <v>0</v>
      </c>
      <c r="AX125" s="19">
        <v>0</v>
      </c>
      <c r="AY125" s="19">
        <v>0</v>
      </c>
      <c r="AZ125" s="19">
        <v>0</v>
      </c>
      <c r="BA125" s="19">
        <v>0</v>
      </c>
      <c r="BB125" s="19">
        <v>1</v>
      </c>
      <c r="BC125" s="19">
        <v>1</v>
      </c>
      <c r="BD125" s="19">
        <v>1</v>
      </c>
      <c r="BE125" s="19">
        <v>5</v>
      </c>
      <c r="BF125" s="19">
        <v>0</v>
      </c>
      <c r="BG125" s="19">
        <v>0</v>
      </c>
      <c r="BH125" s="19">
        <v>0</v>
      </c>
      <c r="BI125" s="19">
        <v>0</v>
      </c>
      <c r="BJ125" s="19">
        <v>1</v>
      </c>
      <c r="BK125" s="19">
        <v>1</v>
      </c>
      <c r="BL125" s="19">
        <v>1</v>
      </c>
      <c r="BM125" s="19">
        <v>5</v>
      </c>
      <c r="BN125" s="19">
        <v>1</v>
      </c>
      <c r="BO125" s="19">
        <v>1</v>
      </c>
      <c r="BP125" s="19">
        <v>1</v>
      </c>
      <c r="BQ125" s="19">
        <v>5</v>
      </c>
      <c r="BR125" s="19">
        <v>4</v>
      </c>
      <c r="BS125" s="19">
        <v>3</v>
      </c>
      <c r="BT125" s="19">
        <v>3</v>
      </c>
      <c r="BU125" s="19">
        <v>3</v>
      </c>
      <c r="BV125" s="19">
        <v>2</v>
      </c>
      <c r="BW125" s="19">
        <v>2</v>
      </c>
      <c r="BX125" s="19">
        <v>1</v>
      </c>
      <c r="BY125" s="19">
        <v>1</v>
      </c>
      <c r="BZ125" s="19">
        <v>1</v>
      </c>
      <c r="CA125" s="19">
        <v>1</v>
      </c>
      <c r="CB125" s="19">
        <v>1</v>
      </c>
      <c r="CC125" s="19">
        <v>4</v>
      </c>
      <c r="CD125" s="19">
        <v>1</v>
      </c>
      <c r="CE125" s="19">
        <v>1</v>
      </c>
      <c r="CF125" s="19">
        <v>3</v>
      </c>
      <c r="CG125" s="19">
        <v>4</v>
      </c>
      <c r="CH125" s="19">
        <v>1</v>
      </c>
      <c r="CI125" s="19">
        <v>2</v>
      </c>
      <c r="CJ125" s="19">
        <v>1</v>
      </c>
      <c r="CK125" s="19">
        <v>2</v>
      </c>
      <c r="CL125" s="30" t="s">
        <v>384</v>
      </c>
      <c r="CM125" s="15">
        <v>28.5</v>
      </c>
      <c r="CN125" s="17">
        <v>69.3</v>
      </c>
      <c r="CO125" s="17">
        <v>114</v>
      </c>
      <c r="CP125" s="17">
        <v>19.5</v>
      </c>
      <c r="CQ125" s="17">
        <v>79.150000000000006</v>
      </c>
      <c r="CR125" s="17">
        <v>0</v>
      </c>
      <c r="CS125" s="17">
        <v>3.87</v>
      </c>
      <c r="CT125" s="17">
        <v>2.86</v>
      </c>
      <c r="CU125" s="17">
        <v>14.12</v>
      </c>
      <c r="CV125" s="17">
        <v>0</v>
      </c>
      <c r="CW125" s="17">
        <v>0</v>
      </c>
      <c r="CX125" s="17">
        <v>0</v>
      </c>
      <c r="CY125" s="17">
        <v>0</v>
      </c>
      <c r="CZ125" s="17">
        <v>0</v>
      </c>
      <c r="DA125" s="17">
        <v>0</v>
      </c>
      <c r="DB125" s="17">
        <v>0.82</v>
      </c>
      <c r="DC125" s="17">
        <v>11.71</v>
      </c>
      <c r="DD125" s="17">
        <v>15.43</v>
      </c>
      <c r="DE125" s="17">
        <v>4.91</v>
      </c>
      <c r="DF125" s="17">
        <v>0</v>
      </c>
      <c r="DG125" s="17">
        <v>0</v>
      </c>
      <c r="DH125" s="17">
        <v>0</v>
      </c>
      <c r="DI125" s="17">
        <v>0</v>
      </c>
      <c r="DJ125" s="17">
        <v>0</v>
      </c>
      <c r="DK125" s="17">
        <v>0</v>
      </c>
      <c r="DL125" s="17">
        <v>0</v>
      </c>
      <c r="DM125" s="17">
        <v>0</v>
      </c>
      <c r="DN125" s="17">
        <v>0</v>
      </c>
      <c r="DO125" s="17">
        <v>0</v>
      </c>
      <c r="DP125" s="17">
        <v>0</v>
      </c>
      <c r="DQ125" s="17">
        <v>0</v>
      </c>
      <c r="DR125" s="17">
        <v>0</v>
      </c>
      <c r="DS125" s="17">
        <v>0</v>
      </c>
      <c r="DT125" s="17">
        <v>0</v>
      </c>
      <c r="DU125" s="17">
        <v>0</v>
      </c>
      <c r="DV125" s="17">
        <v>0</v>
      </c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31"/>
      <c r="EH125" s="17"/>
      <c r="EI125" s="15"/>
      <c r="EJ125" s="15"/>
      <c r="EK125" s="31"/>
      <c r="EL125" s="15"/>
      <c r="EM125" s="15"/>
      <c r="EN125" s="15"/>
      <c r="EO125" s="31"/>
      <c r="EP125" s="15"/>
      <c r="EQ125" s="15"/>
      <c r="ER125" s="15"/>
      <c r="ES125" s="31"/>
      <c r="ET125" s="15"/>
      <c r="EU125" s="15"/>
      <c r="EV125" s="15"/>
      <c r="EW125" s="31"/>
      <c r="EX125" s="15"/>
      <c r="EY125" s="15">
        <v>0</v>
      </c>
      <c r="EZ125" s="15"/>
      <c r="FA125" s="15"/>
      <c r="FB125" s="15"/>
      <c r="FC125" s="15"/>
      <c r="FD125" s="15"/>
      <c r="FE125" s="15"/>
      <c r="FF125" s="15"/>
      <c r="FG125" s="15"/>
      <c r="FH125" s="15"/>
      <c r="FI125" s="15"/>
      <c r="FJ125" s="15"/>
      <c r="FK125" s="15"/>
      <c r="FL125" s="15"/>
      <c r="FM125" s="15"/>
      <c r="FN125" s="15"/>
      <c r="FO125" s="15"/>
      <c r="FP125" s="15"/>
      <c r="FQ125" s="15"/>
      <c r="FR125" s="15"/>
      <c r="FS125" s="15"/>
      <c r="FT125" s="15"/>
      <c r="FU125" s="15"/>
      <c r="FV125" s="15"/>
      <c r="FW125" s="15"/>
      <c r="FX125" s="15"/>
      <c r="FY125" s="15"/>
      <c r="FZ125" s="15"/>
      <c r="GA125" s="15"/>
      <c r="GB125" s="15"/>
      <c r="GC125" s="15"/>
      <c r="GD125" s="15"/>
      <c r="GE125" s="15"/>
      <c r="GF125" s="15"/>
      <c r="GG125" s="15"/>
      <c r="GH125" s="15"/>
      <c r="GI125" s="15"/>
      <c r="GJ125" s="15">
        <v>0</v>
      </c>
      <c r="GK125" s="15">
        <v>0</v>
      </c>
      <c r="GL125" s="15"/>
      <c r="GM125" s="15"/>
      <c r="GN125" s="15"/>
      <c r="GO125" s="15"/>
      <c r="GP125" s="15"/>
      <c r="GQ125" s="15"/>
      <c r="GR125" s="15"/>
      <c r="GS125" s="15"/>
      <c r="GT125" s="15"/>
      <c r="GU125" s="15">
        <v>8.6999999999999993</v>
      </c>
      <c r="GV125" s="15">
        <f t="shared" ref="GV125:GV130" si="47">3.27*4+1.23+0.08+0.52*2</f>
        <v>15.43</v>
      </c>
      <c r="GW125" s="15">
        <v>0</v>
      </c>
      <c r="GX125" s="15">
        <v>0</v>
      </c>
      <c r="GY125" s="15">
        <v>0</v>
      </c>
      <c r="GZ125" s="15">
        <v>0</v>
      </c>
      <c r="HA125" s="15">
        <v>0</v>
      </c>
      <c r="HB125" s="15">
        <v>0</v>
      </c>
      <c r="HI125" s="15"/>
      <c r="HJ125" s="15"/>
      <c r="HQ125" s="15"/>
      <c r="HR125" s="15"/>
      <c r="HY125" s="15"/>
      <c r="HZ125" s="15"/>
      <c r="IG125" s="15"/>
      <c r="IH125" s="15"/>
      <c r="IO125" s="15"/>
      <c r="IP125" s="15"/>
      <c r="IW125" s="15"/>
      <c r="IX125" s="15"/>
      <c r="JE125" s="15"/>
      <c r="JF125" s="15"/>
      <c r="JM125" s="15"/>
      <c r="JN125" s="15"/>
      <c r="JU125" s="15"/>
      <c r="JV125" s="15"/>
      <c r="KC125" s="15"/>
      <c r="KD125" s="15"/>
      <c r="KK125" s="15"/>
      <c r="KL125" s="15"/>
      <c r="KS125" s="15"/>
      <c r="KT125" s="15"/>
      <c r="LA125" s="15"/>
      <c r="LB125" s="15"/>
      <c r="LI125" s="15"/>
      <c r="LJ125" s="15"/>
      <c r="LQ125" s="15"/>
      <c r="LR125" s="15"/>
      <c r="LY125" s="15"/>
      <c r="LZ125" s="15"/>
      <c r="MG125" s="15"/>
      <c r="MH125" s="15"/>
      <c r="MO125" s="15"/>
      <c r="MP125" s="15"/>
      <c r="MW125" s="15"/>
      <c r="MX125" s="15"/>
      <c r="NE125" s="15"/>
      <c r="NF125" s="15"/>
      <c r="NM125" s="15"/>
      <c r="NN125" s="15"/>
      <c r="NU125" s="15"/>
      <c r="NV125" s="15"/>
      <c r="OC125" s="15"/>
      <c r="OD125" s="15"/>
      <c r="OK125" s="15"/>
      <c r="OL125" s="15"/>
      <c r="OS125" s="15"/>
      <c r="OT125" s="15"/>
      <c r="PA125" s="15"/>
      <c r="PB125" s="15"/>
      <c r="PI125" s="15"/>
      <c r="PJ125" s="15"/>
      <c r="PQ125" s="15"/>
      <c r="PR125" s="15"/>
      <c r="PY125" s="15"/>
      <c r="PZ125" s="15"/>
      <c r="QG125" s="15"/>
      <c r="QH125" s="15"/>
      <c r="QO125" s="15"/>
      <c r="QP125" s="15"/>
      <c r="QW125" s="15"/>
      <c r="QX125" s="15"/>
      <c r="RE125" s="15"/>
      <c r="RF125" s="15"/>
      <c r="RM125" s="15"/>
      <c r="RN125" s="15"/>
      <c r="RU125" s="15"/>
      <c r="RV125" s="15"/>
      <c r="SC125" s="15"/>
      <c r="SD125" s="15"/>
      <c r="SK125" s="15"/>
      <c r="SL125" s="15"/>
      <c r="SS125" s="15"/>
      <c r="ST125" s="15"/>
      <c r="TA125" s="15"/>
      <c r="TB125" s="15"/>
      <c r="TI125" s="15"/>
      <c r="TJ125" s="15"/>
      <c r="TQ125" s="15"/>
      <c r="TR125" s="15"/>
      <c r="TY125" s="15"/>
      <c r="TZ125" s="15"/>
      <c r="UG125" s="15"/>
      <c r="UH125" s="15"/>
      <c r="UO125" s="15"/>
      <c r="UP125" s="15"/>
      <c r="UW125" s="15"/>
      <c r="UX125" s="15"/>
      <c r="VE125" s="15"/>
      <c r="VF125" s="15"/>
      <c r="VM125" s="15"/>
      <c r="VN125" s="15"/>
      <c r="VU125" s="15"/>
      <c r="VV125" s="15"/>
      <c r="WC125" s="15"/>
      <c r="WD125" s="15"/>
      <c r="WK125" s="15"/>
      <c r="WL125" s="15"/>
      <c r="WS125" s="15"/>
      <c r="WT125" s="15"/>
      <c r="XA125" s="15"/>
      <c r="XB125" s="15"/>
      <c r="XI125" s="15"/>
      <c r="XJ125" s="15"/>
      <c r="XQ125" s="15"/>
      <c r="XR125" s="15"/>
      <c r="XY125" s="15"/>
      <c r="XZ125" s="15"/>
      <c r="YG125" s="15"/>
      <c r="YH125" s="15"/>
      <c r="YO125" s="15"/>
      <c r="YP125" s="15"/>
      <c r="YW125" s="15"/>
      <c r="YX125" s="15"/>
      <c r="ZE125" s="15"/>
      <c r="ZF125" s="15"/>
      <c r="ZM125" s="15"/>
      <c r="ZN125" s="15"/>
      <c r="ZU125" s="15"/>
      <c r="ZV125" s="15"/>
      <c r="AAC125" s="15"/>
      <c r="AAD125" s="15"/>
      <c r="AAK125" s="15"/>
      <c r="AAL125" s="15"/>
      <c r="AAS125" s="15"/>
      <c r="AAT125" s="15"/>
      <c r="ABA125" s="15"/>
      <c r="ABB125" s="15"/>
      <c r="ABI125" s="15"/>
      <c r="ABJ125" s="15"/>
      <c r="ABQ125" s="15"/>
      <c r="ABR125" s="15"/>
      <c r="ABY125" s="15"/>
      <c r="ABZ125" s="15"/>
      <c r="ACG125" s="15"/>
      <c r="ACH125" s="15"/>
      <c r="ACO125" s="15"/>
      <c r="ACP125" s="15"/>
      <c r="ACW125" s="15"/>
      <c r="ACX125" s="15"/>
      <c r="ADE125" s="15"/>
      <c r="ADF125" s="15"/>
      <c r="ADM125" s="15"/>
      <c r="ADN125" s="15"/>
      <c r="ADU125" s="15"/>
      <c r="ADV125" s="15"/>
      <c r="AEC125" s="15"/>
      <c r="AED125" s="15"/>
      <c r="AEK125" s="15"/>
      <c r="AEL125" s="15"/>
      <c r="AES125" s="15"/>
      <c r="AET125" s="15"/>
      <c r="AFA125" s="15"/>
      <c r="AFB125" s="15"/>
      <c r="AFI125" s="15"/>
      <c r="AFJ125" s="15"/>
      <c r="AFQ125" s="15"/>
      <c r="AFR125" s="15"/>
      <c r="AFY125" s="15"/>
      <c r="AFZ125" s="15"/>
      <c r="AGG125" s="15"/>
      <c r="AGH125" s="15"/>
      <c r="AGO125" s="15"/>
      <c r="AGP125" s="15"/>
      <c r="AGW125" s="15"/>
      <c r="AGX125" s="15"/>
      <c r="AHE125" s="15"/>
      <c r="AHF125" s="15"/>
      <c r="AHM125" s="15"/>
      <c r="AHN125" s="15"/>
      <c r="AHU125" s="15"/>
      <c r="AHV125" s="15"/>
      <c r="AIC125" s="15"/>
      <c r="AID125" s="15"/>
      <c r="AIK125" s="15"/>
      <c r="AIL125" s="15"/>
      <c r="AIS125" s="15"/>
      <c r="AIT125" s="15"/>
      <c r="AJA125" s="15"/>
      <c r="AJB125" s="15"/>
      <c r="AJI125" s="15"/>
      <c r="AJJ125" s="15"/>
      <c r="AJQ125" s="15"/>
      <c r="AJR125" s="15"/>
      <c r="AJY125" s="15"/>
      <c r="AJZ125" s="15"/>
      <c r="AKG125" s="15"/>
      <c r="AKH125" s="15"/>
      <c r="AKO125" s="15"/>
      <c r="AKP125" s="15"/>
      <c r="AKW125" s="15"/>
      <c r="AKX125" s="15"/>
      <c r="ALE125" s="15"/>
      <c r="ALF125" s="15"/>
      <c r="ALM125" s="15"/>
      <c r="ALN125" s="15"/>
      <c r="ALU125" s="15"/>
      <c r="ALV125" s="15"/>
      <c r="AMC125" s="15"/>
      <c r="AMD125" s="15"/>
    </row>
    <row r="126" spans="1:1024" s="15" customFormat="1" x14ac:dyDescent="0.2">
      <c r="A126" s="1" t="s">
        <v>562</v>
      </c>
      <c r="B126" s="12">
        <v>42893</v>
      </c>
      <c r="C126">
        <v>2</v>
      </c>
      <c r="D126" s="13">
        <v>34995</v>
      </c>
      <c r="E126" s="12">
        <v>26402</v>
      </c>
      <c r="F126" s="14">
        <f t="shared" si="42"/>
        <v>45.149897330595479</v>
      </c>
      <c r="G126" s="14">
        <f t="shared" si="43"/>
        <v>21.623545516769337</v>
      </c>
      <c r="H126" s="15" t="s">
        <v>183</v>
      </c>
      <c r="I126" s="15" t="s">
        <v>383</v>
      </c>
      <c r="J126" s="15" t="s">
        <v>183</v>
      </c>
      <c r="K126" s="21">
        <v>4</v>
      </c>
      <c r="L126" s="19">
        <v>100</v>
      </c>
      <c r="M126">
        <v>1.81</v>
      </c>
      <c r="N126" s="16">
        <f t="shared" si="44"/>
        <v>30.524098775983639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1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1</v>
      </c>
      <c r="AD126" s="19">
        <v>17</v>
      </c>
      <c r="AE126" s="19">
        <v>0</v>
      </c>
      <c r="AF126" s="19">
        <v>0</v>
      </c>
      <c r="AG126" s="19">
        <v>0</v>
      </c>
      <c r="AH126" s="19">
        <v>0</v>
      </c>
      <c r="AI126" s="19">
        <v>0</v>
      </c>
      <c r="AJ126" s="19">
        <v>0</v>
      </c>
      <c r="AK126" s="19">
        <v>0</v>
      </c>
      <c r="AL126" s="19">
        <v>0</v>
      </c>
      <c r="AM126" s="19">
        <v>0</v>
      </c>
      <c r="AN126" s="19">
        <v>0</v>
      </c>
      <c r="AO126" s="19">
        <v>0</v>
      </c>
      <c r="AP126" s="19">
        <v>0</v>
      </c>
      <c r="AQ126" s="19">
        <v>0</v>
      </c>
      <c r="AR126" s="19">
        <v>0</v>
      </c>
      <c r="AS126" s="19">
        <v>0</v>
      </c>
      <c r="AT126" s="19">
        <v>0</v>
      </c>
      <c r="AU126" s="19">
        <v>0</v>
      </c>
      <c r="AV126" s="19">
        <v>0</v>
      </c>
      <c r="AW126" s="19">
        <v>0</v>
      </c>
      <c r="AX126" s="19">
        <v>0</v>
      </c>
      <c r="AY126" s="19">
        <v>0</v>
      </c>
      <c r="AZ126" s="19">
        <v>0</v>
      </c>
      <c r="BA126" s="19">
        <v>0</v>
      </c>
      <c r="BB126" s="19">
        <v>1</v>
      </c>
      <c r="BC126" s="19">
        <v>1</v>
      </c>
      <c r="BD126" s="19">
        <v>1</v>
      </c>
      <c r="BE126" s="19">
        <v>3</v>
      </c>
      <c r="BF126" s="19">
        <v>0</v>
      </c>
      <c r="BG126" s="19">
        <v>0</v>
      </c>
      <c r="BH126" s="19">
        <v>0</v>
      </c>
      <c r="BI126" s="19">
        <v>0</v>
      </c>
      <c r="BJ126" s="19">
        <v>0</v>
      </c>
      <c r="BK126" s="19">
        <v>0</v>
      </c>
      <c r="BL126" s="19">
        <v>0</v>
      </c>
      <c r="BM126" s="19">
        <v>0</v>
      </c>
      <c r="BN126" s="19">
        <v>0</v>
      </c>
      <c r="BO126" s="19">
        <v>0</v>
      </c>
      <c r="BP126" s="19">
        <v>0</v>
      </c>
      <c r="BQ126" s="19">
        <v>0</v>
      </c>
      <c r="BR126" s="19">
        <v>4</v>
      </c>
      <c r="BS126" s="19">
        <v>4</v>
      </c>
      <c r="BT126" s="19">
        <v>4</v>
      </c>
      <c r="BU126" s="19">
        <v>3</v>
      </c>
      <c r="BV126" s="19">
        <v>2</v>
      </c>
      <c r="BW126" s="19">
        <v>2</v>
      </c>
      <c r="BX126" s="19">
        <v>2</v>
      </c>
      <c r="BY126" s="19">
        <v>2</v>
      </c>
      <c r="BZ126" s="19">
        <v>1</v>
      </c>
      <c r="CA126" s="19">
        <v>1</v>
      </c>
      <c r="CB126" s="19">
        <v>4</v>
      </c>
      <c r="CC126" s="19">
        <v>5</v>
      </c>
      <c r="CD126" s="19">
        <v>1</v>
      </c>
      <c r="CE126" s="19">
        <v>2</v>
      </c>
      <c r="CF126" s="19">
        <v>4</v>
      </c>
      <c r="CG126" s="19">
        <v>4</v>
      </c>
      <c r="CH126" s="19">
        <v>1</v>
      </c>
      <c r="CI126" s="19">
        <v>3</v>
      </c>
      <c r="CJ126" s="19">
        <v>4</v>
      </c>
      <c r="CK126" s="19">
        <v>9</v>
      </c>
      <c r="CL126" s="30" t="s">
        <v>384</v>
      </c>
      <c r="CM126" s="15">
        <v>28.5</v>
      </c>
      <c r="CN126" s="17">
        <v>69.3</v>
      </c>
      <c r="CO126" s="17">
        <v>114</v>
      </c>
      <c r="CP126" s="17">
        <v>19.5</v>
      </c>
      <c r="CQ126" s="17">
        <v>79.150000000000006</v>
      </c>
      <c r="CR126" s="17">
        <v>0</v>
      </c>
      <c r="CS126" s="17">
        <v>3.87</v>
      </c>
      <c r="CT126" s="17">
        <v>2.86</v>
      </c>
      <c r="CU126" s="17">
        <v>14.12</v>
      </c>
      <c r="CV126" s="17">
        <v>0</v>
      </c>
      <c r="CW126" s="17">
        <v>0</v>
      </c>
      <c r="CX126" s="17">
        <v>0</v>
      </c>
      <c r="CY126" s="17">
        <v>0</v>
      </c>
      <c r="CZ126" s="17">
        <v>0</v>
      </c>
      <c r="DA126" s="17">
        <v>0</v>
      </c>
      <c r="DB126" s="17">
        <v>0.82</v>
      </c>
      <c r="DC126" s="17">
        <v>11.71</v>
      </c>
      <c r="DD126" s="17">
        <v>15.43</v>
      </c>
      <c r="DE126" s="17">
        <v>4.91</v>
      </c>
      <c r="DF126" s="17">
        <v>0</v>
      </c>
      <c r="DG126" s="17">
        <v>0</v>
      </c>
      <c r="DH126" s="17">
        <v>0</v>
      </c>
      <c r="DI126" s="17">
        <v>0</v>
      </c>
      <c r="DJ126" s="17">
        <v>0</v>
      </c>
      <c r="DK126" s="17">
        <v>0</v>
      </c>
      <c r="DL126" s="17">
        <v>0</v>
      </c>
      <c r="DM126" s="17">
        <v>0</v>
      </c>
      <c r="DN126" s="17">
        <v>0</v>
      </c>
      <c r="DO126" s="17">
        <v>0</v>
      </c>
      <c r="DP126" s="17">
        <v>0</v>
      </c>
      <c r="DQ126" s="17">
        <v>0</v>
      </c>
      <c r="DR126" s="17">
        <v>0</v>
      </c>
      <c r="DS126" s="17">
        <v>0</v>
      </c>
      <c r="DT126" s="17">
        <v>0</v>
      </c>
      <c r="DU126" s="17">
        <v>0</v>
      </c>
      <c r="DV126" s="17">
        <v>0</v>
      </c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31"/>
      <c r="EH126" s="17"/>
      <c r="EK126" s="31"/>
      <c r="EO126" s="31"/>
      <c r="ES126" s="31"/>
      <c r="EW126" s="31"/>
      <c r="EY126" s="15">
        <v>0</v>
      </c>
      <c r="GJ126" s="15">
        <v>0</v>
      </c>
      <c r="GK126" s="15">
        <v>0</v>
      </c>
      <c r="GU126" s="15">
        <v>8.6999999999999993</v>
      </c>
      <c r="GV126" s="15">
        <f t="shared" si="47"/>
        <v>15.43</v>
      </c>
      <c r="GW126" s="15">
        <v>0</v>
      </c>
      <c r="GX126" s="15">
        <v>0</v>
      </c>
      <c r="GY126" s="15">
        <v>0</v>
      </c>
      <c r="GZ126" s="15">
        <v>0</v>
      </c>
      <c r="HA126" s="15">
        <v>0</v>
      </c>
      <c r="HB126" s="15">
        <v>0</v>
      </c>
      <c r="HC126" s="15" t="s">
        <v>385</v>
      </c>
      <c r="HD126" s="15">
        <v>38.5</v>
      </c>
      <c r="HE126" s="17">
        <v>55</v>
      </c>
      <c r="HF126" s="17">
        <v>114</v>
      </c>
      <c r="HG126" s="17">
        <v>7.8</v>
      </c>
      <c r="HH126" s="17">
        <v>95.15</v>
      </c>
      <c r="HI126" s="17">
        <v>0</v>
      </c>
      <c r="HJ126" s="17">
        <v>3.78</v>
      </c>
      <c r="HK126" s="17">
        <v>0</v>
      </c>
      <c r="HL126" s="17">
        <v>1.07</v>
      </c>
      <c r="HM126" s="17">
        <v>0</v>
      </c>
      <c r="HN126" s="17">
        <v>0</v>
      </c>
      <c r="HO126" s="17">
        <v>0</v>
      </c>
      <c r="HP126" s="17">
        <v>0</v>
      </c>
      <c r="HQ126" s="17">
        <v>0</v>
      </c>
      <c r="HR126" s="17">
        <v>0</v>
      </c>
      <c r="HS126" s="17">
        <v>0</v>
      </c>
      <c r="HT126" s="17">
        <v>15.05</v>
      </c>
      <c r="HU126" s="17">
        <v>4.58</v>
      </c>
      <c r="HV126" s="17">
        <v>0.1</v>
      </c>
      <c r="HW126" s="17">
        <v>0</v>
      </c>
      <c r="HX126" s="17">
        <v>0</v>
      </c>
      <c r="HY126" s="17">
        <v>0</v>
      </c>
      <c r="IL126" s="15">
        <v>22.8</v>
      </c>
      <c r="IM126" s="15">
        <v>1</v>
      </c>
      <c r="IN126" s="15">
        <v>38</v>
      </c>
      <c r="IO126" s="15">
        <v>5</v>
      </c>
      <c r="IP126" s="15">
        <f>2.45+1.09</f>
        <v>3.54</v>
      </c>
      <c r="IQ126" s="15">
        <v>5</v>
      </c>
      <c r="IX126" s="31"/>
      <c r="JB126" s="31"/>
      <c r="JF126" s="31"/>
      <c r="JJ126" s="31"/>
      <c r="JN126" s="31"/>
      <c r="JP126" s="15">
        <v>0</v>
      </c>
      <c r="LA126" s="15">
        <v>0</v>
      </c>
      <c r="LB126" s="15">
        <v>0</v>
      </c>
      <c r="LL126" s="15">
        <v>7.84</v>
      </c>
      <c r="LM126" s="15">
        <f>2.45+1.09</f>
        <v>3.54</v>
      </c>
      <c r="LN126" s="15">
        <v>0</v>
      </c>
      <c r="LO126" s="15">
        <v>0</v>
      </c>
      <c r="LP126" s="15">
        <v>0</v>
      </c>
      <c r="LQ126" s="15">
        <v>0</v>
      </c>
      <c r="LR126" s="15">
        <v>0</v>
      </c>
      <c r="LS126" s="15">
        <v>0</v>
      </c>
      <c r="LT126" s="15" t="s">
        <v>386</v>
      </c>
      <c r="LU126" s="15">
        <v>38</v>
      </c>
      <c r="LV126" s="17">
        <v>48.8</v>
      </c>
      <c r="LW126" s="17">
        <v>114</v>
      </c>
      <c r="LX126" s="17">
        <v>7.2</v>
      </c>
      <c r="LY126" s="17">
        <v>96.13</v>
      </c>
      <c r="LZ126" s="17">
        <v>0</v>
      </c>
      <c r="MA126" s="17">
        <v>3.78</v>
      </c>
      <c r="MB126" s="17">
        <v>0</v>
      </c>
      <c r="MC126" s="17">
        <v>0.1</v>
      </c>
      <c r="MD126" s="17">
        <v>0</v>
      </c>
      <c r="ME126" s="17">
        <v>0</v>
      </c>
      <c r="MF126" s="17">
        <v>0</v>
      </c>
      <c r="MG126" s="17">
        <v>0</v>
      </c>
      <c r="MH126" s="17">
        <v>0</v>
      </c>
      <c r="MI126" s="17">
        <v>0</v>
      </c>
      <c r="MJ126" s="17">
        <v>0</v>
      </c>
      <c r="MK126" s="17">
        <v>12.85</v>
      </c>
      <c r="ML126" s="17">
        <v>4.58</v>
      </c>
      <c r="MM126" s="17">
        <v>0.1</v>
      </c>
      <c r="MN126" s="17">
        <v>0</v>
      </c>
      <c r="MO126" s="17">
        <v>0</v>
      </c>
      <c r="MP126" s="17">
        <v>0</v>
      </c>
      <c r="NC126" s="15">
        <v>22.8</v>
      </c>
      <c r="ND126" s="15">
        <v>1</v>
      </c>
      <c r="NE126" s="15">
        <v>38</v>
      </c>
      <c r="NF126" s="15">
        <v>5</v>
      </c>
      <c r="NG126" s="15">
        <f>2.45+1.09</f>
        <v>3.54</v>
      </c>
      <c r="NH126" s="15">
        <v>5</v>
      </c>
      <c r="NI126" s="15">
        <v>20</v>
      </c>
      <c r="NJ126" s="15">
        <v>4</v>
      </c>
      <c r="NK126" s="15">
        <v>0.28999999999999998</v>
      </c>
      <c r="NL126" s="15">
        <v>2</v>
      </c>
      <c r="NO126" s="31"/>
      <c r="NS126" s="31"/>
      <c r="NW126" s="31"/>
      <c r="OA126" s="31"/>
      <c r="OE126" s="31"/>
      <c r="OG126" s="15">
        <v>0</v>
      </c>
      <c r="PR126" s="15">
        <v>0</v>
      </c>
      <c r="PS126" s="15">
        <v>0</v>
      </c>
      <c r="QC126" s="15">
        <v>7.84</v>
      </c>
      <c r="QD126" s="15">
        <f>2.45+1.09</f>
        <v>3.54</v>
      </c>
      <c r="QE126" s="15">
        <v>0</v>
      </c>
      <c r="QF126" s="15">
        <v>0</v>
      </c>
      <c r="QG126" s="15">
        <v>0</v>
      </c>
      <c r="QH126" s="15">
        <v>0</v>
      </c>
      <c r="QI126" s="15">
        <v>0</v>
      </c>
      <c r="QJ126" s="15">
        <v>0</v>
      </c>
      <c r="QK126" s="15" t="s">
        <v>387</v>
      </c>
      <c r="QL126" s="15">
        <v>64</v>
      </c>
      <c r="QM126" s="17">
        <v>70.599999999999994</v>
      </c>
      <c r="QN126" s="17">
        <v>114</v>
      </c>
      <c r="QO126" s="17">
        <v>14.9</v>
      </c>
      <c r="QP126" s="17">
        <v>88.29</v>
      </c>
      <c r="QQ126" s="17">
        <v>0</v>
      </c>
      <c r="QR126" s="17">
        <v>9.81</v>
      </c>
      <c r="QS126" s="17">
        <v>1.64</v>
      </c>
      <c r="QT126" s="17">
        <v>0.26</v>
      </c>
      <c r="QU126" s="17">
        <v>0</v>
      </c>
      <c r="QV126" s="17">
        <v>0</v>
      </c>
      <c r="QW126" s="17">
        <v>0</v>
      </c>
      <c r="QX126" s="17">
        <v>0</v>
      </c>
      <c r="QY126" s="17">
        <v>0</v>
      </c>
      <c r="QZ126" s="17">
        <v>0</v>
      </c>
      <c r="RA126" s="17">
        <v>0.55000000000000004</v>
      </c>
      <c r="RB126" s="17">
        <v>22.64</v>
      </c>
      <c r="RC126" s="17">
        <v>2.58</v>
      </c>
      <c r="RD126" s="17">
        <v>0.13</v>
      </c>
      <c r="RE126" s="17">
        <v>0</v>
      </c>
      <c r="RF126" s="17">
        <v>0</v>
      </c>
      <c r="RG126" s="17">
        <v>0</v>
      </c>
      <c r="RT126" s="15">
        <v>40.4</v>
      </c>
      <c r="RU126" s="15">
        <v>1</v>
      </c>
      <c r="RV126" s="15">
        <v>38</v>
      </c>
      <c r="RW126" s="15">
        <v>9</v>
      </c>
      <c r="RX126" s="15">
        <v>5.52</v>
      </c>
      <c r="RY126" s="15">
        <v>5</v>
      </c>
      <c r="RZ126" s="15">
        <v>23</v>
      </c>
      <c r="SA126" s="15">
        <v>1</v>
      </c>
      <c r="SB126" s="15">
        <v>0.09</v>
      </c>
      <c r="SC126" s="15">
        <v>3</v>
      </c>
      <c r="SF126" s="31"/>
      <c r="SJ126" s="31"/>
      <c r="SN126" s="31"/>
      <c r="SR126" s="31"/>
      <c r="SV126" s="31"/>
      <c r="SX126" s="15">
        <v>0</v>
      </c>
      <c r="UI126" s="15">
        <v>0</v>
      </c>
      <c r="UJ126" s="15">
        <v>0</v>
      </c>
      <c r="UT126" s="15">
        <v>8.33</v>
      </c>
      <c r="UU126" s="15">
        <v>5.52</v>
      </c>
      <c r="UV126" s="15">
        <v>0</v>
      </c>
      <c r="UW126" s="15">
        <v>0</v>
      </c>
      <c r="UX126" s="15">
        <v>0</v>
      </c>
      <c r="UY126" s="15">
        <v>0</v>
      </c>
      <c r="UZ126" s="15">
        <v>0</v>
      </c>
      <c r="VA126" s="15">
        <v>0</v>
      </c>
      <c r="VB126" s="15" t="s">
        <v>388</v>
      </c>
      <c r="VC126" s="15">
        <v>64</v>
      </c>
      <c r="VD126" s="17">
        <v>79.5</v>
      </c>
      <c r="VE126" s="17">
        <v>114</v>
      </c>
      <c r="VF126" s="17">
        <v>15</v>
      </c>
      <c r="VG126" s="17">
        <v>88.29</v>
      </c>
      <c r="VH126" s="17">
        <v>0</v>
      </c>
      <c r="VI126" s="17">
        <v>9.81</v>
      </c>
      <c r="VJ126" s="17">
        <v>1.64</v>
      </c>
      <c r="VK126" s="17">
        <v>0.26</v>
      </c>
      <c r="VL126" s="17">
        <v>0</v>
      </c>
      <c r="VM126" s="17">
        <v>0</v>
      </c>
      <c r="VN126" s="17">
        <v>0</v>
      </c>
      <c r="VO126" s="17">
        <v>0</v>
      </c>
      <c r="VP126" s="17">
        <v>0</v>
      </c>
      <c r="VQ126" s="17">
        <v>0</v>
      </c>
      <c r="VR126" s="17">
        <v>0.55000000000000004</v>
      </c>
      <c r="VS126" s="17">
        <v>24</v>
      </c>
      <c r="VT126" s="17">
        <v>4.3099999999999996</v>
      </c>
      <c r="VU126" s="17">
        <v>0.82</v>
      </c>
      <c r="VV126" s="17">
        <v>0</v>
      </c>
      <c r="VW126" s="17">
        <v>0</v>
      </c>
      <c r="VX126" s="17">
        <v>0</v>
      </c>
      <c r="VY126" s="17"/>
      <c r="WK126" s="15">
        <v>40.4</v>
      </c>
      <c r="WL126" s="15">
        <v>1</v>
      </c>
      <c r="WM126" s="15">
        <v>38</v>
      </c>
      <c r="WN126" s="15">
        <v>9</v>
      </c>
      <c r="WO126" s="15">
        <v>5.52</v>
      </c>
      <c r="WP126" s="15">
        <v>5</v>
      </c>
      <c r="WQ126" s="15">
        <v>23</v>
      </c>
      <c r="WR126" s="15">
        <v>1</v>
      </c>
      <c r="WS126" s="15">
        <v>0.09</v>
      </c>
      <c r="WT126" s="15">
        <v>3</v>
      </c>
      <c r="WW126" s="31"/>
      <c r="XA126" s="31"/>
      <c r="XE126" s="31"/>
      <c r="XI126" s="31"/>
      <c r="XM126" s="31"/>
      <c r="XO126" s="15">
        <v>0</v>
      </c>
      <c r="YZ126" s="15">
        <v>0</v>
      </c>
      <c r="ZA126" s="15">
        <v>0</v>
      </c>
      <c r="ZK126" s="15">
        <v>8.33</v>
      </c>
      <c r="ZL126" s="15">
        <v>5.52</v>
      </c>
      <c r="ZM126" s="15">
        <v>0</v>
      </c>
      <c r="ZN126" s="15">
        <v>0</v>
      </c>
      <c r="ZO126" s="15">
        <v>0</v>
      </c>
      <c r="ZP126" s="15">
        <v>0</v>
      </c>
      <c r="ZQ126" s="15">
        <v>0</v>
      </c>
      <c r="ZR126" s="15">
        <v>0</v>
      </c>
      <c r="ZS126" s="15" t="s">
        <v>563</v>
      </c>
      <c r="ZT126" s="15">
        <v>10</v>
      </c>
      <c r="ZU126" s="17">
        <v>46.2</v>
      </c>
      <c r="ZV126" s="17">
        <v>114</v>
      </c>
      <c r="ZW126" s="17">
        <v>6.3</v>
      </c>
      <c r="ZX126" s="17">
        <v>0</v>
      </c>
      <c r="ZY126" s="17">
        <v>0</v>
      </c>
      <c r="ZZ126" s="17">
        <v>1.91</v>
      </c>
      <c r="AAA126" s="17">
        <v>0</v>
      </c>
      <c r="AAB126" s="17">
        <v>1.91</v>
      </c>
      <c r="AAC126" s="17">
        <v>0</v>
      </c>
      <c r="AAD126" s="17">
        <v>0</v>
      </c>
      <c r="AAE126" s="17">
        <v>0</v>
      </c>
      <c r="AAF126" s="17">
        <v>0</v>
      </c>
      <c r="AAG126" s="17">
        <v>0</v>
      </c>
      <c r="AAH126" s="17">
        <v>0</v>
      </c>
      <c r="AAI126" s="17">
        <v>0</v>
      </c>
      <c r="AAJ126" s="17">
        <v>8.85</v>
      </c>
      <c r="AAK126" s="17">
        <v>4.3600000000000003</v>
      </c>
      <c r="AAL126" s="17">
        <v>0</v>
      </c>
      <c r="AAM126" s="17">
        <v>0</v>
      </c>
      <c r="AAN126" s="17">
        <v>0</v>
      </c>
      <c r="ABB126" s="15">
        <v>0</v>
      </c>
      <c r="ABN126" s="31"/>
      <c r="ABR126" s="31"/>
      <c r="ABV126" s="31"/>
      <c r="ABZ126" s="31"/>
      <c r="ACD126" s="31"/>
      <c r="ACF126" s="15">
        <v>0</v>
      </c>
      <c r="AEB126" s="15">
        <v>3.41</v>
      </c>
      <c r="AEC126" s="15">
        <f>0.95*2+0.27*2</f>
        <v>2.44</v>
      </c>
      <c r="AED126" s="15">
        <v>0</v>
      </c>
      <c r="AEE126" s="15">
        <v>0</v>
      </c>
      <c r="AEF126" s="15">
        <v>0</v>
      </c>
      <c r="AEG126" s="15">
        <v>0</v>
      </c>
      <c r="AEH126" s="15">
        <v>0</v>
      </c>
      <c r="AEI126" s="15">
        <v>0</v>
      </c>
      <c r="AEJ126"/>
      <c r="AEM126"/>
      <c r="AEN126"/>
      <c r="AEO126"/>
      <c r="AEP126"/>
      <c r="AEQ126"/>
      <c r="AER126"/>
      <c r="AEU126"/>
      <c r="AEV126"/>
      <c r="AEW126"/>
      <c r="AEX126"/>
      <c r="AEY126"/>
      <c r="AEZ126"/>
      <c r="AFC126"/>
      <c r="AFD126"/>
      <c r="AFE126"/>
      <c r="AFF126"/>
      <c r="AFG126"/>
      <c r="AFH126"/>
      <c r="AFK126"/>
      <c r="AFL126"/>
      <c r="AFM126"/>
      <c r="AFN126"/>
      <c r="AFO126"/>
      <c r="AFP126"/>
      <c r="AFS126"/>
      <c r="AFT126"/>
      <c r="AFU126"/>
      <c r="AFV126"/>
      <c r="AFW126"/>
      <c r="AFX126"/>
      <c r="AGA126"/>
      <c r="AGB126"/>
      <c r="AGC126"/>
      <c r="AGD126"/>
      <c r="AGE126"/>
      <c r="AGF126"/>
      <c r="AGI126"/>
      <c r="AGJ126"/>
      <c r="AGK126"/>
      <c r="AGL126"/>
      <c r="AGM126"/>
      <c r="AGN126"/>
      <c r="AGQ126"/>
      <c r="AGR126"/>
      <c r="AGS126"/>
      <c r="AGT126"/>
      <c r="AGU126"/>
      <c r="AGV126"/>
      <c r="AGY126"/>
      <c r="AGZ126"/>
      <c r="AHA126"/>
      <c r="AHB126"/>
      <c r="AHC126"/>
      <c r="AHD126"/>
      <c r="AHG126"/>
      <c r="AHH126"/>
      <c r="AHI126"/>
      <c r="AHJ126"/>
      <c r="AHK126"/>
      <c r="AHL126"/>
      <c r="AHO126"/>
      <c r="AHP126"/>
      <c r="AHQ126"/>
      <c r="AHR126"/>
      <c r="AHS126"/>
      <c r="AHT126"/>
      <c r="AHW126"/>
      <c r="AHX126"/>
      <c r="AHY126"/>
      <c r="AHZ126"/>
      <c r="AIA126"/>
      <c r="AIB126"/>
      <c r="AIE126"/>
      <c r="AIF126"/>
      <c r="AIG126"/>
      <c r="AIH126"/>
      <c r="AII126"/>
      <c r="AIJ126"/>
      <c r="AIM126"/>
      <c r="AIN126"/>
      <c r="AIO126"/>
      <c r="AIP126"/>
      <c r="AIQ126"/>
      <c r="AIR126"/>
      <c r="AIU126"/>
      <c r="AIV126"/>
      <c r="AIW126"/>
      <c r="AIX126"/>
      <c r="AIY126"/>
      <c r="AIZ126"/>
      <c r="AJC126"/>
      <c r="AJD126"/>
      <c r="AJE126"/>
      <c r="AJF126"/>
      <c r="AJG126"/>
      <c r="AJH126"/>
      <c r="AJK126"/>
      <c r="AJL126"/>
      <c r="AJM126"/>
      <c r="AJN126"/>
      <c r="AJO126"/>
      <c r="AJP126"/>
      <c r="AJS126"/>
      <c r="AJT126"/>
      <c r="AJU126"/>
      <c r="AJV126"/>
      <c r="AJW126"/>
      <c r="AJX126"/>
      <c r="AKA126"/>
      <c r="AKB126"/>
      <c r="AKC126"/>
      <c r="AKD126"/>
      <c r="AKE126"/>
      <c r="AKF126"/>
      <c r="AKI126"/>
      <c r="AKJ126"/>
      <c r="AKK126"/>
      <c r="AKL126"/>
      <c r="AKM126"/>
      <c r="AKN126"/>
      <c r="AKQ126"/>
      <c r="AKR126"/>
      <c r="AKS126"/>
      <c r="AKT126"/>
      <c r="AKU126"/>
      <c r="AKV126"/>
      <c r="AKY126"/>
      <c r="AKZ126"/>
      <c r="ALA126"/>
      <c r="ALB126"/>
      <c r="ALC126"/>
      <c r="ALD126"/>
      <c r="ALG126"/>
      <c r="ALH126"/>
      <c r="ALI126"/>
      <c r="ALJ126"/>
      <c r="ALK126"/>
      <c r="ALL126"/>
      <c r="ALO126"/>
      <c r="ALP126"/>
      <c r="ALQ126"/>
      <c r="ALR126"/>
      <c r="ALS126"/>
      <c r="ALT126"/>
      <c r="ALW126"/>
      <c r="ALX126"/>
      <c r="ALY126"/>
      <c r="ALZ126"/>
      <c r="AMA126"/>
      <c r="AMB126"/>
      <c r="AME126"/>
      <c r="AMF126"/>
      <c r="AMG126"/>
      <c r="AMH126"/>
      <c r="AMI126"/>
      <c r="AMJ126"/>
    </row>
    <row r="127" spans="1:1024" x14ac:dyDescent="0.2">
      <c r="A127" s="1" t="s">
        <v>564</v>
      </c>
      <c r="B127" s="12">
        <v>42893</v>
      </c>
      <c r="C127">
        <v>2</v>
      </c>
      <c r="D127" s="13">
        <v>34547</v>
      </c>
      <c r="E127" s="12">
        <v>24618</v>
      </c>
      <c r="F127" s="14">
        <f t="shared" si="42"/>
        <v>50.034223134839152</v>
      </c>
      <c r="G127" s="14">
        <f t="shared" si="43"/>
        <v>22.850102669404517</v>
      </c>
      <c r="H127" s="15" t="s">
        <v>183</v>
      </c>
      <c r="I127" s="15" t="s">
        <v>383</v>
      </c>
      <c r="J127" s="15" t="s">
        <v>183</v>
      </c>
      <c r="K127" s="21">
        <v>4</v>
      </c>
      <c r="L127" s="19">
        <v>80</v>
      </c>
      <c r="M127">
        <v>1.75</v>
      </c>
      <c r="N127" s="16">
        <f t="shared" si="44"/>
        <v>26.122448979591837</v>
      </c>
      <c r="O127" s="19">
        <v>0</v>
      </c>
      <c r="P127" s="19">
        <v>0</v>
      </c>
      <c r="Q127" s="19">
        <v>0</v>
      </c>
      <c r="R127" s="19">
        <v>0</v>
      </c>
      <c r="S127" s="19">
        <v>0</v>
      </c>
      <c r="T127" s="19">
        <v>0</v>
      </c>
      <c r="U127" s="19">
        <v>0</v>
      </c>
      <c r="V127" s="19">
        <v>0</v>
      </c>
      <c r="W127" s="19">
        <v>1</v>
      </c>
      <c r="X127" s="19">
        <v>1</v>
      </c>
      <c r="Y127" s="19">
        <v>0</v>
      </c>
      <c r="Z127" s="19">
        <v>0</v>
      </c>
      <c r="AA127" s="19">
        <v>0</v>
      </c>
      <c r="AB127" s="19">
        <v>0</v>
      </c>
      <c r="AC127" s="19">
        <v>1</v>
      </c>
      <c r="AD127" s="19">
        <v>7</v>
      </c>
      <c r="AE127" s="19">
        <v>1</v>
      </c>
      <c r="AF127" s="19">
        <v>1</v>
      </c>
      <c r="AG127" s="19">
        <v>0</v>
      </c>
      <c r="AH127" s="19">
        <v>0</v>
      </c>
      <c r="AI127" s="19">
        <v>3</v>
      </c>
      <c r="AJ127" s="19">
        <v>3</v>
      </c>
      <c r="AK127" s="19">
        <v>1</v>
      </c>
      <c r="AL127" s="19">
        <v>7</v>
      </c>
      <c r="AM127" s="19">
        <v>0</v>
      </c>
      <c r="AN127" s="19">
        <v>0</v>
      </c>
      <c r="AO127" s="19">
        <v>0</v>
      </c>
      <c r="AP127" s="19">
        <v>0</v>
      </c>
      <c r="AQ127" s="19">
        <v>0</v>
      </c>
      <c r="AR127" s="19">
        <v>0</v>
      </c>
      <c r="AS127" s="19">
        <v>3</v>
      </c>
      <c r="AT127" s="19">
        <v>3</v>
      </c>
      <c r="AU127" s="19">
        <v>3</v>
      </c>
      <c r="AV127" s="19">
        <v>9</v>
      </c>
      <c r="AW127" s="19">
        <v>7</v>
      </c>
      <c r="AX127" s="19">
        <v>0</v>
      </c>
      <c r="AY127" s="19">
        <v>0</v>
      </c>
      <c r="AZ127" s="19">
        <v>0</v>
      </c>
      <c r="BA127" s="19">
        <v>0</v>
      </c>
      <c r="BB127" s="19">
        <v>1</v>
      </c>
      <c r="BC127" s="19">
        <v>1</v>
      </c>
      <c r="BD127" s="19">
        <v>0</v>
      </c>
      <c r="BE127" s="19">
        <v>0</v>
      </c>
      <c r="BF127" s="19">
        <v>0</v>
      </c>
      <c r="BG127" s="19">
        <v>0</v>
      </c>
      <c r="BH127" s="19">
        <v>0</v>
      </c>
      <c r="BI127" s="19">
        <v>0</v>
      </c>
      <c r="BJ127" s="19">
        <v>1</v>
      </c>
      <c r="BK127" s="19">
        <v>1</v>
      </c>
      <c r="BL127" s="19">
        <v>1</v>
      </c>
      <c r="BM127" s="19">
        <v>7</v>
      </c>
      <c r="BN127" s="19">
        <v>1</v>
      </c>
      <c r="BO127" s="19">
        <v>1</v>
      </c>
      <c r="BP127" s="19">
        <v>1</v>
      </c>
      <c r="BQ127" s="19">
        <v>7</v>
      </c>
      <c r="BR127" s="19">
        <v>4</v>
      </c>
      <c r="BS127" s="19">
        <v>3</v>
      </c>
      <c r="BT127" s="19">
        <v>5</v>
      </c>
      <c r="BU127" s="19">
        <v>4</v>
      </c>
      <c r="BV127" s="19">
        <v>3</v>
      </c>
      <c r="BW127" s="19">
        <v>3</v>
      </c>
      <c r="BX127" s="19">
        <v>3</v>
      </c>
      <c r="BY127" s="19">
        <v>3</v>
      </c>
      <c r="BZ127" s="19">
        <v>1</v>
      </c>
      <c r="CA127" s="19">
        <v>1</v>
      </c>
      <c r="CB127" s="19">
        <v>3</v>
      </c>
      <c r="CC127" s="19">
        <v>5</v>
      </c>
      <c r="CD127" s="19">
        <v>1</v>
      </c>
      <c r="CE127" s="19">
        <v>1</v>
      </c>
      <c r="CF127" s="19">
        <v>4</v>
      </c>
      <c r="CG127" s="19">
        <v>4</v>
      </c>
      <c r="CH127" s="19">
        <v>2</v>
      </c>
      <c r="CI127" s="19">
        <v>4</v>
      </c>
      <c r="CJ127" s="19">
        <v>1</v>
      </c>
      <c r="CK127" s="19">
        <v>5</v>
      </c>
      <c r="CL127" s="30" t="s">
        <v>384</v>
      </c>
      <c r="CM127" s="15">
        <v>28.5</v>
      </c>
      <c r="CN127" s="17">
        <v>69.3</v>
      </c>
      <c r="CO127" s="17">
        <v>114</v>
      </c>
      <c r="CP127" s="17">
        <v>19.5</v>
      </c>
      <c r="CQ127" s="17">
        <v>79.150000000000006</v>
      </c>
      <c r="CR127" s="17">
        <v>0</v>
      </c>
      <c r="CS127" s="17">
        <v>3.87</v>
      </c>
      <c r="CT127" s="17">
        <v>2.86</v>
      </c>
      <c r="CU127" s="17">
        <v>14.12</v>
      </c>
      <c r="CV127" s="17">
        <v>0</v>
      </c>
      <c r="CW127" s="17">
        <v>0</v>
      </c>
      <c r="CX127" s="17">
        <v>0</v>
      </c>
      <c r="CY127" s="17">
        <v>0</v>
      </c>
      <c r="CZ127" s="17">
        <v>0</v>
      </c>
      <c r="DA127" s="17">
        <v>0</v>
      </c>
      <c r="DB127" s="17">
        <v>0.82</v>
      </c>
      <c r="DC127" s="17">
        <v>11.71</v>
      </c>
      <c r="DD127" s="17">
        <v>15.43</v>
      </c>
      <c r="DE127" s="17">
        <v>4.91</v>
      </c>
      <c r="DF127" s="17">
        <v>0</v>
      </c>
      <c r="DG127" s="17">
        <v>0</v>
      </c>
      <c r="DH127" s="17">
        <v>0</v>
      </c>
      <c r="DI127" s="17">
        <v>0</v>
      </c>
      <c r="DJ127" s="17">
        <v>0</v>
      </c>
      <c r="DK127" s="17">
        <v>0</v>
      </c>
      <c r="DL127" s="17">
        <v>0</v>
      </c>
      <c r="DM127" s="17">
        <v>0</v>
      </c>
      <c r="DN127" s="17">
        <v>0</v>
      </c>
      <c r="DO127" s="17">
        <v>0</v>
      </c>
      <c r="DP127" s="17">
        <v>0</v>
      </c>
      <c r="DQ127" s="17">
        <v>0</v>
      </c>
      <c r="DR127" s="17">
        <v>0</v>
      </c>
      <c r="DS127" s="17">
        <v>0</v>
      </c>
      <c r="DT127" s="17">
        <v>0</v>
      </c>
      <c r="DU127" s="17">
        <v>0</v>
      </c>
      <c r="DV127" s="17">
        <v>0</v>
      </c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31"/>
      <c r="EH127" s="17"/>
      <c r="EK127" s="31"/>
      <c r="EO127" s="31"/>
      <c r="ES127" s="31"/>
      <c r="EW127" s="31"/>
      <c r="EY127" s="15">
        <v>0</v>
      </c>
      <c r="GJ127" s="15">
        <v>0</v>
      </c>
      <c r="GK127" s="15">
        <v>0</v>
      </c>
      <c r="GU127" s="15">
        <v>8.6999999999999993</v>
      </c>
      <c r="GV127" s="15">
        <f t="shared" si="47"/>
        <v>15.43</v>
      </c>
      <c r="GW127" s="15">
        <v>0</v>
      </c>
      <c r="GX127" s="15">
        <v>0</v>
      </c>
      <c r="GY127" s="15">
        <v>0</v>
      </c>
      <c r="GZ127" s="15">
        <v>0</v>
      </c>
      <c r="HA127" s="15">
        <v>0</v>
      </c>
      <c r="HB127" s="15">
        <v>0</v>
      </c>
      <c r="HC127" s="15" t="s">
        <v>385</v>
      </c>
      <c r="HD127" s="15">
        <v>38.5</v>
      </c>
      <c r="HE127" s="17">
        <v>55</v>
      </c>
      <c r="HF127" s="17">
        <v>114</v>
      </c>
      <c r="HG127" s="17">
        <v>7.8</v>
      </c>
      <c r="HH127" s="17">
        <v>95.15</v>
      </c>
      <c r="HI127" s="17">
        <v>0</v>
      </c>
      <c r="HJ127" s="17">
        <v>3.78</v>
      </c>
      <c r="HK127" s="17">
        <v>0</v>
      </c>
      <c r="HL127" s="17">
        <v>1.07</v>
      </c>
      <c r="HM127" s="17">
        <v>0</v>
      </c>
      <c r="HN127" s="17">
        <v>0</v>
      </c>
      <c r="HO127" s="17">
        <v>0</v>
      </c>
      <c r="HP127" s="17">
        <v>0</v>
      </c>
      <c r="HQ127" s="17">
        <v>0</v>
      </c>
      <c r="HR127" s="17">
        <v>0</v>
      </c>
      <c r="HS127" s="17">
        <v>0</v>
      </c>
      <c r="HT127" s="17">
        <v>15.05</v>
      </c>
      <c r="HU127" s="17">
        <v>4.58</v>
      </c>
      <c r="HV127" s="17">
        <v>0.1</v>
      </c>
      <c r="HW127" s="17">
        <v>0</v>
      </c>
      <c r="HX127" s="17">
        <v>0</v>
      </c>
      <c r="HY127" s="17">
        <v>0</v>
      </c>
      <c r="IL127" s="15">
        <v>22.8</v>
      </c>
      <c r="IM127" s="15">
        <v>1</v>
      </c>
      <c r="IN127" s="15">
        <v>38</v>
      </c>
      <c r="IO127" s="15">
        <v>5</v>
      </c>
      <c r="IP127" s="15">
        <f>2.45+1.09</f>
        <v>3.54</v>
      </c>
      <c r="IQ127" s="15">
        <v>5</v>
      </c>
      <c r="IX127" s="31"/>
      <c r="JB127" s="31"/>
      <c r="JF127" s="31"/>
      <c r="JJ127" s="31"/>
      <c r="JN127" s="31"/>
      <c r="JP127" s="15">
        <v>0</v>
      </c>
      <c r="LA127" s="15">
        <v>0</v>
      </c>
      <c r="LB127" s="15">
        <v>0</v>
      </c>
      <c r="LL127" s="15">
        <v>7.84</v>
      </c>
      <c r="LM127" s="15">
        <f>2.45+1.09</f>
        <v>3.54</v>
      </c>
      <c r="LN127" s="15">
        <v>0</v>
      </c>
      <c r="LO127" s="15">
        <v>0</v>
      </c>
      <c r="LP127" s="15">
        <v>0</v>
      </c>
      <c r="LQ127" s="15">
        <v>0</v>
      </c>
      <c r="LR127" s="15">
        <v>0</v>
      </c>
      <c r="LS127" s="15">
        <v>0</v>
      </c>
      <c r="LT127" s="15" t="s">
        <v>386</v>
      </c>
      <c r="LU127" s="15">
        <v>38</v>
      </c>
      <c r="LV127" s="17">
        <v>48.8</v>
      </c>
      <c r="LW127" s="17">
        <v>114</v>
      </c>
      <c r="LX127" s="17">
        <v>7.2</v>
      </c>
      <c r="LY127" s="17">
        <v>96.13</v>
      </c>
      <c r="LZ127" s="17">
        <v>0</v>
      </c>
      <c r="MA127" s="17">
        <v>3.78</v>
      </c>
      <c r="MB127" s="17">
        <v>0</v>
      </c>
      <c r="MC127" s="17">
        <v>0.1</v>
      </c>
      <c r="MD127" s="17">
        <v>0</v>
      </c>
      <c r="ME127" s="17">
        <v>0</v>
      </c>
      <c r="MF127" s="17">
        <v>0</v>
      </c>
      <c r="MG127" s="17">
        <v>0</v>
      </c>
      <c r="MH127" s="17">
        <v>0</v>
      </c>
      <c r="MI127" s="17">
        <v>0</v>
      </c>
      <c r="MJ127" s="17">
        <v>0</v>
      </c>
      <c r="MK127" s="17">
        <v>12.85</v>
      </c>
      <c r="ML127" s="17">
        <v>4.58</v>
      </c>
      <c r="MM127" s="17">
        <v>0.1</v>
      </c>
      <c r="MN127" s="17">
        <v>0</v>
      </c>
      <c r="MO127" s="17">
        <v>0</v>
      </c>
      <c r="MP127" s="17">
        <v>0</v>
      </c>
      <c r="NC127" s="15">
        <v>22.8</v>
      </c>
      <c r="ND127" s="15">
        <v>1</v>
      </c>
      <c r="NE127" s="15">
        <v>38</v>
      </c>
      <c r="NF127" s="15">
        <v>5</v>
      </c>
      <c r="NG127" s="15">
        <f>2.45+1.09</f>
        <v>3.54</v>
      </c>
      <c r="NH127" s="15">
        <v>5</v>
      </c>
      <c r="NI127" s="15">
        <v>20</v>
      </c>
      <c r="NJ127" s="15">
        <v>4</v>
      </c>
      <c r="NK127" s="15">
        <v>0.28999999999999998</v>
      </c>
      <c r="NL127" s="15">
        <v>2</v>
      </c>
      <c r="NO127" s="31"/>
      <c r="NS127" s="31"/>
      <c r="NW127" s="31"/>
      <c r="OA127" s="31"/>
      <c r="OE127" s="31"/>
      <c r="OG127" s="15">
        <v>0</v>
      </c>
      <c r="PR127" s="15">
        <v>0</v>
      </c>
      <c r="PS127" s="15">
        <v>0</v>
      </c>
      <c r="QC127" s="15">
        <v>7.84</v>
      </c>
      <c r="QD127" s="15">
        <f>2.45+1.09</f>
        <v>3.54</v>
      </c>
      <c r="QE127" s="15">
        <v>0</v>
      </c>
      <c r="QF127" s="15">
        <v>0</v>
      </c>
      <c r="QG127" s="15">
        <v>0</v>
      </c>
      <c r="QH127" s="15">
        <v>0</v>
      </c>
      <c r="QI127" s="15">
        <v>0</v>
      </c>
      <c r="QJ127" s="15">
        <v>0</v>
      </c>
      <c r="QK127" s="15" t="s">
        <v>387</v>
      </c>
      <c r="QL127" s="15">
        <v>64</v>
      </c>
      <c r="QM127" s="17">
        <v>70.599999999999994</v>
      </c>
      <c r="QN127" s="17">
        <v>114</v>
      </c>
      <c r="QO127" s="17">
        <v>14.9</v>
      </c>
      <c r="QP127" s="17">
        <v>88.29</v>
      </c>
      <c r="QQ127" s="17">
        <v>0</v>
      </c>
      <c r="QR127" s="17">
        <v>9.81</v>
      </c>
      <c r="QS127" s="17">
        <v>1.64</v>
      </c>
      <c r="QT127" s="17">
        <v>0.26</v>
      </c>
      <c r="QU127" s="17">
        <v>0</v>
      </c>
      <c r="QV127" s="17">
        <v>0</v>
      </c>
      <c r="QW127" s="17">
        <v>0</v>
      </c>
      <c r="QX127" s="17">
        <v>0</v>
      </c>
      <c r="QY127" s="17">
        <v>0</v>
      </c>
      <c r="QZ127" s="17">
        <v>0</v>
      </c>
      <c r="RA127" s="17">
        <v>0.55000000000000004</v>
      </c>
      <c r="RB127" s="17">
        <v>22.64</v>
      </c>
      <c r="RC127" s="17">
        <v>2.58</v>
      </c>
      <c r="RD127" s="17">
        <v>0.13</v>
      </c>
      <c r="RE127" s="17">
        <v>0</v>
      </c>
      <c r="RF127" s="17">
        <v>0</v>
      </c>
      <c r="RG127" s="17">
        <v>0</v>
      </c>
      <c r="RT127" s="15">
        <v>40.4</v>
      </c>
      <c r="RU127" s="15">
        <v>1</v>
      </c>
      <c r="RV127" s="15">
        <v>38</v>
      </c>
      <c r="RW127" s="15">
        <v>9</v>
      </c>
      <c r="RX127" s="15">
        <v>5.52</v>
      </c>
      <c r="RY127" s="15">
        <v>5</v>
      </c>
      <c r="RZ127" s="15">
        <v>23</v>
      </c>
      <c r="SA127" s="15">
        <v>1</v>
      </c>
      <c r="SB127" s="15">
        <v>0.09</v>
      </c>
      <c r="SC127" s="15">
        <v>3</v>
      </c>
      <c r="SF127" s="31"/>
      <c r="SJ127" s="31"/>
      <c r="SN127" s="31"/>
      <c r="SR127" s="31"/>
      <c r="SV127" s="31"/>
      <c r="SX127" s="15">
        <v>0</v>
      </c>
      <c r="UI127" s="15">
        <v>0</v>
      </c>
      <c r="UJ127" s="15">
        <v>0</v>
      </c>
      <c r="UT127" s="15">
        <v>8.33</v>
      </c>
      <c r="UU127" s="15">
        <v>5.52</v>
      </c>
      <c r="UV127" s="15">
        <v>0</v>
      </c>
      <c r="UW127" s="15">
        <v>0</v>
      </c>
      <c r="UX127" s="15">
        <v>0</v>
      </c>
      <c r="UY127" s="15">
        <v>0</v>
      </c>
      <c r="UZ127" s="15">
        <v>0</v>
      </c>
      <c r="VA127" s="15">
        <v>0</v>
      </c>
      <c r="VB127" s="15" t="s">
        <v>388</v>
      </c>
      <c r="VC127" s="15">
        <v>64</v>
      </c>
      <c r="VD127" s="17">
        <v>79.5</v>
      </c>
      <c r="VE127" s="17">
        <v>114</v>
      </c>
      <c r="VF127" s="17">
        <v>15</v>
      </c>
      <c r="VG127" s="17">
        <v>88.29</v>
      </c>
      <c r="VH127" s="17">
        <v>0</v>
      </c>
      <c r="VI127" s="17">
        <v>9.81</v>
      </c>
      <c r="VJ127" s="17">
        <v>1.64</v>
      </c>
      <c r="VK127" s="17">
        <v>0.26</v>
      </c>
      <c r="VL127" s="17">
        <v>0</v>
      </c>
      <c r="VM127" s="17">
        <v>0</v>
      </c>
      <c r="VN127" s="17">
        <v>0</v>
      </c>
      <c r="VO127" s="17">
        <v>0</v>
      </c>
      <c r="VP127" s="17">
        <v>0</v>
      </c>
      <c r="VQ127" s="17">
        <v>0</v>
      </c>
      <c r="VR127" s="17">
        <v>0.55000000000000004</v>
      </c>
      <c r="VS127" s="17">
        <v>24</v>
      </c>
      <c r="VT127" s="17">
        <v>4.3099999999999996</v>
      </c>
      <c r="VU127" s="17">
        <v>0.82</v>
      </c>
      <c r="VV127" s="17">
        <v>0</v>
      </c>
      <c r="VW127" s="17">
        <v>0</v>
      </c>
      <c r="VX127" s="17">
        <v>0</v>
      </c>
      <c r="VY127" s="17"/>
      <c r="WK127" s="15">
        <v>40.4</v>
      </c>
      <c r="WL127" s="15">
        <v>1</v>
      </c>
      <c r="WM127" s="15">
        <v>38</v>
      </c>
      <c r="WN127" s="15">
        <v>9</v>
      </c>
      <c r="WO127" s="15">
        <v>5.52</v>
      </c>
      <c r="WP127" s="15">
        <v>5</v>
      </c>
      <c r="WQ127" s="15">
        <v>23</v>
      </c>
      <c r="WR127" s="15">
        <v>1</v>
      </c>
      <c r="WS127" s="15">
        <v>0.09</v>
      </c>
      <c r="WT127" s="15">
        <v>3</v>
      </c>
      <c r="WW127" s="31"/>
      <c r="XA127" s="31"/>
      <c r="XE127" s="31"/>
      <c r="XI127" s="31"/>
      <c r="XM127" s="31"/>
      <c r="XO127" s="15">
        <v>0</v>
      </c>
      <c r="YZ127" s="15">
        <v>0</v>
      </c>
      <c r="ZA127" s="15">
        <v>0</v>
      </c>
      <c r="ZK127" s="15">
        <v>8.33</v>
      </c>
      <c r="ZL127" s="15">
        <v>5.52</v>
      </c>
      <c r="ZM127" s="15">
        <v>0</v>
      </c>
      <c r="ZN127" s="15">
        <v>0</v>
      </c>
      <c r="ZO127" s="15">
        <v>0</v>
      </c>
      <c r="ZP127" s="15">
        <v>0</v>
      </c>
      <c r="ZQ127" s="15">
        <v>0</v>
      </c>
      <c r="ZR127" s="15">
        <v>0</v>
      </c>
      <c r="ZS127" s="15" t="s">
        <v>389</v>
      </c>
      <c r="ZT127" s="15">
        <v>10</v>
      </c>
      <c r="ZU127" s="17">
        <v>46.2</v>
      </c>
      <c r="ZV127" s="17">
        <v>114</v>
      </c>
      <c r="ZW127" s="17">
        <v>6.3</v>
      </c>
      <c r="ZX127" s="17">
        <v>0</v>
      </c>
      <c r="ZY127" s="17">
        <v>0</v>
      </c>
      <c r="ZZ127" s="17">
        <v>1.91</v>
      </c>
      <c r="AAA127" s="17">
        <v>0</v>
      </c>
      <c r="AAB127" s="17">
        <v>1.91</v>
      </c>
      <c r="AAC127" s="17">
        <v>0</v>
      </c>
      <c r="AAD127" s="17">
        <v>0</v>
      </c>
      <c r="AAE127" s="17">
        <v>0</v>
      </c>
      <c r="AAF127" s="17">
        <v>0</v>
      </c>
      <c r="AAG127" s="17">
        <v>0</v>
      </c>
      <c r="AAH127" s="17">
        <v>0</v>
      </c>
      <c r="AAI127" s="17">
        <v>0</v>
      </c>
      <c r="AAJ127" s="17">
        <v>8.85</v>
      </c>
      <c r="AAK127" s="17">
        <v>4.3600000000000003</v>
      </c>
      <c r="AAL127" s="17">
        <v>0</v>
      </c>
      <c r="AAM127" s="17">
        <v>0</v>
      </c>
      <c r="AAN127" s="17">
        <v>0</v>
      </c>
      <c r="ABB127" s="15">
        <v>0</v>
      </c>
      <c r="ABN127" s="31"/>
      <c r="ABR127" s="31"/>
      <c r="ABV127" s="31"/>
      <c r="ABZ127" s="31"/>
      <c r="ACD127" s="31"/>
      <c r="ACF127" s="15">
        <v>0</v>
      </c>
      <c r="AEB127" s="15">
        <v>3.41</v>
      </c>
      <c r="AEC127" s="15">
        <f>0.95*2+0.27*2</f>
        <v>2.44</v>
      </c>
      <c r="AED127" s="15">
        <v>0</v>
      </c>
      <c r="AEE127" s="15">
        <v>0</v>
      </c>
      <c r="AEF127" s="15">
        <v>0</v>
      </c>
      <c r="AEG127" s="15">
        <v>0</v>
      </c>
      <c r="AEH127" s="15">
        <v>0</v>
      </c>
      <c r="AEI127" s="15">
        <v>0</v>
      </c>
      <c r="AEK127" s="15"/>
      <c r="AEL127" s="15"/>
      <c r="AES127" s="15"/>
      <c r="AET127" s="15"/>
      <c r="AFA127" s="15"/>
      <c r="AFB127" s="15"/>
      <c r="AFI127" s="15"/>
      <c r="AFJ127" s="15"/>
      <c r="AFQ127" s="15"/>
      <c r="AFR127" s="15"/>
      <c r="AFY127" s="15"/>
      <c r="AFZ127" s="15"/>
      <c r="AGG127" s="15"/>
      <c r="AGH127" s="15"/>
      <c r="AGO127" s="15"/>
      <c r="AGP127" s="15"/>
      <c r="AGW127" s="15"/>
      <c r="AGX127" s="15"/>
      <c r="AHE127" s="15"/>
      <c r="AHF127" s="15"/>
      <c r="AHM127" s="15"/>
      <c r="AHN127" s="15"/>
      <c r="AHU127" s="15"/>
      <c r="AHV127" s="15"/>
      <c r="AIC127" s="15"/>
      <c r="AID127" s="15"/>
      <c r="AIK127" s="15"/>
      <c r="AIL127" s="15"/>
      <c r="AIS127" s="15"/>
      <c r="AIT127" s="15"/>
      <c r="AJA127" s="15"/>
      <c r="AJB127" s="15"/>
      <c r="AJI127" s="15"/>
      <c r="AJJ127" s="15"/>
      <c r="AJQ127" s="15"/>
      <c r="AJR127" s="15"/>
      <c r="AJY127" s="15"/>
      <c r="AJZ127" s="15"/>
      <c r="AKG127" s="15"/>
      <c r="AKH127" s="15"/>
      <c r="AKO127" s="15"/>
      <c r="AKP127" s="15"/>
      <c r="AKW127" s="15"/>
      <c r="AKX127" s="15"/>
      <c r="ALE127" s="15"/>
      <c r="ALF127" s="15"/>
      <c r="ALM127" s="15"/>
      <c r="ALN127" s="15"/>
      <c r="ALU127" s="15"/>
      <c r="ALV127" s="15"/>
      <c r="AMC127" s="15"/>
      <c r="AMD127" s="15"/>
    </row>
    <row r="128" spans="1:1024" x14ac:dyDescent="0.2">
      <c r="A128" s="1" t="s">
        <v>565</v>
      </c>
      <c r="B128" s="12">
        <v>42894</v>
      </c>
      <c r="C128">
        <v>2</v>
      </c>
      <c r="D128" s="13">
        <v>34876</v>
      </c>
      <c r="E128" s="12">
        <v>24643</v>
      </c>
      <c r="F128" s="14">
        <f t="shared" si="42"/>
        <v>49.968514715947983</v>
      </c>
      <c r="G128" s="14">
        <f t="shared" si="43"/>
        <v>21.952087611225188</v>
      </c>
      <c r="H128" s="15" t="s">
        <v>183</v>
      </c>
      <c r="I128" s="15" t="s">
        <v>383</v>
      </c>
      <c r="J128" s="15" t="s">
        <v>183</v>
      </c>
      <c r="K128" s="21">
        <v>8</v>
      </c>
      <c r="L128" s="19"/>
      <c r="N128" s="16" t="e">
        <f t="shared" si="44"/>
        <v>#DIV/0!</v>
      </c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>
        <v>0</v>
      </c>
      <c r="AF128" s="19">
        <v>0</v>
      </c>
      <c r="AG128" s="19">
        <v>0</v>
      </c>
      <c r="AH128" s="19">
        <v>0</v>
      </c>
      <c r="AI128" s="19">
        <v>0</v>
      </c>
      <c r="AJ128" s="19">
        <v>0</v>
      </c>
      <c r="AK128" s="19">
        <v>0</v>
      </c>
      <c r="AL128" s="19">
        <v>0</v>
      </c>
      <c r="AM128" s="19">
        <v>0</v>
      </c>
      <c r="AN128" s="19">
        <v>0</v>
      </c>
      <c r="AO128" s="19">
        <v>0</v>
      </c>
      <c r="AP128" s="19">
        <v>0</v>
      </c>
      <c r="AQ128" s="19">
        <v>0</v>
      </c>
      <c r="AR128" s="19">
        <v>0</v>
      </c>
      <c r="AS128" s="19">
        <v>0</v>
      </c>
      <c r="AT128" s="19">
        <v>0</v>
      </c>
      <c r="AU128" s="19">
        <v>0</v>
      </c>
      <c r="AV128" s="19">
        <v>0</v>
      </c>
      <c r="AW128" s="19">
        <v>0</v>
      </c>
      <c r="AX128" s="19">
        <v>0</v>
      </c>
      <c r="AY128" s="19">
        <v>0</v>
      </c>
      <c r="AZ128" s="19">
        <v>0</v>
      </c>
      <c r="BA128" s="19">
        <v>0</v>
      </c>
      <c r="BB128" s="19">
        <v>0</v>
      </c>
      <c r="BC128" s="19">
        <v>0</v>
      </c>
      <c r="BD128" s="19">
        <v>0</v>
      </c>
      <c r="BE128" s="19">
        <v>0</v>
      </c>
      <c r="BF128" s="19">
        <v>0</v>
      </c>
      <c r="BG128" s="19">
        <v>0</v>
      </c>
      <c r="BH128" s="19">
        <v>0</v>
      </c>
      <c r="BI128" s="19">
        <v>0</v>
      </c>
      <c r="BJ128" s="19">
        <v>0</v>
      </c>
      <c r="BK128" s="19">
        <v>0</v>
      </c>
      <c r="BL128" s="19">
        <v>0</v>
      </c>
      <c r="BM128" s="19">
        <v>0</v>
      </c>
      <c r="BN128" s="19">
        <v>0</v>
      </c>
      <c r="BO128" s="19">
        <v>0</v>
      </c>
      <c r="BP128" s="19">
        <v>0</v>
      </c>
      <c r="BQ128" s="19">
        <v>0</v>
      </c>
      <c r="BR128" s="19">
        <v>1</v>
      </c>
      <c r="BS128" s="19">
        <v>1</v>
      </c>
      <c r="BT128" s="19">
        <v>3</v>
      </c>
      <c r="BU128" s="19">
        <v>5</v>
      </c>
      <c r="BV128" s="19">
        <v>2</v>
      </c>
      <c r="BW128" s="19">
        <v>1</v>
      </c>
      <c r="BX128" s="19">
        <v>5</v>
      </c>
      <c r="BY128" s="19">
        <v>1</v>
      </c>
      <c r="BZ128" s="19">
        <v>1</v>
      </c>
      <c r="CA128" s="19">
        <v>5</v>
      </c>
      <c r="CB128" s="19">
        <v>5</v>
      </c>
      <c r="CC128" s="19">
        <v>5</v>
      </c>
      <c r="CD128" s="19">
        <v>3</v>
      </c>
      <c r="CE128" s="19">
        <v>5</v>
      </c>
      <c r="CF128" s="19">
        <v>3</v>
      </c>
      <c r="CG128" s="19">
        <v>5</v>
      </c>
      <c r="CH128" s="19">
        <v>5</v>
      </c>
      <c r="CI128" s="19">
        <v>5</v>
      </c>
      <c r="CJ128" s="19">
        <v>5</v>
      </c>
      <c r="CK128" s="19">
        <v>7</v>
      </c>
      <c r="CL128" s="30" t="s">
        <v>384</v>
      </c>
      <c r="CM128" s="15">
        <v>28.5</v>
      </c>
      <c r="CN128" s="17">
        <v>69.3</v>
      </c>
      <c r="CO128" s="17">
        <v>114</v>
      </c>
      <c r="CP128" s="17">
        <v>19.5</v>
      </c>
      <c r="CQ128" s="17">
        <v>79.150000000000006</v>
      </c>
      <c r="CR128" s="17">
        <v>0</v>
      </c>
      <c r="CS128" s="17">
        <v>3.87</v>
      </c>
      <c r="CT128" s="17">
        <v>2.86</v>
      </c>
      <c r="CU128" s="17">
        <v>14.12</v>
      </c>
      <c r="CV128" s="17">
        <v>0</v>
      </c>
      <c r="CW128" s="17">
        <v>0</v>
      </c>
      <c r="CX128" s="17">
        <v>0</v>
      </c>
      <c r="CY128" s="17">
        <v>0</v>
      </c>
      <c r="CZ128" s="17">
        <v>0</v>
      </c>
      <c r="DA128" s="17">
        <v>0</v>
      </c>
      <c r="DB128" s="17">
        <v>0.82</v>
      </c>
      <c r="DC128" s="17">
        <v>11.71</v>
      </c>
      <c r="DD128" s="17">
        <v>15.43</v>
      </c>
      <c r="DE128" s="17">
        <v>4.91</v>
      </c>
      <c r="DF128" s="17">
        <v>0</v>
      </c>
      <c r="DG128" s="17">
        <v>0</v>
      </c>
      <c r="DH128" s="17">
        <v>0</v>
      </c>
      <c r="DI128" s="17">
        <v>0</v>
      </c>
      <c r="DJ128" s="17">
        <v>0</v>
      </c>
      <c r="DK128" s="17">
        <v>0</v>
      </c>
      <c r="DL128" s="17">
        <v>0</v>
      </c>
      <c r="DM128" s="17">
        <v>0</v>
      </c>
      <c r="DN128" s="17">
        <v>0</v>
      </c>
      <c r="DO128" s="17">
        <v>0</v>
      </c>
      <c r="DP128" s="17">
        <v>0</v>
      </c>
      <c r="DQ128" s="17">
        <v>0</v>
      </c>
      <c r="DR128" s="17">
        <v>0</v>
      </c>
      <c r="DS128" s="17">
        <v>0</v>
      </c>
      <c r="DT128" s="17">
        <v>0</v>
      </c>
      <c r="DU128" s="17">
        <v>0</v>
      </c>
      <c r="DV128" s="17">
        <v>0</v>
      </c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31"/>
      <c r="EH128" s="17"/>
      <c r="EK128" s="31"/>
      <c r="EO128" s="31"/>
      <c r="ES128" s="31"/>
      <c r="EW128" s="31"/>
      <c r="EY128" s="15">
        <v>0</v>
      </c>
      <c r="GJ128" s="15">
        <v>0</v>
      </c>
      <c r="GK128" s="15">
        <v>0</v>
      </c>
      <c r="GU128" s="15">
        <v>8.6999999999999993</v>
      </c>
      <c r="GV128" s="15">
        <f t="shared" si="47"/>
        <v>15.43</v>
      </c>
      <c r="GW128" s="15">
        <v>0</v>
      </c>
      <c r="GX128" s="15">
        <v>0</v>
      </c>
      <c r="GY128" s="15">
        <v>0</v>
      </c>
      <c r="GZ128" s="15">
        <v>0</v>
      </c>
      <c r="HA128" s="15">
        <v>0</v>
      </c>
      <c r="HB128" s="15">
        <v>0</v>
      </c>
      <c r="HC128" s="15" t="s">
        <v>385</v>
      </c>
      <c r="HD128" s="15">
        <v>38.5</v>
      </c>
      <c r="HE128" s="17">
        <v>55</v>
      </c>
      <c r="HF128" s="17">
        <v>114</v>
      </c>
      <c r="HG128" s="17">
        <v>7.8</v>
      </c>
      <c r="HH128" s="17">
        <v>95.15</v>
      </c>
      <c r="HI128" s="17">
        <v>0</v>
      </c>
      <c r="HJ128" s="17">
        <v>3.78</v>
      </c>
      <c r="HK128" s="17">
        <v>0</v>
      </c>
      <c r="HL128" s="17">
        <v>1.07</v>
      </c>
      <c r="HM128" s="17">
        <v>0</v>
      </c>
      <c r="HN128" s="17">
        <v>0</v>
      </c>
      <c r="HO128" s="17">
        <v>0</v>
      </c>
      <c r="HP128" s="17">
        <v>0</v>
      </c>
      <c r="HQ128" s="17">
        <v>0</v>
      </c>
      <c r="HR128" s="17">
        <v>0</v>
      </c>
      <c r="HS128" s="17">
        <v>0</v>
      </c>
      <c r="HT128" s="17">
        <v>15.05</v>
      </c>
      <c r="HU128" s="17">
        <v>4.58</v>
      </c>
      <c r="HV128" s="17">
        <v>0.1</v>
      </c>
      <c r="HW128" s="17">
        <v>0</v>
      </c>
      <c r="HX128" s="17">
        <v>0</v>
      </c>
      <c r="HY128" s="17">
        <v>0</v>
      </c>
      <c r="IL128" s="15">
        <v>22.8</v>
      </c>
      <c r="IM128" s="15">
        <v>1</v>
      </c>
      <c r="IN128" s="15">
        <v>38</v>
      </c>
      <c r="IO128" s="15">
        <v>5</v>
      </c>
      <c r="IP128" s="15">
        <f>2.45+1.09</f>
        <v>3.54</v>
      </c>
      <c r="IQ128" s="15">
        <v>5</v>
      </c>
      <c r="IX128" s="31"/>
      <c r="JB128" s="31"/>
      <c r="JF128" s="31"/>
      <c r="JJ128" s="31"/>
      <c r="JN128" s="31"/>
      <c r="JP128" s="15">
        <v>0</v>
      </c>
      <c r="LA128" s="15">
        <v>0</v>
      </c>
      <c r="LB128" s="15">
        <v>0</v>
      </c>
      <c r="LL128" s="15">
        <v>7.84</v>
      </c>
      <c r="LM128" s="15">
        <f>2.45+1.09</f>
        <v>3.54</v>
      </c>
      <c r="LN128" s="15">
        <v>0</v>
      </c>
      <c r="LO128" s="15">
        <v>0</v>
      </c>
      <c r="LP128" s="15">
        <v>0</v>
      </c>
      <c r="LQ128" s="15">
        <v>0</v>
      </c>
      <c r="LR128" s="15">
        <v>0</v>
      </c>
      <c r="LS128" s="15">
        <v>0</v>
      </c>
      <c r="LT128" s="15" t="s">
        <v>386</v>
      </c>
      <c r="LU128" s="15">
        <v>38</v>
      </c>
      <c r="LV128" s="17">
        <v>48.8</v>
      </c>
      <c r="LW128" s="17">
        <v>114</v>
      </c>
      <c r="LX128" s="17">
        <v>7.2</v>
      </c>
      <c r="LY128" s="17">
        <v>96.13</v>
      </c>
      <c r="LZ128" s="17">
        <v>0</v>
      </c>
      <c r="MA128" s="17">
        <v>3.78</v>
      </c>
      <c r="MB128" s="17">
        <v>0</v>
      </c>
      <c r="MC128" s="17">
        <v>0.1</v>
      </c>
      <c r="MD128" s="17">
        <v>0</v>
      </c>
      <c r="ME128" s="17">
        <v>0</v>
      </c>
      <c r="MF128" s="17">
        <v>0</v>
      </c>
      <c r="MG128" s="17">
        <v>0</v>
      </c>
      <c r="MH128" s="17">
        <v>0</v>
      </c>
      <c r="MI128" s="17">
        <v>0</v>
      </c>
      <c r="MJ128" s="17">
        <v>0</v>
      </c>
      <c r="MK128" s="17">
        <v>12.85</v>
      </c>
      <c r="ML128" s="17">
        <v>4.58</v>
      </c>
      <c r="MM128" s="17">
        <v>0.1</v>
      </c>
      <c r="MN128" s="17">
        <v>0</v>
      </c>
      <c r="MO128" s="17">
        <v>0</v>
      </c>
      <c r="MP128" s="17">
        <v>0</v>
      </c>
      <c r="NC128" s="15">
        <v>22.8</v>
      </c>
      <c r="ND128" s="15">
        <v>1</v>
      </c>
      <c r="NE128" s="15">
        <v>38</v>
      </c>
      <c r="NF128" s="15">
        <v>5</v>
      </c>
      <c r="NG128" s="15">
        <f>2.45+1.09</f>
        <v>3.54</v>
      </c>
      <c r="NH128" s="15">
        <v>5</v>
      </c>
      <c r="NI128" s="15">
        <v>20</v>
      </c>
      <c r="NJ128" s="15">
        <v>4</v>
      </c>
      <c r="NK128" s="15">
        <v>0.28999999999999998</v>
      </c>
      <c r="NL128" s="15">
        <v>2</v>
      </c>
      <c r="NO128" s="31"/>
      <c r="NS128" s="31"/>
      <c r="NW128" s="31"/>
      <c r="OA128" s="31"/>
      <c r="OE128" s="31"/>
      <c r="OG128" s="15">
        <v>0</v>
      </c>
      <c r="PR128" s="15">
        <v>0</v>
      </c>
      <c r="PS128" s="15">
        <v>0</v>
      </c>
      <c r="QC128" s="15">
        <v>7.84</v>
      </c>
      <c r="QD128" s="15">
        <f>2.45+1.09</f>
        <v>3.54</v>
      </c>
      <c r="QE128" s="15">
        <v>0</v>
      </c>
      <c r="QF128" s="15">
        <v>0</v>
      </c>
      <c r="QG128" s="15">
        <v>0</v>
      </c>
      <c r="QH128" s="15">
        <v>0</v>
      </c>
      <c r="QI128" s="15">
        <v>0</v>
      </c>
      <c r="QJ128" s="15">
        <v>0</v>
      </c>
      <c r="QK128" s="15" t="s">
        <v>387</v>
      </c>
      <c r="QL128" s="15">
        <v>64</v>
      </c>
      <c r="QM128" s="17">
        <v>70.599999999999994</v>
      </c>
      <c r="QN128" s="17">
        <v>114</v>
      </c>
      <c r="QO128" s="17">
        <v>14.9</v>
      </c>
      <c r="QP128" s="17">
        <v>88.29</v>
      </c>
      <c r="QQ128" s="17">
        <v>0</v>
      </c>
      <c r="QR128" s="17">
        <v>9.81</v>
      </c>
      <c r="QS128" s="17">
        <v>1.64</v>
      </c>
      <c r="QT128" s="17">
        <v>0.26</v>
      </c>
      <c r="QU128" s="17">
        <v>0</v>
      </c>
      <c r="QV128" s="17">
        <v>0</v>
      </c>
      <c r="QW128" s="17">
        <v>0</v>
      </c>
      <c r="QX128" s="17">
        <v>0</v>
      </c>
      <c r="QY128" s="17">
        <v>0</v>
      </c>
      <c r="QZ128" s="17">
        <v>0</v>
      </c>
      <c r="RA128" s="17">
        <v>0.55000000000000004</v>
      </c>
      <c r="RB128" s="17">
        <v>22.64</v>
      </c>
      <c r="RC128" s="17">
        <v>2.58</v>
      </c>
      <c r="RD128" s="17">
        <v>0.13</v>
      </c>
      <c r="RE128" s="17">
        <v>0</v>
      </c>
      <c r="RF128" s="17">
        <v>0</v>
      </c>
      <c r="RG128" s="17">
        <v>0</v>
      </c>
      <c r="RT128" s="15">
        <v>40.4</v>
      </c>
      <c r="RU128" s="15">
        <v>1</v>
      </c>
      <c r="RV128" s="15">
        <v>38</v>
      </c>
      <c r="RW128" s="15">
        <v>9</v>
      </c>
      <c r="RX128" s="15">
        <v>5.52</v>
      </c>
      <c r="RY128" s="15">
        <v>5</v>
      </c>
      <c r="RZ128" s="15">
        <v>23</v>
      </c>
      <c r="SA128" s="15">
        <v>1</v>
      </c>
      <c r="SB128" s="15">
        <v>0.09</v>
      </c>
      <c r="SC128" s="15">
        <v>3</v>
      </c>
      <c r="SF128" s="31"/>
      <c r="SJ128" s="31"/>
      <c r="SN128" s="31"/>
      <c r="SR128" s="31"/>
      <c r="SV128" s="31"/>
      <c r="SX128" s="15">
        <v>0</v>
      </c>
      <c r="UI128" s="15">
        <v>0</v>
      </c>
      <c r="UJ128" s="15">
        <v>0</v>
      </c>
      <c r="UT128" s="15">
        <v>8.33</v>
      </c>
      <c r="UU128" s="15">
        <v>5.52</v>
      </c>
      <c r="UV128" s="15">
        <v>0</v>
      </c>
      <c r="UW128" s="15">
        <v>0</v>
      </c>
      <c r="UX128" s="15">
        <v>0</v>
      </c>
      <c r="UY128" s="15">
        <v>0</v>
      </c>
      <c r="UZ128" s="15">
        <v>0</v>
      </c>
      <c r="VA128" s="15">
        <v>0</v>
      </c>
      <c r="VB128" s="15" t="s">
        <v>388</v>
      </c>
      <c r="VC128" s="15">
        <v>64</v>
      </c>
      <c r="VD128" s="17">
        <v>79.5</v>
      </c>
      <c r="VE128" s="17">
        <v>114</v>
      </c>
      <c r="VF128" s="17">
        <v>15</v>
      </c>
      <c r="VG128" s="17">
        <v>88.29</v>
      </c>
      <c r="VH128" s="17">
        <v>0</v>
      </c>
      <c r="VI128" s="17">
        <v>9.81</v>
      </c>
      <c r="VJ128" s="17">
        <v>1.64</v>
      </c>
      <c r="VK128" s="17">
        <v>0.26</v>
      </c>
      <c r="VL128" s="17">
        <v>0</v>
      </c>
      <c r="VM128" s="17">
        <v>0</v>
      </c>
      <c r="VN128" s="17">
        <v>0</v>
      </c>
      <c r="VO128" s="17">
        <v>0</v>
      </c>
      <c r="VP128" s="17">
        <v>0</v>
      </c>
      <c r="VQ128" s="17">
        <v>0</v>
      </c>
      <c r="VR128" s="17">
        <v>0.55000000000000004</v>
      </c>
      <c r="VS128" s="17">
        <v>24</v>
      </c>
      <c r="VT128" s="17">
        <v>4.3099999999999996</v>
      </c>
      <c r="VU128" s="17">
        <v>0.82</v>
      </c>
      <c r="VV128" s="17">
        <v>0</v>
      </c>
      <c r="VW128" s="17">
        <v>0</v>
      </c>
      <c r="VX128" s="17">
        <v>0</v>
      </c>
      <c r="VY128" s="17"/>
      <c r="WK128" s="15">
        <v>40.4</v>
      </c>
      <c r="WL128" s="15">
        <v>1</v>
      </c>
      <c r="WM128" s="15">
        <v>38</v>
      </c>
      <c r="WN128" s="15">
        <v>9</v>
      </c>
      <c r="WO128" s="15">
        <v>5.52</v>
      </c>
      <c r="WP128" s="15">
        <v>5</v>
      </c>
      <c r="WQ128" s="15">
        <v>23</v>
      </c>
      <c r="WR128" s="15">
        <v>1</v>
      </c>
      <c r="WS128" s="15">
        <v>0.09</v>
      </c>
      <c r="WT128" s="15">
        <v>3</v>
      </c>
      <c r="WW128" s="31"/>
      <c r="XA128" s="31"/>
      <c r="XE128" s="31"/>
      <c r="XI128" s="31"/>
      <c r="XM128" s="31"/>
      <c r="XO128" s="15">
        <v>0</v>
      </c>
      <c r="YZ128" s="15">
        <v>0</v>
      </c>
      <c r="ZA128" s="15">
        <v>0</v>
      </c>
      <c r="ZK128" s="15">
        <v>8.33</v>
      </c>
      <c r="ZL128" s="15">
        <v>5.52</v>
      </c>
      <c r="ZM128" s="15">
        <v>0</v>
      </c>
      <c r="ZN128" s="15">
        <v>0</v>
      </c>
      <c r="ZO128" s="15">
        <v>0</v>
      </c>
      <c r="ZP128" s="15">
        <v>0</v>
      </c>
      <c r="ZQ128" s="15">
        <v>0</v>
      </c>
      <c r="ZR128" s="15">
        <v>0</v>
      </c>
      <c r="ZU128" s="15"/>
      <c r="ZV128" s="15"/>
      <c r="AAC128" s="15"/>
      <c r="AAD128" s="15"/>
      <c r="AAK128" s="15"/>
      <c r="AAL128" s="15"/>
      <c r="AAS128" s="15"/>
      <c r="AAT128" s="15"/>
      <c r="ABA128" s="15"/>
      <c r="ABB128" s="15"/>
      <c r="ABI128" s="15"/>
      <c r="ABJ128" s="15"/>
      <c r="ABQ128" s="15"/>
      <c r="ABR128" s="15"/>
      <c r="ABY128" s="15"/>
      <c r="ABZ128" s="15"/>
      <c r="ACG128" s="15"/>
      <c r="ACH128" s="15"/>
      <c r="ACO128" s="15"/>
      <c r="ACP128" s="15"/>
      <c r="ACW128" s="15"/>
      <c r="ACX128" s="15"/>
      <c r="ADE128" s="15"/>
      <c r="ADF128" s="15"/>
      <c r="ADM128" s="15"/>
      <c r="ADN128" s="15"/>
      <c r="ADU128" s="15"/>
      <c r="ADV128" s="15"/>
      <c r="AEC128" s="15"/>
      <c r="AED128" s="15"/>
      <c r="AEK128" s="15"/>
      <c r="AEL128" s="15"/>
      <c r="AES128" s="15"/>
      <c r="AET128" s="15"/>
      <c r="AFA128" s="15"/>
      <c r="AFB128" s="15"/>
      <c r="AFI128" s="15"/>
      <c r="AFJ128" s="15"/>
      <c r="AFQ128" s="15"/>
      <c r="AFR128" s="15"/>
      <c r="AFY128" s="15"/>
      <c r="AFZ128" s="15"/>
      <c r="AGG128" s="15"/>
      <c r="AGH128" s="15"/>
      <c r="AGO128" s="15"/>
      <c r="AGP128" s="15"/>
      <c r="AGW128" s="15"/>
      <c r="AGX128" s="15"/>
      <c r="AHE128" s="15"/>
      <c r="AHF128" s="15"/>
      <c r="AHM128" s="15"/>
      <c r="AHN128" s="15"/>
      <c r="AHU128" s="15"/>
      <c r="AHV128" s="15"/>
      <c r="AIC128" s="15"/>
      <c r="AID128" s="15"/>
      <c r="AIK128" s="15"/>
      <c r="AIL128" s="15"/>
      <c r="AIS128" s="15"/>
      <c r="AIT128" s="15"/>
      <c r="AJA128" s="15"/>
      <c r="AJB128" s="15"/>
      <c r="AJI128" s="15"/>
      <c r="AJJ128" s="15"/>
      <c r="AJQ128" s="15"/>
      <c r="AJR128" s="15"/>
      <c r="AJY128" s="15"/>
      <c r="AJZ128" s="15"/>
      <c r="AKG128" s="15"/>
      <c r="AKH128" s="15"/>
      <c r="AKO128" s="15"/>
      <c r="AKP128" s="15"/>
      <c r="AKW128" s="15"/>
      <c r="AKX128" s="15"/>
      <c r="ALE128" s="15"/>
      <c r="ALF128" s="15"/>
      <c r="ALM128" s="15"/>
      <c r="ALN128" s="15"/>
      <c r="ALU128" s="15"/>
      <c r="ALV128" s="15"/>
      <c r="AMC128" s="15"/>
      <c r="AMD128" s="15"/>
    </row>
    <row r="129" spans="1:1024" x14ac:dyDescent="0.2">
      <c r="A129" s="1" t="s">
        <v>566</v>
      </c>
      <c r="B129" s="12">
        <v>42894</v>
      </c>
      <c r="C129">
        <v>1</v>
      </c>
      <c r="D129" s="13">
        <v>35618</v>
      </c>
      <c r="E129" s="12">
        <v>25237</v>
      </c>
      <c r="F129" s="14">
        <f t="shared" si="42"/>
        <v>48.342231348391515</v>
      </c>
      <c r="G129" s="14">
        <f t="shared" si="43"/>
        <v>19.920602327173167</v>
      </c>
      <c r="H129" s="15" t="s">
        <v>183</v>
      </c>
      <c r="I129" s="15" t="s">
        <v>383</v>
      </c>
      <c r="J129" s="15" t="s">
        <v>183</v>
      </c>
      <c r="K129" s="21">
        <v>8</v>
      </c>
      <c r="L129" s="19">
        <v>55</v>
      </c>
      <c r="M129">
        <v>1.61</v>
      </c>
      <c r="N129" s="16">
        <f t="shared" si="44"/>
        <v>21.218317194552675</v>
      </c>
      <c r="O129" s="19">
        <v>1</v>
      </c>
      <c r="P129" s="19">
        <v>1</v>
      </c>
      <c r="Q129" s="19" t="s">
        <v>567</v>
      </c>
      <c r="R129" s="19">
        <v>0</v>
      </c>
      <c r="S129" s="19">
        <v>0</v>
      </c>
      <c r="T129" s="19">
        <v>0</v>
      </c>
      <c r="U129" s="19">
        <v>0</v>
      </c>
      <c r="V129" s="19">
        <v>0</v>
      </c>
      <c r="W129" s="19">
        <v>1</v>
      </c>
      <c r="X129" s="19">
        <v>1</v>
      </c>
      <c r="Y129" s="19">
        <v>0</v>
      </c>
      <c r="Z129" s="19">
        <v>0</v>
      </c>
      <c r="AA129" s="19">
        <v>0</v>
      </c>
      <c r="AB129" s="19">
        <v>0</v>
      </c>
      <c r="AC129" s="19">
        <v>1</v>
      </c>
      <c r="AD129" s="19">
        <v>15</v>
      </c>
      <c r="AE129" s="19">
        <v>1</v>
      </c>
      <c r="AF129" s="19">
        <v>1</v>
      </c>
      <c r="AG129" s="19">
        <v>1</v>
      </c>
      <c r="AH129" s="19">
        <v>8</v>
      </c>
      <c r="AI129" s="19">
        <v>3</v>
      </c>
      <c r="AJ129" s="19">
        <v>3</v>
      </c>
      <c r="AK129" s="19">
        <v>3</v>
      </c>
      <c r="AL129" s="19"/>
      <c r="AM129" s="19">
        <v>10</v>
      </c>
      <c r="AN129" s="19">
        <v>0</v>
      </c>
      <c r="AO129" s="19">
        <v>0</v>
      </c>
      <c r="AP129" s="19">
        <v>0</v>
      </c>
      <c r="AQ129" s="19">
        <v>0</v>
      </c>
      <c r="AR129" s="19">
        <v>0</v>
      </c>
      <c r="AS129" s="19">
        <v>3</v>
      </c>
      <c r="AT129" s="19">
        <v>3</v>
      </c>
      <c r="AU129" s="19">
        <v>3</v>
      </c>
      <c r="AV129" s="19">
        <v>7</v>
      </c>
      <c r="AW129" s="19">
        <v>7</v>
      </c>
      <c r="AX129" s="19">
        <v>0</v>
      </c>
      <c r="AY129" s="19">
        <v>0</v>
      </c>
      <c r="AZ129" s="19">
        <v>0</v>
      </c>
      <c r="BA129" s="19">
        <v>0</v>
      </c>
      <c r="BB129" s="19">
        <v>1</v>
      </c>
      <c r="BC129" s="19">
        <v>1</v>
      </c>
      <c r="BD129" s="19">
        <v>1</v>
      </c>
      <c r="BE129" s="19">
        <v>9</v>
      </c>
      <c r="BF129" s="19">
        <v>1</v>
      </c>
      <c r="BG129" s="19">
        <v>1</v>
      </c>
      <c r="BH129" s="19">
        <v>1</v>
      </c>
      <c r="BI129" s="19">
        <v>7</v>
      </c>
      <c r="BJ129" s="19">
        <v>0</v>
      </c>
      <c r="BK129" s="19">
        <v>0</v>
      </c>
      <c r="BL129" s="19">
        <v>0</v>
      </c>
      <c r="BM129" s="19">
        <v>0</v>
      </c>
      <c r="BN129" s="19">
        <v>1</v>
      </c>
      <c r="BO129" s="19">
        <v>1</v>
      </c>
      <c r="BP129" s="19">
        <v>1</v>
      </c>
      <c r="BQ129" s="19">
        <v>8</v>
      </c>
      <c r="BR129" s="19">
        <v>4</v>
      </c>
      <c r="BS129" s="19">
        <v>3</v>
      </c>
      <c r="BT129" s="19">
        <v>4</v>
      </c>
      <c r="BU129" s="19">
        <v>4</v>
      </c>
      <c r="BV129" s="19">
        <v>3</v>
      </c>
      <c r="BW129" s="19">
        <v>3</v>
      </c>
      <c r="BX129" s="19">
        <v>2</v>
      </c>
      <c r="BY129" s="19">
        <v>3</v>
      </c>
      <c r="BZ129" s="19">
        <v>1</v>
      </c>
      <c r="CA129" s="19">
        <v>1</v>
      </c>
      <c r="CB129" s="19">
        <v>3</v>
      </c>
      <c r="CC129" s="19">
        <v>2</v>
      </c>
      <c r="CD129" s="19">
        <v>3</v>
      </c>
      <c r="CE129" s="19">
        <v>4</v>
      </c>
      <c r="CF129" s="19">
        <v>4</v>
      </c>
      <c r="CG129" s="19">
        <v>4</v>
      </c>
      <c r="CH129" s="19">
        <v>1</v>
      </c>
      <c r="CI129" s="19">
        <v>4</v>
      </c>
      <c r="CJ129" s="19">
        <v>5</v>
      </c>
      <c r="CK129" s="19">
        <v>6</v>
      </c>
      <c r="CL129" s="30" t="s">
        <v>384</v>
      </c>
      <c r="CM129" s="15">
        <v>28.5</v>
      </c>
      <c r="CN129" s="17">
        <v>69.3</v>
      </c>
      <c r="CO129" s="17">
        <v>114</v>
      </c>
      <c r="CP129" s="17">
        <v>19.5</v>
      </c>
      <c r="CQ129" s="17">
        <v>79.150000000000006</v>
      </c>
      <c r="CR129" s="17">
        <v>0</v>
      </c>
      <c r="CS129" s="17">
        <v>3.87</v>
      </c>
      <c r="CT129" s="17">
        <v>2.86</v>
      </c>
      <c r="CU129" s="17">
        <v>14.12</v>
      </c>
      <c r="CV129" s="17">
        <v>0</v>
      </c>
      <c r="CW129" s="17">
        <v>0</v>
      </c>
      <c r="CX129" s="17">
        <v>0</v>
      </c>
      <c r="CY129" s="17">
        <v>0</v>
      </c>
      <c r="CZ129" s="17">
        <v>0</v>
      </c>
      <c r="DA129" s="17">
        <v>0</v>
      </c>
      <c r="DB129" s="17">
        <v>0.82</v>
      </c>
      <c r="DC129" s="17">
        <v>11.71</v>
      </c>
      <c r="DD129" s="17">
        <v>15.43</v>
      </c>
      <c r="DE129" s="17">
        <v>4.91</v>
      </c>
      <c r="DF129" s="17">
        <v>0</v>
      </c>
      <c r="DG129" s="17">
        <v>0</v>
      </c>
      <c r="DH129" s="17">
        <v>0</v>
      </c>
      <c r="DI129" s="17">
        <v>0</v>
      </c>
      <c r="DJ129" s="17">
        <v>0</v>
      </c>
      <c r="DK129" s="17">
        <v>0</v>
      </c>
      <c r="DL129" s="17">
        <v>0</v>
      </c>
      <c r="DM129" s="17">
        <v>0</v>
      </c>
      <c r="DN129" s="17">
        <v>0</v>
      </c>
      <c r="DO129" s="17">
        <v>0</v>
      </c>
      <c r="DP129" s="17">
        <v>0</v>
      </c>
      <c r="DQ129" s="17">
        <v>0</v>
      </c>
      <c r="DR129" s="17">
        <v>0</v>
      </c>
      <c r="DS129" s="17">
        <v>0</v>
      </c>
      <c r="DT129" s="17">
        <v>0</v>
      </c>
      <c r="DU129" s="17">
        <v>0</v>
      </c>
      <c r="DV129" s="17">
        <v>0</v>
      </c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31"/>
      <c r="EH129" s="17"/>
      <c r="EK129" s="31"/>
      <c r="EO129" s="31"/>
      <c r="ES129" s="31"/>
      <c r="EW129" s="31"/>
      <c r="EY129" s="15">
        <v>0</v>
      </c>
      <c r="GJ129" s="15">
        <v>0</v>
      </c>
      <c r="GK129" s="15">
        <v>0</v>
      </c>
      <c r="GU129" s="15">
        <v>8.6999999999999993</v>
      </c>
      <c r="GV129" s="15">
        <f t="shared" si="47"/>
        <v>15.43</v>
      </c>
      <c r="GW129" s="15">
        <v>0</v>
      </c>
      <c r="GX129" s="15">
        <v>0</v>
      </c>
      <c r="GY129" s="15">
        <v>0</v>
      </c>
      <c r="GZ129" s="15">
        <v>0</v>
      </c>
      <c r="HA129" s="15">
        <v>0</v>
      </c>
      <c r="HB129" s="15">
        <v>0</v>
      </c>
      <c r="HC129" s="15" t="s">
        <v>385</v>
      </c>
      <c r="HD129" s="15">
        <v>38.5</v>
      </c>
      <c r="HE129" s="17">
        <v>55</v>
      </c>
      <c r="HF129" s="17">
        <v>114</v>
      </c>
      <c r="HG129" s="17">
        <v>7.8</v>
      </c>
      <c r="HH129" s="17">
        <v>95.15</v>
      </c>
      <c r="HI129" s="17">
        <v>0</v>
      </c>
      <c r="HJ129" s="17">
        <v>3.78</v>
      </c>
      <c r="HK129" s="17">
        <v>0</v>
      </c>
      <c r="HL129" s="17">
        <v>1.07</v>
      </c>
      <c r="HM129" s="17">
        <v>0</v>
      </c>
      <c r="HN129" s="17">
        <v>0</v>
      </c>
      <c r="HO129" s="17">
        <v>0</v>
      </c>
      <c r="HP129" s="17">
        <v>0</v>
      </c>
      <c r="HQ129" s="17">
        <v>0</v>
      </c>
      <c r="HR129" s="17">
        <v>0</v>
      </c>
      <c r="HS129" s="17">
        <v>0</v>
      </c>
      <c r="HT129" s="17">
        <v>15.05</v>
      </c>
      <c r="HU129" s="17">
        <v>4.58</v>
      </c>
      <c r="HV129" s="17">
        <v>0.1</v>
      </c>
      <c r="HW129" s="17">
        <v>0</v>
      </c>
      <c r="HX129" s="17">
        <v>0</v>
      </c>
      <c r="HY129" s="17">
        <v>0</v>
      </c>
      <c r="IL129" s="15">
        <v>22.8</v>
      </c>
      <c r="IM129" s="15">
        <v>1</v>
      </c>
      <c r="IN129" s="15">
        <v>38</v>
      </c>
      <c r="IO129" s="15">
        <v>5</v>
      </c>
      <c r="IP129" s="15">
        <f>2.45+1.09</f>
        <v>3.54</v>
      </c>
      <c r="IQ129" s="15">
        <v>5</v>
      </c>
      <c r="IX129" s="31"/>
      <c r="JB129" s="31"/>
      <c r="JF129" s="31"/>
      <c r="JJ129" s="31"/>
      <c r="JN129" s="31"/>
      <c r="JP129" s="15">
        <v>0</v>
      </c>
      <c r="LA129" s="15">
        <v>0</v>
      </c>
      <c r="LB129" s="15">
        <v>0</v>
      </c>
      <c r="LL129" s="15">
        <v>7.84</v>
      </c>
      <c r="LM129" s="15">
        <f>2.45+1.09</f>
        <v>3.54</v>
      </c>
      <c r="LN129" s="15">
        <v>0</v>
      </c>
      <c r="LO129" s="15">
        <v>0</v>
      </c>
      <c r="LP129" s="15">
        <v>0</v>
      </c>
      <c r="LQ129" s="15">
        <v>0</v>
      </c>
      <c r="LR129" s="15">
        <v>0</v>
      </c>
      <c r="LS129" s="15">
        <v>0</v>
      </c>
      <c r="LT129" s="15" t="s">
        <v>386</v>
      </c>
      <c r="LU129" s="15">
        <v>38</v>
      </c>
      <c r="LV129" s="17">
        <v>48.8</v>
      </c>
      <c r="LW129" s="17">
        <v>114</v>
      </c>
      <c r="LX129" s="17">
        <v>7.2</v>
      </c>
      <c r="LY129" s="17">
        <v>96.13</v>
      </c>
      <c r="LZ129" s="17">
        <v>0</v>
      </c>
      <c r="MA129" s="17">
        <v>3.78</v>
      </c>
      <c r="MB129" s="17">
        <v>0</v>
      </c>
      <c r="MC129" s="17">
        <v>0.1</v>
      </c>
      <c r="MD129" s="17">
        <v>0</v>
      </c>
      <c r="ME129" s="17">
        <v>0</v>
      </c>
      <c r="MF129" s="17">
        <v>0</v>
      </c>
      <c r="MG129" s="17">
        <v>0</v>
      </c>
      <c r="MH129" s="17">
        <v>0</v>
      </c>
      <c r="MI129" s="17">
        <v>0</v>
      </c>
      <c r="MJ129" s="17">
        <v>0</v>
      </c>
      <c r="MK129" s="17">
        <v>12.85</v>
      </c>
      <c r="ML129" s="17">
        <v>4.58</v>
      </c>
      <c r="MM129" s="17">
        <v>0.1</v>
      </c>
      <c r="MN129" s="17">
        <v>0</v>
      </c>
      <c r="MO129" s="17">
        <v>0</v>
      </c>
      <c r="MP129" s="17">
        <v>0</v>
      </c>
      <c r="NC129" s="15">
        <v>22.8</v>
      </c>
      <c r="ND129" s="15">
        <v>1</v>
      </c>
      <c r="NE129" s="15">
        <v>38</v>
      </c>
      <c r="NF129" s="15">
        <v>5</v>
      </c>
      <c r="NG129" s="15">
        <f>2.45+1.09</f>
        <v>3.54</v>
      </c>
      <c r="NH129" s="15">
        <v>5</v>
      </c>
      <c r="NI129" s="15">
        <v>20</v>
      </c>
      <c r="NJ129" s="15">
        <v>4</v>
      </c>
      <c r="NK129" s="15">
        <v>0.28999999999999998</v>
      </c>
      <c r="NL129" s="15">
        <v>2</v>
      </c>
      <c r="NO129" s="31"/>
      <c r="NS129" s="31"/>
      <c r="NW129" s="31"/>
      <c r="OA129" s="31"/>
      <c r="OE129" s="31"/>
      <c r="OG129" s="15">
        <v>0</v>
      </c>
      <c r="PR129" s="15">
        <v>0</v>
      </c>
      <c r="PS129" s="15">
        <v>0</v>
      </c>
      <c r="QC129" s="15">
        <v>7.84</v>
      </c>
      <c r="QD129" s="15">
        <f>2.45+1.09</f>
        <v>3.54</v>
      </c>
      <c r="QE129" s="15">
        <v>0</v>
      </c>
      <c r="QF129" s="15">
        <v>0</v>
      </c>
      <c r="QG129" s="15">
        <v>0</v>
      </c>
      <c r="QH129" s="15">
        <v>0</v>
      </c>
      <c r="QI129" s="15">
        <v>0</v>
      </c>
      <c r="QJ129" s="15">
        <v>0</v>
      </c>
      <c r="QK129" s="15" t="s">
        <v>387</v>
      </c>
      <c r="QL129" s="15">
        <v>64</v>
      </c>
      <c r="QM129" s="17">
        <v>70.599999999999994</v>
      </c>
      <c r="QN129" s="17">
        <v>114</v>
      </c>
      <c r="QO129" s="17">
        <v>14.9</v>
      </c>
      <c r="QP129" s="17">
        <v>88.29</v>
      </c>
      <c r="QQ129" s="17">
        <v>0</v>
      </c>
      <c r="QR129" s="17">
        <v>9.81</v>
      </c>
      <c r="QS129" s="17">
        <v>1.64</v>
      </c>
      <c r="QT129" s="17">
        <v>0.26</v>
      </c>
      <c r="QU129" s="17">
        <v>0</v>
      </c>
      <c r="QV129" s="17">
        <v>0</v>
      </c>
      <c r="QW129" s="17">
        <v>0</v>
      </c>
      <c r="QX129" s="17">
        <v>0</v>
      </c>
      <c r="QY129" s="17">
        <v>0</v>
      </c>
      <c r="QZ129" s="17">
        <v>0</v>
      </c>
      <c r="RA129" s="17">
        <v>0.55000000000000004</v>
      </c>
      <c r="RB129" s="17">
        <v>22.64</v>
      </c>
      <c r="RC129" s="17">
        <v>2.58</v>
      </c>
      <c r="RD129" s="17">
        <v>0.13</v>
      </c>
      <c r="RE129" s="17">
        <v>0</v>
      </c>
      <c r="RF129" s="17">
        <v>0</v>
      </c>
      <c r="RG129" s="17">
        <v>0</v>
      </c>
      <c r="RT129" s="15">
        <v>40.4</v>
      </c>
      <c r="RU129" s="15">
        <v>1</v>
      </c>
      <c r="RV129" s="15">
        <v>38</v>
      </c>
      <c r="RW129" s="15">
        <v>9</v>
      </c>
      <c r="RX129" s="15">
        <v>5.52</v>
      </c>
      <c r="RY129" s="15">
        <v>5</v>
      </c>
      <c r="RZ129" s="15">
        <v>23</v>
      </c>
      <c r="SA129" s="15">
        <v>1</v>
      </c>
      <c r="SB129" s="15">
        <v>0.09</v>
      </c>
      <c r="SC129" s="15">
        <v>3</v>
      </c>
      <c r="SF129" s="31"/>
      <c r="SJ129" s="31"/>
      <c r="SN129" s="31"/>
      <c r="SR129" s="31"/>
      <c r="SV129" s="31"/>
      <c r="SX129" s="15">
        <v>0</v>
      </c>
      <c r="UI129" s="15">
        <v>0</v>
      </c>
      <c r="UJ129" s="15">
        <v>0</v>
      </c>
      <c r="UT129" s="15">
        <v>8.33</v>
      </c>
      <c r="UU129" s="15">
        <v>5.52</v>
      </c>
      <c r="UV129" s="15">
        <v>0</v>
      </c>
      <c r="UW129" s="15">
        <v>0</v>
      </c>
      <c r="UX129" s="15">
        <v>0</v>
      </c>
      <c r="UY129" s="15">
        <v>0</v>
      </c>
      <c r="UZ129" s="15">
        <v>0</v>
      </c>
      <c r="VA129" s="15">
        <v>0</v>
      </c>
      <c r="VB129" s="15" t="s">
        <v>388</v>
      </c>
      <c r="VC129" s="15">
        <v>64</v>
      </c>
      <c r="VD129" s="17">
        <v>79.5</v>
      </c>
      <c r="VE129" s="17">
        <v>114</v>
      </c>
      <c r="VF129" s="17">
        <v>15</v>
      </c>
      <c r="VG129" s="17">
        <v>88.29</v>
      </c>
      <c r="VH129" s="17">
        <v>0</v>
      </c>
      <c r="VI129" s="17">
        <v>9.81</v>
      </c>
      <c r="VJ129" s="17">
        <v>1.64</v>
      </c>
      <c r="VK129" s="17">
        <v>0.26</v>
      </c>
      <c r="VL129" s="17">
        <v>0</v>
      </c>
      <c r="VM129" s="17">
        <v>0</v>
      </c>
      <c r="VN129" s="17">
        <v>0</v>
      </c>
      <c r="VO129" s="17">
        <v>0</v>
      </c>
      <c r="VP129" s="17">
        <v>0</v>
      </c>
      <c r="VQ129" s="17">
        <v>0</v>
      </c>
      <c r="VR129" s="17">
        <v>0.55000000000000004</v>
      </c>
      <c r="VS129" s="17">
        <v>24</v>
      </c>
      <c r="VT129" s="17">
        <v>4.3099999999999996</v>
      </c>
      <c r="VU129" s="17">
        <v>0.82</v>
      </c>
      <c r="VV129" s="17">
        <v>0</v>
      </c>
      <c r="VW129" s="17">
        <v>0</v>
      </c>
      <c r="VX129" s="17">
        <v>0</v>
      </c>
      <c r="VY129" s="17"/>
      <c r="WK129" s="15">
        <v>40.4</v>
      </c>
      <c r="WL129" s="15">
        <v>1</v>
      </c>
      <c r="WM129" s="15">
        <v>38</v>
      </c>
      <c r="WN129" s="15">
        <v>9</v>
      </c>
      <c r="WO129" s="15">
        <v>5.52</v>
      </c>
      <c r="WP129" s="15">
        <v>5</v>
      </c>
      <c r="WQ129" s="15">
        <v>23</v>
      </c>
      <c r="WR129" s="15">
        <v>1</v>
      </c>
      <c r="WS129" s="15">
        <v>0.09</v>
      </c>
      <c r="WT129" s="15">
        <v>3</v>
      </c>
      <c r="WW129" s="31"/>
      <c r="XA129" s="31"/>
      <c r="XE129" s="31"/>
      <c r="XI129" s="31"/>
      <c r="XM129" s="31"/>
      <c r="XO129" s="15">
        <v>0</v>
      </c>
      <c r="YZ129" s="15">
        <v>0</v>
      </c>
      <c r="ZA129" s="15">
        <v>0</v>
      </c>
      <c r="ZK129" s="15">
        <v>8.33</v>
      </c>
      <c r="ZL129" s="15">
        <v>5.52</v>
      </c>
      <c r="ZM129" s="15">
        <v>0</v>
      </c>
      <c r="ZN129" s="15">
        <v>0</v>
      </c>
      <c r="ZO129" s="15">
        <v>0</v>
      </c>
      <c r="ZP129" s="15">
        <v>0</v>
      </c>
      <c r="ZQ129" s="15">
        <v>0</v>
      </c>
      <c r="ZR129" s="15">
        <v>0</v>
      </c>
      <c r="ZS129" s="15" t="s">
        <v>196</v>
      </c>
      <c r="ZT129" s="15">
        <v>24.5</v>
      </c>
      <c r="ZU129" s="17">
        <v>58.4</v>
      </c>
      <c r="ZV129" s="17">
        <v>114</v>
      </c>
      <c r="ZW129" s="17">
        <v>12</v>
      </c>
      <c r="ZX129" s="17">
        <v>92.09</v>
      </c>
      <c r="ZY129" s="17">
        <v>0</v>
      </c>
      <c r="ZZ129" s="17">
        <v>0</v>
      </c>
      <c r="AAA129" s="17">
        <v>5.57</v>
      </c>
      <c r="AAB129" s="17">
        <v>2.35</v>
      </c>
      <c r="AAC129" s="17">
        <v>0</v>
      </c>
      <c r="AAD129" s="17">
        <v>0</v>
      </c>
      <c r="AAE129" s="17">
        <v>0</v>
      </c>
      <c r="AAF129" s="17">
        <v>0</v>
      </c>
      <c r="AAG129" s="17">
        <v>0</v>
      </c>
      <c r="AAH129" s="17">
        <v>0</v>
      </c>
      <c r="AAI129" s="17">
        <v>8.58</v>
      </c>
      <c r="AAJ129" s="17">
        <v>3.1</v>
      </c>
      <c r="AAK129" s="17">
        <v>0.55000000000000004</v>
      </c>
      <c r="AAL129" s="17">
        <v>0.71</v>
      </c>
      <c r="AAM129" s="17">
        <v>0</v>
      </c>
      <c r="AAN129" s="17">
        <v>0</v>
      </c>
      <c r="AAO129" s="17">
        <v>0</v>
      </c>
      <c r="ABB129" s="15">
        <v>7.2</v>
      </c>
      <c r="ABC129" s="15">
        <v>1</v>
      </c>
      <c r="ABD129" s="17">
        <v>30</v>
      </c>
      <c r="ABE129" s="17">
        <v>2</v>
      </c>
      <c r="ABF129" s="17">
        <v>1.0900000000000001</v>
      </c>
      <c r="ABG129" s="17">
        <v>4</v>
      </c>
      <c r="ABH129" s="17">
        <v>30</v>
      </c>
      <c r="ABI129" s="17">
        <v>2</v>
      </c>
      <c r="ABJ129" s="17">
        <v>0.27</v>
      </c>
      <c r="ABK129" s="17">
        <v>2</v>
      </c>
      <c r="ABL129" s="17">
        <v>34</v>
      </c>
      <c r="ABM129" s="17">
        <v>1</v>
      </c>
      <c r="ABN129" s="31">
        <v>1.0900000000000001</v>
      </c>
      <c r="ABO129" s="17">
        <v>1</v>
      </c>
      <c r="ABR129" s="31"/>
      <c r="ABV129" s="31"/>
      <c r="ABZ129" s="31"/>
      <c r="ACD129" s="31"/>
      <c r="ACF129" s="15">
        <v>0</v>
      </c>
      <c r="ADQ129" s="15">
        <v>0</v>
      </c>
      <c r="ADR129" s="15">
        <v>0</v>
      </c>
      <c r="AEB129" s="15">
        <v>5.3</v>
      </c>
      <c r="AEC129" s="15">
        <f>0.27+8.58+0.32</f>
        <v>9.17</v>
      </c>
      <c r="AED129" s="15">
        <v>0</v>
      </c>
      <c r="AEE129" s="15">
        <v>0</v>
      </c>
      <c r="AEF129" s="15">
        <v>0</v>
      </c>
      <c r="AEG129" s="15">
        <v>8.58</v>
      </c>
      <c r="AEH129" s="15">
        <v>0</v>
      </c>
      <c r="AEI129" s="15">
        <v>0</v>
      </c>
      <c r="AEJ129" s="15" t="s">
        <v>195</v>
      </c>
      <c r="AEK129" s="15">
        <v>22</v>
      </c>
      <c r="AEL129" s="17">
        <v>44.2</v>
      </c>
      <c r="AEM129" s="17">
        <v>114</v>
      </c>
      <c r="AEN129" s="17">
        <v>10.9</v>
      </c>
      <c r="AEO129" s="17">
        <v>92.8</v>
      </c>
      <c r="AEP129" s="17">
        <v>0</v>
      </c>
      <c r="AEQ129" s="17">
        <v>0</v>
      </c>
      <c r="AER129" s="17">
        <v>5.57</v>
      </c>
      <c r="AES129" s="17">
        <v>1.64</v>
      </c>
      <c r="AET129" s="17">
        <v>0</v>
      </c>
      <c r="AEU129" s="17">
        <v>0</v>
      </c>
      <c r="AEV129" s="17">
        <v>0</v>
      </c>
      <c r="AEW129" s="17">
        <v>0</v>
      </c>
      <c r="AEX129" s="17">
        <v>0</v>
      </c>
      <c r="AEY129" s="17">
        <v>0</v>
      </c>
      <c r="AEZ129" s="17">
        <v>8.58</v>
      </c>
      <c r="AFA129" s="17">
        <v>1.57</v>
      </c>
      <c r="AFB129" s="17">
        <v>0.55000000000000004</v>
      </c>
      <c r="AFC129" s="17">
        <v>0</v>
      </c>
      <c r="AFD129" s="17">
        <v>0</v>
      </c>
      <c r="AFE129" s="17">
        <v>0</v>
      </c>
      <c r="AFF129" s="17">
        <v>0</v>
      </c>
      <c r="AFS129" s="15">
        <v>7.15</v>
      </c>
      <c r="AFT129" s="15">
        <v>1</v>
      </c>
      <c r="AFU129" s="17">
        <v>30</v>
      </c>
      <c r="AFV129" s="17">
        <v>2</v>
      </c>
      <c r="AFW129" s="17">
        <v>1.0900000000000001</v>
      </c>
      <c r="AFX129" s="17">
        <v>4</v>
      </c>
      <c r="AFY129" s="17">
        <v>30</v>
      </c>
      <c r="AFZ129" s="17">
        <v>2</v>
      </c>
      <c r="AGA129" s="17">
        <v>0.27</v>
      </c>
      <c r="AGB129" s="17">
        <v>2</v>
      </c>
      <c r="AGC129" s="17">
        <v>34</v>
      </c>
      <c r="AGD129" s="17">
        <v>1</v>
      </c>
      <c r="AGE129" s="31">
        <v>1.0900000000000001</v>
      </c>
      <c r="AGF129" s="17">
        <v>1</v>
      </c>
      <c r="AGI129" s="31"/>
      <c r="AGM129" s="31"/>
      <c r="AGQ129" s="31"/>
      <c r="AGU129" s="31"/>
      <c r="AIH129" s="15">
        <v>0</v>
      </c>
      <c r="AII129" s="15">
        <v>0</v>
      </c>
      <c r="AIS129" s="15">
        <v>2.59</v>
      </c>
      <c r="AIT129" s="15">
        <f>0.27+0.32</f>
        <v>0.59000000000000008</v>
      </c>
      <c r="AIU129" s="15">
        <v>0</v>
      </c>
      <c r="AIV129" s="15">
        <v>0</v>
      </c>
      <c r="AIW129" s="15">
        <v>0</v>
      </c>
      <c r="AIX129" s="15">
        <v>0</v>
      </c>
      <c r="AIY129" s="15">
        <v>1.03</v>
      </c>
      <c r="AIZ129" s="15">
        <v>0</v>
      </c>
      <c r="AJA129" s="15" t="s">
        <v>389</v>
      </c>
      <c r="AJB129" s="15">
        <v>10</v>
      </c>
      <c r="AJC129" s="17">
        <v>46.2</v>
      </c>
      <c r="AJD129" s="17">
        <v>114</v>
      </c>
      <c r="AJE129" s="17">
        <v>6.3</v>
      </c>
      <c r="AJF129" s="17">
        <v>0</v>
      </c>
      <c r="AJG129" s="17">
        <v>0</v>
      </c>
      <c r="AJH129" s="17">
        <v>1.91</v>
      </c>
      <c r="AJI129" s="17">
        <v>0</v>
      </c>
      <c r="AJJ129" s="17">
        <v>1.91</v>
      </c>
      <c r="AJK129" s="17">
        <v>0</v>
      </c>
      <c r="AJL129" s="17">
        <v>0</v>
      </c>
      <c r="AJM129" s="17">
        <v>0</v>
      </c>
      <c r="AJN129" s="17">
        <v>0</v>
      </c>
      <c r="AJO129" s="17">
        <v>0</v>
      </c>
      <c r="AJP129" s="17">
        <v>0</v>
      </c>
      <c r="AJQ129" s="17">
        <v>0</v>
      </c>
      <c r="AJR129" s="17">
        <v>8.85</v>
      </c>
      <c r="AJS129" s="17">
        <v>4.3600000000000003</v>
      </c>
      <c r="AJT129" s="17">
        <v>0</v>
      </c>
      <c r="AJU129" s="17">
        <v>0</v>
      </c>
      <c r="AJV129" s="17">
        <v>0</v>
      </c>
      <c r="AKJ129" s="15">
        <v>0</v>
      </c>
      <c r="AKV129" s="31"/>
      <c r="AKZ129" s="31"/>
      <c r="ALD129" s="31"/>
      <c r="ALH129" s="31"/>
      <c r="ALL129" s="31"/>
      <c r="ALN129" s="15">
        <v>0</v>
      </c>
    </row>
    <row r="130" spans="1:1024" x14ac:dyDescent="0.2">
      <c r="A130" s="1" t="s">
        <v>568</v>
      </c>
      <c r="B130" s="12">
        <v>42894</v>
      </c>
      <c r="C130">
        <v>2</v>
      </c>
      <c r="D130" s="13">
        <v>36642</v>
      </c>
      <c r="E130" s="12">
        <v>22783</v>
      </c>
      <c r="F130" s="14">
        <f t="shared" ref="F130:F193" si="48">(B130-E130)/365.25</f>
        <v>55.060917180013689</v>
      </c>
      <c r="G130" s="14">
        <f t="shared" ref="G130:G193" si="49">(B130-D130)/365.25</f>
        <v>17.117043121149898</v>
      </c>
      <c r="H130" s="15" t="s">
        <v>183</v>
      </c>
      <c r="I130" s="15" t="s">
        <v>383</v>
      </c>
      <c r="J130" s="15" t="s">
        <v>183</v>
      </c>
      <c r="K130" s="21">
        <v>8</v>
      </c>
      <c r="L130" s="19">
        <v>68</v>
      </c>
      <c r="M130">
        <v>1.76</v>
      </c>
      <c r="N130" s="16">
        <f t="shared" ref="N130:N193" si="50">L130/(M130*M130)</f>
        <v>21.952479338842977</v>
      </c>
      <c r="O130" s="19">
        <v>1</v>
      </c>
      <c r="P130" s="19">
        <v>0</v>
      </c>
      <c r="Q130" s="19">
        <v>0</v>
      </c>
      <c r="R130" s="19">
        <v>0</v>
      </c>
      <c r="S130" s="19">
        <v>0</v>
      </c>
      <c r="T130" s="19">
        <v>0</v>
      </c>
      <c r="U130" s="19">
        <v>1</v>
      </c>
      <c r="V130" s="19">
        <v>5</v>
      </c>
      <c r="W130" s="19">
        <v>1</v>
      </c>
      <c r="X130" s="19">
        <v>1</v>
      </c>
      <c r="Y130" s="19">
        <v>1</v>
      </c>
      <c r="Z130" s="19">
        <v>2</v>
      </c>
      <c r="AA130" s="19">
        <v>30</v>
      </c>
      <c r="AB130" s="19" t="s">
        <v>215</v>
      </c>
      <c r="AC130" s="19">
        <v>1</v>
      </c>
      <c r="AD130" s="19">
        <v>20</v>
      </c>
      <c r="AE130" s="19">
        <v>1</v>
      </c>
      <c r="AF130" s="19"/>
      <c r="AG130" s="19"/>
      <c r="AH130" s="19"/>
      <c r="AI130" s="19">
        <v>3</v>
      </c>
      <c r="AJ130" s="19">
        <v>2</v>
      </c>
      <c r="AK130" s="19">
        <v>2</v>
      </c>
      <c r="AL130" s="19">
        <v>0</v>
      </c>
      <c r="AM130" s="19">
        <v>4</v>
      </c>
      <c r="AN130" s="19">
        <v>1</v>
      </c>
      <c r="AO130" s="19"/>
      <c r="AP130" s="19"/>
      <c r="AQ130" s="19"/>
      <c r="AR130" s="19"/>
      <c r="AS130" s="19">
        <v>3</v>
      </c>
      <c r="AT130" s="19">
        <v>3</v>
      </c>
      <c r="AU130" s="19">
        <v>3</v>
      </c>
      <c r="AV130" s="19">
        <v>5</v>
      </c>
      <c r="AW130" s="19"/>
      <c r="AX130" s="19">
        <v>0</v>
      </c>
      <c r="AY130" s="19">
        <v>0</v>
      </c>
      <c r="AZ130" s="19">
        <v>0</v>
      </c>
      <c r="BA130" s="19">
        <v>0</v>
      </c>
      <c r="BB130" s="19">
        <v>1</v>
      </c>
      <c r="BC130" s="19">
        <v>1</v>
      </c>
      <c r="BD130" s="19">
        <v>1</v>
      </c>
      <c r="BE130" s="19">
        <v>3</v>
      </c>
      <c r="BF130" s="19">
        <v>0</v>
      </c>
      <c r="BG130" s="19">
        <v>0</v>
      </c>
      <c r="BH130" s="19">
        <v>0</v>
      </c>
      <c r="BI130" s="19">
        <v>0</v>
      </c>
      <c r="BJ130" s="19">
        <v>1</v>
      </c>
      <c r="BK130" s="19">
        <v>1</v>
      </c>
      <c r="BL130" s="19">
        <v>1</v>
      </c>
      <c r="BM130" s="19">
        <v>5</v>
      </c>
      <c r="BN130" s="19">
        <v>1</v>
      </c>
      <c r="BO130" s="19">
        <v>1</v>
      </c>
      <c r="BP130" s="19">
        <v>1</v>
      </c>
      <c r="BQ130" s="19">
        <v>6</v>
      </c>
      <c r="BR130" s="19">
        <v>3</v>
      </c>
      <c r="BS130" s="19">
        <v>5</v>
      </c>
      <c r="BT130" s="19">
        <v>5</v>
      </c>
      <c r="BU130" s="19">
        <v>5</v>
      </c>
      <c r="BV130" s="19">
        <v>5</v>
      </c>
      <c r="BW130" s="19">
        <v>5</v>
      </c>
      <c r="BX130" s="19">
        <v>5</v>
      </c>
      <c r="BY130" s="19">
        <v>5</v>
      </c>
      <c r="BZ130" s="19">
        <v>2</v>
      </c>
      <c r="CA130" s="19">
        <v>4</v>
      </c>
      <c r="CB130" s="19">
        <v>4</v>
      </c>
      <c r="CC130" s="19">
        <v>5</v>
      </c>
      <c r="CD130" s="19">
        <v>2</v>
      </c>
      <c r="CE130" s="19">
        <v>4</v>
      </c>
      <c r="CF130" s="19">
        <v>5</v>
      </c>
      <c r="CG130" s="19">
        <v>5</v>
      </c>
      <c r="CH130" s="19">
        <v>4</v>
      </c>
      <c r="CI130" s="19">
        <v>5</v>
      </c>
      <c r="CJ130" s="19">
        <v>3</v>
      </c>
      <c r="CK130" s="19">
        <v>8</v>
      </c>
      <c r="CL130" s="30" t="s">
        <v>384</v>
      </c>
      <c r="CM130" s="15">
        <v>28.5</v>
      </c>
      <c r="CN130" s="17">
        <v>69.3</v>
      </c>
      <c r="CO130" s="17">
        <v>114</v>
      </c>
      <c r="CP130" s="17">
        <v>19.5</v>
      </c>
      <c r="CQ130" s="17">
        <v>79.150000000000006</v>
      </c>
      <c r="CR130" s="17">
        <v>0</v>
      </c>
      <c r="CS130" s="17">
        <v>3.87</v>
      </c>
      <c r="CT130" s="17">
        <v>2.86</v>
      </c>
      <c r="CU130" s="17">
        <v>14.12</v>
      </c>
      <c r="CV130" s="17">
        <v>0</v>
      </c>
      <c r="CW130" s="17">
        <v>0</v>
      </c>
      <c r="CX130" s="17">
        <v>0</v>
      </c>
      <c r="CY130" s="17">
        <v>0</v>
      </c>
      <c r="CZ130" s="17">
        <v>0</v>
      </c>
      <c r="DA130" s="17">
        <v>0</v>
      </c>
      <c r="DB130" s="17">
        <v>0.82</v>
      </c>
      <c r="DC130" s="17">
        <v>11.71</v>
      </c>
      <c r="DD130" s="17">
        <v>15.43</v>
      </c>
      <c r="DE130" s="17">
        <v>4.91</v>
      </c>
      <c r="DF130" s="17">
        <v>0</v>
      </c>
      <c r="DG130" s="17">
        <v>0</v>
      </c>
      <c r="DH130" s="17">
        <v>0</v>
      </c>
      <c r="DI130" s="17">
        <v>0</v>
      </c>
      <c r="DJ130" s="17">
        <v>0</v>
      </c>
      <c r="DK130" s="17">
        <v>0</v>
      </c>
      <c r="DL130" s="17">
        <v>0</v>
      </c>
      <c r="DM130" s="17">
        <v>0</v>
      </c>
      <c r="DN130" s="17">
        <v>0</v>
      </c>
      <c r="DO130" s="17">
        <v>0</v>
      </c>
      <c r="DP130" s="17">
        <v>0</v>
      </c>
      <c r="DQ130" s="17">
        <v>0</v>
      </c>
      <c r="DR130" s="17">
        <v>0</v>
      </c>
      <c r="DS130" s="17">
        <v>0</v>
      </c>
      <c r="DT130" s="17">
        <v>0</v>
      </c>
      <c r="DU130" s="17">
        <v>0</v>
      </c>
      <c r="DV130" s="17">
        <v>0</v>
      </c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31"/>
      <c r="EH130" s="17"/>
      <c r="EK130" s="31"/>
      <c r="EO130" s="31"/>
      <c r="ES130" s="31"/>
      <c r="EW130" s="31"/>
      <c r="EY130" s="15">
        <v>0</v>
      </c>
      <c r="GJ130" s="15">
        <v>0</v>
      </c>
      <c r="GK130" s="15">
        <v>0</v>
      </c>
      <c r="GU130" s="15">
        <v>8.6999999999999993</v>
      </c>
      <c r="GV130" s="15">
        <f t="shared" si="47"/>
        <v>15.43</v>
      </c>
      <c r="GW130" s="15">
        <v>0</v>
      </c>
      <c r="GX130" s="15">
        <v>0</v>
      </c>
      <c r="GY130" s="15">
        <v>0</v>
      </c>
      <c r="GZ130" s="15">
        <v>0</v>
      </c>
      <c r="HA130" s="15">
        <v>0</v>
      </c>
      <c r="HB130" s="15">
        <v>0</v>
      </c>
      <c r="HC130" s="15" t="s">
        <v>385</v>
      </c>
      <c r="HD130" s="15">
        <v>38.5</v>
      </c>
      <c r="HE130" s="17">
        <v>55</v>
      </c>
      <c r="HF130" s="17">
        <v>114</v>
      </c>
      <c r="HG130" s="17">
        <v>7.8</v>
      </c>
      <c r="HH130" s="17">
        <v>95.15</v>
      </c>
      <c r="HI130" s="17">
        <v>0</v>
      </c>
      <c r="HJ130" s="17">
        <v>3.78</v>
      </c>
      <c r="HK130" s="17">
        <v>0</v>
      </c>
      <c r="HL130" s="17">
        <v>1.07</v>
      </c>
      <c r="HM130" s="17">
        <v>0</v>
      </c>
      <c r="HN130" s="17">
        <v>0</v>
      </c>
      <c r="HO130" s="17">
        <v>0</v>
      </c>
      <c r="HP130" s="17">
        <v>0</v>
      </c>
      <c r="HQ130" s="17">
        <v>0</v>
      </c>
      <c r="HR130" s="17">
        <v>0</v>
      </c>
      <c r="HS130" s="17">
        <v>0</v>
      </c>
      <c r="HT130" s="17">
        <v>15.05</v>
      </c>
      <c r="HU130" s="17">
        <v>4.58</v>
      </c>
      <c r="HV130" s="17">
        <v>0.1</v>
      </c>
      <c r="HW130" s="17">
        <v>0</v>
      </c>
      <c r="HX130" s="17">
        <v>0</v>
      </c>
      <c r="HY130" s="17">
        <v>0</v>
      </c>
      <c r="IL130" s="15">
        <v>22.8</v>
      </c>
      <c r="IM130" s="15">
        <v>1</v>
      </c>
      <c r="IN130" s="15">
        <v>38</v>
      </c>
      <c r="IO130" s="15">
        <v>5</v>
      </c>
      <c r="IP130" s="15">
        <f>2.45+1.09</f>
        <v>3.54</v>
      </c>
      <c r="IQ130" s="15">
        <v>5</v>
      </c>
      <c r="IX130" s="31"/>
      <c r="JB130" s="31"/>
      <c r="JF130" s="31"/>
      <c r="JJ130" s="31"/>
      <c r="JN130" s="31"/>
      <c r="JP130" s="15">
        <v>0</v>
      </c>
      <c r="LA130" s="15">
        <v>0</v>
      </c>
      <c r="LB130" s="15">
        <v>0</v>
      </c>
      <c r="LL130" s="15">
        <v>7.84</v>
      </c>
      <c r="LM130" s="15">
        <f>2.45+1.09</f>
        <v>3.54</v>
      </c>
      <c r="LN130" s="15">
        <v>0</v>
      </c>
      <c r="LO130" s="15">
        <v>0</v>
      </c>
      <c r="LP130" s="15">
        <v>0</v>
      </c>
      <c r="LQ130" s="15">
        <v>0</v>
      </c>
      <c r="LR130" s="15">
        <v>0</v>
      </c>
      <c r="LS130" s="15">
        <v>0</v>
      </c>
      <c r="LT130" s="15" t="s">
        <v>386</v>
      </c>
      <c r="LU130" s="15">
        <v>38</v>
      </c>
      <c r="LV130" s="17">
        <v>48.8</v>
      </c>
      <c r="LW130" s="17">
        <v>114</v>
      </c>
      <c r="LX130" s="17">
        <v>7.2</v>
      </c>
      <c r="LY130" s="17">
        <v>96.13</v>
      </c>
      <c r="LZ130" s="17">
        <v>0</v>
      </c>
      <c r="MA130" s="17">
        <v>3.78</v>
      </c>
      <c r="MB130" s="17">
        <v>0</v>
      </c>
      <c r="MC130" s="17">
        <v>0.1</v>
      </c>
      <c r="MD130" s="17">
        <v>0</v>
      </c>
      <c r="ME130" s="17">
        <v>0</v>
      </c>
      <c r="MF130" s="17">
        <v>0</v>
      </c>
      <c r="MG130" s="17">
        <v>0</v>
      </c>
      <c r="MH130" s="17">
        <v>0</v>
      </c>
      <c r="MI130" s="17">
        <v>0</v>
      </c>
      <c r="MJ130" s="17">
        <v>0</v>
      </c>
      <c r="MK130" s="17">
        <v>12.85</v>
      </c>
      <c r="ML130" s="17">
        <v>4.58</v>
      </c>
      <c r="MM130" s="17">
        <v>0.1</v>
      </c>
      <c r="MN130" s="17">
        <v>0</v>
      </c>
      <c r="MO130" s="17">
        <v>0</v>
      </c>
      <c r="MP130" s="17">
        <v>0</v>
      </c>
      <c r="NC130" s="15">
        <v>22.8</v>
      </c>
      <c r="ND130" s="15">
        <v>1</v>
      </c>
      <c r="NE130" s="15">
        <v>38</v>
      </c>
      <c r="NF130" s="15">
        <v>5</v>
      </c>
      <c r="NG130" s="15">
        <f>2.45+1.09</f>
        <v>3.54</v>
      </c>
      <c r="NH130" s="15">
        <v>5</v>
      </c>
      <c r="NI130" s="15">
        <v>20</v>
      </c>
      <c r="NJ130" s="15">
        <v>4</v>
      </c>
      <c r="NK130" s="15">
        <v>0.28999999999999998</v>
      </c>
      <c r="NL130" s="15">
        <v>2</v>
      </c>
      <c r="NO130" s="31"/>
      <c r="NS130" s="31"/>
      <c r="NW130" s="31"/>
      <c r="OA130" s="31"/>
      <c r="OE130" s="31"/>
      <c r="OG130" s="15">
        <v>0</v>
      </c>
      <c r="PR130" s="15">
        <v>0</v>
      </c>
      <c r="PS130" s="15">
        <v>0</v>
      </c>
      <c r="QC130" s="15">
        <v>7.84</v>
      </c>
      <c r="QD130" s="15">
        <f>2.45+1.09</f>
        <v>3.54</v>
      </c>
      <c r="QE130" s="15">
        <v>0</v>
      </c>
      <c r="QF130" s="15">
        <v>0</v>
      </c>
      <c r="QG130" s="15">
        <v>0</v>
      </c>
      <c r="QH130" s="15">
        <v>0</v>
      </c>
      <c r="QI130" s="15">
        <v>0</v>
      </c>
      <c r="QJ130" s="15">
        <v>0</v>
      </c>
      <c r="QK130" s="15" t="s">
        <v>387</v>
      </c>
      <c r="QL130" s="15">
        <v>64</v>
      </c>
      <c r="QM130" s="17">
        <v>70.599999999999994</v>
      </c>
      <c r="QN130" s="17">
        <v>114</v>
      </c>
      <c r="QO130" s="17">
        <v>14.9</v>
      </c>
      <c r="QP130" s="17">
        <v>88.29</v>
      </c>
      <c r="QQ130" s="17">
        <v>0</v>
      </c>
      <c r="QR130" s="17">
        <v>9.81</v>
      </c>
      <c r="QS130" s="17">
        <v>1.64</v>
      </c>
      <c r="QT130" s="17">
        <v>0.26</v>
      </c>
      <c r="QU130" s="17">
        <v>0</v>
      </c>
      <c r="QV130" s="17">
        <v>0</v>
      </c>
      <c r="QW130" s="17">
        <v>0</v>
      </c>
      <c r="QX130" s="17">
        <v>0</v>
      </c>
      <c r="QY130" s="17">
        <v>0</v>
      </c>
      <c r="QZ130" s="17">
        <v>0</v>
      </c>
      <c r="RA130" s="17">
        <v>0.55000000000000004</v>
      </c>
      <c r="RB130" s="17">
        <v>22.64</v>
      </c>
      <c r="RC130" s="17">
        <v>2.58</v>
      </c>
      <c r="RD130" s="17">
        <v>0.13</v>
      </c>
      <c r="RE130" s="17">
        <v>0</v>
      </c>
      <c r="RF130" s="17">
        <v>0</v>
      </c>
      <c r="RG130" s="17">
        <v>0</v>
      </c>
      <c r="RT130" s="15">
        <v>40.4</v>
      </c>
      <c r="RU130" s="15">
        <v>1</v>
      </c>
      <c r="RV130" s="15">
        <v>38</v>
      </c>
      <c r="RW130" s="15">
        <v>9</v>
      </c>
      <c r="RX130" s="15">
        <v>5.52</v>
      </c>
      <c r="RY130" s="15">
        <v>5</v>
      </c>
      <c r="RZ130" s="15">
        <v>23</v>
      </c>
      <c r="SA130" s="15">
        <v>1</v>
      </c>
      <c r="SB130" s="15">
        <v>0.09</v>
      </c>
      <c r="SC130" s="15">
        <v>3</v>
      </c>
      <c r="SF130" s="31"/>
      <c r="SJ130" s="31"/>
      <c r="SN130" s="31"/>
      <c r="SR130" s="31"/>
      <c r="SV130" s="31"/>
      <c r="SX130" s="15">
        <v>0</v>
      </c>
      <c r="UI130" s="15">
        <v>0</v>
      </c>
      <c r="UJ130" s="15">
        <v>0</v>
      </c>
      <c r="UT130" s="15">
        <v>8.33</v>
      </c>
      <c r="UU130" s="15">
        <v>5.52</v>
      </c>
      <c r="UV130" s="15">
        <v>0</v>
      </c>
      <c r="UW130" s="15">
        <v>0</v>
      </c>
      <c r="UX130" s="15">
        <v>0</v>
      </c>
      <c r="UY130" s="15">
        <v>0</v>
      </c>
      <c r="UZ130" s="15">
        <v>0</v>
      </c>
      <c r="VA130" s="15">
        <v>0</v>
      </c>
      <c r="VB130" s="15" t="s">
        <v>388</v>
      </c>
      <c r="VC130" s="15">
        <v>64</v>
      </c>
      <c r="VD130" s="17">
        <v>79.5</v>
      </c>
      <c r="VE130" s="17">
        <v>114</v>
      </c>
      <c r="VF130" s="17">
        <v>15</v>
      </c>
      <c r="VG130" s="17">
        <v>88.29</v>
      </c>
      <c r="VH130" s="17">
        <v>0</v>
      </c>
      <c r="VI130" s="17">
        <v>9.81</v>
      </c>
      <c r="VJ130" s="17">
        <v>1.64</v>
      </c>
      <c r="VK130" s="17">
        <v>0.26</v>
      </c>
      <c r="VL130" s="17">
        <v>0</v>
      </c>
      <c r="VM130" s="17">
        <v>0</v>
      </c>
      <c r="VN130" s="17">
        <v>0</v>
      </c>
      <c r="VO130" s="17">
        <v>0</v>
      </c>
      <c r="VP130" s="17">
        <v>0</v>
      </c>
      <c r="VQ130" s="17">
        <v>0</v>
      </c>
      <c r="VR130" s="17">
        <v>0.55000000000000004</v>
      </c>
      <c r="VS130" s="17">
        <v>24</v>
      </c>
      <c r="VT130" s="17">
        <v>4.3099999999999996</v>
      </c>
      <c r="VU130" s="17">
        <v>0.82</v>
      </c>
      <c r="VV130" s="17">
        <v>0</v>
      </c>
      <c r="VW130" s="17">
        <v>0</v>
      </c>
      <c r="VX130" s="17">
        <v>0</v>
      </c>
      <c r="VY130" s="17"/>
      <c r="WK130" s="15">
        <v>40.4</v>
      </c>
      <c r="WL130" s="15">
        <v>1</v>
      </c>
      <c r="WM130" s="15">
        <v>38</v>
      </c>
      <c r="WN130" s="15">
        <v>9</v>
      </c>
      <c r="WO130" s="15">
        <v>5.52</v>
      </c>
      <c r="WP130" s="15">
        <v>5</v>
      </c>
      <c r="WQ130" s="15">
        <v>23</v>
      </c>
      <c r="WR130" s="15">
        <v>1</v>
      </c>
      <c r="WS130" s="15">
        <v>0.09</v>
      </c>
      <c r="WT130" s="15">
        <v>3</v>
      </c>
      <c r="WW130" s="31"/>
      <c r="XA130" s="31"/>
      <c r="XE130" s="31"/>
      <c r="XI130" s="31"/>
      <c r="XM130" s="31"/>
      <c r="XO130" s="15">
        <v>0</v>
      </c>
      <c r="YZ130" s="15">
        <v>0</v>
      </c>
      <c r="ZA130" s="15">
        <v>0</v>
      </c>
      <c r="ZK130" s="15">
        <v>8.33</v>
      </c>
      <c r="ZL130" s="15">
        <v>5.52</v>
      </c>
      <c r="ZM130" s="15">
        <v>0</v>
      </c>
      <c r="ZN130" s="15">
        <v>0</v>
      </c>
      <c r="ZO130" s="15">
        <v>0</v>
      </c>
      <c r="ZP130" s="15">
        <v>0</v>
      </c>
      <c r="ZQ130" s="15">
        <v>0</v>
      </c>
      <c r="ZR130" s="15">
        <v>0</v>
      </c>
      <c r="ZS130" s="15" t="s">
        <v>196</v>
      </c>
      <c r="ZT130" s="15">
        <v>24.5</v>
      </c>
      <c r="ZU130" s="17">
        <v>58.4</v>
      </c>
      <c r="ZV130" s="17">
        <v>114</v>
      </c>
      <c r="ZW130" s="17">
        <v>12</v>
      </c>
      <c r="ZX130" s="17">
        <v>92.09</v>
      </c>
      <c r="ZY130" s="17">
        <v>0</v>
      </c>
      <c r="ZZ130" s="17">
        <v>0</v>
      </c>
      <c r="AAA130" s="17">
        <v>5.57</v>
      </c>
      <c r="AAB130" s="17">
        <v>2.35</v>
      </c>
      <c r="AAC130" s="17">
        <v>0</v>
      </c>
      <c r="AAD130" s="17">
        <v>0</v>
      </c>
      <c r="AAE130" s="17">
        <v>0</v>
      </c>
      <c r="AAF130" s="17">
        <v>0</v>
      </c>
      <c r="AAG130" s="17">
        <v>0</v>
      </c>
      <c r="AAH130" s="17">
        <v>0</v>
      </c>
      <c r="AAI130" s="17">
        <v>8.58</v>
      </c>
      <c r="AAJ130" s="17">
        <v>3.1</v>
      </c>
      <c r="AAK130" s="17">
        <v>0.55000000000000004</v>
      </c>
      <c r="AAL130" s="17">
        <v>0.71</v>
      </c>
      <c r="AAM130" s="17">
        <v>0</v>
      </c>
      <c r="AAN130" s="17">
        <v>0</v>
      </c>
      <c r="AAO130" s="17">
        <v>0</v>
      </c>
      <c r="ABB130" s="15">
        <v>7.2</v>
      </c>
      <c r="ABC130" s="15">
        <v>1</v>
      </c>
      <c r="ABD130" s="17">
        <v>30</v>
      </c>
      <c r="ABE130" s="17">
        <v>2</v>
      </c>
      <c r="ABF130" s="17">
        <v>1.0900000000000001</v>
      </c>
      <c r="ABG130" s="17">
        <v>4</v>
      </c>
      <c r="ABH130" s="17">
        <v>30</v>
      </c>
      <c r="ABI130" s="17">
        <v>2</v>
      </c>
      <c r="ABJ130" s="17">
        <v>0.27</v>
      </c>
      <c r="ABK130" s="17">
        <v>2</v>
      </c>
      <c r="ABL130" s="17">
        <v>34</v>
      </c>
      <c r="ABM130" s="17">
        <v>1</v>
      </c>
      <c r="ABN130" s="31">
        <v>1.0900000000000001</v>
      </c>
      <c r="ABO130" s="17">
        <v>1</v>
      </c>
      <c r="ABR130" s="31"/>
      <c r="ABV130" s="31"/>
      <c r="ABZ130" s="31"/>
      <c r="ACD130" s="31"/>
      <c r="ACF130" s="15">
        <v>0</v>
      </c>
      <c r="ADQ130" s="15">
        <v>0</v>
      </c>
      <c r="ADR130" s="15">
        <v>0</v>
      </c>
      <c r="AEB130" s="15">
        <v>5.3</v>
      </c>
      <c r="AEC130" s="15">
        <f>0.27+8.58+0.32</f>
        <v>9.17</v>
      </c>
      <c r="AED130" s="15">
        <v>0</v>
      </c>
      <c r="AEE130" s="15">
        <v>0</v>
      </c>
      <c r="AEF130" s="15">
        <v>0</v>
      </c>
      <c r="AEG130" s="15">
        <v>8.58</v>
      </c>
      <c r="AEH130" s="15">
        <v>0</v>
      </c>
      <c r="AEI130" s="15">
        <v>0</v>
      </c>
      <c r="AEJ130" s="15" t="s">
        <v>195</v>
      </c>
      <c r="AEK130" s="15">
        <v>22</v>
      </c>
      <c r="AEL130" s="17">
        <v>44.2</v>
      </c>
      <c r="AEM130" s="17">
        <v>114</v>
      </c>
      <c r="AEN130" s="17">
        <v>10.9</v>
      </c>
      <c r="AEO130" s="17">
        <v>92.8</v>
      </c>
      <c r="AEP130" s="17">
        <v>0</v>
      </c>
      <c r="AEQ130" s="17">
        <v>0</v>
      </c>
      <c r="AER130" s="17">
        <v>5.57</v>
      </c>
      <c r="AES130" s="17">
        <v>1.64</v>
      </c>
      <c r="AET130" s="17">
        <v>0</v>
      </c>
      <c r="AEU130" s="17">
        <v>0</v>
      </c>
      <c r="AEV130" s="17">
        <v>0</v>
      </c>
      <c r="AEW130" s="17">
        <v>0</v>
      </c>
      <c r="AEX130" s="17">
        <v>0</v>
      </c>
      <c r="AEY130" s="17">
        <v>0</v>
      </c>
      <c r="AEZ130" s="17">
        <v>8.58</v>
      </c>
      <c r="AFA130" s="17">
        <v>1.57</v>
      </c>
      <c r="AFB130" s="17">
        <v>0.55000000000000004</v>
      </c>
      <c r="AFC130" s="17">
        <v>0</v>
      </c>
      <c r="AFD130" s="17">
        <v>0</v>
      </c>
      <c r="AFE130" s="17">
        <v>0</v>
      </c>
      <c r="AFF130" s="17">
        <v>0</v>
      </c>
      <c r="AFS130" s="15">
        <v>7.15</v>
      </c>
      <c r="AFT130" s="15">
        <v>1</v>
      </c>
      <c r="AFU130" s="17">
        <v>30</v>
      </c>
      <c r="AFV130" s="17">
        <v>2</v>
      </c>
      <c r="AFW130" s="17">
        <v>1.0900000000000001</v>
      </c>
      <c r="AFX130" s="17">
        <v>4</v>
      </c>
      <c r="AFY130" s="17">
        <v>30</v>
      </c>
      <c r="AFZ130" s="17">
        <v>2</v>
      </c>
      <c r="AGA130" s="17">
        <v>0.27</v>
      </c>
      <c r="AGB130" s="17">
        <v>2</v>
      </c>
      <c r="AGC130" s="17">
        <v>34</v>
      </c>
      <c r="AGD130" s="17">
        <v>1</v>
      </c>
      <c r="AGE130" s="31">
        <v>1.0900000000000001</v>
      </c>
      <c r="AGF130" s="17">
        <v>1</v>
      </c>
      <c r="AGI130" s="31"/>
      <c r="AGM130" s="31"/>
      <c r="AGQ130" s="31"/>
      <c r="AGU130" s="31"/>
      <c r="AIH130" s="15">
        <v>0</v>
      </c>
      <c r="AII130" s="15">
        <v>0</v>
      </c>
      <c r="AIS130" s="15">
        <v>2.59</v>
      </c>
      <c r="AIT130" s="15">
        <f>0.27+0.32</f>
        <v>0.59000000000000008</v>
      </c>
      <c r="AIU130" s="15">
        <v>0</v>
      </c>
      <c r="AIV130" s="15">
        <v>0</v>
      </c>
      <c r="AIW130" s="15">
        <v>0</v>
      </c>
      <c r="AIX130" s="15">
        <v>0</v>
      </c>
      <c r="AIY130" s="15">
        <v>1.03</v>
      </c>
      <c r="AIZ130" s="15">
        <v>0</v>
      </c>
      <c r="AJA130" s="15" t="s">
        <v>569</v>
      </c>
      <c r="AJB130" s="15">
        <v>10</v>
      </c>
      <c r="AJC130" s="17">
        <v>46.2</v>
      </c>
      <c r="AJD130" s="17">
        <v>114</v>
      </c>
      <c r="AJE130" s="17">
        <v>6.3</v>
      </c>
      <c r="AJF130" s="17">
        <v>0</v>
      </c>
      <c r="AJG130" s="17">
        <v>0</v>
      </c>
      <c r="AJH130" s="17">
        <v>1.91</v>
      </c>
      <c r="AJI130" s="17">
        <v>0</v>
      </c>
      <c r="AJJ130" s="17">
        <v>1.91</v>
      </c>
      <c r="AJK130" s="17">
        <v>0</v>
      </c>
      <c r="AJL130" s="17">
        <v>0</v>
      </c>
      <c r="AJM130" s="17">
        <v>0</v>
      </c>
      <c r="AJN130" s="17">
        <v>0</v>
      </c>
      <c r="AJO130" s="17">
        <v>0</v>
      </c>
      <c r="AJP130" s="17">
        <v>0</v>
      </c>
      <c r="AJQ130" s="17">
        <v>0</v>
      </c>
      <c r="AJR130" s="17">
        <v>8.85</v>
      </c>
      <c r="AJS130" s="17">
        <v>4.3600000000000003</v>
      </c>
      <c r="AJT130" s="17">
        <v>0</v>
      </c>
      <c r="AJU130" s="17">
        <v>0</v>
      </c>
      <c r="AJV130" s="17">
        <v>0</v>
      </c>
      <c r="AKJ130" s="15">
        <v>0</v>
      </c>
      <c r="AKV130" s="31"/>
      <c r="AKZ130" s="31"/>
      <c r="ALD130" s="31"/>
      <c r="ALH130" s="31"/>
      <c r="ALL130" s="31"/>
      <c r="ALN130" s="15">
        <v>0</v>
      </c>
    </row>
    <row r="131" spans="1:1024" x14ac:dyDescent="0.2">
      <c r="A131" s="1" t="s">
        <v>570</v>
      </c>
      <c r="B131" s="12">
        <v>42894</v>
      </c>
      <c r="C131">
        <v>1</v>
      </c>
      <c r="D131" s="13">
        <v>42783</v>
      </c>
      <c r="E131" s="12">
        <v>27840</v>
      </c>
      <c r="F131" s="14">
        <f t="shared" si="48"/>
        <v>41.215605749486656</v>
      </c>
      <c r="G131" s="14">
        <f t="shared" si="49"/>
        <v>0.30390143737166325</v>
      </c>
      <c r="H131" s="15" t="s">
        <v>183</v>
      </c>
      <c r="I131" s="15" t="s">
        <v>571</v>
      </c>
      <c r="J131" s="15" t="s">
        <v>183</v>
      </c>
      <c r="K131" s="21">
        <v>8</v>
      </c>
      <c r="L131" s="19">
        <v>58</v>
      </c>
      <c r="M131">
        <v>1.62</v>
      </c>
      <c r="N131" s="16">
        <f t="shared" si="50"/>
        <v>22.10028959000152</v>
      </c>
      <c r="O131" s="19">
        <v>0</v>
      </c>
      <c r="P131" s="19">
        <v>0</v>
      </c>
      <c r="Q131" s="19">
        <v>0</v>
      </c>
      <c r="R131" s="19">
        <v>0</v>
      </c>
      <c r="S131" s="19">
        <v>0</v>
      </c>
      <c r="T131" s="19">
        <v>0</v>
      </c>
      <c r="U131" s="19">
        <v>0</v>
      </c>
      <c r="V131" s="19">
        <v>0</v>
      </c>
      <c r="W131" s="19">
        <v>0</v>
      </c>
      <c r="X131" s="19">
        <v>0</v>
      </c>
      <c r="Y131" s="19">
        <v>1</v>
      </c>
      <c r="Z131" s="19">
        <v>2</v>
      </c>
      <c r="AA131" s="19">
        <v>60</v>
      </c>
      <c r="AB131" s="19" t="s">
        <v>572</v>
      </c>
      <c r="AC131" s="19">
        <v>1</v>
      </c>
      <c r="AD131" s="19">
        <v>6</v>
      </c>
      <c r="AE131" s="19">
        <v>0</v>
      </c>
      <c r="AF131" s="19">
        <v>0</v>
      </c>
      <c r="AG131" s="19">
        <v>0</v>
      </c>
      <c r="AH131" s="19">
        <v>0</v>
      </c>
      <c r="AI131" s="19">
        <v>0</v>
      </c>
      <c r="AJ131" s="19">
        <v>0</v>
      </c>
      <c r="AK131" s="19">
        <v>0</v>
      </c>
      <c r="AL131" s="19">
        <v>0</v>
      </c>
      <c r="AM131" s="19">
        <v>0</v>
      </c>
      <c r="AN131" s="19">
        <v>0</v>
      </c>
      <c r="AO131" s="19">
        <v>0</v>
      </c>
      <c r="AP131" s="19">
        <v>0</v>
      </c>
      <c r="AQ131" s="19">
        <v>0</v>
      </c>
      <c r="AR131" s="19">
        <v>0</v>
      </c>
      <c r="AS131" s="19">
        <v>0</v>
      </c>
      <c r="AT131" s="19">
        <v>0</v>
      </c>
      <c r="AU131" s="19">
        <v>0</v>
      </c>
      <c r="AV131" s="19">
        <v>0</v>
      </c>
      <c r="AW131" s="19">
        <v>0</v>
      </c>
      <c r="AX131" s="19">
        <v>0</v>
      </c>
      <c r="AY131" s="19">
        <v>0</v>
      </c>
      <c r="AZ131" s="19">
        <v>0</v>
      </c>
      <c r="BA131" s="19">
        <v>0</v>
      </c>
      <c r="BB131" s="19">
        <v>0</v>
      </c>
      <c r="BC131" s="19">
        <v>0</v>
      </c>
      <c r="BD131" s="19">
        <v>0</v>
      </c>
      <c r="BE131" s="19">
        <v>0</v>
      </c>
      <c r="BF131" s="19">
        <v>0</v>
      </c>
      <c r="BG131" s="19">
        <v>0</v>
      </c>
      <c r="BH131" s="19">
        <v>0</v>
      </c>
      <c r="BI131" s="19">
        <v>0</v>
      </c>
      <c r="BJ131" s="19">
        <v>0</v>
      </c>
      <c r="BK131" s="19">
        <v>0</v>
      </c>
      <c r="BL131" s="19">
        <v>0</v>
      </c>
      <c r="BM131" s="19">
        <v>0</v>
      </c>
      <c r="BN131" s="19">
        <v>0</v>
      </c>
      <c r="BO131" s="19">
        <v>0</v>
      </c>
      <c r="BP131" s="19">
        <v>0</v>
      </c>
      <c r="BQ131" s="19">
        <v>0</v>
      </c>
      <c r="BR131" s="19">
        <v>2</v>
      </c>
      <c r="BS131" s="19">
        <v>2</v>
      </c>
      <c r="BT131" s="19">
        <v>2</v>
      </c>
      <c r="BU131" s="19">
        <v>5</v>
      </c>
      <c r="BV131" s="19">
        <v>2</v>
      </c>
      <c r="BW131" s="19">
        <v>2</v>
      </c>
      <c r="BX131" s="19">
        <v>3</v>
      </c>
      <c r="BY131" s="19">
        <v>3</v>
      </c>
      <c r="BZ131" s="19">
        <v>5</v>
      </c>
      <c r="CA131" s="19">
        <v>3</v>
      </c>
      <c r="CB131" s="19">
        <v>5</v>
      </c>
      <c r="CC131" s="19">
        <v>5</v>
      </c>
      <c r="CD131" s="19">
        <v>4</v>
      </c>
      <c r="CE131" s="19">
        <v>5</v>
      </c>
      <c r="CF131" s="19">
        <v>5</v>
      </c>
      <c r="CG131" s="19">
        <v>5</v>
      </c>
      <c r="CH131" s="19">
        <v>4</v>
      </c>
      <c r="CI131" s="19">
        <v>5</v>
      </c>
      <c r="CJ131" s="19">
        <v>5</v>
      </c>
      <c r="CK131" s="19">
        <v>10</v>
      </c>
      <c r="CL131" t="s">
        <v>540</v>
      </c>
      <c r="CM131">
        <v>70.5</v>
      </c>
      <c r="CN131" s="16">
        <v>88.2</v>
      </c>
      <c r="CO131" s="16">
        <v>80.400000000000006</v>
      </c>
      <c r="CP131" s="16">
        <v>36.299999999999997</v>
      </c>
      <c r="CQ131">
        <v>72.69</v>
      </c>
      <c r="CR131" s="17">
        <v>0</v>
      </c>
      <c r="CS131">
        <v>10.32</v>
      </c>
      <c r="CT131">
        <v>16.989999999999998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36.659999999999997</v>
      </c>
      <c r="DD131">
        <v>7.54</v>
      </c>
      <c r="DE131">
        <v>10.32</v>
      </c>
      <c r="DF131">
        <v>0</v>
      </c>
      <c r="DG131">
        <v>0</v>
      </c>
      <c r="DH131">
        <v>0</v>
      </c>
      <c r="DU131">
        <v>21.2</v>
      </c>
      <c r="DV131">
        <v>1</v>
      </c>
      <c r="DW131">
        <v>35</v>
      </c>
      <c r="DX131">
        <v>7</v>
      </c>
      <c r="DY131">
        <f t="shared" ref="DY131:DY138" si="51">5.71+0.54</f>
        <v>6.25</v>
      </c>
      <c r="DZ131">
        <v>3</v>
      </c>
      <c r="EA131">
        <v>47</v>
      </c>
      <c r="EB131">
        <v>2</v>
      </c>
      <c r="EC131">
        <v>0.4</v>
      </c>
      <c r="ED131">
        <v>3</v>
      </c>
      <c r="EG131" s="20"/>
      <c r="EY131">
        <v>0</v>
      </c>
      <c r="GJ131" s="16">
        <v>11.58</v>
      </c>
      <c r="GK131" s="16">
        <v>1</v>
      </c>
      <c r="GL131" s="16">
        <v>2</v>
      </c>
      <c r="GM131" s="16"/>
      <c r="GN131" s="16">
        <f t="shared" ref="GN131:GN138" si="52">0.22+1.95+3.81+0.27+0.32+0.04+0.05</f>
        <v>6.66</v>
      </c>
      <c r="GO131" s="16"/>
      <c r="GP131" s="16"/>
      <c r="GQ131" s="16"/>
      <c r="GR131" s="16"/>
      <c r="GS131" s="16"/>
      <c r="GT131" s="16"/>
      <c r="GU131" s="16">
        <v>0.27</v>
      </c>
      <c r="GV131" s="16">
        <v>0.27</v>
      </c>
      <c r="GW131" s="16">
        <v>0</v>
      </c>
      <c r="GX131" s="16">
        <v>0</v>
      </c>
      <c r="GY131" s="16">
        <v>0</v>
      </c>
      <c r="GZ131" s="16">
        <v>0</v>
      </c>
      <c r="HA131" s="16">
        <v>0</v>
      </c>
      <c r="HB131">
        <v>0</v>
      </c>
      <c r="HC131" t="s">
        <v>541</v>
      </c>
      <c r="HD131">
        <v>94.5</v>
      </c>
      <c r="HE131" s="16">
        <v>88.2</v>
      </c>
      <c r="HF131" s="16">
        <v>80.400000000000006</v>
      </c>
      <c r="HG131" s="16">
        <v>73.099999999999994</v>
      </c>
      <c r="HH131">
        <v>41.34</v>
      </c>
      <c r="HI131" s="17">
        <v>0</v>
      </c>
      <c r="HJ131">
        <v>8.6300000000000008</v>
      </c>
      <c r="HK131">
        <v>0.04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8.06</v>
      </c>
      <c r="HU131">
        <v>3.65</v>
      </c>
      <c r="HV131">
        <v>7.2</v>
      </c>
      <c r="HW131">
        <v>0</v>
      </c>
      <c r="HX131">
        <v>0</v>
      </c>
      <c r="HY131">
        <v>0</v>
      </c>
      <c r="IL131">
        <v>9.4</v>
      </c>
      <c r="IM131">
        <v>1</v>
      </c>
      <c r="IN131">
        <v>35</v>
      </c>
      <c r="IO131">
        <v>2</v>
      </c>
      <c r="IP131">
        <f t="shared" ref="IP131:IP138" si="53">0.76+0.45</f>
        <v>1.21</v>
      </c>
      <c r="IQ131">
        <v>3</v>
      </c>
      <c r="IX131" s="20"/>
      <c r="JP131">
        <v>1</v>
      </c>
      <c r="JQ131">
        <v>70</v>
      </c>
      <c r="JR131">
        <v>2</v>
      </c>
      <c r="JS131">
        <f t="shared" ref="JS131:JS138" si="54">0.75+1.69</f>
        <v>2.44</v>
      </c>
      <c r="JT131">
        <v>2</v>
      </c>
      <c r="LA131" s="16">
        <v>0.84</v>
      </c>
      <c r="LB131" s="16">
        <v>1</v>
      </c>
      <c r="LC131" s="16">
        <v>1</v>
      </c>
      <c r="LD131" s="16"/>
      <c r="LE131" s="16">
        <v>0.6</v>
      </c>
      <c r="LF131" s="16"/>
      <c r="LG131" s="16"/>
      <c r="LH131" s="16"/>
      <c r="LI131" s="16"/>
      <c r="LJ131" s="16"/>
      <c r="LK131" s="16"/>
      <c r="LL131" s="16">
        <v>10.19</v>
      </c>
      <c r="LM131" s="16">
        <v>8.4600000000000009</v>
      </c>
      <c r="LN131" s="16">
        <v>0</v>
      </c>
      <c r="LO131" s="16">
        <v>0</v>
      </c>
      <c r="LP131" s="16">
        <v>0</v>
      </c>
      <c r="LQ131" s="16">
        <v>0</v>
      </c>
      <c r="LR131" s="16">
        <v>0</v>
      </c>
      <c r="LS131">
        <v>0</v>
      </c>
      <c r="LT131" t="s">
        <v>542</v>
      </c>
      <c r="LU131">
        <v>75</v>
      </c>
      <c r="LV131" s="16">
        <v>91.2</v>
      </c>
      <c r="LW131" s="16">
        <v>80.400000000000006</v>
      </c>
      <c r="LX131" s="16">
        <v>61</v>
      </c>
      <c r="LY131">
        <v>53.67</v>
      </c>
      <c r="LZ131" s="17">
        <v>0</v>
      </c>
      <c r="MA131">
        <v>16.760000000000002</v>
      </c>
      <c r="MB131">
        <v>29.58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6.79</v>
      </c>
      <c r="ML131">
        <v>14.97</v>
      </c>
      <c r="MM131">
        <v>18.239999999999998</v>
      </c>
      <c r="MN131">
        <v>0</v>
      </c>
      <c r="MO131">
        <v>0</v>
      </c>
      <c r="MP131">
        <v>0</v>
      </c>
      <c r="NC131">
        <v>9</v>
      </c>
      <c r="ND131">
        <v>1</v>
      </c>
      <c r="NE131">
        <v>68</v>
      </c>
      <c r="NF131">
        <v>1</v>
      </c>
      <c r="NG131">
        <v>0.38</v>
      </c>
      <c r="NH131">
        <v>1</v>
      </c>
      <c r="NI131">
        <v>47</v>
      </c>
      <c r="NJ131">
        <v>1</v>
      </c>
      <c r="NK131">
        <v>1.1299999999999999</v>
      </c>
      <c r="NL131">
        <v>3</v>
      </c>
      <c r="NO131" s="20"/>
      <c r="OG131">
        <v>1</v>
      </c>
      <c r="OH131">
        <v>70</v>
      </c>
      <c r="OI131">
        <v>2</v>
      </c>
      <c r="OJ131">
        <f t="shared" ref="OJ131:OJ138" si="55">1.69+0.75</f>
        <v>2.44</v>
      </c>
      <c r="OK131">
        <v>2</v>
      </c>
      <c r="PR131" s="16">
        <v>1.88</v>
      </c>
      <c r="PS131" s="16">
        <v>1</v>
      </c>
      <c r="PT131" s="16">
        <v>1</v>
      </c>
      <c r="PU131" s="16"/>
      <c r="PV131" s="16">
        <f t="shared" ref="PV131:PV138" si="56">1.04+1.04+1.04</f>
        <v>3.12</v>
      </c>
      <c r="PW131" s="16"/>
      <c r="PX131" s="16"/>
      <c r="PY131" s="16"/>
      <c r="PZ131" s="16"/>
      <c r="QA131" s="16"/>
      <c r="QB131" s="16"/>
      <c r="QC131" s="16">
        <v>1.5</v>
      </c>
      <c r="QD131" s="16">
        <v>1.5</v>
      </c>
      <c r="QE131" s="16">
        <v>0</v>
      </c>
      <c r="QF131" s="16">
        <v>0</v>
      </c>
      <c r="QG131" s="16">
        <v>0</v>
      </c>
      <c r="QH131" s="16">
        <v>0</v>
      </c>
      <c r="QI131" s="16">
        <v>0</v>
      </c>
      <c r="QJ131">
        <v>0</v>
      </c>
      <c r="QK131" t="s">
        <v>543</v>
      </c>
      <c r="QL131">
        <v>21</v>
      </c>
      <c r="QM131" s="16">
        <v>77.900000000000006</v>
      </c>
      <c r="QN131" s="16">
        <v>160.80000000000001</v>
      </c>
      <c r="QO131" s="16">
        <v>14.1</v>
      </c>
      <c r="QP131">
        <v>87.99</v>
      </c>
      <c r="QQ131" s="17">
        <v>0</v>
      </c>
      <c r="QR131">
        <v>3.38</v>
      </c>
      <c r="QS131">
        <v>0</v>
      </c>
      <c r="QT131">
        <v>8.6300000000000008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65.599999999999994</v>
      </c>
      <c r="RD131">
        <v>0</v>
      </c>
      <c r="RE131">
        <v>0</v>
      </c>
      <c r="RF131">
        <v>0</v>
      </c>
      <c r="RG131">
        <v>0</v>
      </c>
      <c r="RT131">
        <v>1.4</v>
      </c>
      <c r="RU131">
        <v>1</v>
      </c>
      <c r="RV131">
        <v>35</v>
      </c>
      <c r="RW131">
        <v>3</v>
      </c>
      <c r="RX131">
        <f t="shared" ref="RX131:RX138" si="57">0.38</f>
        <v>0.38</v>
      </c>
      <c r="RY131">
        <v>3</v>
      </c>
      <c r="RZ131">
        <v>34</v>
      </c>
      <c r="SA131">
        <v>27</v>
      </c>
      <c r="SB131">
        <f t="shared" ref="SB131:SB138" si="58">0.19+0.19+1.13+3.38+0.56+1.5+1.13+0.38</f>
        <v>8.4599999999999991</v>
      </c>
      <c r="SC131">
        <v>1</v>
      </c>
      <c r="SF131" s="20"/>
      <c r="SX131">
        <v>1</v>
      </c>
      <c r="SY131">
        <v>40</v>
      </c>
      <c r="SZ131">
        <v>9</v>
      </c>
      <c r="TA131">
        <f t="shared" ref="TA131:TA138" si="59">0.38+1.13+3+1.88+0.75</f>
        <v>7.14</v>
      </c>
      <c r="TB131">
        <v>3</v>
      </c>
      <c r="UI131" s="16">
        <v>0</v>
      </c>
      <c r="UJ131" s="16">
        <v>0</v>
      </c>
      <c r="UK131" s="16"/>
      <c r="UL131" s="16"/>
      <c r="UM131" s="16"/>
      <c r="UN131" s="16"/>
      <c r="UO131" s="16"/>
      <c r="UP131" s="16"/>
      <c r="UQ131" s="16"/>
      <c r="UR131" s="16"/>
      <c r="US131" s="16"/>
      <c r="UT131" s="16">
        <v>5.27</v>
      </c>
      <c r="UU131" s="16">
        <v>1.5</v>
      </c>
      <c r="UV131" s="16">
        <v>0</v>
      </c>
      <c r="UW131" s="16">
        <v>0</v>
      </c>
      <c r="UX131" s="16">
        <v>0</v>
      </c>
      <c r="UY131" s="16">
        <v>0</v>
      </c>
      <c r="UZ131" s="16">
        <v>0</v>
      </c>
      <c r="VA131">
        <v>0</v>
      </c>
      <c r="VE131" s="15"/>
      <c r="VF131" s="15"/>
      <c r="VM131" s="15"/>
      <c r="VN131" s="15"/>
      <c r="VU131" s="15"/>
      <c r="VV131" s="15"/>
      <c r="WC131" s="15"/>
      <c r="WD131" s="15"/>
      <c r="WK131" s="15"/>
      <c r="WL131" s="15"/>
      <c r="WS131" s="15"/>
      <c r="WT131" s="15"/>
      <c r="XA131" s="15"/>
      <c r="XB131" s="15"/>
      <c r="XI131" s="15"/>
      <c r="XJ131" s="15"/>
      <c r="XQ131" s="15"/>
      <c r="XR131" s="15"/>
      <c r="XY131" s="15"/>
      <c r="XZ131" s="15"/>
      <c r="YG131" s="15"/>
      <c r="YH131" s="15"/>
      <c r="YO131" s="15"/>
      <c r="YP131" s="15"/>
      <c r="YW131" s="15"/>
      <c r="YX131" s="15"/>
      <c r="ZE131" s="15"/>
      <c r="ZF131" s="15"/>
      <c r="ZM131" s="15"/>
      <c r="ZN131" s="15"/>
      <c r="ZU131" s="15"/>
      <c r="ZV131" s="15"/>
      <c r="AAC131" s="15"/>
      <c r="AAD131" s="15"/>
      <c r="AAK131" s="15"/>
      <c r="AAL131" s="15"/>
      <c r="AAS131" s="15"/>
      <c r="AAT131" s="15"/>
      <c r="ABA131" s="15"/>
      <c r="ABB131" s="15"/>
      <c r="ABI131" s="15"/>
      <c r="ABJ131" s="15"/>
      <c r="ABQ131" s="15"/>
      <c r="ABR131" s="15"/>
      <c r="ABY131" s="15"/>
      <c r="ABZ131" s="15"/>
      <c r="ACG131" s="15"/>
      <c r="ACH131" s="15"/>
      <c r="ACO131" s="15"/>
      <c r="ACP131" s="15"/>
      <c r="ACW131" s="15"/>
      <c r="ACX131" s="15"/>
      <c r="ADE131" s="15"/>
      <c r="ADF131" s="15"/>
      <c r="ADM131" s="15"/>
      <c r="ADN131" s="15"/>
      <c r="ADU131" s="15"/>
      <c r="ADV131" s="15"/>
      <c r="AEC131" s="15"/>
      <c r="AED131" s="15"/>
      <c r="AEK131" s="15"/>
      <c r="AEL131" s="15"/>
      <c r="AES131" s="15"/>
      <c r="AET131" s="15"/>
      <c r="AFA131" s="15"/>
      <c r="AFB131" s="15"/>
      <c r="AFI131" s="15"/>
      <c r="AFJ131" s="15"/>
      <c r="AFQ131" s="15"/>
      <c r="AFR131" s="15"/>
      <c r="AFY131" s="15"/>
      <c r="AFZ131" s="15"/>
      <c r="AGG131" s="15"/>
      <c r="AGH131" s="15"/>
      <c r="AGO131" s="15"/>
      <c r="AGP131" s="15"/>
      <c r="AGW131" s="15"/>
      <c r="AGX131" s="15"/>
      <c r="AHE131" s="15"/>
      <c r="AHF131" s="15"/>
      <c r="AHM131" s="15"/>
      <c r="AHN131" s="15"/>
      <c r="AHU131" s="15"/>
      <c r="AHV131" s="15"/>
      <c r="AIC131" s="15"/>
      <c r="AID131" s="15"/>
      <c r="AIK131" s="15"/>
      <c r="AIL131" s="15"/>
      <c r="AIS131" s="15"/>
      <c r="AIT131" s="15"/>
      <c r="AJA131" s="15"/>
      <c r="AJB131" s="15"/>
      <c r="AJI131" s="15"/>
      <c r="AJJ131" s="15"/>
      <c r="AJQ131" s="15"/>
      <c r="AJR131" s="15"/>
      <c r="AJY131" s="15"/>
      <c r="AJZ131" s="15"/>
      <c r="AKG131" s="15"/>
      <c r="AKH131" s="15"/>
      <c r="AKO131" s="15"/>
      <c r="AKP131" s="15"/>
      <c r="AKW131" s="15"/>
      <c r="AKX131" s="15"/>
      <c r="ALE131" s="15"/>
      <c r="ALF131" s="15"/>
      <c r="ALM131" s="15"/>
      <c r="ALN131" s="15"/>
      <c r="ALU131" s="15"/>
      <c r="ALV131" s="15"/>
      <c r="AMC131" s="15"/>
      <c r="AMD131" s="15"/>
    </row>
    <row r="132" spans="1:1024" x14ac:dyDescent="0.2">
      <c r="A132" s="1" t="s">
        <v>573</v>
      </c>
      <c r="B132" s="12">
        <v>42894</v>
      </c>
      <c r="C132">
        <v>2</v>
      </c>
      <c r="D132" s="13">
        <v>42776</v>
      </c>
      <c r="E132" s="12">
        <v>42776</v>
      </c>
      <c r="F132" s="14">
        <f t="shared" si="48"/>
        <v>0.32306639288158795</v>
      </c>
      <c r="G132" s="14">
        <f t="shared" si="49"/>
        <v>0.32306639288158795</v>
      </c>
      <c r="H132" s="15" t="s">
        <v>183</v>
      </c>
      <c r="I132" s="15" t="s">
        <v>571</v>
      </c>
      <c r="J132" s="15" t="s">
        <v>183</v>
      </c>
      <c r="K132" s="21">
        <v>8</v>
      </c>
      <c r="L132" s="19">
        <v>98</v>
      </c>
      <c r="M132">
        <v>1.83</v>
      </c>
      <c r="N132" s="16">
        <f t="shared" si="50"/>
        <v>29.26334020126011</v>
      </c>
      <c r="O132" s="19">
        <v>0</v>
      </c>
      <c r="P132" s="19">
        <v>0</v>
      </c>
      <c r="Q132" s="19">
        <v>0</v>
      </c>
      <c r="R132" s="19">
        <v>0</v>
      </c>
      <c r="S132" s="19">
        <v>0</v>
      </c>
      <c r="T132" s="19">
        <v>0</v>
      </c>
      <c r="U132" s="19">
        <v>0</v>
      </c>
      <c r="V132" s="19">
        <v>0</v>
      </c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>
        <v>1</v>
      </c>
      <c r="AD132" s="19">
        <v>7</v>
      </c>
      <c r="AE132" s="19">
        <v>0</v>
      </c>
      <c r="AF132" s="19">
        <v>0</v>
      </c>
      <c r="AG132" s="19">
        <v>0</v>
      </c>
      <c r="AH132" s="19">
        <v>0</v>
      </c>
      <c r="AI132" s="19">
        <v>0</v>
      </c>
      <c r="AJ132" s="19">
        <v>0</v>
      </c>
      <c r="AK132" s="19">
        <v>0</v>
      </c>
      <c r="AL132" s="19">
        <v>0</v>
      </c>
      <c r="AM132" s="19">
        <v>0</v>
      </c>
      <c r="AN132" s="19">
        <v>0</v>
      </c>
      <c r="AO132" s="19">
        <v>0</v>
      </c>
      <c r="AP132" s="19">
        <v>0</v>
      </c>
      <c r="AQ132" s="19">
        <v>0</v>
      </c>
      <c r="AR132" s="19">
        <v>0</v>
      </c>
      <c r="AS132" s="19">
        <v>0</v>
      </c>
      <c r="AT132" s="19">
        <v>0</v>
      </c>
      <c r="AU132" s="19">
        <v>0</v>
      </c>
      <c r="AV132" s="19">
        <v>0</v>
      </c>
      <c r="AW132" s="19">
        <v>0</v>
      </c>
      <c r="AX132" s="19">
        <v>0</v>
      </c>
      <c r="AY132" s="19">
        <v>0</v>
      </c>
      <c r="AZ132" s="19">
        <v>0</v>
      </c>
      <c r="BA132" s="19">
        <v>0</v>
      </c>
      <c r="BB132" s="19">
        <v>0</v>
      </c>
      <c r="BC132" s="19">
        <v>0</v>
      </c>
      <c r="BD132" s="19">
        <v>0</v>
      </c>
      <c r="BE132" s="19">
        <v>0</v>
      </c>
      <c r="BF132" s="19">
        <v>0</v>
      </c>
      <c r="BG132" s="19">
        <v>0</v>
      </c>
      <c r="BH132" s="19">
        <v>0</v>
      </c>
      <c r="BI132" s="19">
        <v>0</v>
      </c>
      <c r="BJ132" s="19">
        <v>0</v>
      </c>
      <c r="BK132" s="19">
        <v>0</v>
      </c>
      <c r="BL132" s="19">
        <v>0</v>
      </c>
      <c r="BM132" s="19">
        <v>0</v>
      </c>
      <c r="BN132" s="19">
        <v>0</v>
      </c>
      <c r="BO132" s="19">
        <v>0</v>
      </c>
      <c r="BP132" s="19">
        <v>0</v>
      </c>
      <c r="BQ132" s="19">
        <v>0</v>
      </c>
      <c r="BR132" s="19">
        <v>1</v>
      </c>
      <c r="BS132" s="19">
        <v>2</v>
      </c>
      <c r="BT132" s="19">
        <v>2</v>
      </c>
      <c r="BU132" s="19">
        <v>3</v>
      </c>
      <c r="BV132" s="19">
        <v>2</v>
      </c>
      <c r="BW132" s="19">
        <v>1</v>
      </c>
      <c r="BX132" s="19">
        <v>5</v>
      </c>
      <c r="BY132" s="19">
        <v>3</v>
      </c>
      <c r="BZ132" s="19">
        <v>4</v>
      </c>
      <c r="CA132" s="19">
        <v>4</v>
      </c>
      <c r="CB132" s="19">
        <v>5</v>
      </c>
      <c r="CC132" s="19">
        <v>5</v>
      </c>
      <c r="CD132" s="19">
        <v>3</v>
      </c>
      <c r="CE132" s="19">
        <v>4</v>
      </c>
      <c r="CF132" s="19">
        <v>4</v>
      </c>
      <c r="CG132" s="19">
        <v>4</v>
      </c>
      <c r="CH132" s="19">
        <v>4</v>
      </c>
      <c r="CI132" s="19">
        <v>4</v>
      </c>
      <c r="CJ132" s="19">
        <v>4</v>
      </c>
      <c r="CK132" s="19">
        <v>10</v>
      </c>
      <c r="CL132" t="s">
        <v>540</v>
      </c>
      <c r="CM132">
        <v>70.5</v>
      </c>
      <c r="CN132" s="16">
        <v>88.2</v>
      </c>
      <c r="CO132" s="16">
        <v>80.400000000000006</v>
      </c>
      <c r="CP132" s="16">
        <v>36.299999999999997</v>
      </c>
      <c r="CQ132">
        <v>72.69</v>
      </c>
      <c r="CR132" s="17">
        <v>0</v>
      </c>
      <c r="CS132">
        <v>10.32</v>
      </c>
      <c r="CT132">
        <v>16.989999999999998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36.659999999999997</v>
      </c>
      <c r="DD132">
        <v>7.54</v>
      </c>
      <c r="DE132">
        <v>10.32</v>
      </c>
      <c r="DF132">
        <v>0</v>
      </c>
      <c r="DG132">
        <v>0</v>
      </c>
      <c r="DH132">
        <v>0</v>
      </c>
      <c r="DU132">
        <v>21.2</v>
      </c>
      <c r="DV132">
        <v>1</v>
      </c>
      <c r="DW132">
        <v>35</v>
      </c>
      <c r="DX132">
        <v>7</v>
      </c>
      <c r="DY132">
        <f t="shared" si="51"/>
        <v>6.25</v>
      </c>
      <c r="DZ132">
        <v>3</v>
      </c>
      <c r="EA132">
        <v>47</v>
      </c>
      <c r="EB132">
        <v>2</v>
      </c>
      <c r="EC132">
        <v>0.4</v>
      </c>
      <c r="ED132">
        <v>3</v>
      </c>
      <c r="EG132" s="20"/>
      <c r="EY132">
        <v>0</v>
      </c>
      <c r="GJ132" s="16">
        <v>11.58</v>
      </c>
      <c r="GK132" s="16">
        <v>1</v>
      </c>
      <c r="GL132" s="16">
        <v>2</v>
      </c>
      <c r="GM132" s="16"/>
      <c r="GN132" s="16">
        <f t="shared" si="52"/>
        <v>6.66</v>
      </c>
      <c r="GO132" s="16"/>
      <c r="GP132" s="16"/>
      <c r="GQ132" s="16"/>
      <c r="GR132" s="16"/>
      <c r="GS132" s="16"/>
      <c r="GT132" s="16"/>
      <c r="GU132" s="16">
        <v>0.27</v>
      </c>
      <c r="GV132" s="16">
        <v>0.27</v>
      </c>
      <c r="GW132" s="16">
        <v>0</v>
      </c>
      <c r="GX132" s="16">
        <v>0</v>
      </c>
      <c r="GY132" s="16">
        <v>0</v>
      </c>
      <c r="GZ132" s="16">
        <v>0</v>
      </c>
      <c r="HA132" s="16">
        <v>0</v>
      </c>
      <c r="HB132">
        <v>0</v>
      </c>
      <c r="HC132" t="s">
        <v>541</v>
      </c>
      <c r="HD132">
        <v>94.5</v>
      </c>
      <c r="HE132" s="16">
        <v>88.2</v>
      </c>
      <c r="HF132" s="16">
        <v>80.400000000000006</v>
      </c>
      <c r="HG132" s="16">
        <v>73.099999999999994</v>
      </c>
      <c r="HH132">
        <v>41.34</v>
      </c>
      <c r="HI132" s="17">
        <v>0</v>
      </c>
      <c r="HJ132">
        <v>8.6300000000000008</v>
      </c>
      <c r="HK132">
        <v>0.04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8.06</v>
      </c>
      <c r="HU132">
        <v>3.65</v>
      </c>
      <c r="HV132">
        <v>7.2</v>
      </c>
      <c r="HW132">
        <v>0</v>
      </c>
      <c r="HX132">
        <v>0</v>
      </c>
      <c r="HY132">
        <v>0</v>
      </c>
      <c r="IL132">
        <v>9.4</v>
      </c>
      <c r="IM132">
        <v>1</v>
      </c>
      <c r="IN132">
        <v>35</v>
      </c>
      <c r="IO132">
        <v>2</v>
      </c>
      <c r="IP132">
        <f t="shared" si="53"/>
        <v>1.21</v>
      </c>
      <c r="IQ132">
        <v>3</v>
      </c>
      <c r="IX132" s="20"/>
      <c r="JP132">
        <v>1</v>
      </c>
      <c r="JQ132">
        <v>70</v>
      </c>
      <c r="JR132">
        <v>2</v>
      </c>
      <c r="JS132">
        <f t="shared" si="54"/>
        <v>2.44</v>
      </c>
      <c r="JT132">
        <v>2</v>
      </c>
      <c r="LA132" s="16">
        <v>0.84</v>
      </c>
      <c r="LB132" s="16">
        <v>1</v>
      </c>
      <c r="LC132" s="16">
        <v>1</v>
      </c>
      <c r="LD132" s="16"/>
      <c r="LE132" s="16">
        <v>0.6</v>
      </c>
      <c r="LF132" s="16"/>
      <c r="LG132" s="16"/>
      <c r="LH132" s="16"/>
      <c r="LI132" s="16"/>
      <c r="LJ132" s="16"/>
      <c r="LK132" s="16"/>
      <c r="LL132" s="16">
        <v>10.19</v>
      </c>
      <c r="LM132" s="16">
        <v>8.4600000000000009</v>
      </c>
      <c r="LN132" s="16">
        <v>0</v>
      </c>
      <c r="LO132" s="16">
        <v>0</v>
      </c>
      <c r="LP132" s="16">
        <v>0</v>
      </c>
      <c r="LQ132" s="16">
        <v>0</v>
      </c>
      <c r="LR132" s="16">
        <v>0</v>
      </c>
      <c r="LS132">
        <v>0</v>
      </c>
      <c r="LT132" t="s">
        <v>542</v>
      </c>
      <c r="LU132">
        <v>75</v>
      </c>
      <c r="LV132" s="16">
        <v>91.2</v>
      </c>
      <c r="LW132" s="16">
        <v>80.400000000000006</v>
      </c>
      <c r="LX132" s="16">
        <v>61</v>
      </c>
      <c r="LY132">
        <v>53.67</v>
      </c>
      <c r="LZ132" s="17">
        <v>0</v>
      </c>
      <c r="MA132">
        <v>16.760000000000002</v>
      </c>
      <c r="MB132">
        <v>29.58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6.79</v>
      </c>
      <c r="ML132">
        <v>14.97</v>
      </c>
      <c r="MM132">
        <v>18.239999999999998</v>
      </c>
      <c r="MN132">
        <v>0</v>
      </c>
      <c r="MO132">
        <v>0</v>
      </c>
      <c r="MP132">
        <v>0</v>
      </c>
      <c r="NC132">
        <v>9</v>
      </c>
      <c r="ND132">
        <v>1</v>
      </c>
      <c r="NE132">
        <v>68</v>
      </c>
      <c r="NF132">
        <v>1</v>
      </c>
      <c r="NG132">
        <v>0.38</v>
      </c>
      <c r="NH132">
        <v>1</v>
      </c>
      <c r="NI132">
        <v>47</v>
      </c>
      <c r="NJ132">
        <v>1</v>
      </c>
      <c r="NK132">
        <v>1.1299999999999999</v>
      </c>
      <c r="NL132">
        <v>3</v>
      </c>
      <c r="NO132" s="20"/>
      <c r="OG132">
        <v>1</v>
      </c>
      <c r="OH132">
        <v>70</v>
      </c>
      <c r="OI132">
        <v>2</v>
      </c>
      <c r="OJ132">
        <f t="shared" si="55"/>
        <v>2.44</v>
      </c>
      <c r="OK132">
        <v>2</v>
      </c>
      <c r="PR132" s="16">
        <v>1.88</v>
      </c>
      <c r="PS132" s="16">
        <v>1</v>
      </c>
      <c r="PT132" s="16">
        <v>1</v>
      </c>
      <c r="PU132" s="16"/>
      <c r="PV132" s="16">
        <f t="shared" si="56"/>
        <v>3.12</v>
      </c>
      <c r="PW132" s="16"/>
      <c r="PX132" s="16"/>
      <c r="PY132" s="16"/>
      <c r="PZ132" s="16"/>
      <c r="QA132" s="16"/>
      <c r="QB132" s="16"/>
      <c r="QC132" s="16">
        <v>1.5</v>
      </c>
      <c r="QD132" s="16">
        <v>1.5</v>
      </c>
      <c r="QE132" s="16">
        <v>0</v>
      </c>
      <c r="QF132" s="16">
        <v>0</v>
      </c>
      <c r="QG132" s="16">
        <v>0</v>
      </c>
      <c r="QH132" s="16">
        <v>0</v>
      </c>
      <c r="QI132" s="16">
        <v>0</v>
      </c>
      <c r="QJ132">
        <v>0</v>
      </c>
      <c r="QK132" t="s">
        <v>543</v>
      </c>
      <c r="QL132">
        <v>21</v>
      </c>
      <c r="QM132" s="16">
        <v>77.900000000000006</v>
      </c>
      <c r="QN132" s="16">
        <v>160.80000000000001</v>
      </c>
      <c r="QO132" s="16">
        <v>14.1</v>
      </c>
      <c r="QP132">
        <v>87.99</v>
      </c>
      <c r="QQ132" s="17">
        <v>0</v>
      </c>
      <c r="QR132">
        <v>3.38</v>
      </c>
      <c r="QS132">
        <v>0</v>
      </c>
      <c r="QT132">
        <v>8.6300000000000008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65.599999999999994</v>
      </c>
      <c r="RD132">
        <v>0</v>
      </c>
      <c r="RE132">
        <v>0</v>
      </c>
      <c r="RF132">
        <v>0</v>
      </c>
      <c r="RG132">
        <v>0</v>
      </c>
      <c r="RT132">
        <v>1.4</v>
      </c>
      <c r="RU132">
        <v>1</v>
      </c>
      <c r="RV132">
        <v>35</v>
      </c>
      <c r="RW132">
        <v>3</v>
      </c>
      <c r="RX132">
        <f t="shared" si="57"/>
        <v>0.38</v>
      </c>
      <c r="RY132">
        <v>3</v>
      </c>
      <c r="RZ132">
        <v>34</v>
      </c>
      <c r="SA132">
        <v>27</v>
      </c>
      <c r="SB132">
        <f t="shared" si="58"/>
        <v>8.4599999999999991</v>
      </c>
      <c r="SC132">
        <v>1</v>
      </c>
      <c r="SF132" s="20"/>
      <c r="SX132">
        <v>1</v>
      </c>
      <c r="SY132">
        <v>40</v>
      </c>
      <c r="SZ132">
        <v>9</v>
      </c>
      <c r="TA132">
        <f t="shared" si="59"/>
        <v>7.14</v>
      </c>
      <c r="TB132">
        <v>3</v>
      </c>
      <c r="UI132" s="16">
        <v>0</v>
      </c>
      <c r="UJ132" s="16">
        <v>0</v>
      </c>
      <c r="UK132" s="16"/>
      <c r="UL132" s="16"/>
      <c r="UM132" s="16"/>
      <c r="UN132" s="16"/>
      <c r="UO132" s="16"/>
      <c r="UP132" s="16"/>
      <c r="UQ132" s="16"/>
      <c r="UR132" s="16"/>
      <c r="US132" s="16"/>
      <c r="UT132" s="16">
        <v>5.27</v>
      </c>
      <c r="UU132" s="16">
        <v>1.5</v>
      </c>
      <c r="UV132" s="16">
        <v>0</v>
      </c>
      <c r="UW132" s="16">
        <v>0</v>
      </c>
      <c r="UX132" s="16">
        <v>0</v>
      </c>
      <c r="UY132" s="16">
        <v>0</v>
      </c>
      <c r="UZ132" s="16">
        <v>0</v>
      </c>
      <c r="VA132">
        <v>0</v>
      </c>
      <c r="VE132" s="15"/>
      <c r="VF132" s="15"/>
      <c r="VM132" s="15"/>
      <c r="VN132" s="15"/>
      <c r="VU132" s="15"/>
      <c r="VV132" s="15"/>
      <c r="WC132" s="15"/>
      <c r="WD132" s="15"/>
      <c r="WK132" s="15"/>
      <c r="WL132" s="15"/>
      <c r="WS132" s="15"/>
      <c r="WT132" s="15"/>
      <c r="XA132" s="15"/>
      <c r="XB132" s="15"/>
      <c r="XI132" s="15"/>
      <c r="XJ132" s="15"/>
      <c r="XQ132" s="15"/>
      <c r="XR132" s="15"/>
      <c r="XY132" s="15"/>
      <c r="XZ132" s="15"/>
      <c r="YG132" s="15"/>
      <c r="YH132" s="15"/>
      <c r="YO132" s="15"/>
      <c r="YP132" s="15"/>
      <c r="YW132" s="15"/>
      <c r="YX132" s="15"/>
      <c r="ZE132" s="15"/>
      <c r="ZF132" s="15"/>
      <c r="ZM132" s="15"/>
      <c r="ZN132" s="15"/>
      <c r="ZU132" s="15"/>
      <c r="ZV132" s="15"/>
      <c r="AAC132" s="15"/>
      <c r="AAD132" s="15"/>
      <c r="AAK132" s="15"/>
      <c r="AAL132" s="15"/>
      <c r="AAS132" s="15"/>
      <c r="AAT132" s="15"/>
      <c r="ABA132" s="15"/>
      <c r="ABB132" s="15"/>
      <c r="ABI132" s="15"/>
      <c r="ABJ132" s="15"/>
      <c r="ABQ132" s="15"/>
      <c r="ABR132" s="15"/>
      <c r="ABY132" s="15"/>
      <c r="ABZ132" s="15"/>
      <c r="ACG132" s="15"/>
      <c r="ACH132" s="15"/>
      <c r="ACO132" s="15"/>
      <c r="ACP132" s="15"/>
      <c r="ACW132" s="15"/>
      <c r="ACX132" s="15"/>
      <c r="ADE132" s="15"/>
      <c r="ADF132" s="15"/>
      <c r="ADM132" s="15"/>
      <c r="ADN132" s="15"/>
      <c r="ADU132" s="15"/>
      <c r="ADV132" s="15"/>
      <c r="AEC132" s="15"/>
      <c r="AED132" s="15"/>
      <c r="AEK132" s="15"/>
      <c r="AEL132" s="15"/>
      <c r="AES132" s="15"/>
      <c r="AET132" s="15"/>
      <c r="AFA132" s="15"/>
      <c r="AFB132" s="15"/>
      <c r="AFI132" s="15"/>
      <c r="AFJ132" s="15"/>
      <c r="AFQ132" s="15"/>
      <c r="AFR132" s="15"/>
      <c r="AFY132" s="15"/>
      <c r="AFZ132" s="15"/>
      <c r="AGG132" s="15"/>
      <c r="AGH132" s="15"/>
      <c r="AGO132" s="15"/>
      <c r="AGP132" s="15"/>
      <c r="AGW132" s="15"/>
      <c r="AGX132" s="15"/>
      <c r="AHE132" s="15"/>
      <c r="AHF132" s="15"/>
      <c r="AHM132" s="15"/>
      <c r="AHN132" s="15"/>
      <c r="AHU132" s="15"/>
      <c r="AHV132" s="15"/>
      <c r="AIC132" s="15"/>
      <c r="AID132" s="15"/>
      <c r="AIK132" s="15"/>
      <c r="AIL132" s="15"/>
      <c r="AIS132" s="15"/>
      <c r="AIT132" s="15"/>
      <c r="AJA132" s="15"/>
      <c r="AJB132" s="15"/>
      <c r="AJI132" s="15"/>
      <c r="AJJ132" s="15"/>
      <c r="AJQ132" s="15"/>
      <c r="AJR132" s="15"/>
      <c r="AJY132" s="15"/>
      <c r="AJZ132" s="15"/>
      <c r="AKG132" s="15"/>
      <c r="AKH132" s="15"/>
      <c r="AKO132" s="15"/>
      <c r="AKP132" s="15"/>
      <c r="AKW132" s="15"/>
      <c r="AKX132" s="15"/>
      <c r="ALE132" s="15"/>
      <c r="ALF132" s="15"/>
      <c r="ALM132" s="15"/>
      <c r="ALN132" s="15"/>
      <c r="ALU132" s="15"/>
      <c r="ALV132" s="15"/>
      <c r="AMC132" s="15"/>
      <c r="AMD132" s="15"/>
    </row>
    <row r="133" spans="1:1024" x14ac:dyDescent="0.2">
      <c r="A133" s="1" t="s">
        <v>574</v>
      </c>
      <c r="B133" s="12">
        <v>42894</v>
      </c>
      <c r="C133">
        <v>2</v>
      </c>
      <c r="D133" s="13">
        <v>42828</v>
      </c>
      <c r="E133" s="12">
        <v>35561</v>
      </c>
      <c r="F133" s="14">
        <f t="shared" si="48"/>
        <v>20.076659822039698</v>
      </c>
      <c r="G133" s="14">
        <f t="shared" si="49"/>
        <v>0.1806981519507187</v>
      </c>
      <c r="H133" s="15" t="s">
        <v>183</v>
      </c>
      <c r="I133" s="15" t="s">
        <v>571</v>
      </c>
      <c r="J133" s="15" t="s">
        <v>183</v>
      </c>
      <c r="K133" s="21">
        <v>8</v>
      </c>
      <c r="L133" s="19">
        <v>76</v>
      </c>
      <c r="M133">
        <v>1.82</v>
      </c>
      <c r="N133" s="16">
        <f t="shared" si="50"/>
        <v>22.944088878154812</v>
      </c>
      <c r="O133" s="19">
        <v>0</v>
      </c>
      <c r="P133" s="19">
        <v>0</v>
      </c>
      <c r="Q133" s="19">
        <v>0</v>
      </c>
      <c r="R133" s="19">
        <v>0</v>
      </c>
      <c r="S133" s="19">
        <v>0</v>
      </c>
      <c r="T133" s="19">
        <v>0</v>
      </c>
      <c r="U133" s="19">
        <v>0</v>
      </c>
      <c r="V133" s="19">
        <v>0</v>
      </c>
      <c r="W133" s="19">
        <v>1</v>
      </c>
      <c r="X133" s="19">
        <v>0</v>
      </c>
      <c r="Y133" s="19">
        <v>1</v>
      </c>
      <c r="Z133" s="19">
        <v>1</v>
      </c>
      <c r="AA133" s="19">
        <v>120</v>
      </c>
      <c r="AB133" s="19" t="s">
        <v>349</v>
      </c>
      <c r="AC133" s="19">
        <v>0</v>
      </c>
      <c r="AD133" s="19">
        <v>0</v>
      </c>
      <c r="AE133" s="19">
        <v>1</v>
      </c>
      <c r="AF133" s="19">
        <v>0</v>
      </c>
      <c r="AG133" s="19">
        <v>1</v>
      </c>
      <c r="AH133" s="19">
        <v>8</v>
      </c>
      <c r="AI133" s="19">
        <v>2</v>
      </c>
      <c r="AJ133" s="19">
        <v>0</v>
      </c>
      <c r="AK133" s="19">
        <v>2</v>
      </c>
      <c r="AL133" s="19">
        <v>0</v>
      </c>
      <c r="AM133" s="19">
        <v>8</v>
      </c>
      <c r="AN133" s="19">
        <v>0</v>
      </c>
      <c r="AO133" s="19">
        <v>0</v>
      </c>
      <c r="AP133" s="19">
        <v>0</v>
      </c>
      <c r="AQ133" s="19">
        <v>0</v>
      </c>
      <c r="AR133" s="19">
        <v>0</v>
      </c>
      <c r="AS133" s="19">
        <v>3</v>
      </c>
      <c r="AT133" s="19">
        <v>0</v>
      </c>
      <c r="AU133" s="19">
        <v>3</v>
      </c>
      <c r="AV133" s="19">
        <v>6</v>
      </c>
      <c r="AW133" s="19">
        <v>6</v>
      </c>
      <c r="AX133" s="19">
        <v>0</v>
      </c>
      <c r="AY133" s="19">
        <v>0</v>
      </c>
      <c r="AZ133" s="19">
        <v>0</v>
      </c>
      <c r="BA133" s="19">
        <v>0</v>
      </c>
      <c r="BB133" s="19">
        <v>1</v>
      </c>
      <c r="BC133" s="19">
        <v>0</v>
      </c>
      <c r="BD133" s="19">
        <v>1</v>
      </c>
      <c r="BE133" s="19">
        <v>6</v>
      </c>
      <c r="BF133" s="19">
        <v>0</v>
      </c>
      <c r="BG133" s="19">
        <v>0</v>
      </c>
      <c r="BH133" s="19">
        <v>0</v>
      </c>
      <c r="BI133" s="19">
        <v>0</v>
      </c>
      <c r="BJ133" s="19">
        <v>1</v>
      </c>
      <c r="BK133" s="19">
        <v>0</v>
      </c>
      <c r="BL133" s="19">
        <v>1</v>
      </c>
      <c r="BM133" s="19">
        <v>6</v>
      </c>
      <c r="BN133" s="19">
        <v>1</v>
      </c>
      <c r="BO133" s="19">
        <v>0</v>
      </c>
      <c r="BP133" s="19">
        <v>1</v>
      </c>
      <c r="BQ133" s="19">
        <v>6</v>
      </c>
      <c r="BR133" s="19">
        <v>2</v>
      </c>
      <c r="BS133" s="19">
        <v>2</v>
      </c>
      <c r="BT133" s="19">
        <v>3</v>
      </c>
      <c r="BU133" s="19">
        <v>5</v>
      </c>
      <c r="BV133" s="19">
        <v>2</v>
      </c>
      <c r="BW133" s="19">
        <v>2</v>
      </c>
      <c r="BX133" s="19">
        <v>4</v>
      </c>
      <c r="BY133" s="19">
        <v>3</v>
      </c>
      <c r="BZ133" s="19">
        <v>5</v>
      </c>
      <c r="CA133" s="19">
        <v>4</v>
      </c>
      <c r="CB133" s="19">
        <v>5</v>
      </c>
      <c r="CC133" s="19">
        <v>5</v>
      </c>
      <c r="CD133" s="19">
        <v>3</v>
      </c>
      <c r="CE133" s="19">
        <v>5</v>
      </c>
      <c r="CF133" s="19">
        <v>4</v>
      </c>
      <c r="CG133" s="19">
        <v>5</v>
      </c>
      <c r="CH133" s="19">
        <v>4</v>
      </c>
      <c r="CI133" s="19">
        <v>4</v>
      </c>
      <c r="CJ133" s="19">
        <v>4</v>
      </c>
      <c r="CK133" s="19">
        <v>9</v>
      </c>
      <c r="CL133" t="s">
        <v>540</v>
      </c>
      <c r="CM133">
        <v>70.5</v>
      </c>
      <c r="CN133" s="16">
        <v>88.2</v>
      </c>
      <c r="CO133" s="16">
        <v>80.400000000000006</v>
      </c>
      <c r="CP133" s="16">
        <v>36.299999999999997</v>
      </c>
      <c r="CQ133">
        <v>72.69</v>
      </c>
      <c r="CR133" s="17">
        <v>0</v>
      </c>
      <c r="CS133">
        <v>10.32</v>
      </c>
      <c r="CT133">
        <v>16.989999999999998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36.659999999999997</v>
      </c>
      <c r="DD133">
        <v>7.54</v>
      </c>
      <c r="DE133">
        <v>10.32</v>
      </c>
      <c r="DF133">
        <v>0</v>
      </c>
      <c r="DG133">
        <v>0</v>
      </c>
      <c r="DH133">
        <v>0</v>
      </c>
      <c r="DU133">
        <v>21.2</v>
      </c>
      <c r="DV133">
        <v>1</v>
      </c>
      <c r="DW133">
        <v>35</v>
      </c>
      <c r="DX133">
        <v>7</v>
      </c>
      <c r="DY133">
        <f t="shared" si="51"/>
        <v>6.25</v>
      </c>
      <c r="DZ133">
        <v>3</v>
      </c>
      <c r="EA133">
        <v>47</v>
      </c>
      <c r="EB133">
        <v>2</v>
      </c>
      <c r="EC133">
        <v>0.4</v>
      </c>
      <c r="ED133">
        <v>3</v>
      </c>
      <c r="EG133" s="20"/>
      <c r="EY133">
        <v>0</v>
      </c>
      <c r="GJ133" s="16">
        <v>11.58</v>
      </c>
      <c r="GK133" s="16">
        <v>1</v>
      </c>
      <c r="GL133" s="16">
        <v>2</v>
      </c>
      <c r="GM133" s="16"/>
      <c r="GN133" s="16">
        <f t="shared" si="52"/>
        <v>6.66</v>
      </c>
      <c r="GO133" s="16"/>
      <c r="GP133" s="16"/>
      <c r="GQ133" s="16"/>
      <c r="GR133" s="16"/>
      <c r="GS133" s="16"/>
      <c r="GT133" s="16"/>
      <c r="GU133" s="16">
        <v>0.27</v>
      </c>
      <c r="GV133" s="16">
        <v>0.27</v>
      </c>
      <c r="GW133" s="16">
        <v>0</v>
      </c>
      <c r="GX133" s="16">
        <v>0</v>
      </c>
      <c r="GY133" s="16">
        <v>0</v>
      </c>
      <c r="GZ133" s="16">
        <v>0</v>
      </c>
      <c r="HA133" s="16">
        <v>0</v>
      </c>
      <c r="HB133">
        <v>0</v>
      </c>
      <c r="HC133" t="s">
        <v>541</v>
      </c>
      <c r="HD133">
        <v>94.5</v>
      </c>
      <c r="HE133" s="16">
        <v>88.2</v>
      </c>
      <c r="HF133" s="16">
        <v>80.400000000000006</v>
      </c>
      <c r="HG133" s="16">
        <v>73.099999999999994</v>
      </c>
      <c r="HH133">
        <v>41.34</v>
      </c>
      <c r="HI133" s="17">
        <v>0</v>
      </c>
      <c r="HJ133">
        <v>8.6300000000000008</v>
      </c>
      <c r="HK133">
        <v>0.04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8.06</v>
      </c>
      <c r="HU133">
        <v>3.65</v>
      </c>
      <c r="HV133">
        <v>7.2</v>
      </c>
      <c r="HW133">
        <v>0</v>
      </c>
      <c r="HX133">
        <v>0</v>
      </c>
      <c r="HY133">
        <v>0</v>
      </c>
      <c r="IL133">
        <v>9.4</v>
      </c>
      <c r="IM133">
        <v>1</v>
      </c>
      <c r="IN133">
        <v>35</v>
      </c>
      <c r="IO133">
        <v>2</v>
      </c>
      <c r="IP133">
        <f t="shared" si="53"/>
        <v>1.21</v>
      </c>
      <c r="IQ133">
        <v>3</v>
      </c>
      <c r="IX133" s="20"/>
      <c r="JP133">
        <v>1</v>
      </c>
      <c r="JQ133">
        <v>70</v>
      </c>
      <c r="JR133">
        <v>2</v>
      </c>
      <c r="JS133">
        <f t="shared" si="54"/>
        <v>2.44</v>
      </c>
      <c r="JT133">
        <v>2</v>
      </c>
      <c r="LA133" s="16">
        <v>0.84</v>
      </c>
      <c r="LB133" s="16">
        <v>1</v>
      </c>
      <c r="LC133" s="16">
        <v>1</v>
      </c>
      <c r="LD133" s="16"/>
      <c r="LE133" s="16">
        <v>0.6</v>
      </c>
      <c r="LF133" s="16"/>
      <c r="LG133" s="16"/>
      <c r="LH133" s="16"/>
      <c r="LI133" s="16"/>
      <c r="LJ133" s="16"/>
      <c r="LK133" s="16"/>
      <c r="LL133" s="16">
        <v>10.19</v>
      </c>
      <c r="LM133" s="16">
        <v>8.4600000000000009</v>
      </c>
      <c r="LN133" s="16">
        <v>0</v>
      </c>
      <c r="LO133" s="16">
        <v>0</v>
      </c>
      <c r="LP133" s="16">
        <v>0</v>
      </c>
      <c r="LQ133" s="16">
        <v>0</v>
      </c>
      <c r="LR133" s="16">
        <v>0</v>
      </c>
      <c r="LS133">
        <v>0</v>
      </c>
      <c r="LT133" t="s">
        <v>542</v>
      </c>
      <c r="LU133">
        <v>75</v>
      </c>
      <c r="LV133" s="16">
        <v>91.2</v>
      </c>
      <c r="LW133" s="16">
        <v>80.400000000000006</v>
      </c>
      <c r="LX133" s="16">
        <v>61</v>
      </c>
      <c r="LY133">
        <v>53.67</v>
      </c>
      <c r="LZ133" s="17">
        <v>0</v>
      </c>
      <c r="MA133">
        <v>16.760000000000002</v>
      </c>
      <c r="MB133">
        <v>29.58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6.79</v>
      </c>
      <c r="ML133">
        <v>14.97</v>
      </c>
      <c r="MM133">
        <v>18.239999999999998</v>
      </c>
      <c r="MN133">
        <v>0</v>
      </c>
      <c r="MO133">
        <v>0</v>
      </c>
      <c r="MP133">
        <v>0</v>
      </c>
      <c r="NC133">
        <v>9</v>
      </c>
      <c r="ND133">
        <v>1</v>
      </c>
      <c r="NE133">
        <v>68</v>
      </c>
      <c r="NF133">
        <v>1</v>
      </c>
      <c r="NG133">
        <v>0.38</v>
      </c>
      <c r="NH133">
        <v>1</v>
      </c>
      <c r="NI133">
        <v>47</v>
      </c>
      <c r="NJ133">
        <v>1</v>
      </c>
      <c r="NK133">
        <v>1.1299999999999999</v>
      </c>
      <c r="NL133">
        <v>3</v>
      </c>
      <c r="NO133" s="20"/>
      <c r="OG133">
        <v>1</v>
      </c>
      <c r="OH133">
        <v>70</v>
      </c>
      <c r="OI133">
        <v>2</v>
      </c>
      <c r="OJ133">
        <f t="shared" si="55"/>
        <v>2.44</v>
      </c>
      <c r="OK133">
        <v>2</v>
      </c>
      <c r="PR133" s="16">
        <v>1.88</v>
      </c>
      <c r="PS133" s="16">
        <v>1</v>
      </c>
      <c r="PT133" s="16">
        <v>1</v>
      </c>
      <c r="PU133" s="16"/>
      <c r="PV133" s="16">
        <f t="shared" si="56"/>
        <v>3.12</v>
      </c>
      <c r="PW133" s="16"/>
      <c r="PX133" s="16"/>
      <c r="PY133" s="16"/>
      <c r="PZ133" s="16"/>
      <c r="QA133" s="16"/>
      <c r="QB133" s="16"/>
      <c r="QC133" s="16">
        <v>1.5</v>
      </c>
      <c r="QD133" s="16">
        <v>1.5</v>
      </c>
      <c r="QE133" s="16">
        <v>0</v>
      </c>
      <c r="QF133" s="16">
        <v>0</v>
      </c>
      <c r="QG133" s="16">
        <v>0</v>
      </c>
      <c r="QH133" s="16">
        <v>0</v>
      </c>
      <c r="QI133" s="16">
        <v>0</v>
      </c>
      <c r="QJ133">
        <v>0</v>
      </c>
      <c r="QK133" t="s">
        <v>543</v>
      </c>
      <c r="QL133">
        <v>21</v>
      </c>
      <c r="QM133" s="16">
        <v>77.900000000000006</v>
      </c>
      <c r="QN133" s="16">
        <v>160.80000000000001</v>
      </c>
      <c r="QO133" s="16">
        <v>14.1</v>
      </c>
      <c r="QP133">
        <v>87.99</v>
      </c>
      <c r="QQ133" s="17">
        <v>0</v>
      </c>
      <c r="QR133">
        <v>3.38</v>
      </c>
      <c r="QS133">
        <v>0</v>
      </c>
      <c r="QT133">
        <v>8.6300000000000008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65.599999999999994</v>
      </c>
      <c r="RD133">
        <v>0</v>
      </c>
      <c r="RE133">
        <v>0</v>
      </c>
      <c r="RF133">
        <v>0</v>
      </c>
      <c r="RG133">
        <v>0</v>
      </c>
      <c r="RT133">
        <v>1.4</v>
      </c>
      <c r="RU133">
        <v>1</v>
      </c>
      <c r="RV133">
        <v>35</v>
      </c>
      <c r="RW133">
        <v>3</v>
      </c>
      <c r="RX133">
        <f t="shared" si="57"/>
        <v>0.38</v>
      </c>
      <c r="RY133">
        <v>3</v>
      </c>
      <c r="RZ133">
        <v>34</v>
      </c>
      <c r="SA133">
        <v>27</v>
      </c>
      <c r="SB133">
        <f t="shared" si="58"/>
        <v>8.4599999999999991</v>
      </c>
      <c r="SC133">
        <v>1</v>
      </c>
      <c r="SF133" s="20"/>
      <c r="SX133">
        <v>1</v>
      </c>
      <c r="SY133">
        <v>40</v>
      </c>
      <c r="SZ133">
        <v>9</v>
      </c>
      <c r="TA133">
        <f t="shared" si="59"/>
        <v>7.14</v>
      </c>
      <c r="TB133">
        <v>3</v>
      </c>
      <c r="UI133" s="16">
        <v>0</v>
      </c>
      <c r="UJ133" s="16">
        <v>0</v>
      </c>
      <c r="UK133" s="16"/>
      <c r="UL133" s="16"/>
      <c r="UM133" s="16"/>
      <c r="UN133" s="16"/>
      <c r="UO133" s="16"/>
      <c r="UP133" s="16"/>
      <c r="UQ133" s="16"/>
      <c r="UR133" s="16"/>
      <c r="US133" s="16"/>
      <c r="UT133" s="16">
        <v>5.27</v>
      </c>
      <c r="UU133" s="16">
        <v>1.5</v>
      </c>
      <c r="UV133" s="16">
        <v>0</v>
      </c>
      <c r="UW133" s="16">
        <v>0</v>
      </c>
      <c r="UX133" s="16">
        <v>0</v>
      </c>
      <c r="UY133" s="16">
        <v>0</v>
      </c>
      <c r="UZ133" s="16">
        <v>0</v>
      </c>
      <c r="VA133">
        <v>0</v>
      </c>
      <c r="VE133" s="15"/>
      <c r="VF133" s="15"/>
      <c r="VM133" s="15"/>
      <c r="VN133" s="15"/>
      <c r="VU133" s="15"/>
      <c r="VV133" s="15"/>
      <c r="WC133" s="15"/>
      <c r="WD133" s="15"/>
      <c r="WK133" s="15"/>
      <c r="WL133" s="15"/>
      <c r="WS133" s="15"/>
      <c r="WT133" s="15"/>
      <c r="XA133" s="15"/>
      <c r="XB133" s="15"/>
      <c r="XI133" s="15"/>
      <c r="XJ133" s="15"/>
      <c r="XQ133" s="15"/>
      <c r="XR133" s="15"/>
      <c r="XY133" s="15"/>
      <c r="XZ133" s="15"/>
      <c r="YG133" s="15"/>
      <c r="YH133" s="15"/>
      <c r="YO133" s="15"/>
      <c r="YP133" s="15"/>
      <c r="YW133" s="15"/>
      <c r="YX133" s="15"/>
      <c r="ZE133" s="15"/>
      <c r="ZF133" s="15"/>
      <c r="ZM133" s="15"/>
      <c r="ZN133" s="15"/>
      <c r="ZU133" s="15"/>
      <c r="ZV133" s="15"/>
      <c r="AAC133" s="15"/>
      <c r="AAD133" s="15"/>
      <c r="AAK133" s="15"/>
      <c r="AAL133" s="15"/>
      <c r="AAS133" s="15"/>
      <c r="AAT133" s="15"/>
      <c r="ABA133" s="15"/>
      <c r="ABB133" s="15"/>
      <c r="ABI133" s="15"/>
      <c r="ABJ133" s="15"/>
      <c r="ABQ133" s="15"/>
      <c r="ABR133" s="15"/>
      <c r="ABY133" s="15"/>
      <c r="ABZ133" s="15"/>
      <c r="ACG133" s="15"/>
      <c r="ACH133" s="15"/>
      <c r="ACO133" s="15"/>
      <c r="ACP133" s="15"/>
      <c r="ACW133" s="15"/>
      <c r="ACX133" s="15"/>
      <c r="ADE133" s="15"/>
      <c r="ADF133" s="15"/>
      <c r="ADM133" s="15"/>
      <c r="ADN133" s="15"/>
      <c r="ADU133" s="15"/>
      <c r="ADV133" s="15"/>
      <c r="AEC133" s="15"/>
      <c r="AED133" s="15"/>
      <c r="AEK133" s="15"/>
      <c r="AEL133" s="15"/>
      <c r="AES133" s="15"/>
      <c r="AET133" s="15"/>
      <c r="AFA133" s="15"/>
      <c r="AFB133" s="15"/>
      <c r="AFI133" s="15"/>
      <c r="AFJ133" s="15"/>
      <c r="AFQ133" s="15"/>
      <c r="AFR133" s="15"/>
      <c r="AFY133" s="15"/>
      <c r="AFZ133" s="15"/>
      <c r="AGG133" s="15"/>
      <c r="AGH133" s="15"/>
      <c r="AGO133" s="15"/>
      <c r="AGP133" s="15"/>
      <c r="AGW133" s="15"/>
      <c r="AGX133" s="15"/>
      <c r="AHE133" s="15"/>
      <c r="AHF133" s="15"/>
      <c r="AHM133" s="15"/>
      <c r="AHN133" s="15"/>
      <c r="AHU133" s="15"/>
      <c r="AHV133" s="15"/>
      <c r="AIC133" s="15"/>
      <c r="AID133" s="15"/>
      <c r="AIK133" s="15"/>
      <c r="AIL133" s="15"/>
      <c r="AIS133" s="15"/>
      <c r="AIT133" s="15"/>
      <c r="AJA133" s="15"/>
      <c r="AJB133" s="15"/>
      <c r="AJI133" s="15"/>
      <c r="AJJ133" s="15"/>
      <c r="AJQ133" s="15"/>
      <c r="AJR133" s="15"/>
      <c r="AJY133" s="15"/>
      <c r="AJZ133" s="15"/>
      <c r="AKG133" s="15"/>
      <c r="AKH133" s="15"/>
      <c r="AKO133" s="15"/>
      <c r="AKP133" s="15"/>
      <c r="AKW133" s="15"/>
      <c r="AKX133" s="15"/>
      <c r="ALE133" s="15"/>
      <c r="ALF133" s="15"/>
      <c r="ALM133" s="15"/>
      <c r="ALN133" s="15"/>
      <c r="ALU133" s="15"/>
      <c r="ALV133" s="15"/>
      <c r="AMC133" s="15"/>
      <c r="AMD133" s="15"/>
    </row>
    <row r="134" spans="1:1024" x14ac:dyDescent="0.2">
      <c r="A134" s="1" t="s">
        <v>575</v>
      </c>
      <c r="B134" s="12">
        <v>42894</v>
      </c>
      <c r="C134">
        <v>2</v>
      </c>
      <c r="D134" s="13">
        <v>35094</v>
      </c>
      <c r="E134" s="12">
        <v>24954</v>
      </c>
      <c r="F134" s="14">
        <f t="shared" si="48"/>
        <v>49.117043121149898</v>
      </c>
      <c r="G134" s="14">
        <f t="shared" si="49"/>
        <v>21.355236139630389</v>
      </c>
      <c r="H134" s="15" t="s">
        <v>183</v>
      </c>
      <c r="I134" s="15" t="s">
        <v>571</v>
      </c>
      <c r="J134" s="15" t="s">
        <v>183</v>
      </c>
      <c r="K134" s="21">
        <v>8</v>
      </c>
      <c r="L134" s="19">
        <v>77</v>
      </c>
      <c r="M134">
        <v>1.8</v>
      </c>
      <c r="N134" s="16">
        <f t="shared" si="50"/>
        <v>23.76543209876543</v>
      </c>
      <c r="O134" s="19">
        <v>0</v>
      </c>
      <c r="P134" s="19">
        <v>0</v>
      </c>
      <c r="Q134" s="19">
        <v>0</v>
      </c>
      <c r="R134" s="19">
        <v>0</v>
      </c>
      <c r="S134" s="19">
        <v>0</v>
      </c>
      <c r="T134" s="19">
        <v>0</v>
      </c>
      <c r="U134" s="19">
        <v>0</v>
      </c>
      <c r="V134" s="19">
        <v>0</v>
      </c>
      <c r="W134" s="19">
        <v>0</v>
      </c>
      <c r="X134" s="19">
        <v>0</v>
      </c>
      <c r="Y134" s="19">
        <v>1</v>
      </c>
      <c r="Z134" s="19">
        <v>2</v>
      </c>
      <c r="AA134" s="19">
        <v>60</v>
      </c>
      <c r="AB134" s="19" t="s">
        <v>478</v>
      </c>
      <c r="AC134" s="19">
        <v>0</v>
      </c>
      <c r="AD134" s="19">
        <v>0</v>
      </c>
      <c r="AE134" s="19">
        <v>1</v>
      </c>
      <c r="AF134" s="19">
        <v>1</v>
      </c>
      <c r="AG134" s="19">
        <v>1</v>
      </c>
      <c r="AH134" s="19">
        <v>9</v>
      </c>
      <c r="AI134" s="19">
        <v>1</v>
      </c>
      <c r="AJ134" s="19">
        <v>0</v>
      </c>
      <c r="AK134" s="19">
        <v>1</v>
      </c>
      <c r="AL134" s="19">
        <v>8</v>
      </c>
      <c r="AM134" s="19">
        <v>0</v>
      </c>
      <c r="AN134" s="19">
        <v>1</v>
      </c>
      <c r="AO134" s="19">
        <v>0</v>
      </c>
      <c r="AP134" s="19">
        <v>1</v>
      </c>
      <c r="AQ134" s="19">
        <v>1</v>
      </c>
      <c r="AR134" s="19">
        <v>0</v>
      </c>
      <c r="AS134" s="19">
        <v>0</v>
      </c>
      <c r="AT134" s="19">
        <v>0</v>
      </c>
      <c r="AU134" s="19">
        <v>0</v>
      </c>
      <c r="AV134" s="19">
        <v>0</v>
      </c>
      <c r="AW134" s="19">
        <v>0</v>
      </c>
      <c r="AX134" s="19">
        <v>0</v>
      </c>
      <c r="AY134" s="19">
        <v>0</v>
      </c>
      <c r="AZ134" s="19">
        <v>0</v>
      </c>
      <c r="BA134" s="19">
        <v>0</v>
      </c>
      <c r="BB134" s="19">
        <v>0</v>
      </c>
      <c r="BC134" s="19">
        <v>0</v>
      </c>
      <c r="BD134" s="19">
        <v>0</v>
      </c>
      <c r="BE134" s="19">
        <v>0</v>
      </c>
      <c r="BF134" s="19">
        <v>0</v>
      </c>
      <c r="BG134" s="19">
        <v>0</v>
      </c>
      <c r="BH134" s="19">
        <v>0</v>
      </c>
      <c r="BI134" s="19">
        <v>0</v>
      </c>
      <c r="BJ134" s="26">
        <v>0</v>
      </c>
      <c r="BK134" s="26">
        <v>0</v>
      </c>
      <c r="BL134" s="26">
        <v>0</v>
      </c>
      <c r="BM134" s="26">
        <v>0</v>
      </c>
      <c r="BN134" s="19">
        <v>0</v>
      </c>
      <c r="BO134" s="19">
        <v>0</v>
      </c>
      <c r="BP134" s="19">
        <v>0</v>
      </c>
      <c r="BQ134" s="19">
        <v>0</v>
      </c>
      <c r="BR134" s="19">
        <v>3</v>
      </c>
      <c r="BS134" s="19">
        <v>1</v>
      </c>
      <c r="BT134" s="19">
        <v>4</v>
      </c>
      <c r="BU134" s="19">
        <v>5</v>
      </c>
      <c r="BV134" s="19">
        <v>3</v>
      </c>
      <c r="BW134" s="19">
        <v>3</v>
      </c>
      <c r="BX134" s="19">
        <v>4</v>
      </c>
      <c r="BY134" s="19">
        <v>3</v>
      </c>
      <c r="BZ134" s="19">
        <v>4</v>
      </c>
      <c r="CA134" s="19">
        <v>4</v>
      </c>
      <c r="CB134" s="19">
        <v>4</v>
      </c>
      <c r="CC134" s="19">
        <v>5</v>
      </c>
      <c r="CD134" s="19">
        <v>3</v>
      </c>
      <c r="CE134" s="19">
        <v>4</v>
      </c>
      <c r="CF134" s="19">
        <v>4</v>
      </c>
      <c r="CG134" s="19">
        <v>4</v>
      </c>
      <c r="CH134" s="19">
        <v>3</v>
      </c>
      <c r="CI134" s="19">
        <v>4</v>
      </c>
      <c r="CJ134" s="19">
        <v>4</v>
      </c>
      <c r="CK134" s="19">
        <v>6</v>
      </c>
      <c r="CL134" t="s">
        <v>540</v>
      </c>
      <c r="CM134">
        <v>70.5</v>
      </c>
      <c r="CN134" s="16">
        <v>88.2</v>
      </c>
      <c r="CO134" s="16">
        <v>80.400000000000006</v>
      </c>
      <c r="CP134" s="16">
        <v>36.299999999999997</v>
      </c>
      <c r="CQ134">
        <v>72.69</v>
      </c>
      <c r="CR134" s="17">
        <v>0</v>
      </c>
      <c r="CS134">
        <v>10.32</v>
      </c>
      <c r="CT134">
        <v>16.989999999999998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36.659999999999997</v>
      </c>
      <c r="DD134">
        <v>7.54</v>
      </c>
      <c r="DE134">
        <v>10.32</v>
      </c>
      <c r="DF134">
        <v>0</v>
      </c>
      <c r="DG134">
        <v>0</v>
      </c>
      <c r="DH134">
        <v>0</v>
      </c>
      <c r="DU134">
        <v>21.2</v>
      </c>
      <c r="DV134">
        <v>1</v>
      </c>
      <c r="DW134">
        <v>35</v>
      </c>
      <c r="DX134">
        <v>7</v>
      </c>
      <c r="DY134">
        <f t="shared" si="51"/>
        <v>6.25</v>
      </c>
      <c r="DZ134">
        <v>3</v>
      </c>
      <c r="EA134">
        <v>47</v>
      </c>
      <c r="EB134">
        <v>2</v>
      </c>
      <c r="EC134">
        <v>0.4</v>
      </c>
      <c r="ED134">
        <v>3</v>
      </c>
      <c r="EG134" s="20"/>
      <c r="EY134">
        <v>0</v>
      </c>
      <c r="GJ134" s="16">
        <v>11.58</v>
      </c>
      <c r="GK134" s="16">
        <v>1</v>
      </c>
      <c r="GL134" s="16">
        <v>2</v>
      </c>
      <c r="GM134" s="16"/>
      <c r="GN134" s="16">
        <f t="shared" si="52"/>
        <v>6.66</v>
      </c>
      <c r="GO134" s="16"/>
      <c r="GP134" s="16"/>
      <c r="GQ134" s="16"/>
      <c r="GR134" s="16"/>
      <c r="GS134" s="16"/>
      <c r="GT134" s="16"/>
      <c r="GU134" s="16">
        <v>0.27</v>
      </c>
      <c r="GV134" s="16">
        <v>0.27</v>
      </c>
      <c r="GW134" s="16">
        <v>0</v>
      </c>
      <c r="GX134" s="16">
        <v>0</v>
      </c>
      <c r="GY134" s="16">
        <v>0</v>
      </c>
      <c r="GZ134" s="16">
        <v>0</v>
      </c>
      <c r="HA134" s="16">
        <v>0</v>
      </c>
      <c r="HB134">
        <v>0</v>
      </c>
      <c r="HC134" t="s">
        <v>541</v>
      </c>
      <c r="HD134">
        <v>94.5</v>
      </c>
      <c r="HE134" s="16">
        <v>88.2</v>
      </c>
      <c r="HF134" s="16">
        <v>80.400000000000006</v>
      </c>
      <c r="HG134" s="16">
        <v>73.099999999999994</v>
      </c>
      <c r="HH134">
        <v>41.34</v>
      </c>
      <c r="HI134" s="17">
        <v>0</v>
      </c>
      <c r="HJ134">
        <v>8.6300000000000008</v>
      </c>
      <c r="HK134">
        <v>0.04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8.06</v>
      </c>
      <c r="HU134">
        <v>3.65</v>
      </c>
      <c r="HV134">
        <v>7.2</v>
      </c>
      <c r="HW134">
        <v>0</v>
      </c>
      <c r="HX134">
        <v>0</v>
      </c>
      <c r="HY134">
        <v>0</v>
      </c>
      <c r="IL134">
        <v>9.4</v>
      </c>
      <c r="IM134">
        <v>1</v>
      </c>
      <c r="IN134">
        <v>35</v>
      </c>
      <c r="IO134">
        <v>2</v>
      </c>
      <c r="IP134">
        <f t="shared" si="53"/>
        <v>1.21</v>
      </c>
      <c r="IQ134">
        <v>3</v>
      </c>
      <c r="IX134" s="20"/>
      <c r="JP134">
        <v>1</v>
      </c>
      <c r="JQ134">
        <v>70</v>
      </c>
      <c r="JR134">
        <v>2</v>
      </c>
      <c r="JS134">
        <f t="shared" si="54"/>
        <v>2.44</v>
      </c>
      <c r="JT134">
        <v>2</v>
      </c>
      <c r="LA134" s="16">
        <v>0.84</v>
      </c>
      <c r="LB134" s="16">
        <v>1</v>
      </c>
      <c r="LC134" s="16">
        <v>1</v>
      </c>
      <c r="LD134" s="16"/>
      <c r="LE134" s="16">
        <v>0.6</v>
      </c>
      <c r="LF134" s="16"/>
      <c r="LG134" s="16"/>
      <c r="LH134" s="16"/>
      <c r="LI134" s="16"/>
      <c r="LJ134" s="16"/>
      <c r="LK134" s="16"/>
      <c r="LL134" s="16">
        <v>10.19</v>
      </c>
      <c r="LM134" s="16">
        <v>8.4600000000000009</v>
      </c>
      <c r="LN134" s="16">
        <v>0</v>
      </c>
      <c r="LO134" s="16">
        <v>0</v>
      </c>
      <c r="LP134" s="16">
        <v>0</v>
      </c>
      <c r="LQ134" s="16">
        <v>0</v>
      </c>
      <c r="LR134" s="16">
        <v>0</v>
      </c>
      <c r="LS134">
        <v>0</v>
      </c>
      <c r="LT134" t="s">
        <v>542</v>
      </c>
      <c r="LU134">
        <v>75</v>
      </c>
      <c r="LV134" s="16">
        <v>91.2</v>
      </c>
      <c r="LW134" s="16">
        <v>80.400000000000006</v>
      </c>
      <c r="LX134" s="16">
        <v>61</v>
      </c>
      <c r="LY134">
        <v>53.67</v>
      </c>
      <c r="LZ134" s="17">
        <v>0</v>
      </c>
      <c r="MA134">
        <v>16.760000000000002</v>
      </c>
      <c r="MB134">
        <v>29.58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6.79</v>
      </c>
      <c r="ML134">
        <v>14.97</v>
      </c>
      <c r="MM134">
        <v>18.239999999999998</v>
      </c>
      <c r="MN134">
        <v>0</v>
      </c>
      <c r="MO134">
        <v>0</v>
      </c>
      <c r="MP134">
        <v>0</v>
      </c>
      <c r="NC134">
        <v>9</v>
      </c>
      <c r="ND134">
        <v>1</v>
      </c>
      <c r="NE134">
        <v>68</v>
      </c>
      <c r="NF134">
        <v>1</v>
      </c>
      <c r="NG134">
        <v>0.38</v>
      </c>
      <c r="NH134">
        <v>1</v>
      </c>
      <c r="NI134">
        <v>47</v>
      </c>
      <c r="NJ134">
        <v>1</v>
      </c>
      <c r="NK134">
        <v>1.1299999999999999</v>
      </c>
      <c r="NL134">
        <v>3</v>
      </c>
      <c r="NO134" s="20"/>
      <c r="OG134">
        <v>1</v>
      </c>
      <c r="OH134">
        <v>70</v>
      </c>
      <c r="OI134">
        <v>2</v>
      </c>
      <c r="OJ134">
        <f t="shared" si="55"/>
        <v>2.44</v>
      </c>
      <c r="OK134">
        <v>2</v>
      </c>
      <c r="PR134" s="16">
        <v>1.88</v>
      </c>
      <c r="PS134" s="16">
        <v>1</v>
      </c>
      <c r="PT134" s="16">
        <v>1</v>
      </c>
      <c r="PU134" s="16"/>
      <c r="PV134" s="16">
        <f t="shared" si="56"/>
        <v>3.12</v>
      </c>
      <c r="PW134" s="16"/>
      <c r="PX134" s="16"/>
      <c r="PY134" s="16"/>
      <c r="PZ134" s="16"/>
      <c r="QA134" s="16"/>
      <c r="QB134" s="16"/>
      <c r="QC134" s="16">
        <v>1.5</v>
      </c>
      <c r="QD134" s="16">
        <v>1.5</v>
      </c>
      <c r="QE134" s="16">
        <v>0</v>
      </c>
      <c r="QF134" s="16">
        <v>0</v>
      </c>
      <c r="QG134" s="16">
        <v>0</v>
      </c>
      <c r="QH134" s="16">
        <v>0</v>
      </c>
      <c r="QI134" s="16">
        <v>0</v>
      </c>
      <c r="QJ134">
        <v>0</v>
      </c>
      <c r="QK134" t="s">
        <v>543</v>
      </c>
      <c r="QL134">
        <v>21</v>
      </c>
      <c r="QM134" s="16">
        <v>77.900000000000006</v>
      </c>
      <c r="QN134" s="16">
        <v>160.80000000000001</v>
      </c>
      <c r="QO134" s="16">
        <v>14.1</v>
      </c>
      <c r="QP134">
        <v>87.99</v>
      </c>
      <c r="QQ134" s="17">
        <v>0</v>
      </c>
      <c r="QR134">
        <v>3.38</v>
      </c>
      <c r="QS134">
        <v>0</v>
      </c>
      <c r="QT134">
        <v>8.6300000000000008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65.599999999999994</v>
      </c>
      <c r="RD134">
        <v>0</v>
      </c>
      <c r="RE134">
        <v>0</v>
      </c>
      <c r="RF134">
        <v>0</v>
      </c>
      <c r="RG134">
        <v>0</v>
      </c>
      <c r="RT134">
        <v>1.4</v>
      </c>
      <c r="RU134">
        <v>1</v>
      </c>
      <c r="RV134">
        <v>35</v>
      </c>
      <c r="RW134">
        <v>3</v>
      </c>
      <c r="RX134">
        <f t="shared" si="57"/>
        <v>0.38</v>
      </c>
      <c r="RY134">
        <v>3</v>
      </c>
      <c r="RZ134">
        <v>34</v>
      </c>
      <c r="SA134">
        <v>27</v>
      </c>
      <c r="SB134">
        <f t="shared" si="58"/>
        <v>8.4599999999999991</v>
      </c>
      <c r="SC134">
        <v>1</v>
      </c>
      <c r="SF134" s="20"/>
      <c r="SX134">
        <v>1</v>
      </c>
      <c r="SY134">
        <v>40</v>
      </c>
      <c r="SZ134">
        <v>9</v>
      </c>
      <c r="TA134">
        <f t="shared" si="59"/>
        <v>7.14</v>
      </c>
      <c r="TB134">
        <v>3</v>
      </c>
      <c r="UI134" s="16">
        <v>0</v>
      </c>
      <c r="UJ134" s="16">
        <v>0</v>
      </c>
      <c r="UK134" s="16"/>
      <c r="UL134" s="16"/>
      <c r="UM134" s="16"/>
      <c r="UN134" s="16"/>
      <c r="UO134" s="16"/>
      <c r="UP134" s="16"/>
      <c r="UQ134" s="16"/>
      <c r="UR134" s="16"/>
      <c r="US134" s="16"/>
      <c r="UT134" s="16">
        <v>5.27</v>
      </c>
      <c r="UU134" s="16">
        <v>1.5</v>
      </c>
      <c r="UV134" s="16">
        <v>0</v>
      </c>
      <c r="UW134" s="16">
        <v>0</v>
      </c>
      <c r="UX134" s="16">
        <v>0</v>
      </c>
      <c r="UY134" s="16">
        <v>0</v>
      </c>
      <c r="UZ134" s="16">
        <v>0</v>
      </c>
      <c r="VA134">
        <v>0</v>
      </c>
      <c r="VE134" s="15"/>
      <c r="VF134" s="15"/>
      <c r="VM134" s="15"/>
      <c r="VN134" s="15"/>
      <c r="VU134" s="15"/>
      <c r="VV134" s="15"/>
      <c r="WC134" s="15"/>
      <c r="WD134" s="15"/>
      <c r="WK134" s="15"/>
      <c r="WL134" s="15"/>
      <c r="WS134" s="15"/>
      <c r="WT134" s="15"/>
      <c r="XA134" s="15"/>
      <c r="XB134" s="15"/>
      <c r="XI134" s="15"/>
      <c r="XJ134" s="15"/>
      <c r="XQ134" s="15"/>
      <c r="XR134" s="15"/>
      <c r="XY134" s="15"/>
      <c r="XZ134" s="15"/>
      <c r="YG134" s="15"/>
      <c r="YH134" s="15"/>
      <c r="YO134" s="15"/>
      <c r="YP134" s="15"/>
      <c r="YW134" s="15"/>
      <c r="YX134" s="15"/>
      <c r="ZE134" s="15"/>
      <c r="ZF134" s="15"/>
      <c r="ZM134" s="15"/>
      <c r="ZN134" s="15"/>
      <c r="ZU134" s="15"/>
      <c r="ZV134" s="15"/>
      <c r="AAC134" s="15"/>
      <c r="AAD134" s="15"/>
      <c r="AAK134" s="15"/>
      <c r="AAL134" s="15"/>
      <c r="AAS134" s="15"/>
      <c r="AAT134" s="15"/>
      <c r="ABA134" s="15"/>
      <c r="ABB134" s="15"/>
      <c r="ABI134" s="15"/>
      <c r="ABJ134" s="15"/>
      <c r="ABQ134" s="15"/>
      <c r="ABR134" s="15"/>
      <c r="ABY134" s="15"/>
      <c r="ABZ134" s="15"/>
      <c r="ACG134" s="15"/>
      <c r="ACH134" s="15"/>
      <c r="ACO134" s="15"/>
      <c r="ACP134" s="15"/>
      <c r="ACW134" s="15"/>
      <c r="ACX134" s="15"/>
      <c r="ADE134" s="15"/>
      <c r="ADF134" s="15"/>
      <c r="ADM134" s="15"/>
      <c r="ADN134" s="15"/>
      <c r="ADU134" s="15"/>
      <c r="ADV134" s="15"/>
      <c r="AEC134" s="15"/>
      <c r="AED134" s="15"/>
      <c r="AEK134" s="15"/>
      <c r="AEL134" s="15"/>
      <c r="AES134" s="15"/>
      <c r="AET134" s="15"/>
      <c r="AFA134" s="15"/>
      <c r="AFB134" s="15"/>
      <c r="AFI134" s="15"/>
      <c r="AFJ134" s="15"/>
      <c r="AFQ134" s="15"/>
      <c r="AFR134" s="15"/>
      <c r="AFY134" s="15"/>
      <c r="AFZ134" s="15"/>
      <c r="AGG134" s="15"/>
      <c r="AGH134" s="15"/>
      <c r="AGO134" s="15"/>
      <c r="AGP134" s="15"/>
      <c r="AGW134" s="15"/>
      <c r="AGX134" s="15"/>
      <c r="AHE134" s="15"/>
      <c r="AHF134" s="15"/>
      <c r="AHM134" s="15"/>
      <c r="AHN134" s="15"/>
      <c r="AHU134" s="15"/>
      <c r="AHV134" s="15"/>
      <c r="AIC134" s="15"/>
      <c r="AID134" s="15"/>
      <c r="AIK134" s="15"/>
      <c r="AIL134" s="15"/>
      <c r="AIS134" s="15"/>
      <c r="AIT134" s="15"/>
      <c r="AJA134" s="15"/>
      <c r="AJB134" s="15"/>
      <c r="AJI134" s="15"/>
      <c r="AJJ134" s="15"/>
      <c r="AJQ134" s="15"/>
      <c r="AJR134" s="15"/>
      <c r="AJY134" s="15"/>
      <c r="AJZ134" s="15"/>
      <c r="AKG134" s="15"/>
      <c r="AKH134" s="15"/>
      <c r="AKO134" s="15"/>
      <c r="AKP134" s="15"/>
      <c r="AKW134" s="15"/>
      <c r="AKX134" s="15"/>
      <c r="ALE134" s="15"/>
      <c r="ALF134" s="15"/>
      <c r="ALM134" s="15"/>
      <c r="ALN134" s="15"/>
      <c r="ALU134" s="15"/>
      <c r="ALV134" s="15"/>
      <c r="AMC134" s="15"/>
      <c r="AMD134" s="15"/>
    </row>
    <row r="135" spans="1:1024" x14ac:dyDescent="0.2">
      <c r="A135" s="1" t="s">
        <v>576</v>
      </c>
      <c r="B135" s="12">
        <v>42894</v>
      </c>
      <c r="C135">
        <v>2</v>
      </c>
      <c r="D135" s="13">
        <v>42821</v>
      </c>
      <c r="E135" s="12">
        <v>33809</v>
      </c>
      <c r="F135" s="14">
        <f t="shared" si="48"/>
        <v>24.873374401095141</v>
      </c>
      <c r="G135" s="14">
        <f t="shared" si="49"/>
        <v>0.1998631074606434</v>
      </c>
      <c r="H135" s="15" t="s">
        <v>183</v>
      </c>
      <c r="I135" s="15" t="s">
        <v>571</v>
      </c>
      <c r="J135" s="15" t="s">
        <v>183</v>
      </c>
      <c r="K135" s="21">
        <v>8</v>
      </c>
      <c r="L135" s="19">
        <v>90</v>
      </c>
      <c r="M135">
        <v>1.89</v>
      </c>
      <c r="N135" s="16">
        <f t="shared" si="50"/>
        <v>25.195263290501387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1</v>
      </c>
      <c r="X135" s="19">
        <v>0</v>
      </c>
      <c r="Y135" s="19">
        <v>1</v>
      </c>
      <c r="Z135" s="19">
        <v>3</v>
      </c>
      <c r="AA135" s="19">
        <v>120</v>
      </c>
      <c r="AB135" s="19" t="s">
        <v>184</v>
      </c>
      <c r="AC135" s="19">
        <v>0</v>
      </c>
      <c r="AD135" s="19">
        <v>0</v>
      </c>
      <c r="AE135" s="19">
        <v>1</v>
      </c>
      <c r="AF135" s="19">
        <v>0</v>
      </c>
      <c r="AG135" s="19">
        <v>1</v>
      </c>
      <c r="AH135" s="19">
        <v>2</v>
      </c>
      <c r="AI135" s="19">
        <v>3</v>
      </c>
      <c r="AJ135" s="19">
        <v>0</v>
      </c>
      <c r="AK135" s="19">
        <v>1</v>
      </c>
      <c r="AL135" s="19">
        <v>2</v>
      </c>
      <c r="AM135" s="19">
        <v>0</v>
      </c>
      <c r="AN135" s="19">
        <v>0</v>
      </c>
      <c r="AO135" s="19">
        <v>0</v>
      </c>
      <c r="AP135" s="19">
        <v>0</v>
      </c>
      <c r="AQ135" s="19">
        <v>0</v>
      </c>
      <c r="AR135" s="19">
        <v>0</v>
      </c>
      <c r="AS135" s="19">
        <v>3</v>
      </c>
      <c r="AT135" s="19">
        <v>0</v>
      </c>
      <c r="AU135" s="19">
        <v>3</v>
      </c>
      <c r="AV135" s="19">
        <v>3</v>
      </c>
      <c r="AW135" s="19">
        <v>3</v>
      </c>
      <c r="AX135" s="19">
        <v>0</v>
      </c>
      <c r="AY135" s="19">
        <v>0</v>
      </c>
      <c r="AZ135" s="19">
        <v>0</v>
      </c>
      <c r="BA135" s="19">
        <v>0</v>
      </c>
      <c r="BB135" s="19">
        <v>1</v>
      </c>
      <c r="BC135" s="19">
        <v>0</v>
      </c>
      <c r="BD135" s="19">
        <v>1</v>
      </c>
      <c r="BE135" s="19">
        <v>2</v>
      </c>
      <c r="BF135" s="19">
        <v>0</v>
      </c>
      <c r="BG135" s="19">
        <v>0</v>
      </c>
      <c r="BH135" s="19">
        <v>0</v>
      </c>
      <c r="BI135" s="19">
        <v>0</v>
      </c>
      <c r="BJ135" s="26">
        <v>0</v>
      </c>
      <c r="BK135" s="26">
        <v>0</v>
      </c>
      <c r="BL135" s="26">
        <v>0</v>
      </c>
      <c r="BM135" s="26">
        <v>0</v>
      </c>
      <c r="BN135" s="19">
        <v>0</v>
      </c>
      <c r="BO135" s="19">
        <v>0</v>
      </c>
      <c r="BP135" s="19">
        <v>0</v>
      </c>
      <c r="BQ135" s="19">
        <v>0</v>
      </c>
      <c r="BR135" s="19">
        <v>1</v>
      </c>
      <c r="BS135" s="19">
        <v>1</v>
      </c>
      <c r="BT135" s="19">
        <v>3</v>
      </c>
      <c r="BU135" s="19">
        <v>5</v>
      </c>
      <c r="BV135" s="19">
        <v>2</v>
      </c>
      <c r="BW135" s="19">
        <v>1</v>
      </c>
      <c r="BX135" s="19">
        <v>1</v>
      </c>
      <c r="BY135" s="19">
        <v>3</v>
      </c>
      <c r="BZ135" s="19">
        <v>2</v>
      </c>
      <c r="CA135" s="19">
        <v>5</v>
      </c>
      <c r="CB135" s="19">
        <v>5</v>
      </c>
      <c r="CC135" s="19">
        <v>5</v>
      </c>
      <c r="CD135" s="19">
        <v>3</v>
      </c>
      <c r="CE135" s="19">
        <v>5</v>
      </c>
      <c r="CF135" s="19">
        <v>4</v>
      </c>
      <c r="CG135" s="19">
        <v>5</v>
      </c>
      <c r="CH135" s="19">
        <v>1</v>
      </c>
      <c r="CI135" s="19">
        <v>4</v>
      </c>
      <c r="CJ135" s="19">
        <v>4</v>
      </c>
      <c r="CK135" s="19">
        <v>10</v>
      </c>
      <c r="CL135" t="s">
        <v>540</v>
      </c>
      <c r="CM135">
        <v>70.5</v>
      </c>
      <c r="CN135" s="16">
        <v>88.2</v>
      </c>
      <c r="CO135" s="16">
        <v>80.400000000000006</v>
      </c>
      <c r="CP135" s="16">
        <v>36.299999999999997</v>
      </c>
      <c r="CQ135">
        <v>72.69</v>
      </c>
      <c r="CR135" s="17">
        <v>0</v>
      </c>
      <c r="CS135">
        <v>10.32</v>
      </c>
      <c r="CT135">
        <v>16.989999999999998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36.659999999999997</v>
      </c>
      <c r="DD135">
        <v>7.54</v>
      </c>
      <c r="DE135">
        <v>10.32</v>
      </c>
      <c r="DF135">
        <v>0</v>
      </c>
      <c r="DG135">
        <v>0</v>
      </c>
      <c r="DH135">
        <v>0</v>
      </c>
      <c r="DU135">
        <v>21.2</v>
      </c>
      <c r="DV135">
        <v>1</v>
      </c>
      <c r="DW135">
        <v>35</v>
      </c>
      <c r="DX135">
        <v>7</v>
      </c>
      <c r="DY135">
        <f t="shared" si="51"/>
        <v>6.25</v>
      </c>
      <c r="DZ135">
        <v>3</v>
      </c>
      <c r="EA135">
        <v>47</v>
      </c>
      <c r="EB135">
        <v>2</v>
      </c>
      <c r="EC135">
        <v>0.4</v>
      </c>
      <c r="ED135">
        <v>3</v>
      </c>
      <c r="EG135" s="20"/>
      <c r="EY135">
        <v>0</v>
      </c>
      <c r="GJ135" s="16">
        <v>11.58</v>
      </c>
      <c r="GK135" s="16">
        <v>1</v>
      </c>
      <c r="GL135" s="16">
        <v>2</v>
      </c>
      <c r="GM135" s="16"/>
      <c r="GN135" s="16">
        <f t="shared" si="52"/>
        <v>6.66</v>
      </c>
      <c r="GO135" s="16"/>
      <c r="GP135" s="16"/>
      <c r="GQ135" s="16"/>
      <c r="GR135" s="16"/>
      <c r="GS135" s="16"/>
      <c r="GT135" s="16"/>
      <c r="GU135" s="16">
        <v>0.27</v>
      </c>
      <c r="GV135" s="16">
        <v>0.27</v>
      </c>
      <c r="GW135" s="16">
        <v>0</v>
      </c>
      <c r="GX135" s="16">
        <v>0</v>
      </c>
      <c r="GY135" s="16">
        <v>0</v>
      </c>
      <c r="GZ135" s="16">
        <v>0</v>
      </c>
      <c r="HA135" s="16">
        <v>0</v>
      </c>
      <c r="HB135">
        <v>0</v>
      </c>
      <c r="HC135" t="s">
        <v>541</v>
      </c>
      <c r="HD135">
        <v>94.5</v>
      </c>
      <c r="HE135" s="16">
        <v>88.2</v>
      </c>
      <c r="HF135" s="16">
        <v>80.400000000000006</v>
      </c>
      <c r="HG135" s="16">
        <v>73.099999999999994</v>
      </c>
      <c r="HH135">
        <v>41.34</v>
      </c>
      <c r="HI135" s="17">
        <v>0</v>
      </c>
      <c r="HJ135">
        <v>8.6300000000000008</v>
      </c>
      <c r="HK135">
        <v>0.04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8.06</v>
      </c>
      <c r="HU135">
        <v>3.65</v>
      </c>
      <c r="HV135">
        <v>7.2</v>
      </c>
      <c r="HW135">
        <v>0</v>
      </c>
      <c r="HX135">
        <v>0</v>
      </c>
      <c r="HY135">
        <v>0</v>
      </c>
      <c r="IL135">
        <v>9.4</v>
      </c>
      <c r="IM135">
        <v>1</v>
      </c>
      <c r="IN135">
        <v>35</v>
      </c>
      <c r="IO135">
        <v>2</v>
      </c>
      <c r="IP135">
        <f t="shared" si="53"/>
        <v>1.21</v>
      </c>
      <c r="IQ135">
        <v>3</v>
      </c>
      <c r="IX135" s="20"/>
      <c r="JP135">
        <v>1</v>
      </c>
      <c r="JQ135">
        <v>70</v>
      </c>
      <c r="JR135">
        <v>2</v>
      </c>
      <c r="JS135">
        <f t="shared" si="54"/>
        <v>2.44</v>
      </c>
      <c r="JT135">
        <v>2</v>
      </c>
      <c r="LA135" s="16">
        <v>0.84</v>
      </c>
      <c r="LB135" s="16">
        <v>1</v>
      </c>
      <c r="LC135" s="16">
        <v>1</v>
      </c>
      <c r="LD135" s="16"/>
      <c r="LE135" s="16">
        <v>0.6</v>
      </c>
      <c r="LF135" s="16"/>
      <c r="LG135" s="16"/>
      <c r="LH135" s="16"/>
      <c r="LI135" s="16"/>
      <c r="LJ135" s="16"/>
      <c r="LK135" s="16"/>
      <c r="LL135" s="16">
        <v>10.19</v>
      </c>
      <c r="LM135" s="16">
        <v>8.4600000000000009</v>
      </c>
      <c r="LN135" s="16">
        <v>0</v>
      </c>
      <c r="LO135" s="16">
        <v>0</v>
      </c>
      <c r="LP135" s="16">
        <v>0</v>
      </c>
      <c r="LQ135" s="16">
        <v>0</v>
      </c>
      <c r="LR135" s="16">
        <v>0</v>
      </c>
      <c r="LS135">
        <v>0</v>
      </c>
      <c r="LT135" t="s">
        <v>542</v>
      </c>
      <c r="LU135">
        <v>75</v>
      </c>
      <c r="LV135" s="16">
        <v>91.2</v>
      </c>
      <c r="LW135" s="16">
        <v>80.400000000000006</v>
      </c>
      <c r="LX135" s="16">
        <v>61</v>
      </c>
      <c r="LY135">
        <v>53.67</v>
      </c>
      <c r="LZ135" s="17">
        <v>0</v>
      </c>
      <c r="MA135">
        <v>16.760000000000002</v>
      </c>
      <c r="MB135">
        <v>29.58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6.79</v>
      </c>
      <c r="ML135">
        <v>14.97</v>
      </c>
      <c r="MM135">
        <v>18.239999999999998</v>
      </c>
      <c r="MN135">
        <v>0</v>
      </c>
      <c r="MO135">
        <v>0</v>
      </c>
      <c r="MP135">
        <v>0</v>
      </c>
      <c r="NC135">
        <v>9</v>
      </c>
      <c r="ND135">
        <v>1</v>
      </c>
      <c r="NE135">
        <v>68</v>
      </c>
      <c r="NF135">
        <v>1</v>
      </c>
      <c r="NG135">
        <v>0.38</v>
      </c>
      <c r="NH135">
        <v>1</v>
      </c>
      <c r="NI135">
        <v>47</v>
      </c>
      <c r="NJ135">
        <v>1</v>
      </c>
      <c r="NK135">
        <v>1.1299999999999999</v>
      </c>
      <c r="NL135">
        <v>3</v>
      </c>
      <c r="NO135" s="20"/>
      <c r="OG135">
        <v>1</v>
      </c>
      <c r="OH135">
        <v>70</v>
      </c>
      <c r="OI135">
        <v>2</v>
      </c>
      <c r="OJ135">
        <f t="shared" si="55"/>
        <v>2.44</v>
      </c>
      <c r="OK135">
        <v>2</v>
      </c>
      <c r="PR135" s="16">
        <v>1.88</v>
      </c>
      <c r="PS135" s="16">
        <v>1</v>
      </c>
      <c r="PT135" s="16">
        <v>1</v>
      </c>
      <c r="PU135" s="16"/>
      <c r="PV135" s="16">
        <f t="shared" si="56"/>
        <v>3.12</v>
      </c>
      <c r="PW135" s="16"/>
      <c r="PX135" s="16"/>
      <c r="PY135" s="16"/>
      <c r="PZ135" s="16"/>
      <c r="QA135" s="16"/>
      <c r="QB135" s="16"/>
      <c r="QC135" s="16">
        <v>1.5</v>
      </c>
      <c r="QD135" s="16">
        <v>1.5</v>
      </c>
      <c r="QE135" s="16">
        <v>0</v>
      </c>
      <c r="QF135" s="16">
        <v>0</v>
      </c>
      <c r="QG135" s="16">
        <v>0</v>
      </c>
      <c r="QH135" s="16">
        <v>0</v>
      </c>
      <c r="QI135" s="16">
        <v>0</v>
      </c>
      <c r="QJ135">
        <v>0</v>
      </c>
      <c r="QK135" t="s">
        <v>543</v>
      </c>
      <c r="QL135">
        <v>21</v>
      </c>
      <c r="QM135" s="16">
        <v>77.900000000000006</v>
      </c>
      <c r="QN135" s="16">
        <v>160.80000000000001</v>
      </c>
      <c r="QO135" s="16">
        <v>14.1</v>
      </c>
      <c r="QP135">
        <v>87.99</v>
      </c>
      <c r="QQ135" s="17">
        <v>0</v>
      </c>
      <c r="QR135">
        <v>3.38</v>
      </c>
      <c r="QS135">
        <v>0</v>
      </c>
      <c r="QT135">
        <v>8.6300000000000008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65.599999999999994</v>
      </c>
      <c r="RD135">
        <v>0</v>
      </c>
      <c r="RE135">
        <v>0</v>
      </c>
      <c r="RF135">
        <v>0</v>
      </c>
      <c r="RG135">
        <v>0</v>
      </c>
      <c r="RT135">
        <v>1.4</v>
      </c>
      <c r="RU135">
        <v>1</v>
      </c>
      <c r="RV135">
        <v>35</v>
      </c>
      <c r="RW135">
        <v>3</v>
      </c>
      <c r="RX135">
        <f t="shared" si="57"/>
        <v>0.38</v>
      </c>
      <c r="RY135">
        <v>3</v>
      </c>
      <c r="RZ135">
        <v>34</v>
      </c>
      <c r="SA135">
        <v>27</v>
      </c>
      <c r="SB135">
        <f t="shared" si="58"/>
        <v>8.4599999999999991</v>
      </c>
      <c r="SC135">
        <v>1</v>
      </c>
      <c r="SF135" s="20"/>
      <c r="SX135">
        <v>1</v>
      </c>
      <c r="SY135">
        <v>40</v>
      </c>
      <c r="SZ135">
        <v>9</v>
      </c>
      <c r="TA135">
        <f t="shared" si="59"/>
        <v>7.14</v>
      </c>
      <c r="TB135">
        <v>3</v>
      </c>
      <c r="UI135" s="16">
        <v>0</v>
      </c>
      <c r="UJ135" s="16">
        <v>0</v>
      </c>
      <c r="UK135" s="16"/>
      <c r="UL135" s="16"/>
      <c r="UM135" s="16"/>
      <c r="UN135" s="16"/>
      <c r="UO135" s="16"/>
      <c r="UP135" s="16"/>
      <c r="UQ135" s="16"/>
      <c r="UR135" s="16"/>
      <c r="US135" s="16"/>
      <c r="UT135" s="16">
        <v>5.27</v>
      </c>
      <c r="UU135" s="16">
        <v>1.5</v>
      </c>
      <c r="UV135" s="16">
        <v>0</v>
      </c>
      <c r="UW135" s="16">
        <v>0</v>
      </c>
      <c r="UX135" s="16">
        <v>0</v>
      </c>
      <c r="UY135" s="16">
        <v>0</v>
      </c>
      <c r="UZ135" s="16">
        <v>0</v>
      </c>
      <c r="VA135">
        <v>0</v>
      </c>
      <c r="VE135" s="15"/>
      <c r="VF135" s="15"/>
      <c r="VM135" s="15"/>
      <c r="VN135" s="15"/>
      <c r="VU135" s="15"/>
      <c r="VV135" s="15"/>
      <c r="WC135" s="15"/>
      <c r="WD135" s="15"/>
      <c r="WK135" s="15"/>
      <c r="WL135" s="15"/>
      <c r="WS135" s="15"/>
      <c r="WT135" s="15"/>
      <c r="XA135" s="15"/>
      <c r="XB135" s="15"/>
      <c r="XI135" s="15"/>
      <c r="XJ135" s="15"/>
      <c r="XQ135" s="15"/>
      <c r="XR135" s="15"/>
      <c r="XY135" s="15"/>
      <c r="XZ135" s="15"/>
      <c r="YG135" s="15"/>
      <c r="YH135" s="15"/>
      <c r="YO135" s="15"/>
      <c r="YP135" s="15"/>
      <c r="YW135" s="15"/>
      <c r="YX135" s="15"/>
      <c r="ZE135" s="15"/>
      <c r="ZF135" s="15"/>
      <c r="ZM135" s="15"/>
      <c r="ZN135" s="15"/>
      <c r="ZU135" s="15"/>
      <c r="ZV135" s="15"/>
      <c r="AAC135" s="15"/>
      <c r="AAD135" s="15"/>
      <c r="AAK135" s="15"/>
      <c r="AAL135" s="15"/>
      <c r="AAS135" s="15"/>
      <c r="AAT135" s="15"/>
      <c r="ABA135" s="15"/>
      <c r="ABB135" s="15"/>
      <c r="ABI135" s="15"/>
      <c r="ABJ135" s="15"/>
      <c r="ABQ135" s="15"/>
      <c r="ABR135" s="15"/>
      <c r="ABY135" s="15"/>
      <c r="ABZ135" s="15"/>
      <c r="ACG135" s="15"/>
      <c r="ACH135" s="15"/>
      <c r="ACO135" s="15"/>
      <c r="ACP135" s="15"/>
      <c r="ACW135" s="15"/>
      <c r="ACX135" s="15"/>
      <c r="ADE135" s="15"/>
      <c r="ADF135" s="15"/>
      <c r="ADM135" s="15"/>
      <c r="ADN135" s="15"/>
      <c r="ADU135" s="15"/>
      <c r="ADV135" s="15"/>
      <c r="AEC135" s="15"/>
      <c r="AED135" s="15"/>
      <c r="AEK135" s="15"/>
      <c r="AEL135" s="15"/>
      <c r="AES135" s="15"/>
      <c r="AET135" s="15"/>
      <c r="AFA135" s="15"/>
      <c r="AFB135" s="15"/>
      <c r="AFI135" s="15"/>
      <c r="AFJ135" s="15"/>
      <c r="AFQ135" s="15"/>
      <c r="AFR135" s="15"/>
      <c r="AFY135" s="15"/>
      <c r="AFZ135" s="15"/>
      <c r="AGG135" s="15"/>
      <c r="AGH135" s="15"/>
      <c r="AGO135" s="15"/>
      <c r="AGP135" s="15"/>
      <c r="AGW135" s="15"/>
      <c r="AGX135" s="15"/>
      <c r="AHE135" s="15"/>
      <c r="AHF135" s="15"/>
      <c r="AHM135" s="15"/>
      <c r="AHN135" s="15"/>
      <c r="AHU135" s="15"/>
      <c r="AHV135" s="15"/>
      <c r="AIC135" s="15"/>
      <c r="AID135" s="15"/>
      <c r="AIK135" s="15"/>
      <c r="AIL135" s="15"/>
      <c r="AIS135" s="15"/>
      <c r="AIT135" s="15"/>
      <c r="AJA135" s="15"/>
      <c r="AJB135" s="15"/>
      <c r="AJI135" s="15"/>
      <c r="AJJ135" s="15"/>
      <c r="AJQ135" s="15"/>
      <c r="AJR135" s="15"/>
      <c r="AJY135" s="15"/>
      <c r="AJZ135" s="15"/>
      <c r="AKG135" s="15"/>
      <c r="AKH135" s="15"/>
      <c r="AKO135" s="15"/>
      <c r="AKP135" s="15"/>
      <c r="AKW135" s="15"/>
      <c r="AKX135" s="15"/>
      <c r="ALE135" s="15"/>
      <c r="ALF135" s="15"/>
      <c r="ALM135" s="15"/>
      <c r="ALN135" s="15"/>
      <c r="ALU135" s="15"/>
      <c r="ALV135" s="15"/>
      <c r="AMC135" s="15"/>
      <c r="AMD135" s="15"/>
    </row>
    <row r="136" spans="1:1024" x14ac:dyDescent="0.2">
      <c r="A136" s="1" t="s">
        <v>577</v>
      </c>
      <c r="B136" s="12">
        <v>42894</v>
      </c>
      <c r="C136">
        <v>2</v>
      </c>
      <c r="D136" s="13">
        <v>35948</v>
      </c>
      <c r="E136" s="12">
        <v>23354</v>
      </c>
      <c r="F136" s="14">
        <f t="shared" si="48"/>
        <v>53.497604380561256</v>
      </c>
      <c r="G136" s="14">
        <f t="shared" si="49"/>
        <v>19.017111567419576</v>
      </c>
      <c r="H136" s="15" t="s">
        <v>183</v>
      </c>
      <c r="I136" s="15" t="s">
        <v>571</v>
      </c>
      <c r="J136" s="15" t="s">
        <v>183</v>
      </c>
      <c r="K136" s="21">
        <v>8</v>
      </c>
      <c r="L136" s="19">
        <v>66</v>
      </c>
      <c r="M136">
        <v>1.68</v>
      </c>
      <c r="N136" s="16">
        <f t="shared" si="50"/>
        <v>23.384353741496604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19">
        <v>0</v>
      </c>
      <c r="V136" s="19">
        <v>0</v>
      </c>
      <c r="W136" s="19">
        <v>0</v>
      </c>
      <c r="X136" s="19">
        <v>0</v>
      </c>
      <c r="Y136" s="19">
        <v>1</v>
      </c>
      <c r="Z136" s="19">
        <v>1</v>
      </c>
      <c r="AA136" s="19">
        <v>60</v>
      </c>
      <c r="AB136" s="19" t="s">
        <v>578</v>
      </c>
      <c r="AC136" s="19">
        <v>0</v>
      </c>
      <c r="AD136" s="19">
        <v>0</v>
      </c>
      <c r="AE136" s="19">
        <v>1</v>
      </c>
      <c r="AF136" s="19">
        <v>0</v>
      </c>
      <c r="AG136" s="19">
        <v>1</v>
      </c>
      <c r="AH136" s="19">
        <v>3</v>
      </c>
      <c r="AI136" s="19">
        <v>1</v>
      </c>
      <c r="AJ136" s="19">
        <v>0</v>
      </c>
      <c r="AK136" s="19">
        <v>1</v>
      </c>
      <c r="AL136" s="19">
        <v>5</v>
      </c>
      <c r="AM136" s="19">
        <v>0</v>
      </c>
      <c r="AN136" s="19">
        <v>0</v>
      </c>
      <c r="AO136" s="19">
        <v>0</v>
      </c>
      <c r="AP136" s="19">
        <v>0</v>
      </c>
      <c r="AQ136" s="19">
        <v>0</v>
      </c>
      <c r="AR136" s="19">
        <v>0</v>
      </c>
      <c r="AS136" s="19">
        <v>1</v>
      </c>
      <c r="AT136" s="19">
        <v>0</v>
      </c>
      <c r="AU136" s="19">
        <v>0</v>
      </c>
      <c r="AV136" s="19">
        <v>0</v>
      </c>
      <c r="AW136" s="19">
        <v>0</v>
      </c>
      <c r="AX136" s="19">
        <v>0</v>
      </c>
      <c r="AY136" s="19">
        <v>0</v>
      </c>
      <c r="AZ136" s="19">
        <v>0</v>
      </c>
      <c r="BA136" s="19">
        <v>0</v>
      </c>
      <c r="BB136" s="19">
        <v>1</v>
      </c>
      <c r="BC136" s="19">
        <v>0</v>
      </c>
      <c r="BD136" s="19">
        <v>0</v>
      </c>
      <c r="BE136" s="19">
        <v>0</v>
      </c>
      <c r="BF136" s="19">
        <v>0</v>
      </c>
      <c r="BG136" s="19">
        <v>0</v>
      </c>
      <c r="BH136" s="19">
        <v>0</v>
      </c>
      <c r="BI136" s="19">
        <v>0</v>
      </c>
      <c r="BJ136" s="26">
        <v>0</v>
      </c>
      <c r="BK136" s="26">
        <v>0</v>
      </c>
      <c r="BL136" s="26">
        <v>0</v>
      </c>
      <c r="BM136" s="26">
        <v>0</v>
      </c>
      <c r="BN136" s="19">
        <v>0</v>
      </c>
      <c r="BO136" s="19">
        <v>0</v>
      </c>
      <c r="BP136" s="19">
        <v>0</v>
      </c>
      <c r="BQ136" s="19">
        <v>0</v>
      </c>
      <c r="BR136" s="19">
        <v>3</v>
      </c>
      <c r="BS136" s="19">
        <v>3</v>
      </c>
      <c r="BT136" s="19">
        <v>3</v>
      </c>
      <c r="BU136" s="19">
        <v>5</v>
      </c>
      <c r="BV136" s="19">
        <v>2</v>
      </c>
      <c r="BW136" s="19">
        <v>3</v>
      </c>
      <c r="BX136" s="19">
        <v>3</v>
      </c>
      <c r="BY136" s="19">
        <v>2</v>
      </c>
      <c r="BZ136" s="19">
        <v>2</v>
      </c>
      <c r="CA136" s="19">
        <v>4</v>
      </c>
      <c r="CB136" s="19">
        <v>4</v>
      </c>
      <c r="CC136" s="19">
        <v>5</v>
      </c>
      <c r="CD136" s="19">
        <v>3</v>
      </c>
      <c r="CE136" s="19">
        <v>4</v>
      </c>
      <c r="CF136" s="19">
        <v>4</v>
      </c>
      <c r="CG136" s="19">
        <v>5</v>
      </c>
      <c r="CH136" s="19">
        <v>1</v>
      </c>
      <c r="CI136" s="19">
        <v>4</v>
      </c>
      <c r="CJ136" s="19">
        <v>4</v>
      </c>
      <c r="CK136" s="19">
        <v>10</v>
      </c>
      <c r="CL136" t="s">
        <v>540</v>
      </c>
      <c r="CM136">
        <v>70.5</v>
      </c>
      <c r="CN136" s="16">
        <v>88.2</v>
      </c>
      <c r="CO136" s="16">
        <v>80.400000000000006</v>
      </c>
      <c r="CP136" s="16">
        <v>36.299999999999997</v>
      </c>
      <c r="CQ136">
        <v>72.69</v>
      </c>
      <c r="CR136" s="17">
        <v>0</v>
      </c>
      <c r="CS136">
        <v>10.32</v>
      </c>
      <c r="CT136">
        <v>16.989999999999998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36.659999999999997</v>
      </c>
      <c r="DD136">
        <v>7.54</v>
      </c>
      <c r="DE136">
        <v>10.32</v>
      </c>
      <c r="DF136">
        <v>0</v>
      </c>
      <c r="DG136">
        <v>0</v>
      </c>
      <c r="DH136">
        <v>0</v>
      </c>
      <c r="DU136">
        <v>21.2</v>
      </c>
      <c r="DV136">
        <v>1</v>
      </c>
      <c r="DW136">
        <v>35</v>
      </c>
      <c r="DX136">
        <v>7</v>
      </c>
      <c r="DY136">
        <f t="shared" si="51"/>
        <v>6.25</v>
      </c>
      <c r="DZ136">
        <v>3</v>
      </c>
      <c r="EA136">
        <v>47</v>
      </c>
      <c r="EB136">
        <v>2</v>
      </c>
      <c r="EC136">
        <v>0.4</v>
      </c>
      <c r="ED136">
        <v>3</v>
      </c>
      <c r="EG136" s="20"/>
      <c r="EY136">
        <v>0</v>
      </c>
      <c r="GJ136" s="16">
        <v>11.58</v>
      </c>
      <c r="GK136" s="16">
        <v>1</v>
      </c>
      <c r="GL136" s="16">
        <v>2</v>
      </c>
      <c r="GM136" s="16"/>
      <c r="GN136" s="16">
        <f t="shared" si="52"/>
        <v>6.66</v>
      </c>
      <c r="GO136" s="16"/>
      <c r="GP136" s="16"/>
      <c r="GQ136" s="16"/>
      <c r="GR136" s="16"/>
      <c r="GS136" s="16"/>
      <c r="GT136" s="16"/>
      <c r="GU136" s="16">
        <v>0.27</v>
      </c>
      <c r="GV136" s="16">
        <v>0.27</v>
      </c>
      <c r="GW136" s="16">
        <v>0</v>
      </c>
      <c r="GX136" s="16">
        <v>0</v>
      </c>
      <c r="GY136" s="16">
        <v>0</v>
      </c>
      <c r="GZ136" s="16">
        <v>0</v>
      </c>
      <c r="HA136" s="16">
        <v>0</v>
      </c>
      <c r="HB136">
        <v>0</v>
      </c>
      <c r="HC136" t="s">
        <v>541</v>
      </c>
      <c r="HD136">
        <v>94.5</v>
      </c>
      <c r="HE136" s="16">
        <v>88.2</v>
      </c>
      <c r="HF136" s="16">
        <v>80.400000000000006</v>
      </c>
      <c r="HG136" s="16">
        <v>73.099999999999994</v>
      </c>
      <c r="HH136">
        <v>41.34</v>
      </c>
      <c r="HI136" s="17">
        <v>0</v>
      </c>
      <c r="HJ136">
        <v>8.6300000000000008</v>
      </c>
      <c r="HK136">
        <v>0.04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8.06</v>
      </c>
      <c r="HU136">
        <v>3.65</v>
      </c>
      <c r="HV136">
        <v>7.2</v>
      </c>
      <c r="HW136">
        <v>0</v>
      </c>
      <c r="HX136">
        <v>0</v>
      </c>
      <c r="HY136">
        <v>0</v>
      </c>
      <c r="IL136">
        <v>9.4</v>
      </c>
      <c r="IM136">
        <v>1</v>
      </c>
      <c r="IN136">
        <v>35</v>
      </c>
      <c r="IO136">
        <v>2</v>
      </c>
      <c r="IP136">
        <f t="shared" si="53"/>
        <v>1.21</v>
      </c>
      <c r="IQ136">
        <v>3</v>
      </c>
      <c r="IX136" s="20"/>
      <c r="JP136">
        <v>1</v>
      </c>
      <c r="JQ136">
        <v>70</v>
      </c>
      <c r="JR136">
        <v>2</v>
      </c>
      <c r="JS136">
        <f t="shared" si="54"/>
        <v>2.44</v>
      </c>
      <c r="JT136">
        <v>2</v>
      </c>
      <c r="LA136" s="16">
        <v>0.84</v>
      </c>
      <c r="LB136" s="16">
        <v>1</v>
      </c>
      <c r="LC136" s="16">
        <v>1</v>
      </c>
      <c r="LD136" s="16"/>
      <c r="LE136" s="16">
        <v>0.6</v>
      </c>
      <c r="LF136" s="16"/>
      <c r="LG136" s="16"/>
      <c r="LH136" s="16"/>
      <c r="LI136" s="16"/>
      <c r="LJ136" s="16"/>
      <c r="LK136" s="16"/>
      <c r="LL136" s="16">
        <v>10.19</v>
      </c>
      <c r="LM136" s="16">
        <v>8.4600000000000009</v>
      </c>
      <c r="LN136" s="16">
        <v>0</v>
      </c>
      <c r="LO136" s="16">
        <v>0</v>
      </c>
      <c r="LP136" s="16">
        <v>0</v>
      </c>
      <c r="LQ136" s="16">
        <v>0</v>
      </c>
      <c r="LR136" s="16">
        <v>0</v>
      </c>
      <c r="LS136">
        <v>0</v>
      </c>
      <c r="LT136" t="s">
        <v>542</v>
      </c>
      <c r="LU136">
        <v>75</v>
      </c>
      <c r="LV136" s="16">
        <v>91.2</v>
      </c>
      <c r="LW136" s="16">
        <v>80.400000000000006</v>
      </c>
      <c r="LX136" s="16">
        <v>61</v>
      </c>
      <c r="LY136">
        <v>53.67</v>
      </c>
      <c r="LZ136" s="17">
        <v>0</v>
      </c>
      <c r="MA136">
        <v>16.760000000000002</v>
      </c>
      <c r="MB136">
        <v>29.58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6.79</v>
      </c>
      <c r="ML136">
        <v>14.97</v>
      </c>
      <c r="MM136">
        <v>18.239999999999998</v>
      </c>
      <c r="MN136">
        <v>0</v>
      </c>
      <c r="MO136">
        <v>0</v>
      </c>
      <c r="MP136">
        <v>0</v>
      </c>
      <c r="NC136">
        <v>9</v>
      </c>
      <c r="ND136">
        <v>1</v>
      </c>
      <c r="NE136">
        <v>68</v>
      </c>
      <c r="NF136">
        <v>1</v>
      </c>
      <c r="NG136">
        <v>0.38</v>
      </c>
      <c r="NH136">
        <v>1</v>
      </c>
      <c r="NI136">
        <v>47</v>
      </c>
      <c r="NJ136">
        <v>1</v>
      </c>
      <c r="NK136">
        <v>1.1299999999999999</v>
      </c>
      <c r="NL136">
        <v>3</v>
      </c>
      <c r="NO136" s="20"/>
      <c r="OG136">
        <v>1</v>
      </c>
      <c r="OH136">
        <v>70</v>
      </c>
      <c r="OI136">
        <v>2</v>
      </c>
      <c r="OJ136">
        <f t="shared" si="55"/>
        <v>2.44</v>
      </c>
      <c r="OK136">
        <v>2</v>
      </c>
      <c r="PR136" s="16">
        <v>1.88</v>
      </c>
      <c r="PS136" s="16">
        <v>1</v>
      </c>
      <c r="PT136" s="16">
        <v>1</v>
      </c>
      <c r="PU136" s="16"/>
      <c r="PV136" s="16">
        <f t="shared" si="56"/>
        <v>3.12</v>
      </c>
      <c r="PW136" s="16"/>
      <c r="PX136" s="16"/>
      <c r="PY136" s="16"/>
      <c r="PZ136" s="16"/>
      <c r="QA136" s="16"/>
      <c r="QB136" s="16"/>
      <c r="QC136" s="16">
        <v>1.5</v>
      </c>
      <c r="QD136" s="16">
        <v>1.5</v>
      </c>
      <c r="QE136" s="16">
        <v>0</v>
      </c>
      <c r="QF136" s="16">
        <v>0</v>
      </c>
      <c r="QG136" s="16">
        <v>0</v>
      </c>
      <c r="QH136" s="16">
        <v>0</v>
      </c>
      <c r="QI136" s="16">
        <v>0</v>
      </c>
      <c r="QJ136">
        <v>0</v>
      </c>
      <c r="QK136" t="s">
        <v>543</v>
      </c>
      <c r="QL136">
        <v>21</v>
      </c>
      <c r="QM136" s="16">
        <v>77.900000000000006</v>
      </c>
      <c r="QN136" s="16">
        <v>160.80000000000001</v>
      </c>
      <c r="QO136" s="16">
        <v>14.1</v>
      </c>
      <c r="QP136">
        <v>87.99</v>
      </c>
      <c r="QQ136" s="17">
        <v>0</v>
      </c>
      <c r="QR136">
        <v>3.38</v>
      </c>
      <c r="QS136">
        <v>0</v>
      </c>
      <c r="QT136">
        <v>8.6300000000000008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65.599999999999994</v>
      </c>
      <c r="RD136">
        <v>0</v>
      </c>
      <c r="RE136">
        <v>0</v>
      </c>
      <c r="RF136">
        <v>0</v>
      </c>
      <c r="RG136">
        <v>0</v>
      </c>
      <c r="RT136">
        <v>1.4</v>
      </c>
      <c r="RU136">
        <v>1</v>
      </c>
      <c r="RV136">
        <v>35</v>
      </c>
      <c r="RW136">
        <v>3</v>
      </c>
      <c r="RX136">
        <f t="shared" si="57"/>
        <v>0.38</v>
      </c>
      <c r="RY136">
        <v>3</v>
      </c>
      <c r="RZ136">
        <v>34</v>
      </c>
      <c r="SA136">
        <v>27</v>
      </c>
      <c r="SB136">
        <f t="shared" si="58"/>
        <v>8.4599999999999991</v>
      </c>
      <c r="SC136">
        <v>1</v>
      </c>
      <c r="SF136" s="20"/>
      <c r="SX136">
        <v>1</v>
      </c>
      <c r="SY136">
        <v>40</v>
      </c>
      <c r="SZ136">
        <v>9</v>
      </c>
      <c r="TA136">
        <f t="shared" si="59"/>
        <v>7.14</v>
      </c>
      <c r="TB136">
        <v>3</v>
      </c>
      <c r="UI136" s="16">
        <v>0</v>
      </c>
      <c r="UJ136" s="16">
        <v>0</v>
      </c>
      <c r="UK136" s="16"/>
      <c r="UL136" s="16"/>
      <c r="UM136" s="16"/>
      <c r="UN136" s="16"/>
      <c r="UO136" s="16"/>
      <c r="UP136" s="16"/>
      <c r="UQ136" s="16"/>
      <c r="UR136" s="16"/>
      <c r="US136" s="16"/>
      <c r="UT136" s="16">
        <v>5.27</v>
      </c>
      <c r="UU136" s="16">
        <v>1.5</v>
      </c>
      <c r="UV136" s="16">
        <v>0</v>
      </c>
      <c r="UW136" s="16">
        <v>0</v>
      </c>
      <c r="UX136" s="16">
        <v>0</v>
      </c>
      <c r="UY136" s="16">
        <v>0</v>
      </c>
      <c r="UZ136" s="16">
        <v>0</v>
      </c>
      <c r="VA136">
        <v>0</v>
      </c>
      <c r="VE136" s="15"/>
      <c r="VF136" s="15"/>
      <c r="VM136" s="15"/>
      <c r="VN136" s="15"/>
      <c r="VU136" s="15"/>
      <c r="VV136" s="15"/>
      <c r="WC136" s="15"/>
      <c r="WD136" s="15"/>
      <c r="WK136" s="15"/>
      <c r="WL136" s="15"/>
      <c r="WS136" s="15"/>
      <c r="WT136" s="15"/>
      <c r="XA136" s="15"/>
      <c r="XB136" s="15"/>
      <c r="XI136" s="15"/>
      <c r="XJ136" s="15"/>
      <c r="XQ136" s="15"/>
      <c r="XR136" s="15"/>
      <c r="XY136" s="15"/>
      <c r="XZ136" s="15"/>
      <c r="YG136" s="15"/>
      <c r="YH136" s="15"/>
      <c r="YO136" s="15"/>
      <c r="YP136" s="15"/>
      <c r="YW136" s="15"/>
      <c r="YX136" s="15"/>
      <c r="ZE136" s="15"/>
      <c r="ZF136" s="15"/>
      <c r="ZM136" s="15"/>
      <c r="ZN136" s="15"/>
      <c r="ZU136" s="15"/>
      <c r="ZV136" s="15"/>
      <c r="AAC136" s="15"/>
      <c r="AAD136" s="15"/>
      <c r="AAK136" s="15"/>
      <c r="AAL136" s="15"/>
      <c r="AAS136" s="15"/>
      <c r="AAT136" s="15"/>
      <c r="ABA136" s="15"/>
      <c r="ABB136" s="15"/>
      <c r="ABI136" s="15"/>
      <c r="ABJ136" s="15"/>
      <c r="ABQ136" s="15"/>
      <c r="ABR136" s="15"/>
      <c r="ABY136" s="15"/>
      <c r="ABZ136" s="15"/>
      <c r="ACG136" s="15"/>
      <c r="ACH136" s="15"/>
      <c r="ACO136" s="15"/>
      <c r="ACP136" s="15"/>
      <c r="ACW136" s="15"/>
      <c r="ACX136" s="15"/>
      <c r="ADE136" s="15"/>
      <c r="ADF136" s="15"/>
      <c r="ADM136" s="15"/>
      <c r="ADN136" s="15"/>
      <c r="ADU136" s="15"/>
      <c r="ADV136" s="15"/>
      <c r="AEC136" s="15"/>
      <c r="AED136" s="15"/>
      <c r="AEK136" s="15"/>
      <c r="AEL136" s="15"/>
      <c r="AES136" s="15"/>
      <c r="AET136" s="15"/>
      <c r="AFA136" s="15"/>
      <c r="AFB136" s="15"/>
      <c r="AFI136" s="15"/>
      <c r="AFJ136" s="15"/>
      <c r="AFQ136" s="15"/>
      <c r="AFR136" s="15"/>
      <c r="AFY136" s="15"/>
      <c r="AFZ136" s="15"/>
      <c r="AGG136" s="15"/>
      <c r="AGH136" s="15"/>
      <c r="AGO136" s="15"/>
      <c r="AGP136" s="15"/>
      <c r="AGW136" s="15"/>
      <c r="AGX136" s="15"/>
      <c r="AHE136" s="15"/>
      <c r="AHF136" s="15"/>
      <c r="AHM136" s="15"/>
      <c r="AHN136" s="15"/>
      <c r="AHU136" s="15"/>
      <c r="AHV136" s="15"/>
      <c r="AIC136" s="15"/>
      <c r="AID136" s="15"/>
      <c r="AIK136" s="15"/>
      <c r="AIL136" s="15"/>
      <c r="AIS136" s="15"/>
      <c r="AIT136" s="15"/>
      <c r="AJA136" s="15"/>
      <c r="AJB136" s="15"/>
      <c r="AJI136" s="15"/>
      <c r="AJJ136" s="15"/>
      <c r="AJQ136" s="15"/>
      <c r="AJR136" s="15"/>
      <c r="AJY136" s="15"/>
      <c r="AJZ136" s="15"/>
      <c r="AKG136" s="15"/>
      <c r="AKH136" s="15"/>
      <c r="AKO136" s="15"/>
      <c r="AKP136" s="15"/>
      <c r="AKW136" s="15"/>
      <c r="AKX136" s="15"/>
      <c r="ALE136" s="15"/>
      <c r="ALF136" s="15"/>
      <c r="ALM136" s="15"/>
      <c r="ALN136" s="15"/>
      <c r="ALU136" s="15"/>
      <c r="ALV136" s="15"/>
      <c r="AMC136" s="15"/>
      <c r="AMD136" s="15"/>
    </row>
    <row r="137" spans="1:1024" s="24" customFormat="1" x14ac:dyDescent="0.2">
      <c r="A137" s="22" t="s">
        <v>579</v>
      </c>
      <c r="B137" s="23">
        <v>42901</v>
      </c>
      <c r="C137" s="24">
        <v>2</v>
      </c>
      <c r="D137" s="13">
        <v>42793</v>
      </c>
      <c r="E137" s="12">
        <v>30926</v>
      </c>
      <c r="F137" s="14">
        <f t="shared" si="48"/>
        <v>32.785763175906915</v>
      </c>
      <c r="G137" s="14">
        <f t="shared" si="49"/>
        <v>0.29568788501026694</v>
      </c>
      <c r="H137" s="21" t="s">
        <v>183</v>
      </c>
      <c r="I137" s="21" t="s">
        <v>571</v>
      </c>
      <c r="J137" s="21" t="s">
        <v>183</v>
      </c>
      <c r="K137" s="21">
        <v>4</v>
      </c>
      <c r="L137" s="19">
        <v>80</v>
      </c>
      <c r="M137">
        <v>1.82</v>
      </c>
      <c r="N137" s="16">
        <f t="shared" si="50"/>
        <v>24.151672503320853</v>
      </c>
      <c r="O137" s="19">
        <v>0</v>
      </c>
      <c r="P137" s="19">
        <v>0</v>
      </c>
      <c r="Q137" s="19">
        <v>0</v>
      </c>
      <c r="R137" s="19">
        <v>0</v>
      </c>
      <c r="S137" s="19">
        <v>0</v>
      </c>
      <c r="T137" s="19">
        <v>0</v>
      </c>
      <c r="U137" s="19">
        <v>0</v>
      </c>
      <c r="V137" s="19">
        <v>0</v>
      </c>
      <c r="W137" s="19">
        <v>0</v>
      </c>
      <c r="X137" s="19">
        <v>0</v>
      </c>
      <c r="Y137" s="19">
        <v>1</v>
      </c>
      <c r="Z137" s="19">
        <v>2</v>
      </c>
      <c r="AA137" s="19">
        <v>60</v>
      </c>
      <c r="AB137" s="19" t="s">
        <v>441</v>
      </c>
      <c r="AC137" s="19">
        <v>1</v>
      </c>
      <c r="AD137" s="19">
        <v>10</v>
      </c>
      <c r="AE137" s="19">
        <v>0</v>
      </c>
      <c r="AF137" s="19">
        <v>0</v>
      </c>
      <c r="AG137" s="19">
        <v>0</v>
      </c>
      <c r="AH137" s="19">
        <v>0</v>
      </c>
      <c r="AI137" s="19">
        <v>0</v>
      </c>
      <c r="AJ137" s="19">
        <v>0</v>
      </c>
      <c r="AK137" s="19">
        <v>0</v>
      </c>
      <c r="AL137" s="19">
        <v>0</v>
      </c>
      <c r="AM137" s="19">
        <v>0</v>
      </c>
      <c r="AN137" s="19">
        <v>0</v>
      </c>
      <c r="AO137" s="19">
        <v>0</v>
      </c>
      <c r="AP137" s="19">
        <v>0</v>
      </c>
      <c r="AQ137" s="19">
        <v>0</v>
      </c>
      <c r="AR137" s="19">
        <v>0</v>
      </c>
      <c r="AS137" s="19">
        <v>0</v>
      </c>
      <c r="AT137" s="19">
        <v>0</v>
      </c>
      <c r="AU137" s="19">
        <v>0</v>
      </c>
      <c r="AV137" s="19">
        <v>0</v>
      </c>
      <c r="AW137" s="19">
        <v>0</v>
      </c>
      <c r="AX137" s="19">
        <v>0</v>
      </c>
      <c r="AY137" s="19">
        <v>0</v>
      </c>
      <c r="AZ137" s="19">
        <v>0</v>
      </c>
      <c r="BA137" s="19">
        <v>0</v>
      </c>
      <c r="BB137" s="19">
        <v>0</v>
      </c>
      <c r="BC137" s="19">
        <v>0</v>
      </c>
      <c r="BD137" s="19">
        <v>0</v>
      </c>
      <c r="BE137" s="19">
        <v>0</v>
      </c>
      <c r="BF137" s="19">
        <v>0</v>
      </c>
      <c r="BG137" s="19">
        <v>0</v>
      </c>
      <c r="BH137" s="19">
        <v>0</v>
      </c>
      <c r="BI137" s="19">
        <v>0</v>
      </c>
      <c r="BJ137" s="26">
        <v>0</v>
      </c>
      <c r="BK137" s="26">
        <v>0</v>
      </c>
      <c r="BL137" s="26">
        <v>0</v>
      </c>
      <c r="BM137" s="26">
        <v>0</v>
      </c>
      <c r="BN137" s="19">
        <v>0</v>
      </c>
      <c r="BO137" s="19">
        <v>0</v>
      </c>
      <c r="BP137" s="19">
        <v>0</v>
      </c>
      <c r="BQ137" s="19">
        <v>0</v>
      </c>
      <c r="BR137" s="19">
        <v>1</v>
      </c>
      <c r="BS137" s="19">
        <v>1</v>
      </c>
      <c r="BT137" s="19">
        <v>1</v>
      </c>
      <c r="BU137" s="19">
        <v>5</v>
      </c>
      <c r="BV137" s="19">
        <v>1</v>
      </c>
      <c r="BW137" s="19">
        <v>1</v>
      </c>
      <c r="BX137" s="19">
        <v>5</v>
      </c>
      <c r="BY137" s="19">
        <v>5</v>
      </c>
      <c r="BZ137" s="19">
        <v>3</v>
      </c>
      <c r="CA137" s="19">
        <v>5</v>
      </c>
      <c r="CB137" s="19">
        <v>5</v>
      </c>
      <c r="CC137" s="19">
        <v>5</v>
      </c>
      <c r="CD137" s="19">
        <v>4</v>
      </c>
      <c r="CE137" s="19">
        <v>5</v>
      </c>
      <c r="CF137" s="19">
        <v>5</v>
      </c>
      <c r="CG137" s="19">
        <v>5</v>
      </c>
      <c r="CH137" s="19">
        <v>5</v>
      </c>
      <c r="CI137" s="19">
        <v>5</v>
      </c>
      <c r="CJ137" s="19">
        <v>5</v>
      </c>
      <c r="CK137" s="19">
        <v>10</v>
      </c>
      <c r="CL137" s="24" t="s">
        <v>540</v>
      </c>
      <c r="CM137" s="24">
        <v>70.5</v>
      </c>
      <c r="CN137" s="27">
        <v>88.2</v>
      </c>
      <c r="CO137" s="27">
        <v>80.400000000000006</v>
      </c>
      <c r="CP137" s="27">
        <v>36.299999999999997</v>
      </c>
      <c r="CQ137" s="24">
        <v>72.69</v>
      </c>
      <c r="CR137" s="29">
        <v>0</v>
      </c>
      <c r="CS137" s="24">
        <v>10.32</v>
      </c>
      <c r="CT137" s="24">
        <v>16.989999999999998</v>
      </c>
      <c r="CU137" s="24">
        <v>0</v>
      </c>
      <c r="CV137" s="24">
        <v>0</v>
      </c>
      <c r="CW137" s="24">
        <v>0</v>
      </c>
      <c r="CX137" s="24">
        <v>0</v>
      </c>
      <c r="CY137" s="24">
        <v>0</v>
      </c>
      <c r="CZ137" s="24">
        <v>0</v>
      </c>
      <c r="DA137" s="24">
        <v>0</v>
      </c>
      <c r="DB137" s="24">
        <v>0</v>
      </c>
      <c r="DC137" s="24">
        <v>36.659999999999997</v>
      </c>
      <c r="DD137" s="24">
        <v>7.54</v>
      </c>
      <c r="DE137" s="24">
        <v>10.32</v>
      </c>
      <c r="DF137" s="24">
        <v>0</v>
      </c>
      <c r="DG137" s="24">
        <v>0</v>
      </c>
      <c r="DH137" s="24">
        <v>0</v>
      </c>
      <c r="DU137" s="24">
        <v>21.2</v>
      </c>
      <c r="DV137" s="24">
        <v>1</v>
      </c>
      <c r="DW137" s="24">
        <v>35</v>
      </c>
      <c r="DX137" s="24">
        <v>7</v>
      </c>
      <c r="DY137" s="24">
        <f t="shared" si="51"/>
        <v>6.25</v>
      </c>
      <c r="DZ137" s="24">
        <v>3</v>
      </c>
      <c r="EA137" s="24">
        <v>47</v>
      </c>
      <c r="EB137" s="24">
        <v>2</v>
      </c>
      <c r="EC137" s="24">
        <v>0.4</v>
      </c>
      <c r="ED137" s="24">
        <v>3</v>
      </c>
      <c r="EG137" s="32"/>
      <c r="EY137" s="24">
        <v>0</v>
      </c>
      <c r="GJ137" s="27">
        <v>11.58</v>
      </c>
      <c r="GK137" s="27">
        <v>1</v>
      </c>
      <c r="GL137" s="27">
        <v>2</v>
      </c>
      <c r="GM137" s="27"/>
      <c r="GN137" s="27">
        <f t="shared" si="52"/>
        <v>6.66</v>
      </c>
      <c r="GO137" s="27"/>
      <c r="GP137" s="27"/>
      <c r="GQ137" s="27"/>
      <c r="GR137" s="27"/>
      <c r="GS137" s="27"/>
      <c r="GT137" s="27"/>
      <c r="GU137" s="27">
        <v>0.27</v>
      </c>
      <c r="GV137" s="27">
        <v>0.27</v>
      </c>
      <c r="GW137" s="27">
        <v>0</v>
      </c>
      <c r="GX137" s="27">
        <v>0</v>
      </c>
      <c r="GY137" s="27">
        <v>0</v>
      </c>
      <c r="GZ137" s="27">
        <v>0</v>
      </c>
      <c r="HA137" s="27">
        <v>0</v>
      </c>
      <c r="HB137" s="24">
        <v>0</v>
      </c>
      <c r="HC137" s="24" t="s">
        <v>541</v>
      </c>
      <c r="HD137" s="24">
        <v>94.5</v>
      </c>
      <c r="HE137" s="27">
        <v>88.2</v>
      </c>
      <c r="HF137" s="27">
        <v>80.400000000000006</v>
      </c>
      <c r="HG137" s="27">
        <v>73.099999999999994</v>
      </c>
      <c r="HH137" s="24">
        <v>41.34</v>
      </c>
      <c r="HI137" s="29">
        <v>0</v>
      </c>
      <c r="HJ137" s="24">
        <v>8.6300000000000008</v>
      </c>
      <c r="HK137" s="24">
        <v>0.04</v>
      </c>
      <c r="HL137" s="24">
        <v>0</v>
      </c>
      <c r="HM137" s="24">
        <v>0</v>
      </c>
      <c r="HN137" s="24">
        <v>0</v>
      </c>
      <c r="HO137" s="24">
        <v>0</v>
      </c>
      <c r="HP137" s="24">
        <v>0</v>
      </c>
      <c r="HQ137" s="24">
        <v>0</v>
      </c>
      <c r="HR137" s="24">
        <v>0</v>
      </c>
      <c r="HS137" s="24">
        <v>0</v>
      </c>
      <c r="HT137" s="24">
        <v>8.06</v>
      </c>
      <c r="HU137" s="24">
        <v>3.65</v>
      </c>
      <c r="HV137" s="24">
        <v>7.2</v>
      </c>
      <c r="HW137" s="24">
        <v>0</v>
      </c>
      <c r="HX137" s="24">
        <v>0</v>
      </c>
      <c r="HY137" s="24">
        <v>0</v>
      </c>
      <c r="IL137" s="24">
        <v>9.4</v>
      </c>
      <c r="IM137" s="24">
        <v>1</v>
      </c>
      <c r="IN137" s="24">
        <v>35</v>
      </c>
      <c r="IO137" s="24">
        <v>2</v>
      </c>
      <c r="IP137" s="24">
        <f t="shared" si="53"/>
        <v>1.21</v>
      </c>
      <c r="IQ137" s="24">
        <v>3</v>
      </c>
      <c r="IX137" s="32"/>
      <c r="JP137" s="24">
        <v>1</v>
      </c>
      <c r="JQ137" s="24">
        <v>70</v>
      </c>
      <c r="JR137" s="24">
        <v>2</v>
      </c>
      <c r="JS137" s="24">
        <f t="shared" si="54"/>
        <v>2.44</v>
      </c>
      <c r="JT137" s="24">
        <v>2</v>
      </c>
      <c r="LA137" s="27">
        <v>0.84</v>
      </c>
      <c r="LB137" s="27">
        <v>1</v>
      </c>
      <c r="LC137" s="27">
        <v>1</v>
      </c>
      <c r="LD137" s="27"/>
      <c r="LE137" s="27">
        <v>0.6</v>
      </c>
      <c r="LF137" s="27"/>
      <c r="LG137" s="27"/>
      <c r="LH137" s="27"/>
      <c r="LI137" s="27"/>
      <c r="LJ137" s="27"/>
      <c r="LK137" s="27"/>
      <c r="LL137" s="27">
        <v>10.19</v>
      </c>
      <c r="LM137" s="27">
        <v>8.4600000000000009</v>
      </c>
      <c r="LN137" s="27">
        <v>0</v>
      </c>
      <c r="LO137" s="27">
        <v>0</v>
      </c>
      <c r="LP137" s="27">
        <v>0</v>
      </c>
      <c r="LQ137" s="27">
        <v>0</v>
      </c>
      <c r="LR137" s="27">
        <v>0</v>
      </c>
      <c r="LS137" s="24">
        <v>0</v>
      </c>
      <c r="LT137" s="24" t="s">
        <v>542</v>
      </c>
      <c r="LU137" s="24">
        <v>75</v>
      </c>
      <c r="LV137" s="27">
        <v>91.2</v>
      </c>
      <c r="LW137" s="27">
        <v>80.400000000000006</v>
      </c>
      <c r="LX137" s="27">
        <v>61</v>
      </c>
      <c r="LY137" s="24">
        <v>53.67</v>
      </c>
      <c r="LZ137" s="29">
        <v>0</v>
      </c>
      <c r="MA137" s="24">
        <v>16.760000000000002</v>
      </c>
      <c r="MB137" s="24">
        <v>29.58</v>
      </c>
      <c r="MC137" s="24">
        <v>0</v>
      </c>
      <c r="MD137" s="24">
        <v>0</v>
      </c>
      <c r="ME137" s="24">
        <v>0</v>
      </c>
      <c r="MF137" s="24">
        <v>0</v>
      </c>
      <c r="MG137" s="24">
        <v>0</v>
      </c>
      <c r="MH137" s="24">
        <v>0</v>
      </c>
      <c r="MI137" s="24">
        <v>0</v>
      </c>
      <c r="MJ137" s="24">
        <v>0</v>
      </c>
      <c r="MK137" s="24">
        <v>6.79</v>
      </c>
      <c r="ML137" s="24">
        <v>14.97</v>
      </c>
      <c r="MM137" s="24">
        <v>18.239999999999998</v>
      </c>
      <c r="MN137" s="24">
        <v>0</v>
      </c>
      <c r="MO137" s="24">
        <v>0</v>
      </c>
      <c r="MP137" s="24">
        <v>0</v>
      </c>
      <c r="NC137" s="24">
        <v>9</v>
      </c>
      <c r="ND137" s="24">
        <v>1</v>
      </c>
      <c r="NE137" s="24">
        <v>68</v>
      </c>
      <c r="NF137" s="24">
        <v>1</v>
      </c>
      <c r="NG137" s="24">
        <v>0.38</v>
      </c>
      <c r="NH137" s="24">
        <v>1</v>
      </c>
      <c r="NI137" s="24">
        <v>47</v>
      </c>
      <c r="NJ137" s="24">
        <v>1</v>
      </c>
      <c r="NK137" s="24">
        <v>1.1299999999999999</v>
      </c>
      <c r="NL137" s="24">
        <v>3</v>
      </c>
      <c r="NO137" s="32"/>
      <c r="OG137" s="24">
        <v>1</v>
      </c>
      <c r="OH137" s="24">
        <v>70</v>
      </c>
      <c r="OI137" s="24">
        <v>2</v>
      </c>
      <c r="OJ137" s="24">
        <f t="shared" si="55"/>
        <v>2.44</v>
      </c>
      <c r="OK137" s="24">
        <v>2</v>
      </c>
      <c r="PR137" s="27">
        <v>1.88</v>
      </c>
      <c r="PS137" s="27">
        <v>1</v>
      </c>
      <c r="PT137" s="27">
        <v>1</v>
      </c>
      <c r="PU137" s="27"/>
      <c r="PV137" s="27">
        <f t="shared" si="56"/>
        <v>3.12</v>
      </c>
      <c r="PW137" s="27"/>
      <c r="PX137" s="27"/>
      <c r="PY137" s="27"/>
      <c r="PZ137" s="27"/>
      <c r="QA137" s="27"/>
      <c r="QB137" s="27"/>
      <c r="QC137" s="27">
        <v>1.5</v>
      </c>
      <c r="QD137" s="27">
        <v>1.5</v>
      </c>
      <c r="QE137" s="27">
        <v>0</v>
      </c>
      <c r="QF137" s="27">
        <v>0</v>
      </c>
      <c r="QG137" s="27">
        <v>0</v>
      </c>
      <c r="QH137" s="27">
        <v>0</v>
      </c>
      <c r="QI137" s="27">
        <v>0</v>
      </c>
      <c r="QJ137" s="24">
        <v>0</v>
      </c>
      <c r="QK137" s="24" t="s">
        <v>543</v>
      </c>
      <c r="QL137" s="24">
        <v>21</v>
      </c>
      <c r="QM137" s="27">
        <v>77.900000000000006</v>
      </c>
      <c r="QN137" s="27">
        <v>160.80000000000001</v>
      </c>
      <c r="QO137" s="27">
        <v>14.1</v>
      </c>
      <c r="QP137" s="24">
        <v>87.99</v>
      </c>
      <c r="QQ137" s="29">
        <v>0</v>
      </c>
      <c r="QR137" s="24">
        <v>3.38</v>
      </c>
      <c r="QS137" s="24">
        <v>0</v>
      </c>
      <c r="QT137" s="24">
        <v>8.6300000000000008</v>
      </c>
      <c r="QU137" s="24">
        <v>0</v>
      </c>
      <c r="QV137" s="24">
        <v>0</v>
      </c>
      <c r="QW137" s="24">
        <v>0</v>
      </c>
      <c r="QX137" s="24">
        <v>0</v>
      </c>
      <c r="QY137" s="24">
        <v>0</v>
      </c>
      <c r="QZ137" s="24">
        <v>0</v>
      </c>
      <c r="RA137" s="24">
        <v>0</v>
      </c>
      <c r="RB137" s="24">
        <v>0</v>
      </c>
      <c r="RC137" s="24">
        <v>65.599999999999994</v>
      </c>
      <c r="RD137" s="24">
        <v>0</v>
      </c>
      <c r="RE137" s="24">
        <v>0</v>
      </c>
      <c r="RF137" s="24">
        <v>0</v>
      </c>
      <c r="RG137" s="24">
        <v>0</v>
      </c>
      <c r="RT137" s="24">
        <v>1.4</v>
      </c>
      <c r="RU137" s="24">
        <v>1</v>
      </c>
      <c r="RV137" s="24">
        <v>35</v>
      </c>
      <c r="RW137" s="24">
        <v>3</v>
      </c>
      <c r="RX137" s="24">
        <f t="shared" si="57"/>
        <v>0.38</v>
      </c>
      <c r="RY137" s="24">
        <v>3</v>
      </c>
      <c r="RZ137" s="24">
        <v>34</v>
      </c>
      <c r="SA137" s="24">
        <v>27</v>
      </c>
      <c r="SB137" s="24">
        <f t="shared" si="58"/>
        <v>8.4599999999999991</v>
      </c>
      <c r="SC137" s="24">
        <v>1</v>
      </c>
      <c r="SF137" s="32"/>
      <c r="SX137" s="24">
        <v>1</v>
      </c>
      <c r="SY137" s="24">
        <v>40</v>
      </c>
      <c r="SZ137" s="24">
        <v>9</v>
      </c>
      <c r="TA137" s="24">
        <f t="shared" si="59"/>
        <v>7.14</v>
      </c>
      <c r="TB137" s="24">
        <v>3</v>
      </c>
      <c r="UI137" s="27">
        <v>0</v>
      </c>
      <c r="UJ137" s="27">
        <v>0</v>
      </c>
      <c r="UK137" s="27"/>
      <c r="UL137" s="27"/>
      <c r="UM137" s="27"/>
      <c r="UN137" s="27"/>
      <c r="UO137" s="27"/>
      <c r="UP137" s="27"/>
      <c r="UQ137" s="27"/>
      <c r="UR137" s="27"/>
      <c r="US137" s="27"/>
      <c r="UT137" s="27">
        <v>5.27</v>
      </c>
      <c r="UU137" s="27">
        <v>1.5</v>
      </c>
      <c r="UV137" s="27">
        <v>0</v>
      </c>
      <c r="UW137" s="27">
        <v>0</v>
      </c>
      <c r="UX137" s="27">
        <v>0</v>
      </c>
      <c r="UY137" s="27">
        <v>0</v>
      </c>
      <c r="UZ137" s="27">
        <v>0</v>
      </c>
      <c r="VA137" s="24">
        <v>0</v>
      </c>
      <c r="VD137" s="33"/>
      <c r="VE137" s="21"/>
      <c r="VF137" s="21"/>
      <c r="VH137" s="33"/>
      <c r="VI137" s="33"/>
      <c r="VL137" s="33"/>
      <c r="VM137" s="21"/>
      <c r="VN137" s="21"/>
      <c r="VP137" s="33"/>
      <c r="VQ137" s="33"/>
      <c r="VT137" s="33"/>
      <c r="VU137" s="21"/>
      <c r="VV137" s="21"/>
      <c r="VX137" s="33"/>
      <c r="VY137" s="33"/>
      <c r="WB137" s="33"/>
      <c r="WC137" s="21"/>
      <c r="WD137" s="21"/>
      <c r="WF137" s="33"/>
      <c r="WG137" s="33"/>
      <c r="WJ137" s="33"/>
      <c r="WK137" s="21"/>
      <c r="WL137" s="21"/>
      <c r="WN137" s="33"/>
      <c r="WO137" s="33"/>
      <c r="WR137" s="33"/>
      <c r="WS137" s="21"/>
      <c r="WT137" s="21"/>
      <c r="WV137" s="33"/>
      <c r="WW137" s="33"/>
      <c r="WZ137" s="33"/>
      <c r="XA137" s="21"/>
      <c r="XB137" s="21"/>
      <c r="XD137" s="33"/>
      <c r="XE137" s="33"/>
      <c r="XH137" s="33"/>
      <c r="XI137" s="21"/>
      <c r="XJ137" s="21"/>
      <c r="XL137" s="33"/>
      <c r="XM137" s="33"/>
      <c r="XP137" s="33"/>
      <c r="XQ137" s="21"/>
      <c r="XR137" s="21"/>
      <c r="XT137" s="33"/>
      <c r="XU137" s="33"/>
      <c r="XX137" s="33"/>
      <c r="XY137" s="21"/>
      <c r="XZ137" s="21"/>
      <c r="YB137" s="33"/>
      <c r="YC137" s="33"/>
      <c r="YF137" s="33"/>
      <c r="YG137" s="21"/>
      <c r="YH137" s="21"/>
      <c r="YJ137" s="33"/>
      <c r="YK137" s="33"/>
      <c r="YN137" s="33"/>
      <c r="YO137" s="21"/>
      <c r="YP137" s="21"/>
      <c r="YR137" s="33"/>
      <c r="YS137" s="33"/>
      <c r="YV137" s="33"/>
      <c r="YW137" s="21"/>
      <c r="YX137" s="21"/>
      <c r="YZ137" s="33"/>
      <c r="ZA137" s="33"/>
      <c r="ZD137" s="33"/>
      <c r="ZE137" s="21"/>
      <c r="ZF137" s="21"/>
      <c r="ZH137" s="33"/>
      <c r="ZI137" s="33"/>
      <c r="ZL137" s="33"/>
      <c r="ZM137" s="21"/>
      <c r="ZN137" s="21"/>
      <c r="ZP137" s="33"/>
      <c r="ZQ137" s="33"/>
      <c r="ZT137" s="33"/>
      <c r="ZU137" s="21"/>
      <c r="ZV137" s="21"/>
      <c r="ZX137" s="33"/>
      <c r="ZY137" s="33"/>
      <c r="AAB137" s="33"/>
      <c r="AAC137" s="21"/>
      <c r="AAD137" s="21"/>
      <c r="AAF137" s="33"/>
      <c r="AAG137" s="33"/>
      <c r="AAJ137" s="33"/>
      <c r="AAK137" s="21"/>
      <c r="AAL137" s="21"/>
      <c r="AAN137" s="33"/>
      <c r="AAO137" s="33"/>
      <c r="AAR137" s="33"/>
      <c r="AAS137" s="21"/>
      <c r="AAT137" s="21"/>
      <c r="AAV137" s="33"/>
      <c r="AAW137" s="33"/>
      <c r="AAZ137" s="33"/>
      <c r="ABA137" s="21"/>
      <c r="ABB137" s="21"/>
      <c r="ABD137" s="33"/>
      <c r="ABE137" s="33"/>
      <c r="ABH137" s="33"/>
      <c r="ABI137" s="21"/>
      <c r="ABJ137" s="21"/>
      <c r="ABL137" s="33"/>
      <c r="ABM137" s="33"/>
      <c r="ABP137" s="33"/>
      <c r="ABQ137" s="21"/>
      <c r="ABR137" s="21"/>
      <c r="ABT137" s="33"/>
      <c r="ABU137" s="33"/>
      <c r="ABX137" s="33"/>
      <c r="ABY137" s="21"/>
      <c r="ABZ137" s="21"/>
      <c r="ACB137" s="33"/>
      <c r="ACC137" s="33"/>
      <c r="ACF137" s="33"/>
      <c r="ACG137" s="21"/>
      <c r="ACH137" s="21"/>
      <c r="ACJ137" s="33"/>
      <c r="ACK137" s="33"/>
      <c r="ACN137" s="33"/>
      <c r="ACO137" s="21"/>
      <c r="ACP137" s="21"/>
      <c r="ACR137" s="33"/>
      <c r="ACS137" s="33"/>
      <c r="ACV137" s="33"/>
      <c r="ACW137" s="21"/>
      <c r="ACX137" s="21"/>
      <c r="ACZ137" s="33"/>
      <c r="ADA137" s="33"/>
      <c r="ADD137" s="33"/>
      <c r="ADE137" s="21"/>
      <c r="ADF137" s="21"/>
      <c r="ADH137" s="33"/>
      <c r="ADI137" s="33"/>
      <c r="ADL137" s="33"/>
      <c r="ADM137" s="21"/>
      <c r="ADN137" s="21"/>
      <c r="ADP137" s="33"/>
      <c r="ADQ137" s="33"/>
      <c r="ADT137" s="33"/>
      <c r="ADU137" s="21"/>
      <c r="ADV137" s="21"/>
      <c r="ADX137" s="33"/>
      <c r="ADY137" s="33"/>
      <c r="AEB137" s="33"/>
      <c r="AEC137" s="21"/>
      <c r="AED137" s="21"/>
      <c r="AEF137" s="33"/>
      <c r="AEG137" s="33"/>
      <c r="AEJ137" s="33"/>
      <c r="AEK137" s="21"/>
      <c r="AEL137" s="21"/>
      <c r="AEN137" s="33"/>
      <c r="AEO137" s="33"/>
      <c r="AER137" s="33"/>
      <c r="AES137" s="21"/>
      <c r="AET137" s="21"/>
      <c r="AEV137" s="33"/>
      <c r="AEW137" s="33"/>
      <c r="AEZ137" s="33"/>
      <c r="AFA137" s="21"/>
      <c r="AFB137" s="21"/>
      <c r="AFD137" s="33"/>
      <c r="AFE137" s="33"/>
      <c r="AFH137" s="33"/>
      <c r="AFI137" s="21"/>
      <c r="AFJ137" s="21"/>
      <c r="AFL137" s="33"/>
      <c r="AFM137" s="33"/>
      <c r="AFP137" s="33"/>
      <c r="AFQ137" s="21"/>
      <c r="AFR137" s="21"/>
      <c r="AFT137" s="33"/>
      <c r="AFU137" s="33"/>
      <c r="AFX137" s="33"/>
      <c r="AFY137" s="21"/>
      <c r="AFZ137" s="21"/>
      <c r="AGB137" s="33"/>
      <c r="AGC137" s="33"/>
      <c r="AGF137" s="33"/>
      <c r="AGG137" s="21"/>
      <c r="AGH137" s="21"/>
      <c r="AGJ137" s="33"/>
      <c r="AGK137" s="33"/>
      <c r="AGN137" s="33"/>
      <c r="AGO137" s="21"/>
      <c r="AGP137" s="21"/>
      <c r="AGR137" s="33"/>
      <c r="AGS137" s="33"/>
      <c r="AGV137" s="33"/>
      <c r="AGW137" s="21"/>
      <c r="AGX137" s="21"/>
      <c r="AGZ137" s="33"/>
      <c r="AHA137" s="33"/>
      <c r="AHD137" s="33"/>
      <c r="AHE137" s="21"/>
      <c r="AHF137" s="21"/>
      <c r="AHH137" s="33"/>
      <c r="AHI137" s="33"/>
      <c r="AHL137" s="33"/>
      <c r="AHM137" s="21"/>
      <c r="AHN137" s="21"/>
      <c r="AHP137" s="33"/>
      <c r="AHQ137" s="33"/>
      <c r="AHT137" s="33"/>
      <c r="AHU137" s="21"/>
      <c r="AHV137" s="21"/>
      <c r="AHX137" s="33"/>
      <c r="AHY137" s="33"/>
      <c r="AIB137" s="33"/>
      <c r="AIC137" s="21"/>
      <c r="AID137" s="21"/>
      <c r="AIF137" s="33"/>
      <c r="AIG137" s="33"/>
      <c r="AIJ137" s="33"/>
      <c r="AIK137" s="21"/>
      <c r="AIL137" s="21"/>
      <c r="AIN137" s="33"/>
      <c r="AIO137" s="33"/>
      <c r="AIR137" s="33"/>
      <c r="AIS137" s="21"/>
      <c r="AIT137" s="21"/>
      <c r="AIV137" s="33"/>
      <c r="AIW137" s="33"/>
      <c r="AIZ137" s="33"/>
      <c r="AJA137" s="21"/>
      <c r="AJB137" s="21"/>
      <c r="AJD137" s="33"/>
      <c r="AJE137" s="33"/>
      <c r="AJH137" s="33"/>
      <c r="AJI137" s="21"/>
      <c r="AJJ137" s="21"/>
      <c r="AJL137" s="33"/>
      <c r="AJM137" s="33"/>
      <c r="AJP137" s="33"/>
      <c r="AJQ137" s="21"/>
      <c r="AJR137" s="21"/>
      <c r="AJT137" s="33"/>
      <c r="AJU137" s="33"/>
      <c r="AJX137" s="33"/>
      <c r="AJY137" s="21"/>
      <c r="AJZ137" s="21"/>
      <c r="AKB137" s="33"/>
      <c r="AKC137" s="33"/>
      <c r="AKF137" s="33"/>
      <c r="AKG137" s="21"/>
      <c r="AKH137" s="21"/>
      <c r="AKJ137" s="33"/>
      <c r="AKK137" s="33"/>
      <c r="AKN137" s="33"/>
      <c r="AKO137" s="21"/>
      <c r="AKP137" s="21"/>
      <c r="AKR137" s="33"/>
      <c r="AKS137" s="33"/>
      <c r="AKV137" s="33"/>
      <c r="AKW137" s="21"/>
      <c r="AKX137" s="21"/>
      <c r="AKZ137" s="33"/>
      <c r="ALA137" s="33"/>
      <c r="ALD137" s="33"/>
      <c r="ALE137" s="21"/>
      <c r="ALF137" s="21"/>
      <c r="ALH137" s="33"/>
      <c r="ALI137" s="33"/>
      <c r="ALL137" s="33"/>
      <c r="ALM137" s="21"/>
      <c r="ALN137" s="21"/>
      <c r="ALP137" s="33"/>
      <c r="ALQ137" s="33"/>
      <c r="ALT137" s="33"/>
      <c r="ALU137" s="21"/>
      <c r="ALV137" s="21"/>
      <c r="ALX137" s="33"/>
      <c r="ALY137" s="33"/>
      <c r="AMB137" s="33"/>
      <c r="AMC137" s="21"/>
      <c r="AMD137" s="21"/>
      <c r="AMF137" s="33"/>
      <c r="AMG137" s="33"/>
      <c r="AMJ137" s="33"/>
    </row>
    <row r="138" spans="1:1024" x14ac:dyDescent="0.2">
      <c r="A138" s="1" t="s">
        <v>580</v>
      </c>
      <c r="B138" s="12">
        <v>42894</v>
      </c>
      <c r="C138">
        <v>2</v>
      </c>
      <c r="D138" s="13">
        <v>42801</v>
      </c>
      <c r="E138" s="12">
        <v>29808</v>
      </c>
      <c r="F138" s="14">
        <f t="shared" si="48"/>
        <v>35.827515400410675</v>
      </c>
      <c r="G138" s="14">
        <f t="shared" si="49"/>
        <v>0.25462012320328542</v>
      </c>
      <c r="H138" s="15" t="s">
        <v>183</v>
      </c>
      <c r="I138" s="15" t="s">
        <v>571</v>
      </c>
      <c r="J138" s="15" t="s">
        <v>183</v>
      </c>
      <c r="K138" s="21">
        <v>8</v>
      </c>
      <c r="L138" s="19">
        <v>78</v>
      </c>
      <c r="M138">
        <v>1.74</v>
      </c>
      <c r="N138" s="16">
        <f t="shared" si="50"/>
        <v>25.762980578676178</v>
      </c>
      <c r="O138" s="19">
        <v>0</v>
      </c>
      <c r="P138" s="19">
        <v>0</v>
      </c>
      <c r="Q138" s="19">
        <v>0</v>
      </c>
      <c r="R138" s="19">
        <v>0</v>
      </c>
      <c r="S138" s="19">
        <v>0</v>
      </c>
      <c r="T138" s="19">
        <v>0</v>
      </c>
      <c r="U138" s="19">
        <v>0</v>
      </c>
      <c r="V138" s="19">
        <v>0</v>
      </c>
      <c r="W138" s="19">
        <v>0</v>
      </c>
      <c r="X138" s="19">
        <v>0</v>
      </c>
      <c r="Y138" s="19">
        <v>1</v>
      </c>
      <c r="Z138" s="19">
        <v>1</v>
      </c>
      <c r="AA138" s="19"/>
      <c r="AB138" s="19" t="s">
        <v>349</v>
      </c>
      <c r="AC138" s="19">
        <v>1</v>
      </c>
      <c r="AD138" s="19">
        <v>10</v>
      </c>
      <c r="AE138" s="19">
        <v>0</v>
      </c>
      <c r="AF138" s="19">
        <v>0</v>
      </c>
      <c r="AG138" s="19">
        <v>0</v>
      </c>
      <c r="AH138" s="19">
        <v>0</v>
      </c>
      <c r="AI138" s="19">
        <v>0</v>
      </c>
      <c r="AJ138" s="19">
        <v>0</v>
      </c>
      <c r="AK138" s="19">
        <v>0</v>
      </c>
      <c r="AL138" s="19">
        <v>0</v>
      </c>
      <c r="AM138" s="19">
        <v>0</v>
      </c>
      <c r="AN138" s="19">
        <v>0</v>
      </c>
      <c r="AO138" s="19">
        <v>0</v>
      </c>
      <c r="AP138" s="19">
        <v>0</v>
      </c>
      <c r="AQ138" s="19">
        <v>0</v>
      </c>
      <c r="AR138" s="19">
        <v>0</v>
      </c>
      <c r="AS138" s="19">
        <v>0</v>
      </c>
      <c r="AT138" s="19">
        <v>0</v>
      </c>
      <c r="AU138" s="19">
        <v>0</v>
      </c>
      <c r="AV138" s="19">
        <v>0</v>
      </c>
      <c r="AW138" s="19">
        <v>0</v>
      </c>
      <c r="AX138" s="19">
        <v>0</v>
      </c>
      <c r="AY138" s="19">
        <v>0</v>
      </c>
      <c r="AZ138" s="19">
        <v>0</v>
      </c>
      <c r="BA138" s="19">
        <v>0</v>
      </c>
      <c r="BB138" s="19">
        <v>0</v>
      </c>
      <c r="BC138" s="19">
        <v>0</v>
      </c>
      <c r="BD138" s="19">
        <v>0</v>
      </c>
      <c r="BE138" s="19">
        <v>0</v>
      </c>
      <c r="BF138" s="19">
        <v>0</v>
      </c>
      <c r="BG138" s="19">
        <v>0</v>
      </c>
      <c r="BH138" s="19">
        <v>0</v>
      </c>
      <c r="BI138" s="19">
        <v>0</v>
      </c>
      <c r="BJ138" s="26">
        <v>0</v>
      </c>
      <c r="BK138" s="26">
        <v>0</v>
      </c>
      <c r="BL138" s="26">
        <v>0</v>
      </c>
      <c r="BM138" s="26">
        <v>0</v>
      </c>
      <c r="BN138" s="19">
        <v>0</v>
      </c>
      <c r="BO138" s="19">
        <v>0</v>
      </c>
      <c r="BP138" s="19">
        <v>0</v>
      </c>
      <c r="BQ138" s="19">
        <v>0</v>
      </c>
      <c r="BR138" s="19">
        <v>2</v>
      </c>
      <c r="BS138" s="19">
        <v>2</v>
      </c>
      <c r="BT138" s="19">
        <v>3</v>
      </c>
      <c r="BU138" s="19">
        <v>5</v>
      </c>
      <c r="BV138" s="19">
        <v>3</v>
      </c>
      <c r="BW138" s="19">
        <v>2</v>
      </c>
      <c r="BX138" s="19">
        <v>4</v>
      </c>
      <c r="BY138" s="19">
        <v>4</v>
      </c>
      <c r="BZ138" s="19">
        <v>4</v>
      </c>
      <c r="CA138" s="19">
        <v>4</v>
      </c>
      <c r="CB138" s="19">
        <v>4</v>
      </c>
      <c r="CC138" s="19">
        <v>5</v>
      </c>
      <c r="CD138" s="19">
        <v>4</v>
      </c>
      <c r="CE138" s="19">
        <v>4</v>
      </c>
      <c r="CF138" s="19">
        <v>3</v>
      </c>
      <c r="CG138" s="19">
        <v>4</v>
      </c>
      <c r="CH138" s="19">
        <v>4</v>
      </c>
      <c r="CI138" s="19">
        <v>3</v>
      </c>
      <c r="CJ138" s="19">
        <v>4</v>
      </c>
      <c r="CK138" s="19">
        <v>8</v>
      </c>
      <c r="CL138" t="s">
        <v>540</v>
      </c>
      <c r="CM138">
        <v>70.5</v>
      </c>
      <c r="CN138" s="16">
        <v>88.2</v>
      </c>
      <c r="CO138" s="16">
        <v>80.400000000000006</v>
      </c>
      <c r="CP138" s="16">
        <v>36.299999999999997</v>
      </c>
      <c r="CQ138">
        <v>72.69</v>
      </c>
      <c r="CR138" s="17">
        <v>0</v>
      </c>
      <c r="CS138">
        <v>10.32</v>
      </c>
      <c r="CT138">
        <v>16.989999999999998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36.659999999999997</v>
      </c>
      <c r="DD138">
        <v>7.54</v>
      </c>
      <c r="DE138">
        <v>10.32</v>
      </c>
      <c r="DF138">
        <v>0</v>
      </c>
      <c r="DG138">
        <v>0</v>
      </c>
      <c r="DH138">
        <v>0</v>
      </c>
      <c r="DU138">
        <v>21.2</v>
      </c>
      <c r="DV138">
        <v>1</v>
      </c>
      <c r="DW138">
        <v>35</v>
      </c>
      <c r="DX138">
        <v>7</v>
      </c>
      <c r="DY138">
        <f t="shared" si="51"/>
        <v>6.25</v>
      </c>
      <c r="DZ138">
        <v>3</v>
      </c>
      <c r="EA138">
        <v>47</v>
      </c>
      <c r="EB138">
        <v>2</v>
      </c>
      <c r="EC138">
        <v>0.4</v>
      </c>
      <c r="ED138">
        <v>3</v>
      </c>
      <c r="EG138" s="20"/>
      <c r="EY138">
        <v>0</v>
      </c>
      <c r="GJ138" s="16">
        <v>11.58</v>
      </c>
      <c r="GK138" s="16">
        <v>1</v>
      </c>
      <c r="GL138" s="16">
        <v>2</v>
      </c>
      <c r="GM138" s="16"/>
      <c r="GN138" s="16">
        <f t="shared" si="52"/>
        <v>6.66</v>
      </c>
      <c r="GO138" s="16"/>
      <c r="GP138" s="16"/>
      <c r="GQ138" s="16"/>
      <c r="GR138" s="16"/>
      <c r="GS138" s="16"/>
      <c r="GT138" s="16"/>
      <c r="GU138" s="16">
        <v>0.27</v>
      </c>
      <c r="GV138" s="16">
        <v>0.27</v>
      </c>
      <c r="GW138" s="16">
        <v>0</v>
      </c>
      <c r="GX138" s="16">
        <v>0</v>
      </c>
      <c r="GY138" s="16">
        <v>0</v>
      </c>
      <c r="GZ138" s="16">
        <v>0</v>
      </c>
      <c r="HA138" s="16">
        <v>0</v>
      </c>
      <c r="HB138">
        <v>0</v>
      </c>
      <c r="HC138" t="s">
        <v>541</v>
      </c>
      <c r="HD138">
        <v>94.5</v>
      </c>
      <c r="HE138" s="16">
        <v>88.2</v>
      </c>
      <c r="HF138" s="16">
        <v>80.400000000000006</v>
      </c>
      <c r="HG138" s="16">
        <v>73.099999999999994</v>
      </c>
      <c r="HH138">
        <v>41.34</v>
      </c>
      <c r="HI138" s="17">
        <v>0</v>
      </c>
      <c r="HJ138">
        <v>8.6300000000000008</v>
      </c>
      <c r="HK138">
        <v>0.04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8.06</v>
      </c>
      <c r="HU138">
        <v>3.65</v>
      </c>
      <c r="HV138">
        <v>7.2</v>
      </c>
      <c r="HW138">
        <v>0</v>
      </c>
      <c r="HX138">
        <v>0</v>
      </c>
      <c r="HY138">
        <v>0</v>
      </c>
      <c r="IL138">
        <v>9.4</v>
      </c>
      <c r="IM138">
        <v>1</v>
      </c>
      <c r="IN138">
        <v>35</v>
      </c>
      <c r="IO138">
        <v>2</v>
      </c>
      <c r="IP138">
        <f t="shared" si="53"/>
        <v>1.21</v>
      </c>
      <c r="IQ138">
        <v>3</v>
      </c>
      <c r="IX138" s="20"/>
      <c r="JP138">
        <v>1</v>
      </c>
      <c r="JQ138">
        <v>70</v>
      </c>
      <c r="JR138">
        <v>2</v>
      </c>
      <c r="JS138">
        <f t="shared" si="54"/>
        <v>2.44</v>
      </c>
      <c r="JT138">
        <v>2</v>
      </c>
      <c r="LA138" s="16">
        <v>0.84</v>
      </c>
      <c r="LB138" s="16">
        <v>1</v>
      </c>
      <c r="LC138" s="16">
        <v>1</v>
      </c>
      <c r="LD138" s="16"/>
      <c r="LE138" s="16">
        <v>0.6</v>
      </c>
      <c r="LF138" s="16"/>
      <c r="LG138" s="16"/>
      <c r="LH138" s="16"/>
      <c r="LI138" s="16"/>
      <c r="LJ138" s="16"/>
      <c r="LK138" s="16"/>
      <c r="LL138" s="16">
        <v>10.19</v>
      </c>
      <c r="LM138" s="16">
        <v>8.4600000000000009</v>
      </c>
      <c r="LN138" s="16">
        <v>0</v>
      </c>
      <c r="LO138" s="16">
        <v>0</v>
      </c>
      <c r="LP138" s="16">
        <v>0</v>
      </c>
      <c r="LQ138" s="16">
        <v>0</v>
      </c>
      <c r="LR138" s="16">
        <v>0</v>
      </c>
      <c r="LS138">
        <v>0</v>
      </c>
      <c r="LT138" t="s">
        <v>542</v>
      </c>
      <c r="LU138">
        <v>75</v>
      </c>
      <c r="LV138" s="16">
        <v>91.2</v>
      </c>
      <c r="LW138" s="16">
        <v>80.400000000000006</v>
      </c>
      <c r="LX138" s="16">
        <v>61</v>
      </c>
      <c r="LY138">
        <v>53.67</v>
      </c>
      <c r="LZ138" s="17">
        <v>0</v>
      </c>
      <c r="MA138">
        <v>16.760000000000002</v>
      </c>
      <c r="MB138">
        <v>29.58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6.79</v>
      </c>
      <c r="ML138">
        <v>14.97</v>
      </c>
      <c r="MM138">
        <v>18.239999999999998</v>
      </c>
      <c r="MN138">
        <v>0</v>
      </c>
      <c r="MO138">
        <v>0</v>
      </c>
      <c r="MP138">
        <v>0</v>
      </c>
      <c r="NC138">
        <v>9</v>
      </c>
      <c r="ND138">
        <v>1</v>
      </c>
      <c r="NE138">
        <v>68</v>
      </c>
      <c r="NF138">
        <v>1</v>
      </c>
      <c r="NG138">
        <v>0.38</v>
      </c>
      <c r="NH138">
        <v>1</v>
      </c>
      <c r="NI138">
        <v>47</v>
      </c>
      <c r="NJ138">
        <v>1</v>
      </c>
      <c r="NK138">
        <v>1.1299999999999999</v>
      </c>
      <c r="NL138">
        <v>3</v>
      </c>
      <c r="NO138" s="20"/>
      <c r="OG138">
        <v>1</v>
      </c>
      <c r="OH138">
        <v>70</v>
      </c>
      <c r="OI138">
        <v>2</v>
      </c>
      <c r="OJ138">
        <f t="shared" si="55"/>
        <v>2.44</v>
      </c>
      <c r="OK138">
        <v>2</v>
      </c>
      <c r="PR138" s="16">
        <v>1.88</v>
      </c>
      <c r="PS138" s="16">
        <v>1</v>
      </c>
      <c r="PT138" s="16">
        <v>1</v>
      </c>
      <c r="PU138" s="16"/>
      <c r="PV138" s="16">
        <f t="shared" si="56"/>
        <v>3.12</v>
      </c>
      <c r="PW138" s="16"/>
      <c r="PX138" s="16"/>
      <c r="PY138" s="16"/>
      <c r="PZ138" s="16"/>
      <c r="QA138" s="16"/>
      <c r="QB138" s="16"/>
      <c r="QC138" s="16">
        <v>1.5</v>
      </c>
      <c r="QD138" s="16">
        <v>1.5</v>
      </c>
      <c r="QE138" s="16">
        <v>0</v>
      </c>
      <c r="QF138" s="16">
        <v>0</v>
      </c>
      <c r="QG138" s="16">
        <v>0</v>
      </c>
      <c r="QH138" s="16">
        <v>0</v>
      </c>
      <c r="QI138" s="16">
        <v>0</v>
      </c>
      <c r="QJ138">
        <v>0</v>
      </c>
      <c r="QK138" t="s">
        <v>543</v>
      </c>
      <c r="QL138">
        <v>21</v>
      </c>
      <c r="QM138" s="16">
        <v>77.900000000000006</v>
      </c>
      <c r="QN138" s="16">
        <v>160.80000000000001</v>
      </c>
      <c r="QO138" s="16">
        <v>14.1</v>
      </c>
      <c r="QP138">
        <v>87.99</v>
      </c>
      <c r="QQ138" s="17">
        <v>0</v>
      </c>
      <c r="QR138">
        <v>3.38</v>
      </c>
      <c r="QS138">
        <v>0</v>
      </c>
      <c r="QT138">
        <v>8.6300000000000008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65.599999999999994</v>
      </c>
      <c r="RD138">
        <v>0</v>
      </c>
      <c r="RE138">
        <v>0</v>
      </c>
      <c r="RF138">
        <v>0</v>
      </c>
      <c r="RG138">
        <v>0</v>
      </c>
      <c r="RT138">
        <v>1.4</v>
      </c>
      <c r="RU138">
        <v>1</v>
      </c>
      <c r="RV138">
        <v>35</v>
      </c>
      <c r="RW138">
        <v>3</v>
      </c>
      <c r="RX138">
        <f t="shared" si="57"/>
        <v>0.38</v>
      </c>
      <c r="RY138">
        <v>3</v>
      </c>
      <c r="RZ138">
        <v>34</v>
      </c>
      <c r="SA138">
        <v>27</v>
      </c>
      <c r="SB138">
        <f t="shared" si="58"/>
        <v>8.4599999999999991</v>
      </c>
      <c r="SC138">
        <v>1</v>
      </c>
      <c r="SF138" s="20"/>
      <c r="SX138">
        <v>1</v>
      </c>
      <c r="SY138">
        <v>40</v>
      </c>
      <c r="SZ138">
        <v>9</v>
      </c>
      <c r="TA138">
        <f t="shared" si="59"/>
        <v>7.14</v>
      </c>
      <c r="TB138">
        <v>3</v>
      </c>
      <c r="UI138" s="16">
        <v>0</v>
      </c>
      <c r="UJ138" s="16">
        <v>0</v>
      </c>
      <c r="UK138" s="16"/>
      <c r="UL138" s="16"/>
      <c r="UM138" s="16"/>
      <c r="UN138" s="16"/>
      <c r="UO138" s="16"/>
      <c r="UP138" s="16"/>
      <c r="UQ138" s="16"/>
      <c r="UR138" s="16"/>
      <c r="US138" s="16"/>
      <c r="UT138" s="16">
        <v>5.27</v>
      </c>
      <c r="UU138" s="16">
        <v>1.5</v>
      </c>
      <c r="UV138" s="16">
        <v>0</v>
      </c>
      <c r="UW138" s="16">
        <v>0</v>
      </c>
      <c r="UX138" s="16">
        <v>0</v>
      </c>
      <c r="UY138" s="16">
        <v>0</v>
      </c>
      <c r="UZ138" s="16">
        <v>0</v>
      </c>
      <c r="VA138">
        <v>0</v>
      </c>
      <c r="VE138" s="15"/>
      <c r="VF138" s="15"/>
      <c r="VM138" s="15"/>
      <c r="VN138" s="15"/>
      <c r="VU138" s="15"/>
      <c r="VV138" s="15"/>
      <c r="WC138" s="15"/>
      <c r="WD138" s="15"/>
      <c r="WK138" s="15"/>
      <c r="WL138" s="15"/>
      <c r="WS138" s="15"/>
      <c r="WT138" s="15"/>
      <c r="XA138" s="15"/>
      <c r="XB138" s="15"/>
      <c r="XI138" s="15"/>
      <c r="XJ138" s="15"/>
      <c r="XQ138" s="15"/>
      <c r="XR138" s="15"/>
      <c r="XY138" s="15"/>
      <c r="XZ138" s="15"/>
      <c r="YG138" s="15"/>
      <c r="YH138" s="15"/>
      <c r="YO138" s="15"/>
      <c r="YP138" s="15"/>
      <c r="YW138" s="15"/>
      <c r="YX138" s="15"/>
      <c r="ZE138" s="15"/>
      <c r="ZF138" s="15"/>
      <c r="ZM138" s="15"/>
      <c r="ZN138" s="15"/>
      <c r="ZU138" s="15"/>
      <c r="ZV138" s="15"/>
      <c r="AAC138" s="15"/>
      <c r="AAD138" s="15"/>
      <c r="AAK138" s="15"/>
      <c r="AAL138" s="15"/>
      <c r="AAS138" s="15"/>
      <c r="AAT138" s="15"/>
      <c r="ABA138" s="15"/>
      <c r="ABB138" s="15"/>
      <c r="ABI138" s="15"/>
      <c r="ABJ138" s="15"/>
      <c r="ABQ138" s="15"/>
      <c r="ABR138" s="15"/>
      <c r="ABY138" s="15"/>
      <c r="ABZ138" s="15"/>
      <c r="ACG138" s="15"/>
      <c r="ACH138" s="15"/>
      <c r="ACO138" s="15"/>
      <c r="ACP138" s="15"/>
      <c r="ACW138" s="15"/>
      <c r="ACX138" s="15"/>
      <c r="ADE138" s="15"/>
      <c r="ADF138" s="15"/>
      <c r="ADM138" s="15"/>
      <c r="ADN138" s="15"/>
      <c r="ADU138" s="15"/>
      <c r="ADV138" s="15"/>
      <c r="AEC138" s="15"/>
      <c r="AED138" s="15"/>
      <c r="AEK138" s="15"/>
      <c r="AEL138" s="15"/>
      <c r="AES138" s="15"/>
      <c r="AET138" s="15"/>
      <c r="AFA138" s="15"/>
      <c r="AFB138" s="15"/>
      <c r="AFI138" s="15"/>
      <c r="AFJ138" s="15"/>
      <c r="AFQ138" s="15"/>
      <c r="AFR138" s="15"/>
      <c r="AFY138" s="15"/>
      <c r="AFZ138" s="15"/>
      <c r="AGG138" s="15"/>
      <c r="AGH138" s="15"/>
      <c r="AGO138" s="15"/>
      <c r="AGP138" s="15"/>
      <c r="AGW138" s="15"/>
      <c r="AGX138" s="15"/>
      <c r="AHE138" s="15"/>
      <c r="AHF138" s="15"/>
      <c r="AHM138" s="15"/>
      <c r="AHN138" s="15"/>
      <c r="AHU138" s="15"/>
      <c r="AHV138" s="15"/>
      <c r="AIC138" s="15"/>
      <c r="AID138" s="15"/>
      <c r="AIK138" s="15"/>
      <c r="AIL138" s="15"/>
      <c r="AIS138" s="15"/>
      <c r="AIT138" s="15"/>
      <c r="AJA138" s="15"/>
      <c r="AJB138" s="15"/>
      <c r="AJI138" s="15"/>
      <c r="AJJ138" s="15"/>
      <c r="AJQ138" s="15"/>
      <c r="AJR138" s="15"/>
      <c r="AJY138" s="15"/>
      <c r="AJZ138" s="15"/>
      <c r="AKG138" s="15"/>
      <c r="AKH138" s="15"/>
      <c r="AKO138" s="15"/>
      <c r="AKP138" s="15"/>
      <c r="AKW138" s="15"/>
      <c r="AKX138" s="15"/>
      <c r="ALE138" s="15"/>
      <c r="ALF138" s="15"/>
      <c r="ALM138" s="15"/>
      <c r="ALN138" s="15"/>
      <c r="ALU138" s="15"/>
      <c r="ALV138" s="15"/>
      <c r="AMC138" s="15"/>
      <c r="AMD138" s="15"/>
    </row>
    <row r="139" spans="1:1024" s="24" customFormat="1" x14ac:dyDescent="0.2">
      <c r="A139" s="22" t="s">
        <v>581</v>
      </c>
      <c r="B139" s="23">
        <v>42900</v>
      </c>
      <c r="C139" s="24">
        <v>2</v>
      </c>
      <c r="D139" s="25">
        <v>40513</v>
      </c>
      <c r="E139" s="23">
        <v>33249</v>
      </c>
      <c r="F139" s="14">
        <f t="shared" si="48"/>
        <v>26.422997946611911</v>
      </c>
      <c r="G139" s="14">
        <f t="shared" si="49"/>
        <v>6.5352498288843259</v>
      </c>
      <c r="H139" s="21" t="s">
        <v>228</v>
      </c>
      <c r="I139" s="21" t="s">
        <v>240</v>
      </c>
      <c r="J139" s="21" t="s">
        <v>183</v>
      </c>
      <c r="K139" s="21">
        <v>8</v>
      </c>
      <c r="L139" s="26">
        <v>65</v>
      </c>
      <c r="M139" s="24">
        <v>1.91</v>
      </c>
      <c r="N139" s="27">
        <f t="shared" si="50"/>
        <v>17.817494037992379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  <c r="T139" s="26">
        <v>0</v>
      </c>
      <c r="U139" s="19">
        <v>0</v>
      </c>
      <c r="V139" s="19">
        <v>0</v>
      </c>
      <c r="W139" s="26">
        <v>0</v>
      </c>
      <c r="X139" s="26">
        <v>0</v>
      </c>
      <c r="Y139" s="26">
        <v>1</v>
      </c>
      <c r="Z139" s="26">
        <v>3</v>
      </c>
      <c r="AA139" s="26">
        <v>30</v>
      </c>
      <c r="AB139" s="26" t="s">
        <v>184</v>
      </c>
      <c r="AC139" s="26">
        <v>1</v>
      </c>
      <c r="AD139" s="26">
        <v>6</v>
      </c>
      <c r="AE139" s="26">
        <v>1</v>
      </c>
      <c r="AF139" s="26">
        <v>0</v>
      </c>
      <c r="AG139" s="26">
        <v>0</v>
      </c>
      <c r="AH139" s="26">
        <v>0</v>
      </c>
      <c r="AI139" s="26">
        <v>3</v>
      </c>
      <c r="AJ139" s="26">
        <v>0</v>
      </c>
      <c r="AK139" s="26">
        <v>0</v>
      </c>
      <c r="AL139" s="26">
        <v>0</v>
      </c>
      <c r="AM139" s="26">
        <v>0</v>
      </c>
      <c r="AN139" s="26">
        <v>0</v>
      </c>
      <c r="AO139" s="26">
        <v>0</v>
      </c>
      <c r="AP139" s="26">
        <v>0</v>
      </c>
      <c r="AQ139" s="26">
        <v>0</v>
      </c>
      <c r="AR139" s="26">
        <v>0</v>
      </c>
      <c r="AS139" s="26">
        <v>0</v>
      </c>
      <c r="AT139" s="26">
        <v>0</v>
      </c>
      <c r="AU139" s="26">
        <v>0</v>
      </c>
      <c r="AV139" s="26">
        <v>0</v>
      </c>
      <c r="AW139" s="26">
        <v>0</v>
      </c>
      <c r="AX139" s="26">
        <v>0</v>
      </c>
      <c r="AY139" s="26">
        <v>0</v>
      </c>
      <c r="AZ139" s="26">
        <v>0</v>
      </c>
      <c r="BA139" s="26">
        <v>0</v>
      </c>
      <c r="BB139" s="26">
        <v>0</v>
      </c>
      <c r="BC139" s="26">
        <v>0</v>
      </c>
      <c r="BD139" s="26">
        <v>0</v>
      </c>
      <c r="BE139" s="26">
        <v>0</v>
      </c>
      <c r="BF139" s="26">
        <v>0</v>
      </c>
      <c r="BG139" s="26">
        <v>0</v>
      </c>
      <c r="BH139" s="26">
        <v>0</v>
      </c>
      <c r="BI139" s="26">
        <v>0</v>
      </c>
      <c r="BJ139" s="26">
        <v>0</v>
      </c>
      <c r="BK139" s="26">
        <v>0</v>
      </c>
      <c r="BL139" s="26">
        <v>0</v>
      </c>
      <c r="BM139" s="26">
        <v>0</v>
      </c>
      <c r="BN139" s="26">
        <v>0</v>
      </c>
      <c r="BO139" s="26">
        <v>0</v>
      </c>
      <c r="BP139" s="26">
        <v>0</v>
      </c>
      <c r="BQ139" s="26">
        <v>0</v>
      </c>
      <c r="BR139" s="26">
        <v>2</v>
      </c>
      <c r="BS139" s="26">
        <v>2</v>
      </c>
      <c r="BT139" s="26">
        <v>5</v>
      </c>
      <c r="BU139" s="26">
        <v>5</v>
      </c>
      <c r="BV139" s="26">
        <v>4</v>
      </c>
      <c r="BW139" s="26">
        <v>4</v>
      </c>
      <c r="BX139" s="26">
        <v>4</v>
      </c>
      <c r="BY139" s="26">
        <v>4</v>
      </c>
      <c r="BZ139" s="26">
        <v>5</v>
      </c>
      <c r="CA139" s="26">
        <v>4</v>
      </c>
      <c r="CB139" s="26">
        <v>4</v>
      </c>
      <c r="CC139" s="26">
        <v>5</v>
      </c>
      <c r="CD139" s="26">
        <v>5</v>
      </c>
      <c r="CE139" s="26">
        <v>5</v>
      </c>
      <c r="CF139" s="26">
        <v>5</v>
      </c>
      <c r="CG139" s="26">
        <v>5</v>
      </c>
      <c r="CH139" s="26">
        <v>5</v>
      </c>
      <c r="CI139" s="26">
        <v>4</v>
      </c>
      <c r="CJ139" s="26">
        <v>4</v>
      </c>
      <c r="CK139" s="26">
        <v>7</v>
      </c>
      <c r="CL139" s="24" t="s">
        <v>242</v>
      </c>
      <c r="CM139" s="24">
        <v>36.5</v>
      </c>
      <c r="CN139" s="27">
        <v>88.3</v>
      </c>
      <c r="CO139" s="27">
        <v>80.400000000000006</v>
      </c>
      <c r="CP139" s="27">
        <v>28.2</v>
      </c>
      <c r="CQ139" s="24">
        <v>73.819999999999993</v>
      </c>
      <c r="CR139" s="24">
        <v>0</v>
      </c>
      <c r="CS139" s="24">
        <v>25.61</v>
      </c>
      <c r="CT139" s="24">
        <v>0</v>
      </c>
      <c r="CU139" s="24">
        <v>0.56999999999999995</v>
      </c>
      <c r="CV139" s="24">
        <v>0</v>
      </c>
      <c r="CW139" s="24">
        <v>0</v>
      </c>
      <c r="CX139" s="24">
        <v>0</v>
      </c>
      <c r="CY139" s="24">
        <v>0</v>
      </c>
      <c r="CZ139" s="24">
        <v>0</v>
      </c>
      <c r="DA139" s="24">
        <v>0</v>
      </c>
      <c r="DB139" s="24">
        <v>1.17</v>
      </c>
      <c r="DC139" s="24">
        <v>31.76</v>
      </c>
      <c r="DD139" s="24">
        <v>23.3</v>
      </c>
      <c r="DE139" s="24">
        <v>26.08</v>
      </c>
      <c r="DF139" s="24">
        <v>0</v>
      </c>
      <c r="DG139" s="24">
        <v>0</v>
      </c>
      <c r="DH139" s="24">
        <v>0</v>
      </c>
      <c r="DU139" s="24">
        <v>2.1</v>
      </c>
      <c r="DV139" s="24">
        <v>1</v>
      </c>
      <c r="DW139" s="24">
        <v>47</v>
      </c>
      <c r="DX139" s="24">
        <v>2</v>
      </c>
      <c r="DY139" s="24">
        <v>0.27</v>
      </c>
      <c r="DZ139" s="24">
        <v>3</v>
      </c>
      <c r="EG139" s="28"/>
      <c r="EY139" s="24">
        <v>0</v>
      </c>
      <c r="GJ139" s="27">
        <v>1.9</v>
      </c>
      <c r="GK139" s="27">
        <v>1</v>
      </c>
      <c r="GL139" s="27">
        <v>1</v>
      </c>
      <c r="GM139" s="27"/>
      <c r="GN139" s="27">
        <f>5.29*3</f>
        <v>15.870000000000001</v>
      </c>
      <c r="GO139" s="27"/>
      <c r="GP139" s="27"/>
      <c r="GQ139" s="27"/>
      <c r="GR139" s="27"/>
      <c r="GS139" s="27"/>
      <c r="GT139" s="27"/>
      <c r="GU139" s="27">
        <v>0.56999999999999995</v>
      </c>
      <c r="GV139" s="27">
        <v>0.56000000000000005</v>
      </c>
      <c r="GW139" s="27"/>
      <c r="GX139" s="27"/>
      <c r="GY139" s="27">
        <v>0</v>
      </c>
      <c r="GZ139" s="27">
        <v>0</v>
      </c>
      <c r="HA139" s="27">
        <v>0</v>
      </c>
      <c r="HB139" s="24">
        <v>0</v>
      </c>
      <c r="HC139" s="24" t="s">
        <v>243</v>
      </c>
      <c r="HD139" s="24">
        <v>38</v>
      </c>
      <c r="HE139" s="27">
        <v>87.8</v>
      </c>
      <c r="HF139" s="27">
        <v>80.400000000000006</v>
      </c>
      <c r="HG139" s="27">
        <v>29.1</v>
      </c>
      <c r="HH139" s="24">
        <v>71.17</v>
      </c>
      <c r="HI139" s="24">
        <v>0</v>
      </c>
      <c r="HJ139" s="24">
        <v>25.61</v>
      </c>
      <c r="HK139" s="24">
        <v>0</v>
      </c>
      <c r="HL139" s="24">
        <v>3.22</v>
      </c>
      <c r="HM139" s="24">
        <v>0</v>
      </c>
      <c r="HN139" s="24">
        <v>0</v>
      </c>
      <c r="HO139" s="24">
        <v>0</v>
      </c>
      <c r="HP139" s="24">
        <v>0</v>
      </c>
      <c r="HQ139" s="24">
        <v>0</v>
      </c>
      <c r="HR139" s="24">
        <v>0</v>
      </c>
      <c r="HS139" s="24">
        <v>1.08</v>
      </c>
      <c r="HT139" s="24">
        <v>31.76</v>
      </c>
      <c r="HU139" s="24">
        <v>22.19</v>
      </c>
      <c r="HV139" s="24">
        <v>26.38</v>
      </c>
      <c r="HW139" s="24">
        <v>0</v>
      </c>
      <c r="HX139" s="24">
        <v>0</v>
      </c>
      <c r="HY139" s="24">
        <v>0</v>
      </c>
      <c r="IL139" s="24">
        <v>2.1</v>
      </c>
      <c r="IM139" s="24">
        <v>1</v>
      </c>
      <c r="IN139" s="24">
        <v>47</v>
      </c>
      <c r="IO139" s="24">
        <v>2</v>
      </c>
      <c r="IP139" s="24">
        <v>0.27</v>
      </c>
      <c r="IQ139" s="24">
        <v>3</v>
      </c>
      <c r="IX139" s="28"/>
      <c r="JP139" s="24">
        <v>0</v>
      </c>
      <c r="LA139" s="27">
        <v>1.9</v>
      </c>
      <c r="LB139" s="27">
        <v>1</v>
      </c>
      <c r="LC139" s="27">
        <v>1</v>
      </c>
      <c r="LD139" s="27"/>
      <c r="LE139" s="27">
        <f>5.29*3</f>
        <v>15.870000000000001</v>
      </c>
      <c r="LF139" s="27"/>
      <c r="LG139" s="27"/>
      <c r="LH139" s="27"/>
      <c r="LI139" s="27"/>
      <c r="LJ139" s="27"/>
      <c r="LK139" s="27"/>
      <c r="LL139" s="27">
        <v>1.1200000000000001</v>
      </c>
      <c r="LM139" s="27">
        <v>0.27</v>
      </c>
      <c r="LN139" s="27"/>
      <c r="LO139" s="27"/>
      <c r="LP139" s="27">
        <v>0</v>
      </c>
      <c r="LQ139" s="27">
        <v>0</v>
      </c>
      <c r="LR139" s="27">
        <v>0</v>
      </c>
      <c r="LS139" s="24">
        <v>0</v>
      </c>
      <c r="LT139" s="24" t="s">
        <v>246</v>
      </c>
      <c r="LU139" s="24">
        <v>27</v>
      </c>
      <c r="LV139" s="27">
        <v>72</v>
      </c>
      <c r="LW139" s="27">
        <v>80.400000000000006</v>
      </c>
      <c r="LX139" s="27">
        <v>19.2</v>
      </c>
      <c r="LY139" s="24">
        <v>86.83</v>
      </c>
      <c r="LZ139" s="24">
        <v>0</v>
      </c>
      <c r="MA139" s="24">
        <v>0</v>
      </c>
      <c r="MB139" s="24">
        <v>0</v>
      </c>
      <c r="MC139" s="24">
        <v>13.17</v>
      </c>
      <c r="MD139" s="24">
        <v>0</v>
      </c>
      <c r="ME139" s="24">
        <v>0</v>
      </c>
      <c r="MF139" s="24">
        <v>0</v>
      </c>
      <c r="MG139" s="24">
        <v>0</v>
      </c>
      <c r="MH139" s="24">
        <v>0</v>
      </c>
      <c r="MI139" s="24">
        <v>0</v>
      </c>
      <c r="MJ139" s="24">
        <v>18.28</v>
      </c>
      <c r="MK139" s="24">
        <v>16.809999999999999</v>
      </c>
      <c r="ML139" s="24">
        <v>9.64</v>
      </c>
      <c r="MM139" s="24">
        <v>19.739999999999998</v>
      </c>
      <c r="MN139" s="24">
        <v>0</v>
      </c>
      <c r="MO139" s="24">
        <v>0</v>
      </c>
      <c r="MP139" s="24">
        <v>0</v>
      </c>
      <c r="NC139" s="24">
        <v>0</v>
      </c>
      <c r="ND139" s="24">
        <v>0</v>
      </c>
      <c r="NO139" s="28"/>
      <c r="OG139" s="24">
        <v>0</v>
      </c>
      <c r="PR139" s="27">
        <v>1.43</v>
      </c>
      <c r="PS139" s="27">
        <v>1</v>
      </c>
      <c r="PT139" s="27">
        <v>1</v>
      </c>
      <c r="PU139" s="27"/>
      <c r="PV139" s="27">
        <f>6.34+2.11+0.08+0.37</f>
        <v>8.8999999999999986</v>
      </c>
      <c r="PW139" s="27"/>
      <c r="PX139" s="27"/>
      <c r="PY139" s="27"/>
      <c r="PZ139" s="27"/>
      <c r="QA139" s="27"/>
      <c r="QB139" s="27"/>
      <c r="QC139" s="27">
        <v>3.5</v>
      </c>
      <c r="QD139" s="27">
        <v>3.5</v>
      </c>
      <c r="QE139" s="27"/>
      <c r="QF139" s="27"/>
      <c r="QG139" s="27">
        <v>0</v>
      </c>
      <c r="QH139" s="27">
        <v>0</v>
      </c>
      <c r="QI139" s="27">
        <v>0</v>
      </c>
      <c r="QJ139" s="24">
        <v>0</v>
      </c>
      <c r="QK139" s="24" t="s">
        <v>247</v>
      </c>
      <c r="QL139" s="24">
        <v>37</v>
      </c>
      <c r="QM139" s="27">
        <v>79.2</v>
      </c>
      <c r="QN139" s="27">
        <v>80.400000000000006</v>
      </c>
      <c r="QO139" s="27">
        <v>12.1</v>
      </c>
      <c r="QP139" s="24">
        <v>96.75</v>
      </c>
      <c r="QQ139" s="24">
        <v>0</v>
      </c>
      <c r="QR139" s="24">
        <v>0</v>
      </c>
      <c r="QS139" s="24">
        <v>0</v>
      </c>
      <c r="QT139" s="24">
        <v>3.25</v>
      </c>
      <c r="QU139" s="24">
        <v>0</v>
      </c>
      <c r="QV139" s="24">
        <v>0</v>
      </c>
      <c r="QW139" s="24">
        <v>0</v>
      </c>
      <c r="QX139" s="24">
        <v>0</v>
      </c>
      <c r="QY139" s="24">
        <v>0</v>
      </c>
      <c r="QZ139" s="24">
        <v>0</v>
      </c>
      <c r="RA139" s="24">
        <v>9.06</v>
      </c>
      <c r="RB139" s="24">
        <v>18.149999999999999</v>
      </c>
      <c r="RC139" s="24">
        <v>25.66</v>
      </c>
      <c r="RD139" s="24">
        <v>15.61</v>
      </c>
      <c r="RE139" s="24">
        <v>0</v>
      </c>
      <c r="RF139" s="24">
        <v>0</v>
      </c>
      <c r="RG139" s="24">
        <v>0</v>
      </c>
      <c r="RT139" s="24">
        <v>17.8</v>
      </c>
      <c r="RU139" s="24">
        <v>1</v>
      </c>
      <c r="RV139" s="24">
        <v>47</v>
      </c>
      <c r="RW139" s="24">
        <v>3</v>
      </c>
      <c r="RX139" s="24">
        <v>2.2799999999999998</v>
      </c>
      <c r="RY139" s="24">
        <v>3</v>
      </c>
      <c r="RZ139" s="24">
        <v>26</v>
      </c>
      <c r="SA139" s="24">
        <v>1</v>
      </c>
      <c r="SB139" s="24">
        <v>0.76</v>
      </c>
      <c r="SC139" s="24">
        <v>2</v>
      </c>
      <c r="SF139" s="28"/>
      <c r="SX139" s="24">
        <v>0</v>
      </c>
      <c r="UI139" s="27">
        <v>1.27</v>
      </c>
      <c r="UJ139" s="27">
        <v>1</v>
      </c>
      <c r="UK139" s="27">
        <v>1</v>
      </c>
      <c r="UL139" s="27"/>
      <c r="UM139" s="27">
        <f>6.34+1.06</f>
        <v>7.4</v>
      </c>
      <c r="UN139" s="27"/>
      <c r="UO139" s="27"/>
      <c r="UP139" s="27"/>
      <c r="UQ139" s="27"/>
      <c r="UR139" s="27"/>
      <c r="US139" s="27"/>
      <c r="UT139" s="27">
        <v>2.86</v>
      </c>
      <c r="UU139" s="27">
        <v>2.86</v>
      </c>
      <c r="UV139" s="27"/>
      <c r="UW139" s="27"/>
      <c r="UX139" s="27">
        <v>0</v>
      </c>
      <c r="UY139" s="27">
        <v>0</v>
      </c>
      <c r="UZ139" s="27">
        <v>0</v>
      </c>
      <c r="VA139" s="24">
        <v>0</v>
      </c>
      <c r="VB139" s="24" t="s">
        <v>248</v>
      </c>
      <c r="VC139" s="24">
        <v>33</v>
      </c>
      <c r="VD139" s="27">
        <v>122.1</v>
      </c>
      <c r="VE139" s="27">
        <v>80.400000000000006</v>
      </c>
      <c r="VF139" s="27">
        <v>14.1</v>
      </c>
      <c r="VG139" s="24">
        <v>91.87</v>
      </c>
      <c r="VH139" s="24">
        <v>0</v>
      </c>
      <c r="VI139" s="24">
        <v>5.85</v>
      </c>
      <c r="VJ139" s="24">
        <v>0</v>
      </c>
      <c r="VK139" s="24">
        <v>2.2799999999999998</v>
      </c>
      <c r="VL139" s="24">
        <v>0</v>
      </c>
      <c r="VM139" s="24">
        <v>0</v>
      </c>
      <c r="VN139" s="24">
        <v>0</v>
      </c>
      <c r="VO139" s="24">
        <v>0</v>
      </c>
      <c r="VP139" s="24">
        <v>0</v>
      </c>
      <c r="VQ139" s="24">
        <v>0</v>
      </c>
      <c r="VR139" s="24">
        <v>0</v>
      </c>
      <c r="VS139" s="24">
        <v>23.39</v>
      </c>
      <c r="VT139" s="24">
        <v>10.3</v>
      </c>
      <c r="VU139" s="24">
        <v>49.9</v>
      </c>
      <c r="VV139" s="24">
        <v>0</v>
      </c>
      <c r="VW139" s="24">
        <v>0</v>
      </c>
      <c r="VX139" s="24">
        <v>0</v>
      </c>
      <c r="WK139" s="24">
        <v>0</v>
      </c>
      <c r="WL139" s="24">
        <v>1</v>
      </c>
      <c r="WM139" s="24">
        <v>34</v>
      </c>
      <c r="WN139" s="24">
        <v>1</v>
      </c>
      <c r="WO139" s="24">
        <v>1.1399999999999999</v>
      </c>
      <c r="WP139" s="24">
        <v>1</v>
      </c>
      <c r="WW139" s="28"/>
      <c r="XO139" s="24">
        <v>0</v>
      </c>
      <c r="YZ139" s="27">
        <v>4.78</v>
      </c>
      <c r="ZA139" s="27">
        <v>1</v>
      </c>
      <c r="ZB139" s="27">
        <v>1</v>
      </c>
      <c r="ZC139" s="27"/>
      <c r="ZD139" s="27">
        <v>4.2300000000000004</v>
      </c>
      <c r="ZE139" s="27">
        <v>2</v>
      </c>
      <c r="ZF139" s="27"/>
      <c r="ZG139" s="27">
        <f>1.14+9.52+1.68</f>
        <v>12.34</v>
      </c>
      <c r="ZH139" s="27"/>
      <c r="ZI139" s="27"/>
      <c r="ZJ139" s="27"/>
      <c r="ZK139" s="27">
        <v>10.43</v>
      </c>
      <c r="ZL139" s="27">
        <v>22.43</v>
      </c>
      <c r="ZM139" s="27"/>
      <c r="ZN139" s="27"/>
      <c r="ZO139" s="27">
        <v>0</v>
      </c>
      <c r="ZP139" s="27">
        <v>0</v>
      </c>
      <c r="ZQ139" s="27">
        <v>0</v>
      </c>
      <c r="ZR139" s="24">
        <v>0</v>
      </c>
      <c r="ZS139" s="24" t="s">
        <v>249</v>
      </c>
      <c r="ZT139" s="24">
        <v>25</v>
      </c>
      <c r="ZU139" s="27">
        <v>87.3</v>
      </c>
      <c r="ZV139" s="27">
        <v>80.400000000000006</v>
      </c>
      <c r="ZW139" s="27">
        <v>8.8000000000000007</v>
      </c>
      <c r="ZX139" s="24">
        <v>100</v>
      </c>
      <c r="ZY139" s="24">
        <v>0</v>
      </c>
      <c r="ZZ139" s="24">
        <v>0</v>
      </c>
      <c r="AAA139" s="24">
        <v>0</v>
      </c>
      <c r="AAB139" s="24">
        <v>0</v>
      </c>
      <c r="AAC139" s="24">
        <v>0</v>
      </c>
      <c r="AAD139" s="24">
        <v>0</v>
      </c>
      <c r="AAE139" s="24">
        <v>0</v>
      </c>
      <c r="AAF139" s="24">
        <v>0</v>
      </c>
      <c r="AAG139" s="24">
        <v>0</v>
      </c>
      <c r="AAH139" s="24">
        <v>0</v>
      </c>
      <c r="AAI139" s="24">
        <v>0</v>
      </c>
      <c r="AAJ139" s="24">
        <v>11.94</v>
      </c>
      <c r="AAK139" s="24">
        <v>34.17</v>
      </c>
      <c r="AAL139" s="24">
        <v>24.72</v>
      </c>
      <c r="AAM139" s="24">
        <v>0</v>
      </c>
      <c r="AAN139" s="24">
        <v>6.9</v>
      </c>
      <c r="AAO139" s="24">
        <v>3</v>
      </c>
      <c r="AAP139" s="24">
        <v>50</v>
      </c>
      <c r="AAR139" s="24">
        <v>2</v>
      </c>
      <c r="AAV139" s="24">
        <v>50</v>
      </c>
      <c r="AAX139" s="24">
        <v>2</v>
      </c>
      <c r="ABB139" s="24">
        <v>0</v>
      </c>
      <c r="ABC139" s="24">
        <v>0</v>
      </c>
      <c r="ABN139" s="28"/>
      <c r="ACF139" s="24">
        <v>1</v>
      </c>
      <c r="ACG139" s="24">
        <v>50</v>
      </c>
      <c r="ACH139" s="24">
        <v>1</v>
      </c>
      <c r="ACI139" s="24">
        <v>1.86</v>
      </c>
      <c r="ACJ139" s="24">
        <v>3</v>
      </c>
      <c r="ADQ139" s="27">
        <v>0.75</v>
      </c>
      <c r="ADR139" s="27">
        <v>1</v>
      </c>
      <c r="ADS139" s="27">
        <v>1</v>
      </c>
      <c r="ADT139" s="27"/>
      <c r="ADU139" s="27">
        <f>12.69+1.68</f>
        <v>14.37</v>
      </c>
      <c r="ADV139" s="27"/>
      <c r="ADW139" s="27"/>
      <c r="ADX139" s="27"/>
      <c r="ADY139" s="27"/>
      <c r="ADZ139" s="27"/>
      <c r="AEA139" s="27"/>
      <c r="AEB139" s="27">
        <v>5.16</v>
      </c>
      <c r="AEC139" s="27">
        <v>2.2799999999999998</v>
      </c>
      <c r="AED139" s="27"/>
      <c r="AEE139" s="27"/>
      <c r="AEF139" s="27">
        <v>0</v>
      </c>
      <c r="AEG139" s="27">
        <v>0</v>
      </c>
      <c r="AEH139" s="27">
        <v>0</v>
      </c>
      <c r="AEI139" s="24">
        <v>0</v>
      </c>
      <c r="AEJ139" s="24" t="s">
        <v>582</v>
      </c>
      <c r="AEK139" s="24">
        <v>31.5</v>
      </c>
      <c r="AEL139" s="27">
        <v>78.3</v>
      </c>
      <c r="AEM139" s="27">
        <v>80.400000000000006</v>
      </c>
      <c r="AEN139" s="27">
        <v>15.4</v>
      </c>
      <c r="AEO139" s="24">
        <v>93.39</v>
      </c>
      <c r="AEP139" s="24">
        <v>0.76</v>
      </c>
      <c r="AEQ139" s="24">
        <v>5.85</v>
      </c>
      <c r="AER139" s="24">
        <v>0</v>
      </c>
      <c r="AES139" s="24">
        <v>0</v>
      </c>
      <c r="AET139" s="24">
        <v>0</v>
      </c>
      <c r="AEU139" s="24">
        <v>0</v>
      </c>
      <c r="AEV139" s="24">
        <v>0</v>
      </c>
      <c r="AEW139" s="24">
        <v>0</v>
      </c>
      <c r="AEX139" s="24">
        <v>0</v>
      </c>
      <c r="AEY139" s="24">
        <v>0</v>
      </c>
      <c r="AEZ139" s="24">
        <v>0</v>
      </c>
      <c r="AFA139" s="24">
        <v>0</v>
      </c>
      <c r="AFB139" s="24">
        <v>18.87</v>
      </c>
      <c r="AFC139" s="24">
        <v>44.71</v>
      </c>
      <c r="AFD139" s="24">
        <v>0</v>
      </c>
      <c r="AFE139" s="24">
        <v>0</v>
      </c>
      <c r="AFF139" s="24">
        <v>0</v>
      </c>
      <c r="AFS139" s="24">
        <v>0</v>
      </c>
      <c r="AFT139" s="24">
        <v>0</v>
      </c>
      <c r="AGE139" s="28"/>
      <c r="AGW139" s="24">
        <v>0</v>
      </c>
      <c r="AIH139" s="27">
        <v>4.4800000000000004</v>
      </c>
      <c r="AII139" s="27">
        <v>1</v>
      </c>
      <c r="AIJ139" s="27">
        <v>2</v>
      </c>
      <c r="AIK139" s="27"/>
      <c r="AIL139" s="27">
        <f>6.34+1.12</f>
        <v>7.46</v>
      </c>
      <c r="AIM139" s="27"/>
      <c r="AIN139" s="27"/>
      <c r="AIO139" s="27"/>
      <c r="AIP139" s="27"/>
      <c r="AIQ139" s="27"/>
      <c r="AIR139" s="27"/>
      <c r="AIS139" s="27">
        <v>8.48</v>
      </c>
      <c r="AIT139" s="27">
        <v>26.48</v>
      </c>
      <c r="AIU139" s="27"/>
      <c r="AIV139" s="27"/>
      <c r="AIW139" s="27">
        <v>0</v>
      </c>
      <c r="AIX139" s="27">
        <v>0</v>
      </c>
      <c r="AIY139" s="27">
        <v>0</v>
      </c>
      <c r="AIZ139" s="24">
        <v>0</v>
      </c>
      <c r="AJA139" s="24" t="s">
        <v>583</v>
      </c>
      <c r="AJB139" s="24">
        <v>38.5</v>
      </c>
      <c r="AJC139" s="27">
        <v>82.7</v>
      </c>
      <c r="AJD139" s="27">
        <v>80.400000000000006</v>
      </c>
      <c r="AJE139" s="27">
        <v>9.6999999999999993</v>
      </c>
      <c r="AJF139" s="24">
        <v>98.84</v>
      </c>
      <c r="AJG139" s="24">
        <v>0</v>
      </c>
      <c r="AJH139" s="24">
        <v>0.56999999999999995</v>
      </c>
      <c r="AJI139" s="24">
        <v>0.57999999999999996</v>
      </c>
      <c r="AJJ139" s="24">
        <v>0</v>
      </c>
      <c r="AJK139" s="24">
        <v>0</v>
      </c>
      <c r="AJL139" s="24">
        <v>0</v>
      </c>
      <c r="AJM139" s="24">
        <v>0</v>
      </c>
      <c r="AJN139" s="24">
        <v>0</v>
      </c>
      <c r="AJO139" s="24">
        <v>0</v>
      </c>
      <c r="AJP139" s="24">
        <v>0</v>
      </c>
      <c r="AJQ139" s="24">
        <v>0</v>
      </c>
      <c r="AJR139" s="24">
        <v>1.21</v>
      </c>
      <c r="AJS139" s="24">
        <v>39.049999999999997</v>
      </c>
      <c r="AJT139" s="24">
        <v>9.85</v>
      </c>
      <c r="AJU139" s="24">
        <v>0</v>
      </c>
      <c r="AJV139" s="24">
        <v>15.8</v>
      </c>
      <c r="AJW139" s="24">
        <v>1</v>
      </c>
      <c r="AJX139" s="24">
        <v>3</v>
      </c>
      <c r="AJZ139" s="24">
        <v>1</v>
      </c>
      <c r="AKD139" s="24">
        <v>3</v>
      </c>
      <c r="AKF139" s="24">
        <v>1</v>
      </c>
      <c r="AKJ139" s="24">
        <v>0.9</v>
      </c>
      <c r="AKK139" s="24">
        <v>1</v>
      </c>
      <c r="AKL139" s="24">
        <v>23</v>
      </c>
      <c r="AKM139" s="24">
        <v>1</v>
      </c>
      <c r="AKN139" s="24">
        <v>0.05</v>
      </c>
      <c r="AKO139" s="24">
        <v>3</v>
      </c>
      <c r="AKP139" s="24">
        <v>35</v>
      </c>
      <c r="AKQ139" s="24">
        <v>2</v>
      </c>
      <c r="AKR139" s="24">
        <v>0.18</v>
      </c>
      <c r="AKS139" s="24">
        <v>3</v>
      </c>
      <c r="AKV139" s="28"/>
      <c r="ALN139" s="24">
        <v>0</v>
      </c>
    </row>
    <row r="140" spans="1:1024" x14ac:dyDescent="0.2">
      <c r="A140" s="22" t="s">
        <v>584</v>
      </c>
      <c r="B140" s="23">
        <v>42899</v>
      </c>
      <c r="C140" s="24">
        <v>2</v>
      </c>
      <c r="D140" s="25">
        <v>38961</v>
      </c>
      <c r="E140" s="23">
        <v>27080</v>
      </c>
      <c r="F140" s="14">
        <f t="shared" si="48"/>
        <v>43.310061601642708</v>
      </c>
      <c r="G140" s="14">
        <f t="shared" si="49"/>
        <v>10.781656399726215</v>
      </c>
      <c r="H140" s="21" t="s">
        <v>228</v>
      </c>
      <c r="I140" s="21" t="s">
        <v>240</v>
      </c>
      <c r="J140" s="21" t="s">
        <v>183</v>
      </c>
      <c r="K140" s="21">
        <v>8</v>
      </c>
      <c r="L140" s="26">
        <v>73</v>
      </c>
      <c r="M140" s="24">
        <v>1.74</v>
      </c>
      <c r="N140" s="27">
        <f t="shared" si="50"/>
        <v>24.111507464658473</v>
      </c>
      <c r="O140" s="26">
        <v>0</v>
      </c>
      <c r="P140" s="26">
        <v>0</v>
      </c>
      <c r="Q140" s="26">
        <v>0</v>
      </c>
      <c r="R140" s="26">
        <v>0</v>
      </c>
      <c r="S140" s="26">
        <v>0</v>
      </c>
      <c r="T140" s="26">
        <v>0</v>
      </c>
      <c r="U140" s="19">
        <v>0</v>
      </c>
      <c r="V140" s="19">
        <v>0</v>
      </c>
      <c r="W140" s="26">
        <v>0</v>
      </c>
      <c r="X140" s="26">
        <v>0</v>
      </c>
      <c r="Y140" s="26">
        <v>1</v>
      </c>
      <c r="Z140" s="26">
        <v>1</v>
      </c>
      <c r="AA140" s="26">
        <v>300</v>
      </c>
      <c r="AB140" s="26" t="s">
        <v>585</v>
      </c>
      <c r="AC140" s="26">
        <v>1</v>
      </c>
      <c r="AD140" s="26">
        <v>6</v>
      </c>
      <c r="AE140" s="26"/>
      <c r="AF140" s="26"/>
      <c r="AG140" s="26"/>
      <c r="AH140" s="26"/>
      <c r="AI140" s="26">
        <v>1</v>
      </c>
      <c r="AJ140" s="26">
        <v>1</v>
      </c>
      <c r="AK140" s="26">
        <v>0</v>
      </c>
      <c r="AL140" s="26">
        <v>0</v>
      </c>
      <c r="AM140" s="26">
        <v>0</v>
      </c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>
        <v>3</v>
      </c>
      <c r="BS140" s="26">
        <v>3</v>
      </c>
      <c r="BT140" s="26">
        <v>4</v>
      </c>
      <c r="BU140" s="26">
        <v>5</v>
      </c>
      <c r="BV140" s="26">
        <v>3</v>
      </c>
      <c r="BW140" s="26">
        <v>5</v>
      </c>
      <c r="BX140" s="26">
        <v>3</v>
      </c>
      <c r="BY140" s="26">
        <v>3</v>
      </c>
      <c r="BZ140" s="26">
        <v>5</v>
      </c>
      <c r="CA140" s="26">
        <v>3</v>
      </c>
      <c r="CB140" s="26">
        <v>3</v>
      </c>
      <c r="CC140" s="26">
        <v>5</v>
      </c>
      <c r="CD140" s="26">
        <v>3</v>
      </c>
      <c r="CE140" s="26">
        <v>3</v>
      </c>
      <c r="CF140" s="26">
        <v>3</v>
      </c>
      <c r="CG140" s="26">
        <v>5</v>
      </c>
      <c r="CH140" s="26">
        <v>5</v>
      </c>
      <c r="CI140" s="26">
        <v>5</v>
      </c>
      <c r="CJ140" s="26">
        <v>4</v>
      </c>
      <c r="CK140" s="26">
        <v>10</v>
      </c>
      <c r="CL140" s="24" t="s">
        <v>242</v>
      </c>
      <c r="CM140" s="24">
        <v>36.5</v>
      </c>
      <c r="CN140" s="27">
        <v>88.3</v>
      </c>
      <c r="CO140" s="27">
        <v>80.400000000000006</v>
      </c>
      <c r="CP140" s="27">
        <v>28.2</v>
      </c>
      <c r="CQ140" s="24">
        <v>73.819999999999993</v>
      </c>
      <c r="CR140" s="24">
        <v>0</v>
      </c>
      <c r="CS140" s="24">
        <v>25.61</v>
      </c>
      <c r="CT140" s="24">
        <v>0</v>
      </c>
      <c r="CU140" s="24">
        <v>0.56999999999999995</v>
      </c>
      <c r="CV140" s="24">
        <v>0</v>
      </c>
      <c r="CW140" s="24">
        <v>0</v>
      </c>
      <c r="CX140" s="24">
        <v>0</v>
      </c>
      <c r="CY140" s="24">
        <v>0</v>
      </c>
      <c r="CZ140" s="24">
        <v>0</v>
      </c>
      <c r="DA140" s="24">
        <v>0</v>
      </c>
      <c r="DB140" s="24">
        <v>1.17</v>
      </c>
      <c r="DC140" s="24">
        <v>31.76</v>
      </c>
      <c r="DD140" s="24">
        <v>23.3</v>
      </c>
      <c r="DE140" s="24">
        <v>26.08</v>
      </c>
      <c r="DF140" s="24">
        <v>0</v>
      </c>
      <c r="DG140" s="24">
        <v>0</v>
      </c>
      <c r="DH140" s="24">
        <v>0</v>
      </c>
      <c r="DI140" s="24"/>
      <c r="DJ140" s="24"/>
      <c r="DK140" s="24"/>
      <c r="DL140" s="24"/>
      <c r="DM140" s="24"/>
      <c r="DN140" s="24"/>
      <c r="DO140" s="24"/>
      <c r="DP140" s="24"/>
      <c r="DQ140" s="24"/>
      <c r="DR140" s="24"/>
      <c r="DS140" s="24"/>
      <c r="DT140" s="24"/>
      <c r="DU140" s="24">
        <v>2.1</v>
      </c>
      <c r="DV140" s="24">
        <v>1</v>
      </c>
      <c r="DW140" s="24">
        <v>47</v>
      </c>
      <c r="DX140" s="24">
        <v>2</v>
      </c>
      <c r="DY140" s="24">
        <v>0.27</v>
      </c>
      <c r="DZ140" s="24">
        <v>3</v>
      </c>
      <c r="EA140" s="24"/>
      <c r="EB140" s="24"/>
      <c r="EC140" s="24"/>
      <c r="ED140" s="24"/>
      <c r="EE140" s="24"/>
      <c r="EF140" s="24"/>
      <c r="EG140" s="28"/>
      <c r="EH140" s="24"/>
      <c r="EI140" s="24"/>
      <c r="EJ140" s="24"/>
      <c r="EK140" s="24"/>
      <c r="EL140" s="24"/>
      <c r="EM140" s="24"/>
      <c r="EN140" s="24"/>
      <c r="EO140" s="24"/>
      <c r="EP140" s="24"/>
      <c r="EQ140" s="24"/>
      <c r="ER140" s="24"/>
      <c r="ES140" s="24"/>
      <c r="ET140" s="24"/>
      <c r="EU140" s="24"/>
      <c r="EV140" s="24"/>
      <c r="EW140" s="24"/>
      <c r="EX140" s="24"/>
      <c r="EY140" s="24">
        <v>0</v>
      </c>
      <c r="EZ140" s="24"/>
      <c r="FA140" s="24"/>
      <c r="FB140" s="24"/>
      <c r="FC140" s="24"/>
      <c r="FD140" s="24"/>
      <c r="FE140" s="24"/>
      <c r="FF140" s="24"/>
      <c r="FG140" s="24"/>
      <c r="FH140" s="24"/>
      <c r="FI140" s="24"/>
      <c r="FJ140" s="24"/>
      <c r="FK140" s="24"/>
      <c r="FL140" s="24"/>
      <c r="FM140" s="24"/>
      <c r="FN140" s="24"/>
      <c r="FO140" s="24"/>
      <c r="FP140" s="24"/>
      <c r="FQ140" s="24"/>
      <c r="FR140" s="24"/>
      <c r="FS140" s="24"/>
      <c r="FT140" s="24"/>
      <c r="FU140" s="24"/>
      <c r="FV140" s="24"/>
      <c r="FW140" s="24"/>
      <c r="FX140" s="24"/>
      <c r="FY140" s="24"/>
      <c r="FZ140" s="24"/>
      <c r="GA140" s="24"/>
      <c r="GB140" s="24"/>
      <c r="GC140" s="24"/>
      <c r="GD140" s="24"/>
      <c r="GE140" s="24"/>
      <c r="GF140" s="24"/>
      <c r="GG140" s="24"/>
      <c r="GH140" s="24"/>
      <c r="GI140" s="24"/>
      <c r="GJ140" s="27">
        <v>1.9</v>
      </c>
      <c r="GK140" s="27">
        <v>1</v>
      </c>
      <c r="GL140" s="27">
        <v>1</v>
      </c>
      <c r="GM140" s="27"/>
      <c r="GN140" s="27">
        <f>5.29*3</f>
        <v>15.870000000000001</v>
      </c>
      <c r="GO140" s="27"/>
      <c r="GP140" s="27"/>
      <c r="GQ140" s="27"/>
      <c r="GR140" s="27"/>
      <c r="GS140" s="27"/>
      <c r="GT140" s="27"/>
      <c r="GU140" s="27">
        <v>0.56999999999999995</v>
      </c>
      <c r="GV140" s="27">
        <v>0.56000000000000005</v>
      </c>
      <c r="GW140" s="27"/>
      <c r="GX140" s="27"/>
      <c r="GY140" s="27">
        <v>0</v>
      </c>
      <c r="GZ140" s="27">
        <v>0</v>
      </c>
      <c r="HA140" s="27">
        <v>0</v>
      </c>
      <c r="HB140" s="24">
        <v>0</v>
      </c>
      <c r="HC140" s="24" t="s">
        <v>243</v>
      </c>
      <c r="HD140" s="24">
        <v>38</v>
      </c>
      <c r="HE140" s="27">
        <v>87.8</v>
      </c>
      <c r="HF140" s="27">
        <v>80.400000000000006</v>
      </c>
      <c r="HG140" s="27">
        <v>29.1</v>
      </c>
      <c r="HH140" s="24">
        <v>71.17</v>
      </c>
      <c r="HI140" s="24">
        <v>0</v>
      </c>
      <c r="HJ140" s="24">
        <v>25.61</v>
      </c>
      <c r="HK140" s="24">
        <v>0</v>
      </c>
      <c r="HL140" s="24">
        <v>3.22</v>
      </c>
      <c r="HM140" s="24">
        <v>0</v>
      </c>
      <c r="HN140" s="24">
        <v>0</v>
      </c>
      <c r="HO140" s="24">
        <v>0</v>
      </c>
      <c r="HP140" s="24">
        <v>0</v>
      </c>
      <c r="HQ140" s="24">
        <v>0</v>
      </c>
      <c r="HR140" s="24">
        <v>0</v>
      </c>
      <c r="HS140" s="24">
        <v>1.08</v>
      </c>
      <c r="HT140" s="24">
        <v>31.76</v>
      </c>
      <c r="HU140" s="24">
        <v>22.19</v>
      </c>
      <c r="HV140" s="24">
        <v>26.38</v>
      </c>
      <c r="HW140" s="24">
        <v>0</v>
      </c>
      <c r="HX140" s="24">
        <v>0</v>
      </c>
      <c r="HY140" s="24">
        <v>0</v>
      </c>
      <c r="HZ140" s="24"/>
      <c r="IA140" s="24"/>
      <c r="IB140" s="24"/>
      <c r="IC140" s="24"/>
      <c r="ID140" s="24"/>
      <c r="IE140" s="24"/>
      <c r="IF140" s="24"/>
      <c r="IG140" s="24"/>
      <c r="IH140" s="24"/>
      <c r="II140" s="24"/>
      <c r="IJ140" s="24"/>
      <c r="IK140" s="24"/>
      <c r="IL140" s="24">
        <v>2.1</v>
      </c>
      <c r="IM140" s="24">
        <v>1</v>
      </c>
      <c r="IN140" s="24">
        <v>47</v>
      </c>
      <c r="IO140" s="24">
        <v>2</v>
      </c>
      <c r="IP140" s="24">
        <v>0.27</v>
      </c>
      <c r="IQ140" s="24">
        <v>3</v>
      </c>
      <c r="IR140" s="24"/>
      <c r="IS140" s="24"/>
      <c r="IT140" s="24"/>
      <c r="IU140" s="24"/>
      <c r="IV140" s="24"/>
      <c r="IW140" s="24"/>
      <c r="IX140" s="28"/>
      <c r="IY140" s="24"/>
      <c r="IZ140" s="24"/>
      <c r="JA140" s="24"/>
      <c r="JB140" s="24"/>
      <c r="JC140" s="24"/>
      <c r="JD140" s="24"/>
      <c r="JE140" s="24"/>
      <c r="JF140" s="24"/>
      <c r="JG140" s="24"/>
      <c r="JH140" s="24"/>
      <c r="JI140" s="24"/>
      <c r="JJ140" s="24"/>
      <c r="JK140" s="24"/>
      <c r="JL140" s="24"/>
      <c r="JM140" s="24"/>
      <c r="JN140" s="24"/>
      <c r="JO140" s="24"/>
      <c r="JP140" s="24">
        <v>0</v>
      </c>
      <c r="JQ140" s="24"/>
      <c r="JR140" s="24"/>
      <c r="JS140" s="24"/>
      <c r="JT140" s="24"/>
      <c r="JU140" s="24"/>
      <c r="JV140" s="24"/>
      <c r="JW140" s="24"/>
      <c r="JX140" s="24"/>
      <c r="JY140" s="24"/>
      <c r="JZ140" s="24"/>
      <c r="KA140" s="24"/>
      <c r="KB140" s="24"/>
      <c r="KC140" s="24"/>
      <c r="KD140" s="24"/>
      <c r="KE140" s="24"/>
      <c r="KF140" s="24"/>
      <c r="KG140" s="24"/>
      <c r="KH140" s="24"/>
      <c r="KI140" s="24"/>
      <c r="KJ140" s="24"/>
      <c r="KK140" s="24"/>
      <c r="KL140" s="24"/>
      <c r="KM140" s="24"/>
      <c r="KN140" s="24"/>
      <c r="KO140" s="24"/>
      <c r="KP140" s="24"/>
      <c r="KQ140" s="24"/>
      <c r="KR140" s="24"/>
      <c r="KS140" s="24"/>
      <c r="KT140" s="24"/>
      <c r="KU140" s="24"/>
      <c r="KV140" s="24"/>
      <c r="KW140" s="24"/>
      <c r="KX140" s="24"/>
      <c r="KY140" s="24"/>
      <c r="KZ140" s="24"/>
      <c r="LA140" s="27">
        <v>1.9</v>
      </c>
      <c r="LB140" s="27">
        <v>1</v>
      </c>
      <c r="LC140" s="27">
        <v>1</v>
      </c>
      <c r="LD140" s="27"/>
      <c r="LE140" s="27">
        <f>5.29*3</f>
        <v>15.870000000000001</v>
      </c>
      <c r="LF140" s="27"/>
      <c r="LG140" s="27"/>
      <c r="LH140" s="27"/>
      <c r="LI140" s="27"/>
      <c r="LJ140" s="27"/>
      <c r="LK140" s="27"/>
      <c r="LL140" s="27">
        <v>1.1200000000000001</v>
      </c>
      <c r="LM140" s="27">
        <v>0.27</v>
      </c>
      <c r="LN140" s="27"/>
      <c r="LO140" s="27"/>
      <c r="LP140" s="27">
        <v>0</v>
      </c>
      <c r="LQ140" s="27">
        <v>0</v>
      </c>
      <c r="LR140" s="27">
        <v>0</v>
      </c>
      <c r="LS140" s="24">
        <v>0</v>
      </c>
      <c r="LT140" s="24" t="s">
        <v>244</v>
      </c>
      <c r="LU140" s="24">
        <v>24.5</v>
      </c>
      <c r="LV140" s="27">
        <v>84.2</v>
      </c>
      <c r="LW140" s="27">
        <v>80.400000000000006</v>
      </c>
      <c r="LX140" s="27">
        <v>11.9</v>
      </c>
      <c r="LY140" s="24">
        <v>97.51</v>
      </c>
      <c r="LZ140" s="24">
        <v>0</v>
      </c>
      <c r="MA140" s="24">
        <v>2.4900000000000002</v>
      </c>
      <c r="MB140" s="24">
        <v>0</v>
      </c>
      <c r="MC140" s="24">
        <v>0</v>
      </c>
      <c r="MD140" s="24">
        <v>0</v>
      </c>
      <c r="ME140" s="24">
        <v>0</v>
      </c>
      <c r="MF140" s="24">
        <v>0</v>
      </c>
      <c r="MG140" s="24">
        <v>0</v>
      </c>
      <c r="MH140" s="24">
        <v>0</v>
      </c>
      <c r="MI140" s="24">
        <v>0</v>
      </c>
      <c r="MJ140" s="24">
        <v>0</v>
      </c>
      <c r="MK140" s="24">
        <v>3.13</v>
      </c>
      <c r="ML140" s="24">
        <v>26.34</v>
      </c>
      <c r="MM140" s="24">
        <v>45.74</v>
      </c>
      <c r="MN140" s="24">
        <v>0</v>
      </c>
      <c r="MO140" s="24">
        <v>0</v>
      </c>
      <c r="MP140" s="24">
        <v>0</v>
      </c>
      <c r="MQ140" s="24"/>
      <c r="MR140" s="24"/>
      <c r="MS140" s="24"/>
      <c r="MT140" s="24"/>
      <c r="MU140" s="24"/>
      <c r="MV140" s="24"/>
      <c r="MW140" s="24"/>
      <c r="MX140" s="24"/>
      <c r="MY140" s="24"/>
      <c r="MZ140" s="24"/>
      <c r="NA140" s="24"/>
      <c r="NB140" s="24"/>
      <c r="NC140" s="24">
        <v>0</v>
      </c>
      <c r="ND140" s="24">
        <v>0</v>
      </c>
      <c r="NE140" s="24"/>
      <c r="NF140" s="24"/>
      <c r="NG140" s="24"/>
      <c r="NH140" s="24"/>
      <c r="NI140" s="24"/>
      <c r="NJ140" s="24"/>
      <c r="NK140" s="24"/>
      <c r="NL140" s="24"/>
      <c r="NM140" s="24"/>
      <c r="NN140" s="24"/>
      <c r="NO140" s="28"/>
      <c r="NP140" s="24"/>
      <c r="NQ140" s="24"/>
      <c r="NR140" s="24"/>
      <c r="NS140" s="24"/>
      <c r="NT140" s="24"/>
      <c r="NU140" s="24"/>
      <c r="NV140" s="24"/>
      <c r="NW140" s="24"/>
      <c r="NX140" s="24"/>
      <c r="NY140" s="24"/>
      <c r="NZ140" s="24"/>
      <c r="OA140" s="24"/>
      <c r="OB140" s="24"/>
      <c r="OC140" s="24"/>
      <c r="OD140" s="24"/>
      <c r="OE140" s="24"/>
      <c r="OF140" s="24"/>
      <c r="OG140" s="24">
        <v>0</v>
      </c>
      <c r="OH140" s="24"/>
      <c r="OI140" s="24"/>
      <c r="OJ140" s="24"/>
      <c r="OK140" s="24"/>
      <c r="OL140" s="24"/>
      <c r="OM140" s="24"/>
      <c r="ON140" s="24"/>
      <c r="OO140" s="24"/>
      <c r="OP140" s="24"/>
      <c r="OQ140" s="24"/>
      <c r="OR140" s="24"/>
      <c r="OS140" s="24"/>
      <c r="OT140" s="24"/>
      <c r="OU140" s="24"/>
      <c r="OV140" s="24"/>
      <c r="OW140" s="24"/>
      <c r="OX140" s="24"/>
      <c r="OY140" s="24"/>
      <c r="OZ140" s="24"/>
      <c r="PA140" s="24"/>
      <c r="PB140" s="24"/>
      <c r="PC140" s="24"/>
      <c r="PD140" s="24"/>
      <c r="PE140" s="24"/>
      <c r="PF140" s="24"/>
      <c r="PG140" s="24"/>
      <c r="PH140" s="24"/>
      <c r="PI140" s="24"/>
      <c r="PJ140" s="24"/>
      <c r="PK140" s="24"/>
      <c r="PL140" s="24"/>
      <c r="PM140" s="24"/>
      <c r="PN140" s="24"/>
      <c r="PO140" s="24"/>
      <c r="PP140" s="24"/>
      <c r="PQ140" s="24"/>
      <c r="PR140" s="27">
        <v>6.4</v>
      </c>
      <c r="PS140" s="27">
        <v>1</v>
      </c>
      <c r="PT140" s="27">
        <v>2</v>
      </c>
      <c r="PU140" s="27"/>
      <c r="PV140" s="27">
        <f>1.24*2</f>
        <v>2.48</v>
      </c>
      <c r="PW140" s="27">
        <v>1</v>
      </c>
      <c r="PX140" s="27"/>
      <c r="PY140" s="27">
        <f>1.24*3+0.62+0.93+3.18+1.59+3.73+7.46</f>
        <v>21.23</v>
      </c>
      <c r="PZ140" s="27"/>
      <c r="QA140" s="27"/>
      <c r="QB140" s="27"/>
      <c r="QC140" s="27">
        <v>1.61</v>
      </c>
      <c r="QD140" s="27">
        <v>1.46</v>
      </c>
      <c r="QE140" s="27"/>
      <c r="QF140" s="27"/>
      <c r="QG140" s="27">
        <v>0</v>
      </c>
      <c r="QH140" s="27">
        <v>0</v>
      </c>
      <c r="QI140" s="27">
        <v>0</v>
      </c>
      <c r="QJ140" s="24">
        <v>0</v>
      </c>
      <c r="QK140" s="24" t="s">
        <v>246</v>
      </c>
      <c r="QL140" s="24">
        <v>27</v>
      </c>
      <c r="QM140" s="27">
        <v>72</v>
      </c>
      <c r="QN140" s="27">
        <v>80.400000000000006</v>
      </c>
      <c r="QO140" s="27">
        <v>19.2</v>
      </c>
      <c r="QP140" s="24">
        <v>86.83</v>
      </c>
      <c r="QQ140" s="24">
        <v>0</v>
      </c>
      <c r="QR140" s="24">
        <v>0</v>
      </c>
      <c r="QS140" s="24">
        <v>0</v>
      </c>
      <c r="QT140" s="24">
        <v>13.17</v>
      </c>
      <c r="QU140" s="24">
        <v>0</v>
      </c>
      <c r="QV140" s="24">
        <v>0</v>
      </c>
      <c r="QW140" s="24">
        <v>0</v>
      </c>
      <c r="QX140" s="24">
        <v>0</v>
      </c>
      <c r="QY140" s="24">
        <v>0</v>
      </c>
      <c r="QZ140" s="24">
        <v>0</v>
      </c>
      <c r="RA140" s="24">
        <v>18.28</v>
      </c>
      <c r="RB140" s="24">
        <v>16.809999999999999</v>
      </c>
      <c r="RC140" s="24">
        <v>9.64</v>
      </c>
      <c r="RD140" s="24">
        <v>19.739999999999998</v>
      </c>
      <c r="RE140" s="24">
        <v>0</v>
      </c>
      <c r="RF140" s="24">
        <v>0</v>
      </c>
      <c r="RG140" s="24">
        <v>0</v>
      </c>
      <c r="RH140" s="24"/>
      <c r="RI140" s="24"/>
      <c r="RJ140" s="24"/>
      <c r="RK140" s="24"/>
      <c r="RL140" s="24"/>
      <c r="RM140" s="24"/>
      <c r="RN140" s="24"/>
      <c r="RO140" s="24"/>
      <c r="RP140" s="24"/>
      <c r="RQ140" s="24"/>
      <c r="RR140" s="24"/>
      <c r="RS140" s="24"/>
      <c r="RT140" s="24">
        <v>0</v>
      </c>
      <c r="RU140" s="24">
        <v>0</v>
      </c>
      <c r="SF140" s="28"/>
      <c r="SX140" s="24">
        <v>0</v>
      </c>
      <c r="UI140" s="27">
        <v>1.43</v>
      </c>
      <c r="UJ140" s="27">
        <v>1</v>
      </c>
      <c r="UK140" s="27">
        <v>1</v>
      </c>
      <c r="UL140" s="27"/>
      <c r="UM140" s="27">
        <f>6.34+2.11+0.08+0.37</f>
        <v>8.8999999999999986</v>
      </c>
      <c r="UN140" s="27"/>
      <c r="UO140" s="27"/>
      <c r="UP140" s="27"/>
      <c r="UQ140" s="27"/>
      <c r="UR140" s="27"/>
      <c r="US140" s="27"/>
      <c r="UT140" s="27">
        <v>3.5</v>
      </c>
      <c r="UU140" s="27">
        <v>3.5</v>
      </c>
      <c r="UV140" s="27"/>
      <c r="UW140" s="27"/>
      <c r="UX140" s="27">
        <v>0</v>
      </c>
      <c r="UY140" s="27">
        <v>0</v>
      </c>
      <c r="UZ140" s="27">
        <v>0</v>
      </c>
      <c r="VA140" s="24">
        <v>0</v>
      </c>
      <c r="VB140" s="24" t="s">
        <v>247</v>
      </c>
      <c r="VC140" s="24">
        <v>37</v>
      </c>
      <c r="VD140" s="27">
        <v>79.2</v>
      </c>
      <c r="VE140" s="27">
        <v>80.400000000000006</v>
      </c>
      <c r="VF140" s="27">
        <v>12.1</v>
      </c>
      <c r="VG140" s="24">
        <v>96.75</v>
      </c>
      <c r="VH140" s="24">
        <v>0</v>
      </c>
      <c r="VI140" s="24">
        <v>0</v>
      </c>
      <c r="VJ140" s="24">
        <v>0</v>
      </c>
      <c r="VK140" s="24">
        <v>3.25</v>
      </c>
      <c r="VL140" s="24">
        <v>0</v>
      </c>
      <c r="VM140" s="24">
        <v>0</v>
      </c>
      <c r="VN140" s="24">
        <v>0</v>
      </c>
      <c r="VO140" s="24">
        <v>0</v>
      </c>
      <c r="VP140" s="24">
        <v>0</v>
      </c>
      <c r="VQ140" s="24">
        <v>0</v>
      </c>
      <c r="VR140" s="24">
        <v>9.06</v>
      </c>
      <c r="VS140" s="24">
        <v>18.149999999999999</v>
      </c>
      <c r="VT140" s="24">
        <v>25.66</v>
      </c>
      <c r="VU140" s="24">
        <v>15.61</v>
      </c>
      <c r="VV140" s="24">
        <v>0</v>
      </c>
      <c r="VW140" s="24">
        <v>0</v>
      </c>
      <c r="VX140" s="24">
        <v>0</v>
      </c>
      <c r="WK140" s="24">
        <v>17.8</v>
      </c>
      <c r="WL140" s="24">
        <v>1</v>
      </c>
      <c r="WM140" s="24">
        <v>47</v>
      </c>
      <c r="WN140" s="24">
        <v>3</v>
      </c>
      <c r="WO140" s="24">
        <v>2.2799999999999998</v>
      </c>
      <c r="WP140" s="24">
        <v>3</v>
      </c>
      <c r="WQ140" s="24">
        <v>26</v>
      </c>
      <c r="WR140" s="24">
        <v>1</v>
      </c>
      <c r="WS140" s="24">
        <v>0.76</v>
      </c>
      <c r="WT140" s="24">
        <v>2</v>
      </c>
      <c r="WW140" s="28"/>
      <c r="XO140" s="24">
        <v>0</v>
      </c>
      <c r="YZ140" s="27">
        <v>1.27</v>
      </c>
      <c r="ZA140" s="27">
        <v>1</v>
      </c>
      <c r="ZB140" s="27">
        <v>1</v>
      </c>
      <c r="ZC140" s="27"/>
      <c r="ZD140" s="27">
        <f>6.34+1.06</f>
        <v>7.4</v>
      </c>
      <c r="ZE140" s="27"/>
      <c r="ZF140" s="27"/>
      <c r="ZG140" s="27"/>
      <c r="ZH140" s="27"/>
      <c r="ZI140" s="27"/>
      <c r="ZJ140" s="27"/>
      <c r="ZK140" s="27">
        <v>2.86</v>
      </c>
      <c r="ZL140" s="27">
        <v>2.86</v>
      </c>
      <c r="ZM140" s="27"/>
      <c r="ZN140" s="27"/>
      <c r="ZO140" s="27">
        <v>0</v>
      </c>
      <c r="ZP140" s="27">
        <v>0</v>
      </c>
      <c r="ZQ140" s="27">
        <v>0</v>
      </c>
      <c r="ZR140" s="24">
        <v>0</v>
      </c>
      <c r="ZS140" s="24" t="s">
        <v>248</v>
      </c>
      <c r="ZT140" s="24">
        <v>33</v>
      </c>
      <c r="ZU140" s="27">
        <v>122.1</v>
      </c>
      <c r="ZV140" s="27">
        <v>80.400000000000006</v>
      </c>
      <c r="ZW140" s="27">
        <v>14.1</v>
      </c>
      <c r="ZX140" s="24">
        <v>91.87</v>
      </c>
      <c r="ZY140" s="24">
        <v>0</v>
      </c>
      <c r="ZZ140" s="24">
        <v>5.85</v>
      </c>
      <c r="AAA140" s="24">
        <v>0</v>
      </c>
      <c r="AAB140" s="24">
        <v>2.2799999999999998</v>
      </c>
      <c r="AAC140" s="24">
        <v>0</v>
      </c>
      <c r="AAD140" s="24">
        <v>0</v>
      </c>
      <c r="AAE140" s="24">
        <v>0</v>
      </c>
      <c r="AAF140" s="24">
        <v>0</v>
      </c>
      <c r="AAG140" s="24">
        <v>0</v>
      </c>
      <c r="AAH140" s="24">
        <v>0</v>
      </c>
      <c r="AAI140" s="24">
        <v>0</v>
      </c>
      <c r="AAJ140" s="24">
        <v>23.39</v>
      </c>
      <c r="AAK140" s="24">
        <v>10.3</v>
      </c>
      <c r="AAL140" s="24">
        <v>49.9</v>
      </c>
      <c r="AAM140" s="24">
        <v>0</v>
      </c>
      <c r="AAN140" s="24">
        <v>0</v>
      </c>
      <c r="AAO140" s="24">
        <v>0</v>
      </c>
      <c r="ABB140" s="24">
        <v>0</v>
      </c>
      <c r="ABC140" s="24">
        <v>1</v>
      </c>
      <c r="ABD140" s="24">
        <v>34</v>
      </c>
      <c r="ABE140" s="24">
        <v>1</v>
      </c>
      <c r="ABF140" s="24">
        <v>1.1399999999999999</v>
      </c>
      <c r="ABG140" s="24">
        <v>1</v>
      </c>
      <c r="ABN140" s="28"/>
      <c r="ACF140" s="24">
        <v>0</v>
      </c>
      <c r="ADQ140" s="27">
        <v>4.78</v>
      </c>
      <c r="ADR140" s="27">
        <v>1</v>
      </c>
      <c r="ADS140" s="27">
        <v>1</v>
      </c>
      <c r="ADT140" s="27"/>
      <c r="ADU140" s="27">
        <v>4.2300000000000004</v>
      </c>
      <c r="ADV140" s="27">
        <v>2</v>
      </c>
      <c r="ADW140" s="27"/>
      <c r="ADX140" s="27">
        <f>1.14+9.52+1.68</f>
        <v>12.34</v>
      </c>
      <c r="ADY140" s="27"/>
      <c r="ADZ140" s="27"/>
      <c r="AEA140" s="27"/>
      <c r="AEB140" s="27">
        <v>10.43</v>
      </c>
      <c r="AEC140" s="27">
        <v>22.43</v>
      </c>
      <c r="AED140" s="27"/>
      <c r="AEE140" s="27"/>
      <c r="AEF140" s="27">
        <v>0</v>
      </c>
      <c r="AEG140" s="27">
        <v>0</v>
      </c>
      <c r="AEH140" s="27">
        <v>0</v>
      </c>
      <c r="AEI140" s="24">
        <v>0</v>
      </c>
      <c r="AEJ140" s="24" t="s">
        <v>249</v>
      </c>
      <c r="AEK140" s="24">
        <v>25</v>
      </c>
      <c r="AEL140" s="27">
        <v>87.3</v>
      </c>
      <c r="AEM140" s="27">
        <v>80.400000000000006</v>
      </c>
      <c r="AEN140" s="27">
        <v>8.8000000000000007</v>
      </c>
      <c r="AEO140" s="24">
        <v>100</v>
      </c>
      <c r="AEP140" s="24">
        <v>0</v>
      </c>
      <c r="AEQ140" s="24">
        <v>0</v>
      </c>
      <c r="AER140" s="24">
        <v>0</v>
      </c>
      <c r="AES140" s="24">
        <v>0</v>
      </c>
      <c r="AET140" s="24">
        <v>0</v>
      </c>
      <c r="AEU140" s="24">
        <v>0</v>
      </c>
      <c r="AEV140" s="24">
        <v>0</v>
      </c>
      <c r="AEW140" s="24">
        <v>0</v>
      </c>
      <c r="AEX140" s="24">
        <v>0</v>
      </c>
      <c r="AEY140" s="24">
        <v>0</v>
      </c>
      <c r="AEZ140" s="24">
        <v>0</v>
      </c>
      <c r="AFA140" s="24">
        <v>11.94</v>
      </c>
      <c r="AFB140" s="24">
        <v>34.17</v>
      </c>
      <c r="AFC140" s="24">
        <v>24.72</v>
      </c>
      <c r="AFD140" s="24">
        <v>0</v>
      </c>
      <c r="AFE140" s="24">
        <v>6.9</v>
      </c>
      <c r="AFF140" s="24">
        <v>3</v>
      </c>
      <c r="AFG140" s="24">
        <v>50</v>
      </c>
      <c r="AFI140" s="24">
        <v>2</v>
      </c>
      <c r="AFM140" s="24">
        <v>50</v>
      </c>
      <c r="AFO140" s="24">
        <v>2</v>
      </c>
      <c r="AFS140" s="24">
        <v>0</v>
      </c>
      <c r="AFT140" s="24">
        <v>0</v>
      </c>
      <c r="AGE140" s="28"/>
      <c r="AGW140" s="24">
        <v>1</v>
      </c>
      <c r="AGX140" s="24">
        <v>50</v>
      </c>
      <c r="AGY140" s="24">
        <v>1</v>
      </c>
      <c r="AGZ140" s="24">
        <v>1.86</v>
      </c>
      <c r="AHA140" s="24">
        <v>3</v>
      </c>
      <c r="AIH140" s="27">
        <v>0.75</v>
      </c>
      <c r="AII140" s="27">
        <v>1</v>
      </c>
      <c r="AIJ140" s="27">
        <v>1</v>
      </c>
      <c r="AIK140" s="27"/>
      <c r="AIL140" s="27">
        <f>12.69+1.68</f>
        <v>14.37</v>
      </c>
      <c r="AIM140" s="27"/>
      <c r="AIN140" s="27"/>
      <c r="AIO140" s="27"/>
      <c r="AIP140" s="27"/>
      <c r="AIQ140" s="27"/>
      <c r="AIR140" s="27"/>
      <c r="AIS140" s="27">
        <v>5.16</v>
      </c>
      <c r="AIT140" s="27">
        <v>2.2799999999999998</v>
      </c>
      <c r="AIU140" s="27"/>
      <c r="AIV140" s="27"/>
      <c r="AIW140" s="27">
        <v>0</v>
      </c>
      <c r="AIX140" s="27">
        <v>0</v>
      </c>
      <c r="AIY140" s="27">
        <v>0</v>
      </c>
      <c r="AIZ140" s="24">
        <v>0</v>
      </c>
      <c r="AJA140" s="24" t="s">
        <v>582</v>
      </c>
      <c r="AJB140" s="24">
        <v>31.5</v>
      </c>
      <c r="AJC140" s="27">
        <v>78.3</v>
      </c>
      <c r="AJD140" s="27">
        <v>80.400000000000006</v>
      </c>
      <c r="AJE140" s="27">
        <v>15.4</v>
      </c>
      <c r="AJF140" s="24">
        <v>93.39</v>
      </c>
      <c r="AJG140" s="24">
        <v>0.76</v>
      </c>
      <c r="AJH140" s="24">
        <v>5.85</v>
      </c>
      <c r="AJI140" s="24">
        <v>0</v>
      </c>
      <c r="AJJ140" s="24">
        <v>0</v>
      </c>
      <c r="AJK140" s="24">
        <v>0</v>
      </c>
      <c r="AJL140" s="24">
        <v>0</v>
      </c>
      <c r="AJM140" s="24">
        <v>0</v>
      </c>
      <c r="AJN140" s="24">
        <v>0</v>
      </c>
      <c r="AJO140" s="24">
        <v>0</v>
      </c>
      <c r="AJP140" s="24">
        <v>0</v>
      </c>
      <c r="AJQ140" s="24">
        <v>0</v>
      </c>
      <c r="AJR140" s="24">
        <v>0</v>
      </c>
      <c r="AJS140" s="24">
        <v>18.87</v>
      </c>
      <c r="AJT140" s="24">
        <v>44.71</v>
      </c>
      <c r="AJU140" s="24">
        <v>0</v>
      </c>
      <c r="AJV140" s="24">
        <v>0</v>
      </c>
      <c r="AJW140" s="24">
        <v>0</v>
      </c>
      <c r="AKJ140" s="24">
        <v>0</v>
      </c>
      <c r="AKK140" s="24">
        <v>0</v>
      </c>
      <c r="AKV140" s="28"/>
      <c r="ALN140" s="24">
        <v>0</v>
      </c>
    </row>
    <row r="141" spans="1:1024" x14ac:dyDescent="0.2">
      <c r="A141" s="1" t="s">
        <v>586</v>
      </c>
      <c r="B141" s="12">
        <v>42900</v>
      </c>
      <c r="C141">
        <v>2</v>
      </c>
      <c r="D141" s="13">
        <v>42790</v>
      </c>
      <c r="E141" s="12">
        <v>33906</v>
      </c>
      <c r="F141" s="14">
        <f t="shared" si="48"/>
        <v>24.624229979466119</v>
      </c>
      <c r="G141" s="14">
        <f t="shared" si="49"/>
        <v>0.30116358658453113</v>
      </c>
      <c r="H141" s="15" t="s">
        <v>228</v>
      </c>
      <c r="I141" s="15" t="s">
        <v>251</v>
      </c>
      <c r="J141" s="15" t="s">
        <v>183</v>
      </c>
      <c r="K141" s="21">
        <v>8</v>
      </c>
      <c r="L141" s="19">
        <v>65</v>
      </c>
      <c r="M141">
        <v>1.72</v>
      </c>
      <c r="N141" s="16">
        <f t="shared" si="50"/>
        <v>21.971335857220122</v>
      </c>
      <c r="O141" s="19">
        <v>0</v>
      </c>
      <c r="P141" s="19">
        <v>0</v>
      </c>
      <c r="Q141" s="19">
        <v>0</v>
      </c>
      <c r="R141" s="19">
        <v>0</v>
      </c>
      <c r="S141" s="19">
        <v>0</v>
      </c>
      <c r="T141" s="19">
        <v>0</v>
      </c>
      <c r="U141" s="19">
        <v>0</v>
      </c>
      <c r="V141" s="19">
        <v>0</v>
      </c>
      <c r="W141" s="19">
        <v>0</v>
      </c>
      <c r="X141" s="19">
        <v>0</v>
      </c>
      <c r="Y141" s="19">
        <v>0</v>
      </c>
      <c r="Z141" s="19">
        <v>0</v>
      </c>
      <c r="AA141" s="19">
        <v>0</v>
      </c>
      <c r="AB141" s="19">
        <v>0</v>
      </c>
      <c r="AC141" s="19">
        <v>1</v>
      </c>
      <c r="AD141" s="19">
        <v>15</v>
      </c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19"/>
      <c r="BA141" s="19"/>
      <c r="BB141" s="19"/>
      <c r="BC141" s="19"/>
      <c r="BD141" s="19"/>
      <c r="BE141" s="19"/>
      <c r="BF141" s="19"/>
      <c r="BG141" s="19"/>
      <c r="BH141" s="19"/>
      <c r="BI141" s="19"/>
      <c r="BJ141" s="19"/>
      <c r="BK141" s="19"/>
      <c r="BL141" s="19"/>
      <c r="BM141" s="19"/>
      <c r="BN141" s="19"/>
      <c r="BO141" s="19"/>
      <c r="BP141" s="19"/>
      <c r="BQ141" s="19"/>
      <c r="BR141" s="19">
        <v>2</v>
      </c>
      <c r="BS141" s="19">
        <v>2</v>
      </c>
      <c r="BT141" s="19">
        <v>3</v>
      </c>
      <c r="BU141" s="19">
        <v>4</v>
      </c>
      <c r="BV141" s="19">
        <v>2</v>
      </c>
      <c r="BW141" s="19">
        <v>1</v>
      </c>
      <c r="BX141" s="19">
        <v>1</v>
      </c>
      <c r="BY141" s="19">
        <v>5</v>
      </c>
      <c r="BZ141" s="19">
        <v>3</v>
      </c>
      <c r="CA141" s="19">
        <v>5</v>
      </c>
      <c r="CB141" s="19">
        <v>3</v>
      </c>
      <c r="CC141" s="19">
        <v>4</v>
      </c>
      <c r="CD141" s="19">
        <v>4</v>
      </c>
      <c r="CE141" s="19">
        <v>5</v>
      </c>
      <c r="CF141" s="19">
        <v>4</v>
      </c>
      <c r="CG141" s="19">
        <v>5</v>
      </c>
      <c r="CH141" s="19">
        <v>4</v>
      </c>
      <c r="CI141" s="19">
        <v>4</v>
      </c>
      <c r="CJ141" s="19">
        <v>4</v>
      </c>
      <c r="CK141" s="19">
        <v>8</v>
      </c>
      <c r="CL141" t="s">
        <v>253</v>
      </c>
      <c r="CM141">
        <v>30</v>
      </c>
      <c r="CN141" s="16">
        <v>85.5</v>
      </c>
      <c r="CO141" s="16">
        <v>81</v>
      </c>
      <c r="CP141" s="16">
        <v>15.2</v>
      </c>
      <c r="CQ141">
        <v>87.44</v>
      </c>
      <c r="CR141">
        <v>0</v>
      </c>
      <c r="CS141">
        <v>0.94</v>
      </c>
      <c r="CT141">
        <v>1.97</v>
      </c>
      <c r="CU141">
        <v>9.65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2.71</v>
      </c>
      <c r="DC141">
        <v>0.6</v>
      </c>
      <c r="DD141">
        <v>2.17</v>
      </c>
      <c r="DE141">
        <v>5.97</v>
      </c>
      <c r="DF141">
        <v>2.65</v>
      </c>
      <c r="DG141">
        <v>0</v>
      </c>
      <c r="DH141">
        <v>0</v>
      </c>
      <c r="DU141">
        <v>10.6</v>
      </c>
      <c r="DV141">
        <v>1</v>
      </c>
      <c r="DW141">
        <v>60</v>
      </c>
      <c r="DX141">
        <v>2</v>
      </c>
      <c r="DY141">
        <f>0.38+0.07</f>
        <v>0.45</v>
      </c>
      <c r="DZ141">
        <v>1</v>
      </c>
      <c r="EA141">
        <v>68</v>
      </c>
      <c r="EB141">
        <v>1</v>
      </c>
      <c r="EC141" s="16">
        <v>0.31</v>
      </c>
      <c r="ED141">
        <v>1</v>
      </c>
      <c r="EE141">
        <v>85</v>
      </c>
      <c r="EF141">
        <v>2</v>
      </c>
      <c r="EG141" s="18">
        <f>1.89+0.94</f>
        <v>2.83</v>
      </c>
      <c r="EH141">
        <v>2</v>
      </c>
      <c r="EI141">
        <v>25</v>
      </c>
      <c r="EJ141">
        <v>1</v>
      </c>
      <c r="EK141" s="16">
        <v>0.27</v>
      </c>
      <c r="EL141">
        <v>2</v>
      </c>
      <c r="EY141">
        <v>0</v>
      </c>
      <c r="GJ141" s="16">
        <v>0</v>
      </c>
      <c r="GK141" s="16">
        <v>0</v>
      </c>
      <c r="GL141" s="16"/>
      <c r="GM141" s="16"/>
      <c r="GN141" s="16"/>
      <c r="GO141" s="16"/>
      <c r="GP141" s="16"/>
      <c r="GQ141" s="16"/>
      <c r="GR141" s="16"/>
      <c r="GS141" s="16"/>
      <c r="GT141" s="16"/>
      <c r="GU141" s="16">
        <v>4.17</v>
      </c>
      <c r="GV141" s="16">
        <v>2.54</v>
      </c>
      <c r="GW141" s="16"/>
      <c r="GX141" s="16"/>
      <c r="GY141" s="16">
        <v>0</v>
      </c>
      <c r="GZ141" s="16">
        <v>0</v>
      </c>
      <c r="HA141" s="16">
        <v>0</v>
      </c>
      <c r="HB141">
        <v>0</v>
      </c>
      <c r="HC141" t="s">
        <v>256</v>
      </c>
      <c r="HD141">
        <v>40</v>
      </c>
      <c r="HE141" s="16">
        <v>89.1</v>
      </c>
      <c r="HF141" s="16">
        <v>81</v>
      </c>
      <c r="HG141" s="16">
        <v>5.4</v>
      </c>
      <c r="HH141">
        <v>99.83</v>
      </c>
      <c r="HI141">
        <v>0</v>
      </c>
      <c r="HJ141">
        <v>0</v>
      </c>
      <c r="HK141">
        <v>0.17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19.8</v>
      </c>
      <c r="HU141">
        <v>8.9499999999999993</v>
      </c>
      <c r="HV141">
        <v>0</v>
      </c>
      <c r="HW141">
        <v>0</v>
      </c>
      <c r="HX141">
        <v>22.5</v>
      </c>
      <c r="HY141">
        <v>1</v>
      </c>
      <c r="HZ141">
        <v>5</v>
      </c>
      <c r="IB141">
        <v>8</v>
      </c>
      <c r="IL141">
        <v>0</v>
      </c>
      <c r="IM141">
        <v>0</v>
      </c>
      <c r="IX141" s="18"/>
      <c r="JP141">
        <v>1</v>
      </c>
      <c r="JQ141">
        <v>50</v>
      </c>
      <c r="JR141">
        <v>4</v>
      </c>
      <c r="JS141">
        <f>0.73*2+0.13*2</f>
        <v>1.72</v>
      </c>
      <c r="JT141">
        <v>3</v>
      </c>
      <c r="LA141" s="16">
        <v>1.48</v>
      </c>
      <c r="LB141" s="16">
        <v>1</v>
      </c>
      <c r="LC141" s="16">
        <v>1</v>
      </c>
      <c r="LD141" s="16"/>
      <c r="LE141" s="16">
        <f>2.1*2+0.37*2</f>
        <v>4.9400000000000004</v>
      </c>
      <c r="LF141" s="16"/>
      <c r="LG141" s="16"/>
      <c r="LH141" s="16"/>
      <c r="LI141" s="16"/>
      <c r="LJ141" s="16"/>
      <c r="LK141" s="16"/>
      <c r="LL141" s="16">
        <v>7.71</v>
      </c>
      <c r="LM141" s="16">
        <v>4.3499999999999996</v>
      </c>
      <c r="LN141" s="16"/>
      <c r="LO141" s="16"/>
      <c r="LP141" s="16">
        <v>0</v>
      </c>
      <c r="LQ141" s="16">
        <v>0</v>
      </c>
      <c r="LR141" s="16">
        <v>0</v>
      </c>
      <c r="LS141">
        <v>0</v>
      </c>
      <c r="LT141" t="s">
        <v>257</v>
      </c>
      <c r="LU141">
        <v>43</v>
      </c>
      <c r="LV141" s="16">
        <v>93.3</v>
      </c>
      <c r="LW141" s="16">
        <v>81</v>
      </c>
      <c r="LX141" s="16">
        <v>6.4</v>
      </c>
      <c r="LY141">
        <v>100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18.510000000000002</v>
      </c>
      <c r="ML141">
        <v>28.46</v>
      </c>
      <c r="MM141">
        <v>0</v>
      </c>
      <c r="MN141">
        <v>0</v>
      </c>
      <c r="MO141">
        <v>0</v>
      </c>
      <c r="MP141">
        <v>0</v>
      </c>
      <c r="NC141">
        <v>33</v>
      </c>
      <c r="ND141">
        <v>0</v>
      </c>
      <c r="NO141" s="18"/>
      <c r="OG141">
        <v>1</v>
      </c>
      <c r="OH141">
        <v>40</v>
      </c>
      <c r="OI141">
        <v>8</v>
      </c>
      <c r="OJ141">
        <f>1.51*2+3.02+0.27*2</f>
        <v>6.58</v>
      </c>
      <c r="OK141">
        <v>3</v>
      </c>
      <c r="OL141">
        <v>60</v>
      </c>
      <c r="OM141">
        <v>20</v>
      </c>
      <c r="ON141">
        <f>3.65*2+0.67*2</f>
        <v>8.64</v>
      </c>
      <c r="OO141">
        <v>3</v>
      </c>
      <c r="PR141" s="16">
        <v>0</v>
      </c>
      <c r="PS141" s="16">
        <v>0</v>
      </c>
      <c r="PT141" s="16"/>
      <c r="PU141" s="16"/>
      <c r="PV141" s="16"/>
      <c r="PW141" s="16"/>
      <c r="PX141" s="16"/>
      <c r="PY141" s="16"/>
      <c r="PZ141" s="16"/>
      <c r="QA141" s="16"/>
      <c r="QB141" s="16"/>
      <c r="QC141" s="16">
        <v>0</v>
      </c>
      <c r="QD141" s="16">
        <v>0</v>
      </c>
      <c r="QE141" s="16"/>
      <c r="QF141" s="16"/>
      <c r="QG141" s="16">
        <v>0</v>
      </c>
      <c r="QH141" s="16">
        <v>0</v>
      </c>
      <c r="QI141" s="16">
        <v>0</v>
      </c>
      <c r="QJ141">
        <v>0</v>
      </c>
      <c r="QK141" t="s">
        <v>258</v>
      </c>
      <c r="QL141">
        <v>40</v>
      </c>
      <c r="QM141" s="16">
        <v>90.1</v>
      </c>
      <c r="QN141" s="16">
        <v>81</v>
      </c>
      <c r="QO141" s="16">
        <v>5.9</v>
      </c>
      <c r="QP141">
        <v>99.34</v>
      </c>
      <c r="QQ141">
        <v>0</v>
      </c>
      <c r="QR141">
        <v>0</v>
      </c>
      <c r="QS141">
        <v>0.66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19.8</v>
      </c>
      <c r="RC141">
        <v>8.9499999999999993</v>
      </c>
      <c r="RD141">
        <v>0</v>
      </c>
      <c r="RE141">
        <v>0</v>
      </c>
      <c r="RF141">
        <v>22.3</v>
      </c>
      <c r="RG141">
        <v>1</v>
      </c>
      <c r="RH141">
        <v>5</v>
      </c>
      <c r="RJ141">
        <v>8</v>
      </c>
      <c r="RT141">
        <v>0</v>
      </c>
      <c r="RU141">
        <v>0</v>
      </c>
      <c r="SF141" s="18"/>
      <c r="SX141">
        <v>1</v>
      </c>
      <c r="SY141">
        <v>50</v>
      </c>
      <c r="SZ141">
        <v>4</v>
      </c>
      <c r="TA141">
        <f>0.73*2+0.13*2</f>
        <v>1.72</v>
      </c>
      <c r="TB141">
        <v>3</v>
      </c>
      <c r="UI141" s="16">
        <v>1.48</v>
      </c>
      <c r="UJ141" s="16">
        <v>1</v>
      </c>
      <c r="UK141" s="16">
        <v>1</v>
      </c>
      <c r="UL141" s="16"/>
      <c r="UM141" s="16">
        <f>2.1*2+0.37*2</f>
        <v>4.9400000000000004</v>
      </c>
      <c r="UN141" s="16"/>
      <c r="UO141" s="16"/>
      <c r="UP141" s="16"/>
      <c r="UQ141" s="16"/>
      <c r="UR141" s="16"/>
      <c r="US141" s="16"/>
      <c r="UT141" s="16">
        <v>7.71</v>
      </c>
      <c r="UU141" s="16">
        <v>4.3499999999999996</v>
      </c>
      <c r="UV141" s="16"/>
      <c r="UW141" s="16"/>
      <c r="UX141" s="16">
        <v>0</v>
      </c>
      <c r="UY141" s="16">
        <v>0</v>
      </c>
      <c r="UZ141" s="16">
        <v>0</v>
      </c>
      <c r="VA141">
        <v>0</v>
      </c>
      <c r="VB141" t="s">
        <v>259</v>
      </c>
      <c r="VC141">
        <v>43</v>
      </c>
      <c r="VD141" s="16">
        <v>93.3</v>
      </c>
      <c r="VE141" s="16">
        <v>81</v>
      </c>
      <c r="VF141" s="16">
        <v>6.4</v>
      </c>
      <c r="VG141">
        <v>100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18.510000000000002</v>
      </c>
      <c r="VT141">
        <v>28.46</v>
      </c>
      <c r="VU141">
        <v>0</v>
      </c>
      <c r="VV141">
        <v>0</v>
      </c>
      <c r="VW141">
        <v>0</v>
      </c>
      <c r="VX141">
        <v>0</v>
      </c>
      <c r="WK141">
        <v>33</v>
      </c>
      <c r="WL141">
        <v>0</v>
      </c>
      <c r="WW141" s="18"/>
      <c r="XO141">
        <v>1</v>
      </c>
      <c r="XP141">
        <v>40</v>
      </c>
      <c r="XQ141">
        <v>8</v>
      </c>
      <c r="XR141">
        <f>1.51*2+0.27*2+3.02</f>
        <v>6.58</v>
      </c>
      <c r="XS141">
        <v>3</v>
      </c>
      <c r="XT141">
        <v>60</v>
      </c>
      <c r="XU141">
        <v>20</v>
      </c>
      <c r="XV141">
        <f>3.65*2+0.67*2</f>
        <v>8.64</v>
      </c>
      <c r="XW141">
        <v>3</v>
      </c>
      <c r="YZ141" s="16">
        <v>0</v>
      </c>
      <c r="ZA141" s="16">
        <v>0</v>
      </c>
      <c r="ZB141" s="16"/>
      <c r="ZC141" s="16"/>
      <c r="ZD141" s="16"/>
      <c r="ZE141" s="16"/>
      <c r="ZF141" s="16"/>
      <c r="ZG141" s="16"/>
      <c r="ZH141" s="16"/>
      <c r="ZI141" s="16"/>
      <c r="ZJ141" s="16"/>
      <c r="ZK141" s="16">
        <v>0</v>
      </c>
      <c r="ZL141" s="16">
        <v>0</v>
      </c>
      <c r="ZM141" s="16"/>
      <c r="ZN141" s="16"/>
      <c r="ZO141" s="16">
        <v>0</v>
      </c>
      <c r="ZP141" s="16">
        <v>0</v>
      </c>
      <c r="ZQ141" s="16">
        <v>0</v>
      </c>
      <c r="ZR141">
        <v>0</v>
      </c>
      <c r="ZS141" t="s">
        <v>587</v>
      </c>
      <c r="ZT141">
        <v>62</v>
      </c>
      <c r="ZU141" s="16">
        <v>90.3</v>
      </c>
      <c r="ZV141" s="16">
        <v>81</v>
      </c>
      <c r="ZW141" s="16">
        <v>56.4</v>
      </c>
      <c r="ZX141">
        <v>56.67</v>
      </c>
      <c r="ZY141">
        <v>0</v>
      </c>
      <c r="ZZ141">
        <v>0</v>
      </c>
      <c r="AAA141">
        <v>43.33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0.55000000000000004</v>
      </c>
      <c r="AAL141">
        <v>0</v>
      </c>
      <c r="AAM141">
        <v>0</v>
      </c>
      <c r="AAN141">
        <v>0</v>
      </c>
      <c r="AAO141">
        <v>0</v>
      </c>
      <c r="ABB141">
        <v>0</v>
      </c>
      <c r="ABC141">
        <v>0</v>
      </c>
      <c r="ABN141" s="18"/>
      <c r="ACF141">
        <v>0</v>
      </c>
      <c r="ADQ141" s="16">
        <v>3.58</v>
      </c>
      <c r="ADR141" s="16">
        <v>1</v>
      </c>
      <c r="ADS141" s="16">
        <v>1</v>
      </c>
      <c r="ADT141" s="16"/>
      <c r="ADU141" s="16">
        <f>10.5+5.57+3.88+6.19+1.33+1.67+0.4+0.65</f>
        <v>30.189999999999998</v>
      </c>
      <c r="ADV141" s="16"/>
      <c r="ADW141" s="16"/>
      <c r="ADX141" s="16"/>
      <c r="ADY141" s="16"/>
      <c r="ADZ141" s="16"/>
      <c r="AEA141" s="16"/>
      <c r="AEB141" s="16">
        <v>1.71</v>
      </c>
      <c r="AEC141" s="16">
        <v>1.58</v>
      </c>
      <c r="AED141" s="16"/>
      <c r="AEE141" s="16"/>
      <c r="AEF141" s="16">
        <v>0</v>
      </c>
      <c r="AEG141" s="16">
        <v>0</v>
      </c>
      <c r="AEH141" s="16">
        <v>0</v>
      </c>
      <c r="AEI141">
        <v>0</v>
      </c>
      <c r="AEK141" s="15"/>
      <c r="AEL141" s="15"/>
      <c r="AES141" s="15"/>
      <c r="AET141" s="15"/>
      <c r="AFA141" s="15"/>
      <c r="AFB141" s="15"/>
      <c r="AFI141" s="15"/>
      <c r="AFJ141" s="15"/>
      <c r="AFQ141" s="15"/>
      <c r="AFR141" s="15"/>
      <c r="AFY141" s="15"/>
      <c r="AFZ141" s="15"/>
      <c r="AGG141" s="15"/>
      <c r="AGH141" s="15"/>
      <c r="AGO141" s="15"/>
      <c r="AGP141" s="15"/>
      <c r="AGW141" s="15"/>
      <c r="AGX141" s="15"/>
      <c r="AHE141" s="15"/>
      <c r="AHF141" s="15"/>
      <c r="AHM141" s="15"/>
      <c r="AHN141" s="15"/>
      <c r="AHU141" s="15"/>
      <c r="AHV141" s="15"/>
      <c r="AIC141" s="15"/>
      <c r="AID141" s="15"/>
      <c r="AIK141" s="15"/>
      <c r="AIL141" s="15"/>
      <c r="AIS141" s="15"/>
      <c r="AIT141" s="15"/>
      <c r="AJA141" s="15"/>
      <c r="AJB141" s="15"/>
      <c r="AJI141" s="15"/>
      <c r="AJJ141" s="15"/>
      <c r="AJQ141" s="15"/>
      <c r="AJR141" s="15"/>
      <c r="AJY141" s="15"/>
      <c r="AJZ141" s="15"/>
      <c r="AKG141" s="15"/>
      <c r="AKH141" s="15"/>
      <c r="AKO141" s="15"/>
      <c r="AKP141" s="15"/>
      <c r="AKW141" s="15"/>
      <c r="AKX141" s="15"/>
      <c r="ALE141" s="15"/>
      <c r="ALF141" s="15"/>
      <c r="ALM141" s="15"/>
      <c r="ALN141" s="15"/>
      <c r="ALU141" s="15"/>
      <c r="ALV141" s="15"/>
      <c r="AMC141" s="15"/>
      <c r="AMD141" s="15"/>
    </row>
    <row r="142" spans="1:1024" x14ac:dyDescent="0.2">
      <c r="A142" s="1" t="s">
        <v>588</v>
      </c>
      <c r="B142" s="12">
        <v>42899</v>
      </c>
      <c r="C142">
        <v>2</v>
      </c>
      <c r="D142" s="13">
        <v>42821</v>
      </c>
      <c r="E142" s="12">
        <v>35500</v>
      </c>
      <c r="F142" s="14">
        <f t="shared" si="48"/>
        <v>20.257357973990416</v>
      </c>
      <c r="G142" s="14">
        <f t="shared" si="49"/>
        <v>0.2135523613963039</v>
      </c>
      <c r="H142" s="15" t="s">
        <v>228</v>
      </c>
      <c r="I142" s="15" t="s">
        <v>251</v>
      </c>
      <c r="J142" s="15" t="s">
        <v>183</v>
      </c>
      <c r="K142" s="21">
        <v>8</v>
      </c>
      <c r="L142" s="19">
        <v>70</v>
      </c>
      <c r="M142">
        <v>1.78</v>
      </c>
      <c r="N142" s="16">
        <f t="shared" si="50"/>
        <v>22.093170054286073</v>
      </c>
      <c r="O142" s="19">
        <v>0</v>
      </c>
      <c r="P142" s="19">
        <v>0</v>
      </c>
      <c r="Q142" s="19">
        <v>0</v>
      </c>
      <c r="R142" s="19">
        <v>0</v>
      </c>
      <c r="S142" s="19">
        <v>0</v>
      </c>
      <c r="T142" s="19">
        <v>0</v>
      </c>
      <c r="U142" s="19">
        <v>0</v>
      </c>
      <c r="V142" s="19">
        <v>0</v>
      </c>
      <c r="W142" s="19">
        <v>0</v>
      </c>
      <c r="X142" s="19">
        <v>0</v>
      </c>
      <c r="Y142" s="19">
        <v>1</v>
      </c>
      <c r="Z142" s="19">
        <v>2</v>
      </c>
      <c r="AA142" s="19">
        <v>30</v>
      </c>
      <c r="AB142" s="19" t="s">
        <v>578</v>
      </c>
      <c r="AC142" s="19">
        <v>0</v>
      </c>
      <c r="AD142" s="19">
        <v>0</v>
      </c>
      <c r="AE142" s="19">
        <v>1</v>
      </c>
      <c r="AF142" s="19"/>
      <c r="AG142" s="19"/>
      <c r="AH142" s="19"/>
      <c r="AI142" s="19">
        <v>3</v>
      </c>
      <c r="AJ142" s="19"/>
      <c r="AK142" s="19"/>
      <c r="AL142" s="19"/>
      <c r="AM142" s="19"/>
      <c r="AN142" s="19"/>
      <c r="AO142" s="19"/>
      <c r="AP142" s="19"/>
      <c r="AQ142" s="19"/>
      <c r="AR142" s="19"/>
      <c r="AS142" s="19">
        <v>0</v>
      </c>
      <c r="AT142" s="19">
        <v>0</v>
      </c>
      <c r="AU142" s="19">
        <v>0</v>
      </c>
      <c r="AV142" s="19">
        <v>0</v>
      </c>
      <c r="AW142" s="19">
        <v>0</v>
      </c>
      <c r="AX142" s="19">
        <v>0</v>
      </c>
      <c r="AY142" s="19">
        <v>0</v>
      </c>
      <c r="AZ142" s="19">
        <v>0</v>
      </c>
      <c r="BA142" s="19">
        <v>0</v>
      </c>
      <c r="BB142" s="19">
        <v>0</v>
      </c>
      <c r="BC142" s="19">
        <v>0</v>
      </c>
      <c r="BD142" s="19">
        <v>0</v>
      </c>
      <c r="BE142" s="19">
        <v>0</v>
      </c>
      <c r="BF142" s="19">
        <v>0</v>
      </c>
      <c r="BG142" s="19">
        <v>0</v>
      </c>
      <c r="BH142" s="19">
        <v>0</v>
      </c>
      <c r="BI142" s="19">
        <v>0</v>
      </c>
      <c r="BJ142" s="19">
        <v>0</v>
      </c>
      <c r="BK142" s="19">
        <v>0</v>
      </c>
      <c r="BL142" s="19">
        <v>0</v>
      </c>
      <c r="BM142" s="19">
        <v>0</v>
      </c>
      <c r="BN142" s="19">
        <v>0</v>
      </c>
      <c r="BO142" s="19">
        <v>0</v>
      </c>
      <c r="BP142" s="19">
        <v>0</v>
      </c>
      <c r="BQ142" s="19">
        <v>0</v>
      </c>
      <c r="BR142" s="19">
        <v>2</v>
      </c>
      <c r="BS142" s="19">
        <v>3</v>
      </c>
      <c r="BT142" s="19">
        <v>1</v>
      </c>
      <c r="BU142" s="19">
        <v>5</v>
      </c>
      <c r="BV142" s="19">
        <v>1</v>
      </c>
      <c r="BW142" s="19">
        <v>5</v>
      </c>
      <c r="BX142" s="19">
        <v>1</v>
      </c>
      <c r="BY142" s="19">
        <v>5</v>
      </c>
      <c r="BZ142" s="19">
        <v>4</v>
      </c>
      <c r="CA142" s="19">
        <v>5</v>
      </c>
      <c r="CB142" s="19">
        <v>5</v>
      </c>
      <c r="CC142" s="19">
        <v>5</v>
      </c>
      <c r="CD142" s="19">
        <v>3</v>
      </c>
      <c r="CE142" s="19">
        <v>5</v>
      </c>
      <c r="CF142" s="19">
        <v>5</v>
      </c>
      <c r="CG142" s="19">
        <v>5</v>
      </c>
      <c r="CH142" s="19">
        <v>4</v>
      </c>
      <c r="CI142" s="19">
        <v>5</v>
      </c>
      <c r="CJ142" s="19">
        <v>4</v>
      </c>
      <c r="CK142" s="19">
        <v>7</v>
      </c>
      <c r="CL142" t="s">
        <v>253</v>
      </c>
      <c r="CM142">
        <v>30</v>
      </c>
      <c r="CN142" s="16">
        <v>85.5</v>
      </c>
      <c r="CO142" s="16">
        <v>81</v>
      </c>
      <c r="CP142" s="16">
        <v>15.2</v>
      </c>
      <c r="CQ142">
        <v>87.44</v>
      </c>
      <c r="CR142">
        <v>0</v>
      </c>
      <c r="CS142">
        <v>0.94</v>
      </c>
      <c r="CT142">
        <v>1.97</v>
      </c>
      <c r="CU142">
        <v>9.65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2.71</v>
      </c>
      <c r="DC142">
        <v>0.6</v>
      </c>
      <c r="DD142">
        <v>2.17</v>
      </c>
      <c r="DE142">
        <v>5.97</v>
      </c>
      <c r="DF142">
        <v>2.65</v>
      </c>
      <c r="DG142">
        <v>0</v>
      </c>
      <c r="DH142">
        <v>0</v>
      </c>
      <c r="DU142">
        <v>10.6</v>
      </c>
      <c r="DV142">
        <v>1</v>
      </c>
      <c r="DW142">
        <v>60</v>
      </c>
      <c r="DX142">
        <v>2</v>
      </c>
      <c r="DY142">
        <f>0.38+0.07</f>
        <v>0.45</v>
      </c>
      <c r="DZ142">
        <v>1</v>
      </c>
      <c r="EA142">
        <v>68</v>
      </c>
      <c r="EB142">
        <v>1</v>
      </c>
      <c r="EC142" s="16">
        <v>0.31</v>
      </c>
      <c r="ED142">
        <v>1</v>
      </c>
      <c r="EE142">
        <v>85</v>
      </c>
      <c r="EF142">
        <v>2</v>
      </c>
      <c r="EG142" s="18">
        <f>1.89+0.94</f>
        <v>2.83</v>
      </c>
      <c r="EH142">
        <v>2</v>
      </c>
      <c r="EI142">
        <v>25</v>
      </c>
      <c r="EJ142">
        <v>1</v>
      </c>
      <c r="EK142" s="16">
        <v>0.27</v>
      </c>
      <c r="EL142">
        <v>2</v>
      </c>
      <c r="EY142">
        <v>0</v>
      </c>
      <c r="GJ142" s="16">
        <v>0</v>
      </c>
      <c r="GK142" s="16">
        <v>0</v>
      </c>
      <c r="GL142" s="16"/>
      <c r="GM142" s="16"/>
      <c r="GN142" s="16"/>
      <c r="GO142" s="16"/>
      <c r="GP142" s="16"/>
      <c r="GQ142" s="16"/>
      <c r="GR142" s="16"/>
      <c r="GS142" s="16"/>
      <c r="GT142" s="16"/>
      <c r="GU142" s="16">
        <v>4.17</v>
      </c>
      <c r="GV142" s="16">
        <v>2.54</v>
      </c>
      <c r="GW142" s="16"/>
      <c r="GX142" s="16"/>
      <c r="GY142" s="16">
        <v>0</v>
      </c>
      <c r="GZ142" s="16">
        <v>0</v>
      </c>
      <c r="HA142" s="16">
        <v>0</v>
      </c>
      <c r="HB142">
        <v>0</v>
      </c>
      <c r="HC142" t="s">
        <v>254</v>
      </c>
      <c r="HD142">
        <v>53</v>
      </c>
      <c r="HE142" s="16">
        <v>81.5</v>
      </c>
      <c r="HF142" s="16">
        <v>81</v>
      </c>
      <c r="HG142" s="16">
        <v>36.4</v>
      </c>
      <c r="HH142">
        <v>56.99</v>
      </c>
      <c r="HI142">
        <v>0</v>
      </c>
      <c r="HJ142">
        <v>0</v>
      </c>
      <c r="HK142">
        <v>0.12</v>
      </c>
      <c r="HL142">
        <v>42.89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25.37</v>
      </c>
      <c r="HT142">
        <v>0</v>
      </c>
      <c r="HU142">
        <v>42.65</v>
      </c>
      <c r="HV142">
        <v>6.3</v>
      </c>
      <c r="HW142">
        <v>0</v>
      </c>
      <c r="HX142">
        <v>0</v>
      </c>
      <c r="HY142">
        <v>0</v>
      </c>
      <c r="IL142">
        <v>8.6999999999999993</v>
      </c>
      <c r="IM142">
        <v>1</v>
      </c>
      <c r="IN142">
        <v>137</v>
      </c>
      <c r="IO142">
        <v>2</v>
      </c>
      <c r="IP142">
        <f>0.65+0.05</f>
        <v>0.70000000000000007</v>
      </c>
      <c r="IQ142">
        <v>1</v>
      </c>
      <c r="IR142">
        <v>103</v>
      </c>
      <c r="IS142">
        <v>2</v>
      </c>
      <c r="IT142" s="16">
        <f>0.65+0.05</f>
        <v>0.70000000000000007</v>
      </c>
      <c r="IU142">
        <v>1</v>
      </c>
      <c r="IX142" s="18"/>
      <c r="JP142">
        <v>0</v>
      </c>
      <c r="LA142" s="16">
        <v>2.2799999999999998</v>
      </c>
      <c r="LB142" s="16">
        <v>1</v>
      </c>
      <c r="LC142" s="16">
        <v>3</v>
      </c>
      <c r="LD142" s="16"/>
      <c r="LE142" s="16">
        <f>2.69+0.37+0.74</f>
        <v>3.8</v>
      </c>
      <c r="LF142" s="16"/>
      <c r="LG142" s="16"/>
      <c r="LH142" s="16"/>
      <c r="LI142" s="16"/>
      <c r="LJ142" s="16"/>
      <c r="LK142" s="16"/>
      <c r="LL142" s="16">
        <v>0.48</v>
      </c>
      <c r="LM142" s="16">
        <v>0.48</v>
      </c>
      <c r="LN142" s="16"/>
      <c r="LO142" s="16"/>
      <c r="LP142" s="16">
        <v>2.2200000000000002</v>
      </c>
      <c r="LQ142" s="16">
        <v>23.08</v>
      </c>
      <c r="LR142" s="16">
        <v>0</v>
      </c>
      <c r="LS142">
        <v>0</v>
      </c>
      <c r="LT142" t="s">
        <v>255</v>
      </c>
      <c r="LU142">
        <v>41</v>
      </c>
      <c r="LV142" s="16">
        <v>48.6</v>
      </c>
      <c r="LW142" s="16">
        <v>81</v>
      </c>
      <c r="LX142" s="16">
        <v>21.6</v>
      </c>
      <c r="LY142">
        <v>76.16</v>
      </c>
      <c r="LZ142">
        <v>0</v>
      </c>
      <c r="MA142">
        <v>7.0000000000000007E-2</v>
      </c>
      <c r="MB142">
        <v>0.13</v>
      </c>
      <c r="MC142">
        <v>23.64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6.53</v>
      </c>
      <c r="MK142">
        <v>0.2</v>
      </c>
      <c r="ML142">
        <v>27.15</v>
      </c>
      <c r="MM142">
        <v>4.1100000000000003</v>
      </c>
      <c r="MN142">
        <v>0</v>
      </c>
      <c r="MO142">
        <v>3.9</v>
      </c>
      <c r="MP142">
        <v>1</v>
      </c>
      <c r="MQ142">
        <v>10</v>
      </c>
      <c r="MS142">
        <v>1</v>
      </c>
      <c r="NC142">
        <v>0.6</v>
      </c>
      <c r="ND142">
        <v>1</v>
      </c>
      <c r="NE142">
        <v>52</v>
      </c>
      <c r="NF142">
        <v>3</v>
      </c>
      <c r="NG142" s="16">
        <f>0.16+0.13</f>
        <v>0.29000000000000004</v>
      </c>
      <c r="NH142">
        <v>2</v>
      </c>
      <c r="NO142" s="18"/>
      <c r="OG142">
        <v>0</v>
      </c>
      <c r="PR142" s="16">
        <v>0.56999999999999995</v>
      </c>
      <c r="PS142" s="16">
        <v>1</v>
      </c>
      <c r="PT142" s="16">
        <v>1</v>
      </c>
      <c r="PU142" s="16"/>
      <c r="PV142" s="16">
        <f>0.93</f>
        <v>0.93</v>
      </c>
      <c r="PW142" s="16">
        <v>2</v>
      </c>
      <c r="PX142" s="16"/>
      <c r="PY142" s="16">
        <f>0.31+0.22</f>
        <v>0.53</v>
      </c>
      <c r="PZ142" s="16"/>
      <c r="QA142" s="16"/>
      <c r="QB142" s="16"/>
      <c r="QC142" s="16">
        <v>5.72</v>
      </c>
      <c r="QD142" s="16">
        <v>5.75</v>
      </c>
      <c r="QE142" s="16"/>
      <c r="QF142" s="16"/>
      <c r="QG142" s="16">
        <v>7.41</v>
      </c>
      <c r="QH142" s="16">
        <v>0</v>
      </c>
      <c r="QI142" s="16">
        <v>0.22</v>
      </c>
      <c r="QJ142">
        <v>5</v>
      </c>
      <c r="QK142" t="s">
        <v>256</v>
      </c>
      <c r="QL142">
        <v>40</v>
      </c>
      <c r="QM142" s="16">
        <v>89.1</v>
      </c>
      <c r="QN142" s="16">
        <v>81</v>
      </c>
      <c r="QO142" s="16">
        <v>5.4</v>
      </c>
      <c r="QP142">
        <v>99.83</v>
      </c>
      <c r="QQ142">
        <v>0</v>
      </c>
      <c r="QR142">
        <v>0</v>
      </c>
      <c r="QS142">
        <v>0.17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19.8</v>
      </c>
      <c r="RC142">
        <v>8.9499999999999993</v>
      </c>
      <c r="RD142">
        <v>0</v>
      </c>
      <c r="RE142">
        <v>0</v>
      </c>
      <c r="RF142">
        <v>22.5</v>
      </c>
      <c r="RG142">
        <v>1</v>
      </c>
      <c r="RH142">
        <v>5</v>
      </c>
      <c r="RJ142">
        <v>8</v>
      </c>
      <c r="RT142">
        <v>0</v>
      </c>
      <c r="RU142">
        <v>0</v>
      </c>
      <c r="SF142" s="18"/>
      <c r="SX142">
        <v>1</v>
      </c>
      <c r="SY142">
        <v>50</v>
      </c>
      <c r="SZ142">
        <v>4</v>
      </c>
      <c r="TA142">
        <f>0.73*2+0.13*2</f>
        <v>1.72</v>
      </c>
      <c r="TB142">
        <v>3</v>
      </c>
      <c r="UI142" s="16">
        <v>1.48</v>
      </c>
      <c r="UJ142" s="16">
        <v>1</v>
      </c>
      <c r="UK142" s="16">
        <v>1</v>
      </c>
      <c r="UL142" s="16"/>
      <c r="UM142" s="16">
        <f>2.1*2+0.37*2</f>
        <v>4.9400000000000004</v>
      </c>
      <c r="UN142" s="16"/>
      <c r="UO142" s="16"/>
      <c r="UP142" s="16"/>
      <c r="UQ142" s="16"/>
      <c r="UR142" s="16"/>
      <c r="US142" s="16"/>
      <c r="UT142" s="16">
        <v>7.71</v>
      </c>
      <c r="UU142" s="16">
        <v>4.3499999999999996</v>
      </c>
      <c r="UV142" s="16"/>
      <c r="UW142" s="16"/>
      <c r="UX142" s="16">
        <v>0</v>
      </c>
      <c r="UY142" s="16">
        <v>0</v>
      </c>
      <c r="UZ142" s="16">
        <v>0</v>
      </c>
      <c r="VA142">
        <v>0</v>
      </c>
      <c r="VB142" t="s">
        <v>257</v>
      </c>
      <c r="VC142">
        <v>43</v>
      </c>
      <c r="VD142" s="16">
        <v>93.3</v>
      </c>
      <c r="VE142" s="16">
        <v>81</v>
      </c>
      <c r="VF142" s="16">
        <v>6.4</v>
      </c>
      <c r="VG142">
        <v>100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18.510000000000002</v>
      </c>
      <c r="VT142">
        <v>28.46</v>
      </c>
      <c r="VU142">
        <v>0</v>
      </c>
      <c r="VV142">
        <v>0</v>
      </c>
      <c r="VW142">
        <v>0</v>
      </c>
      <c r="VX142">
        <v>0</v>
      </c>
      <c r="WK142">
        <v>33</v>
      </c>
      <c r="WL142">
        <v>0</v>
      </c>
      <c r="WW142" s="18"/>
      <c r="XO142">
        <v>1</v>
      </c>
      <c r="XP142">
        <v>40</v>
      </c>
      <c r="XQ142">
        <v>8</v>
      </c>
      <c r="XR142">
        <f>1.51*2+3.02+0.27*2</f>
        <v>6.58</v>
      </c>
      <c r="XS142">
        <v>3</v>
      </c>
      <c r="XT142">
        <v>60</v>
      </c>
      <c r="XU142">
        <v>20</v>
      </c>
      <c r="XV142">
        <f>3.65*2+0.67*2</f>
        <v>8.64</v>
      </c>
      <c r="XW142">
        <v>3</v>
      </c>
      <c r="YZ142" s="16">
        <v>0</v>
      </c>
      <c r="ZA142" s="16">
        <v>0</v>
      </c>
      <c r="ZB142" s="16"/>
      <c r="ZC142" s="16"/>
      <c r="ZD142" s="16"/>
      <c r="ZE142" s="16"/>
      <c r="ZF142" s="16"/>
      <c r="ZG142" s="16"/>
      <c r="ZH142" s="16"/>
      <c r="ZI142" s="16"/>
      <c r="ZJ142" s="16"/>
      <c r="ZK142" s="16">
        <v>0</v>
      </c>
      <c r="ZL142" s="16">
        <v>0</v>
      </c>
      <c r="ZM142" s="16"/>
      <c r="ZN142" s="16"/>
      <c r="ZO142" s="16">
        <v>0</v>
      </c>
      <c r="ZP142" s="16">
        <v>0</v>
      </c>
      <c r="ZQ142" s="16">
        <v>0</v>
      </c>
      <c r="ZR142">
        <v>0</v>
      </c>
      <c r="ZS142" t="s">
        <v>258</v>
      </c>
      <c r="ZT142">
        <v>40</v>
      </c>
      <c r="ZU142" s="16">
        <v>90.1</v>
      </c>
      <c r="ZV142" s="16">
        <v>81</v>
      </c>
      <c r="ZW142" s="16">
        <v>5.9</v>
      </c>
      <c r="ZX142">
        <v>99.34</v>
      </c>
      <c r="ZY142">
        <v>0</v>
      </c>
      <c r="ZZ142">
        <v>0</v>
      </c>
      <c r="AAA142">
        <v>0.66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19.8</v>
      </c>
      <c r="AAK142">
        <v>8.9499999999999993</v>
      </c>
      <c r="AAL142">
        <v>0</v>
      </c>
      <c r="AAM142">
        <v>0</v>
      </c>
      <c r="AAN142">
        <v>22.3</v>
      </c>
      <c r="AAO142">
        <v>1</v>
      </c>
      <c r="AAP142">
        <v>5</v>
      </c>
      <c r="AAR142">
        <v>8</v>
      </c>
      <c r="ABB142">
        <v>0</v>
      </c>
      <c r="ABC142">
        <v>0</v>
      </c>
      <c r="ABN142" s="18"/>
      <c r="ACF142">
        <v>1</v>
      </c>
      <c r="ACG142">
        <v>50</v>
      </c>
      <c r="ACH142">
        <v>4</v>
      </c>
      <c r="ACI142">
        <f>0.73*2+0.13*2</f>
        <v>1.72</v>
      </c>
      <c r="ACJ142">
        <v>3</v>
      </c>
      <c r="ADQ142" s="16">
        <v>1.48</v>
      </c>
      <c r="ADR142" s="16">
        <v>1</v>
      </c>
      <c r="ADS142" s="16">
        <v>1</v>
      </c>
      <c r="ADT142" s="16"/>
      <c r="ADU142" s="16">
        <f>2.1*2+0.37*2</f>
        <v>4.9400000000000004</v>
      </c>
      <c r="ADV142" s="16"/>
      <c r="ADW142" s="16"/>
      <c r="ADX142" s="16"/>
      <c r="ADY142" s="16"/>
      <c r="ADZ142" s="16"/>
      <c r="AEA142" s="16"/>
      <c r="AEB142" s="16">
        <v>7.71</v>
      </c>
      <c r="AEC142" s="16">
        <v>4.3499999999999996</v>
      </c>
      <c r="AED142" s="16"/>
      <c r="AEE142" s="16"/>
      <c r="AEF142" s="16">
        <v>0</v>
      </c>
      <c r="AEG142" s="16">
        <v>0</v>
      </c>
      <c r="AEH142" s="16">
        <v>0</v>
      </c>
      <c r="AEI142">
        <v>0</v>
      </c>
      <c r="AEJ142" t="s">
        <v>259</v>
      </c>
      <c r="AEK142">
        <v>43</v>
      </c>
      <c r="AEL142" s="16">
        <v>93.3</v>
      </c>
      <c r="AEM142" s="16">
        <v>81</v>
      </c>
      <c r="AEN142" s="16">
        <v>6.4</v>
      </c>
      <c r="AEO142">
        <v>100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18.510000000000002</v>
      </c>
      <c r="AFB142">
        <v>28.46</v>
      </c>
      <c r="AFC142">
        <v>0</v>
      </c>
      <c r="AFD142">
        <v>0</v>
      </c>
      <c r="AFE142">
        <v>0</v>
      </c>
      <c r="AFF142">
        <v>0</v>
      </c>
      <c r="AFS142">
        <v>33</v>
      </c>
      <c r="AFT142">
        <v>0</v>
      </c>
      <c r="AGE142" s="18"/>
      <c r="AGW142">
        <v>1</v>
      </c>
      <c r="AGX142">
        <v>40</v>
      </c>
      <c r="AGY142">
        <v>8</v>
      </c>
      <c r="AGZ142">
        <f>1.51*2+0.27*2+3.02</f>
        <v>6.58</v>
      </c>
      <c r="AHA142">
        <v>3</v>
      </c>
      <c r="AHB142">
        <v>60</v>
      </c>
      <c r="AHC142">
        <v>20</v>
      </c>
      <c r="AHD142">
        <f>3.65*2+0.67*2</f>
        <v>8.64</v>
      </c>
      <c r="AHE142">
        <v>3</v>
      </c>
      <c r="AIH142" s="16">
        <v>0</v>
      </c>
      <c r="AII142" s="16">
        <v>0</v>
      </c>
      <c r="AIJ142" s="16"/>
      <c r="AIK142" s="16"/>
      <c r="AIL142" s="16"/>
      <c r="AIM142" s="16"/>
      <c r="AIN142" s="16"/>
      <c r="AIO142" s="16"/>
      <c r="AIP142" s="16"/>
      <c r="AIQ142" s="16"/>
      <c r="AIR142" s="16"/>
      <c r="AIS142" s="16">
        <v>0</v>
      </c>
      <c r="AIT142" s="16">
        <v>0</v>
      </c>
      <c r="AIU142" s="16"/>
      <c r="AIV142" s="16"/>
      <c r="AIW142" s="16">
        <v>0</v>
      </c>
      <c r="AIX142" s="16">
        <v>0</v>
      </c>
      <c r="AIY142" s="16">
        <v>0</v>
      </c>
      <c r="AIZ142">
        <v>0</v>
      </c>
      <c r="AJA142" s="15"/>
      <c r="AJB142" s="15"/>
      <c r="AJI142" s="15"/>
      <c r="AJJ142" s="15"/>
      <c r="AJQ142" s="15"/>
      <c r="AJR142" s="15"/>
      <c r="AJY142" s="15"/>
      <c r="AJZ142" s="15"/>
      <c r="AKG142" s="15"/>
      <c r="AKH142" s="15"/>
      <c r="AKO142" s="15"/>
      <c r="AKP142" s="15"/>
      <c r="AKW142" s="15"/>
      <c r="AKX142" s="15"/>
      <c r="ALE142" s="15"/>
      <c r="ALF142" s="15"/>
      <c r="ALM142" s="15"/>
      <c r="ALN142" s="15"/>
      <c r="ALU142" s="15"/>
      <c r="ALV142" s="15"/>
      <c r="AMC142" s="15"/>
      <c r="AMD142" s="15"/>
    </row>
    <row r="143" spans="1:1024" x14ac:dyDescent="0.2">
      <c r="A143" s="1" t="s">
        <v>589</v>
      </c>
      <c r="B143" s="12">
        <v>42900</v>
      </c>
      <c r="C143">
        <v>2</v>
      </c>
      <c r="D143" s="13">
        <v>42797</v>
      </c>
      <c r="E143" s="12">
        <v>27018</v>
      </c>
      <c r="F143" s="14">
        <f t="shared" si="48"/>
        <v>43.482546201232033</v>
      </c>
      <c r="G143" s="14">
        <f t="shared" si="49"/>
        <v>0.28199863107460643</v>
      </c>
      <c r="H143" s="15" t="s">
        <v>228</v>
      </c>
      <c r="I143" s="15" t="s">
        <v>251</v>
      </c>
      <c r="J143" s="15" t="s">
        <v>183</v>
      </c>
      <c r="K143" s="21">
        <v>8</v>
      </c>
      <c r="L143" s="19">
        <v>69</v>
      </c>
      <c r="M143">
        <v>1.75</v>
      </c>
      <c r="N143" s="16">
        <f t="shared" si="50"/>
        <v>22.530612244897959</v>
      </c>
      <c r="O143" s="19">
        <v>0</v>
      </c>
      <c r="P143" s="19">
        <v>0</v>
      </c>
      <c r="Q143" s="19">
        <v>0</v>
      </c>
      <c r="R143" s="19">
        <v>0</v>
      </c>
      <c r="S143" s="19">
        <v>0</v>
      </c>
      <c r="T143" s="19">
        <v>0</v>
      </c>
      <c r="U143" s="19">
        <v>0</v>
      </c>
      <c r="V143" s="19">
        <v>0</v>
      </c>
      <c r="W143" s="19">
        <v>1</v>
      </c>
      <c r="X143" s="19">
        <v>0</v>
      </c>
      <c r="Y143" s="19">
        <v>0</v>
      </c>
      <c r="Z143" s="19">
        <v>0</v>
      </c>
      <c r="AA143" s="19">
        <v>0</v>
      </c>
      <c r="AB143" s="19">
        <v>0</v>
      </c>
      <c r="AC143" s="19">
        <v>1</v>
      </c>
      <c r="AD143" s="19">
        <v>20</v>
      </c>
      <c r="AE143" s="19"/>
      <c r="AF143" s="19"/>
      <c r="AG143" s="19"/>
      <c r="AH143" s="19"/>
      <c r="AI143" s="19">
        <v>0</v>
      </c>
      <c r="AJ143" s="19">
        <v>0</v>
      </c>
      <c r="AK143" s="19">
        <v>0</v>
      </c>
      <c r="AL143" s="19">
        <v>0</v>
      </c>
      <c r="AM143" s="19">
        <v>0</v>
      </c>
      <c r="AN143" s="19">
        <v>0</v>
      </c>
      <c r="AO143" s="19">
        <v>0</v>
      </c>
      <c r="AP143" s="19">
        <v>0</v>
      </c>
      <c r="AQ143" s="19">
        <v>0</v>
      </c>
      <c r="AR143" s="19">
        <v>0</v>
      </c>
      <c r="AS143" s="19">
        <v>1</v>
      </c>
      <c r="AT143" s="19">
        <v>0</v>
      </c>
      <c r="AU143" s="19">
        <v>3</v>
      </c>
      <c r="AV143" s="19">
        <v>7</v>
      </c>
      <c r="AW143" s="19">
        <v>7</v>
      </c>
      <c r="AX143" s="19">
        <v>0</v>
      </c>
      <c r="AY143" s="19">
        <v>0</v>
      </c>
      <c r="AZ143" s="19">
        <v>0</v>
      </c>
      <c r="BA143" s="19">
        <v>0</v>
      </c>
      <c r="BB143" s="19">
        <v>0</v>
      </c>
      <c r="BC143" s="19">
        <v>0</v>
      </c>
      <c r="BD143" s="19">
        <v>0</v>
      </c>
      <c r="BE143" s="19">
        <v>0</v>
      </c>
      <c r="BF143" s="19">
        <v>0</v>
      </c>
      <c r="BG143" s="19">
        <v>0</v>
      </c>
      <c r="BH143" s="19">
        <v>0</v>
      </c>
      <c r="BI143" s="19">
        <v>0</v>
      </c>
      <c r="BJ143" s="19">
        <v>0</v>
      </c>
      <c r="BK143" s="19">
        <v>0</v>
      </c>
      <c r="BL143" s="19">
        <v>0</v>
      </c>
      <c r="BM143" s="19">
        <v>0</v>
      </c>
      <c r="BN143" s="19">
        <v>1</v>
      </c>
      <c r="BO143" s="19">
        <v>0</v>
      </c>
      <c r="BP143" s="19">
        <v>1</v>
      </c>
      <c r="BQ143" s="19">
        <v>5</v>
      </c>
      <c r="BR143" s="19">
        <v>1</v>
      </c>
      <c r="BS143" s="19">
        <v>1</v>
      </c>
      <c r="BT143" s="19">
        <v>2</v>
      </c>
      <c r="BU143" s="19">
        <v>5</v>
      </c>
      <c r="BV143" s="19">
        <v>1</v>
      </c>
      <c r="BW143" s="19">
        <v>1</v>
      </c>
      <c r="BX143" s="19">
        <v>1</v>
      </c>
      <c r="BY143" s="19">
        <v>3</v>
      </c>
      <c r="BZ143" s="19">
        <v>5</v>
      </c>
      <c r="CA143" s="19">
        <v>3</v>
      </c>
      <c r="CB143" s="19">
        <v>5</v>
      </c>
      <c r="CC143" s="19">
        <v>5</v>
      </c>
      <c r="CD143" s="19">
        <v>3</v>
      </c>
      <c r="CE143" s="19">
        <v>3</v>
      </c>
      <c r="CF143" s="19">
        <v>3</v>
      </c>
      <c r="CG143" s="19">
        <v>5</v>
      </c>
      <c r="CH143" s="19">
        <v>2</v>
      </c>
      <c r="CI143" s="19">
        <v>3</v>
      </c>
      <c r="CJ143" s="19">
        <v>4</v>
      </c>
      <c r="CK143" s="19">
        <v>8</v>
      </c>
      <c r="CL143" t="s">
        <v>253</v>
      </c>
      <c r="CM143">
        <v>30</v>
      </c>
      <c r="CN143" s="16">
        <v>85.5</v>
      </c>
      <c r="CO143" s="16">
        <v>81</v>
      </c>
      <c r="CP143" s="16">
        <v>15.2</v>
      </c>
      <c r="CQ143">
        <v>87.44</v>
      </c>
      <c r="CR143">
        <v>0</v>
      </c>
      <c r="CS143">
        <v>0.94</v>
      </c>
      <c r="CT143">
        <v>1.97</v>
      </c>
      <c r="CU143">
        <v>9.65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2.71</v>
      </c>
      <c r="DC143">
        <v>0.6</v>
      </c>
      <c r="DD143">
        <v>2.17</v>
      </c>
      <c r="DE143">
        <v>5.97</v>
      </c>
      <c r="DF143">
        <v>2.65</v>
      </c>
      <c r="DG143">
        <v>0</v>
      </c>
      <c r="DH143">
        <v>0</v>
      </c>
      <c r="DU143">
        <v>10.6</v>
      </c>
      <c r="DV143">
        <v>1</v>
      </c>
      <c r="DW143">
        <v>60</v>
      </c>
      <c r="DX143">
        <v>2</v>
      </c>
      <c r="DY143">
        <f>0.38+0.07</f>
        <v>0.45</v>
      </c>
      <c r="DZ143">
        <v>1</v>
      </c>
      <c r="EA143">
        <v>68</v>
      </c>
      <c r="EB143">
        <v>1</v>
      </c>
      <c r="EC143" s="16">
        <v>0.31</v>
      </c>
      <c r="ED143">
        <v>1</v>
      </c>
      <c r="EE143">
        <v>85</v>
      </c>
      <c r="EF143">
        <v>2</v>
      </c>
      <c r="EG143" s="18">
        <f>1.89+0.94</f>
        <v>2.83</v>
      </c>
      <c r="EH143">
        <v>2</v>
      </c>
      <c r="EI143">
        <v>25</v>
      </c>
      <c r="EJ143">
        <v>1</v>
      </c>
      <c r="EK143" s="16">
        <v>0.27</v>
      </c>
      <c r="EL143">
        <v>2</v>
      </c>
      <c r="EY143">
        <v>0</v>
      </c>
      <c r="GJ143" s="16">
        <v>0</v>
      </c>
      <c r="GK143" s="16">
        <v>0</v>
      </c>
      <c r="GL143" s="16"/>
      <c r="GM143" s="16"/>
      <c r="GN143" s="16"/>
      <c r="GO143" s="16"/>
      <c r="GP143" s="16"/>
      <c r="GQ143" s="16"/>
      <c r="GR143" s="16"/>
      <c r="GS143" s="16"/>
      <c r="GT143" s="16"/>
      <c r="GU143" s="16">
        <v>4.17</v>
      </c>
      <c r="GV143" s="16">
        <v>2.54</v>
      </c>
      <c r="GW143" s="16"/>
      <c r="GX143" s="16"/>
      <c r="GY143" s="16">
        <v>0</v>
      </c>
      <c r="GZ143" s="16">
        <v>0</v>
      </c>
      <c r="HA143" s="16">
        <v>0</v>
      </c>
      <c r="HB143">
        <v>0</v>
      </c>
      <c r="HC143" t="s">
        <v>254</v>
      </c>
      <c r="HD143">
        <v>53</v>
      </c>
      <c r="HE143" s="16">
        <v>81.5</v>
      </c>
      <c r="HF143" s="16">
        <v>81</v>
      </c>
      <c r="HG143" s="16">
        <v>36.4</v>
      </c>
      <c r="HH143">
        <v>56.99</v>
      </c>
      <c r="HI143">
        <v>0</v>
      </c>
      <c r="HJ143">
        <v>0</v>
      </c>
      <c r="HK143">
        <v>0.12</v>
      </c>
      <c r="HL143">
        <v>42.89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25.37</v>
      </c>
      <c r="HT143">
        <v>0</v>
      </c>
      <c r="HU143">
        <v>42.65</v>
      </c>
      <c r="HV143">
        <v>6.3</v>
      </c>
      <c r="HW143">
        <v>0</v>
      </c>
      <c r="HX143">
        <v>0</v>
      </c>
      <c r="HY143">
        <v>0</v>
      </c>
      <c r="IL143">
        <v>8.6999999999999993</v>
      </c>
      <c r="IM143">
        <v>1</v>
      </c>
      <c r="IN143">
        <v>137</v>
      </c>
      <c r="IO143">
        <v>2</v>
      </c>
      <c r="IP143">
        <f>0.65+0.05</f>
        <v>0.70000000000000007</v>
      </c>
      <c r="IQ143">
        <v>1</v>
      </c>
      <c r="IR143">
        <v>103</v>
      </c>
      <c r="IS143">
        <v>2</v>
      </c>
      <c r="IT143" s="16">
        <f>0.65+0.05</f>
        <v>0.70000000000000007</v>
      </c>
      <c r="IU143">
        <v>1</v>
      </c>
      <c r="IX143" s="18"/>
      <c r="JP143">
        <v>0</v>
      </c>
      <c r="LA143" s="16">
        <v>2.2799999999999998</v>
      </c>
      <c r="LB143" s="16">
        <v>1</v>
      </c>
      <c r="LC143" s="16">
        <v>3</v>
      </c>
      <c r="LD143" s="16"/>
      <c r="LE143" s="16">
        <f>2.69+0.37+0.74</f>
        <v>3.8</v>
      </c>
      <c r="LF143" s="16"/>
      <c r="LG143" s="16"/>
      <c r="LH143" s="16"/>
      <c r="LI143" s="16"/>
      <c r="LJ143" s="16"/>
      <c r="LK143" s="16"/>
      <c r="LL143" s="16">
        <v>0.48</v>
      </c>
      <c r="LM143" s="16">
        <v>0.48</v>
      </c>
      <c r="LN143" s="16"/>
      <c r="LO143" s="16"/>
      <c r="LP143" s="16">
        <v>2.2200000000000002</v>
      </c>
      <c r="LQ143" s="16">
        <v>23.08</v>
      </c>
      <c r="LR143" s="16">
        <v>0</v>
      </c>
      <c r="LS143">
        <v>0</v>
      </c>
      <c r="LT143" t="s">
        <v>255</v>
      </c>
      <c r="LU143">
        <v>41</v>
      </c>
      <c r="LV143" s="16">
        <v>48.6</v>
      </c>
      <c r="LW143" s="16">
        <v>81</v>
      </c>
      <c r="LX143" s="16">
        <v>21.6</v>
      </c>
      <c r="LY143">
        <v>76.16</v>
      </c>
      <c r="LZ143">
        <v>0</v>
      </c>
      <c r="MA143">
        <v>7.0000000000000007E-2</v>
      </c>
      <c r="MB143">
        <v>0.13</v>
      </c>
      <c r="MC143">
        <v>23.64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6.53</v>
      </c>
      <c r="MK143">
        <v>0.2</v>
      </c>
      <c r="ML143">
        <v>27.15</v>
      </c>
      <c r="MM143">
        <v>4.1100000000000003</v>
      </c>
      <c r="MN143">
        <v>0</v>
      </c>
      <c r="MO143">
        <v>3.9</v>
      </c>
      <c r="MP143">
        <v>1</v>
      </c>
      <c r="MQ143">
        <v>10</v>
      </c>
      <c r="MS143">
        <v>1</v>
      </c>
      <c r="NC143">
        <v>0.6</v>
      </c>
      <c r="ND143">
        <v>1</v>
      </c>
      <c r="NE143">
        <v>52</v>
      </c>
      <c r="NF143">
        <v>3</v>
      </c>
      <c r="NG143" s="16">
        <f>0.16+0.13</f>
        <v>0.29000000000000004</v>
      </c>
      <c r="NH143">
        <v>2</v>
      </c>
      <c r="NO143" s="18"/>
      <c r="OG143">
        <v>0</v>
      </c>
      <c r="PR143" s="16">
        <v>0.56999999999999995</v>
      </c>
      <c r="PS143" s="16">
        <v>1</v>
      </c>
      <c r="PT143" s="16">
        <v>1</v>
      </c>
      <c r="PU143" s="16"/>
      <c r="PV143" s="16">
        <f>0.93</f>
        <v>0.93</v>
      </c>
      <c r="PW143" s="16">
        <v>2</v>
      </c>
      <c r="PX143" s="16"/>
      <c r="PY143" s="16">
        <f>0.31+0.22</f>
        <v>0.53</v>
      </c>
      <c r="PZ143" s="16"/>
      <c r="QA143" s="16"/>
      <c r="QB143" s="16"/>
      <c r="QC143" s="16">
        <v>5.72</v>
      </c>
      <c r="QD143" s="16">
        <v>5.75</v>
      </c>
      <c r="QE143" s="16"/>
      <c r="QF143" s="16"/>
      <c r="QG143" s="16">
        <v>7.41</v>
      </c>
      <c r="QH143" s="16">
        <v>0</v>
      </c>
      <c r="QI143" s="16">
        <v>0.22</v>
      </c>
      <c r="QJ143">
        <v>5</v>
      </c>
      <c r="QK143" t="s">
        <v>256</v>
      </c>
      <c r="QL143">
        <v>40</v>
      </c>
      <c r="QM143" s="16">
        <v>89.1</v>
      </c>
      <c r="QN143" s="16">
        <v>81</v>
      </c>
      <c r="QO143" s="16">
        <v>5.4</v>
      </c>
      <c r="QP143">
        <v>99.83</v>
      </c>
      <c r="QQ143">
        <v>0</v>
      </c>
      <c r="QR143">
        <v>0</v>
      </c>
      <c r="QS143">
        <v>0.17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19.8</v>
      </c>
      <c r="RC143">
        <v>8.9499999999999993</v>
      </c>
      <c r="RD143">
        <v>0</v>
      </c>
      <c r="RE143">
        <v>0</v>
      </c>
      <c r="RF143">
        <v>22.5</v>
      </c>
      <c r="RG143">
        <v>1</v>
      </c>
      <c r="RH143">
        <v>5</v>
      </c>
      <c r="RJ143">
        <v>8</v>
      </c>
      <c r="RT143">
        <v>0</v>
      </c>
      <c r="RU143">
        <v>0</v>
      </c>
      <c r="SF143" s="18"/>
      <c r="SX143">
        <v>1</v>
      </c>
      <c r="SY143">
        <v>50</v>
      </c>
      <c r="SZ143">
        <v>4</v>
      </c>
      <c r="TA143">
        <f>0.73*2+0.13*2</f>
        <v>1.72</v>
      </c>
      <c r="TB143">
        <v>3</v>
      </c>
      <c r="UI143" s="16">
        <v>1.48</v>
      </c>
      <c r="UJ143" s="16">
        <v>1</v>
      </c>
      <c r="UK143" s="16">
        <v>1</v>
      </c>
      <c r="UL143" s="16"/>
      <c r="UM143" s="16">
        <f>2.1*2+0.37*2</f>
        <v>4.9400000000000004</v>
      </c>
      <c r="UN143" s="16"/>
      <c r="UO143" s="16"/>
      <c r="UP143" s="16"/>
      <c r="UQ143" s="16"/>
      <c r="UR143" s="16"/>
      <c r="US143" s="16"/>
      <c r="UT143" s="16">
        <v>7.71</v>
      </c>
      <c r="UU143" s="16">
        <v>4.3499999999999996</v>
      </c>
      <c r="UV143" s="16"/>
      <c r="UW143" s="16"/>
      <c r="UX143" s="16">
        <v>0</v>
      </c>
      <c r="UY143" s="16">
        <v>0</v>
      </c>
      <c r="UZ143" s="16">
        <v>0</v>
      </c>
      <c r="VA143">
        <v>0</v>
      </c>
      <c r="VB143" t="s">
        <v>257</v>
      </c>
      <c r="VC143">
        <v>43</v>
      </c>
      <c r="VD143" s="16">
        <v>93.3</v>
      </c>
      <c r="VE143" s="16">
        <v>81</v>
      </c>
      <c r="VF143" s="16">
        <v>6.4</v>
      </c>
      <c r="VG143">
        <v>100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18.510000000000002</v>
      </c>
      <c r="VT143">
        <v>28.46</v>
      </c>
      <c r="VU143">
        <v>0</v>
      </c>
      <c r="VV143">
        <v>0</v>
      </c>
      <c r="VW143">
        <v>0</v>
      </c>
      <c r="VX143">
        <v>0</v>
      </c>
      <c r="WK143">
        <v>33</v>
      </c>
      <c r="WL143">
        <v>0</v>
      </c>
      <c r="WW143" s="18"/>
      <c r="XO143">
        <v>1</v>
      </c>
      <c r="XP143">
        <v>40</v>
      </c>
      <c r="XQ143">
        <v>8</v>
      </c>
      <c r="XR143">
        <f>1.51*2+3.02+0.27*2</f>
        <v>6.58</v>
      </c>
      <c r="XS143">
        <v>3</v>
      </c>
      <c r="XT143">
        <v>60</v>
      </c>
      <c r="XU143">
        <v>20</v>
      </c>
      <c r="XV143">
        <f>3.65*2+0.67*2</f>
        <v>8.64</v>
      </c>
      <c r="XW143">
        <v>3</v>
      </c>
      <c r="YZ143" s="16">
        <v>0</v>
      </c>
      <c r="ZA143" s="16">
        <v>0</v>
      </c>
      <c r="ZB143" s="16"/>
      <c r="ZC143" s="16"/>
      <c r="ZD143" s="16"/>
      <c r="ZE143" s="16"/>
      <c r="ZF143" s="16"/>
      <c r="ZG143" s="16"/>
      <c r="ZH143" s="16"/>
      <c r="ZI143" s="16"/>
      <c r="ZJ143" s="16"/>
      <c r="ZK143" s="16">
        <v>0</v>
      </c>
      <c r="ZL143" s="16">
        <v>0</v>
      </c>
      <c r="ZM143" s="16"/>
      <c r="ZN143" s="16"/>
      <c r="ZO143" s="16">
        <v>0</v>
      </c>
      <c r="ZP143" s="16">
        <v>0</v>
      </c>
      <c r="ZQ143" s="16">
        <v>0</v>
      </c>
      <c r="ZR143">
        <v>0</v>
      </c>
      <c r="ZS143" t="s">
        <v>258</v>
      </c>
      <c r="ZT143">
        <v>40</v>
      </c>
      <c r="ZU143" s="16">
        <v>90.1</v>
      </c>
      <c r="ZV143" s="16">
        <v>81</v>
      </c>
      <c r="ZW143" s="16">
        <v>5.9</v>
      </c>
      <c r="ZX143">
        <v>99.34</v>
      </c>
      <c r="ZY143">
        <v>0</v>
      </c>
      <c r="ZZ143">
        <v>0</v>
      </c>
      <c r="AAA143">
        <v>0.66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19.8</v>
      </c>
      <c r="AAK143">
        <v>8.9499999999999993</v>
      </c>
      <c r="AAL143">
        <v>0</v>
      </c>
      <c r="AAM143">
        <v>0</v>
      </c>
      <c r="AAN143">
        <v>22.3</v>
      </c>
      <c r="AAO143">
        <v>1</v>
      </c>
      <c r="AAP143">
        <v>5</v>
      </c>
      <c r="AAR143">
        <v>8</v>
      </c>
      <c r="ABB143">
        <v>0</v>
      </c>
      <c r="ABC143">
        <v>0</v>
      </c>
      <c r="ABN143" s="18"/>
      <c r="ACF143">
        <v>1</v>
      </c>
      <c r="ACG143">
        <v>50</v>
      </c>
      <c r="ACH143">
        <v>4</v>
      </c>
      <c r="ACI143">
        <f>0.73*2+0.13*2</f>
        <v>1.72</v>
      </c>
      <c r="ACJ143">
        <v>3</v>
      </c>
      <c r="ADQ143" s="16">
        <v>1.48</v>
      </c>
      <c r="ADR143" s="16">
        <v>1</v>
      </c>
      <c r="ADS143" s="16">
        <v>1</v>
      </c>
      <c r="ADT143" s="16"/>
      <c r="ADU143" s="16">
        <f>2.1*2+0.37*2</f>
        <v>4.9400000000000004</v>
      </c>
      <c r="ADV143" s="16"/>
      <c r="ADW143" s="16"/>
      <c r="ADX143" s="16"/>
      <c r="ADY143" s="16"/>
      <c r="ADZ143" s="16"/>
      <c r="AEA143" s="16"/>
      <c r="AEB143" s="16">
        <v>7.71</v>
      </c>
      <c r="AEC143" s="16">
        <v>4.3499999999999996</v>
      </c>
      <c r="AED143" s="16"/>
      <c r="AEE143" s="16"/>
      <c r="AEF143" s="16">
        <v>0</v>
      </c>
      <c r="AEG143" s="16">
        <v>0</v>
      </c>
      <c r="AEH143" s="16">
        <v>0</v>
      </c>
      <c r="AEI143">
        <v>0</v>
      </c>
      <c r="AEJ143" t="s">
        <v>259</v>
      </c>
      <c r="AEK143">
        <v>43</v>
      </c>
      <c r="AEL143" s="16">
        <v>93.3</v>
      </c>
      <c r="AEM143" s="16">
        <v>81</v>
      </c>
      <c r="AEN143" s="16">
        <v>6.4</v>
      </c>
      <c r="AEO143">
        <v>100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18.510000000000002</v>
      </c>
      <c r="AFB143">
        <v>28.46</v>
      </c>
      <c r="AFC143">
        <v>0</v>
      </c>
      <c r="AFD143">
        <v>0</v>
      </c>
      <c r="AFE143">
        <v>0</v>
      </c>
      <c r="AFF143">
        <v>0</v>
      </c>
      <c r="AFS143">
        <v>33</v>
      </c>
      <c r="AFT143">
        <v>0</v>
      </c>
      <c r="AGE143" s="18"/>
      <c r="AGW143">
        <v>1</v>
      </c>
      <c r="AGX143">
        <v>40</v>
      </c>
      <c r="AGY143">
        <v>8</v>
      </c>
      <c r="AGZ143">
        <f>1.51*2+0.27*2+3.02</f>
        <v>6.58</v>
      </c>
      <c r="AHA143">
        <v>3</v>
      </c>
      <c r="AHB143">
        <v>60</v>
      </c>
      <c r="AHC143">
        <v>20</v>
      </c>
      <c r="AHD143">
        <f>3.65*2+0.67*2</f>
        <v>8.64</v>
      </c>
      <c r="AHE143">
        <v>3</v>
      </c>
      <c r="AIH143" s="16">
        <v>0</v>
      </c>
      <c r="AII143" s="16">
        <v>0</v>
      </c>
      <c r="AIJ143" s="16"/>
      <c r="AIK143" s="16"/>
      <c r="AIL143" s="16"/>
      <c r="AIM143" s="16"/>
      <c r="AIN143" s="16"/>
      <c r="AIO143" s="16"/>
      <c r="AIP143" s="16"/>
      <c r="AIQ143" s="16"/>
      <c r="AIR143" s="16"/>
      <c r="AIS143" s="16">
        <v>0</v>
      </c>
      <c r="AIT143" s="16">
        <v>0</v>
      </c>
      <c r="AIU143" s="16"/>
      <c r="AIV143" s="16"/>
      <c r="AIW143" s="16">
        <v>0</v>
      </c>
      <c r="AIX143" s="16">
        <v>0</v>
      </c>
      <c r="AIY143" s="16">
        <v>0</v>
      </c>
      <c r="AIZ143">
        <v>0</v>
      </c>
      <c r="AJA143" t="s">
        <v>435</v>
      </c>
      <c r="AJB143">
        <v>52.5</v>
      </c>
      <c r="AJC143" s="16">
        <v>71.2</v>
      </c>
      <c r="AJD143" s="16">
        <v>81</v>
      </c>
      <c r="AJE143" s="16">
        <v>44.8</v>
      </c>
      <c r="AJF143">
        <v>59.03</v>
      </c>
      <c r="AJG143">
        <v>0</v>
      </c>
      <c r="AJH143">
        <v>22.52</v>
      </c>
      <c r="AJI143">
        <v>17.8</v>
      </c>
      <c r="AJJ143">
        <v>0.65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3.42</v>
      </c>
      <c r="AJS143">
        <v>2.94</v>
      </c>
      <c r="AJT143">
        <v>0</v>
      </c>
      <c r="AJU143">
        <v>0</v>
      </c>
      <c r="AJV143">
        <v>0</v>
      </c>
      <c r="AJW143">
        <v>0</v>
      </c>
      <c r="AKJ143">
        <v>0</v>
      </c>
      <c r="AKK143">
        <v>1</v>
      </c>
      <c r="AKL143">
        <v>34</v>
      </c>
      <c r="AKM143">
        <v>8</v>
      </c>
      <c r="AKN143">
        <v>5.35</v>
      </c>
      <c r="AKO143">
        <v>1</v>
      </c>
      <c r="AKV143" s="18"/>
      <c r="ALN143">
        <v>0</v>
      </c>
    </row>
    <row r="144" spans="1:1024" x14ac:dyDescent="0.2">
      <c r="A144" s="1" t="s">
        <v>590</v>
      </c>
      <c r="B144" s="12">
        <v>42900</v>
      </c>
      <c r="C144">
        <v>2</v>
      </c>
      <c r="D144" s="13">
        <v>42793</v>
      </c>
      <c r="E144" s="12">
        <v>33788</v>
      </c>
      <c r="F144" s="14">
        <f t="shared" si="48"/>
        <v>24.947296372347708</v>
      </c>
      <c r="G144" s="14">
        <f t="shared" si="49"/>
        <v>0.29295003422313481</v>
      </c>
      <c r="H144" s="15" t="s">
        <v>228</v>
      </c>
      <c r="I144" s="15" t="s">
        <v>251</v>
      </c>
      <c r="J144" s="15" t="s">
        <v>183</v>
      </c>
      <c r="K144" s="21">
        <v>8</v>
      </c>
      <c r="L144" s="19">
        <v>64</v>
      </c>
      <c r="M144">
        <v>1.75</v>
      </c>
      <c r="N144" s="16">
        <f t="shared" si="50"/>
        <v>20.897959183673468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1</v>
      </c>
      <c r="Z144" s="19">
        <v>2</v>
      </c>
      <c r="AA144" s="19">
        <v>90</v>
      </c>
      <c r="AB144" s="19" t="s">
        <v>591</v>
      </c>
      <c r="AC144" s="19">
        <v>1</v>
      </c>
      <c r="AD144" s="19">
        <v>10</v>
      </c>
      <c r="AE144" s="19">
        <v>0</v>
      </c>
      <c r="AF144" s="19">
        <v>0</v>
      </c>
      <c r="AG144" s="19">
        <v>0</v>
      </c>
      <c r="AH144" s="19">
        <v>0</v>
      </c>
      <c r="AI144" s="19">
        <v>2</v>
      </c>
      <c r="AJ144" s="19">
        <v>2</v>
      </c>
      <c r="AK144" s="19">
        <v>0</v>
      </c>
      <c r="AL144" s="19">
        <v>0</v>
      </c>
      <c r="AM144" s="19">
        <v>0</v>
      </c>
      <c r="AN144" s="19">
        <v>0</v>
      </c>
      <c r="AO144" s="19">
        <v>0</v>
      </c>
      <c r="AP144" s="19">
        <v>0</v>
      </c>
      <c r="AQ144" s="19">
        <v>0</v>
      </c>
      <c r="AR144" s="19">
        <v>0</v>
      </c>
      <c r="AS144" s="19">
        <v>1</v>
      </c>
      <c r="AT144" s="19">
        <v>1</v>
      </c>
      <c r="AU144" s="19">
        <v>1</v>
      </c>
      <c r="AV144" s="19">
        <v>3</v>
      </c>
      <c r="AW144" s="19">
        <v>0</v>
      </c>
      <c r="AX144" s="19">
        <v>0</v>
      </c>
      <c r="AY144" s="19">
        <v>0</v>
      </c>
      <c r="AZ144" s="19">
        <v>0</v>
      </c>
      <c r="BA144" s="19">
        <v>0</v>
      </c>
      <c r="BB144" s="19">
        <v>0</v>
      </c>
      <c r="BC144" s="19">
        <v>0</v>
      </c>
      <c r="BD144" s="19">
        <v>0</v>
      </c>
      <c r="BE144" s="19">
        <v>0</v>
      </c>
      <c r="BF144" s="19">
        <v>0</v>
      </c>
      <c r="BG144" s="19">
        <v>0</v>
      </c>
      <c r="BH144" s="19">
        <v>0</v>
      </c>
      <c r="BI144" s="19">
        <v>0</v>
      </c>
      <c r="BJ144" s="19">
        <v>0</v>
      </c>
      <c r="BK144" s="19">
        <v>0</v>
      </c>
      <c r="BL144" s="19">
        <v>0</v>
      </c>
      <c r="BM144" s="19">
        <v>0</v>
      </c>
      <c r="BN144" s="19">
        <v>0</v>
      </c>
      <c r="BO144" s="19">
        <v>0</v>
      </c>
      <c r="BP144" s="19">
        <v>0</v>
      </c>
      <c r="BQ144" s="19">
        <v>0</v>
      </c>
      <c r="BR144" s="19">
        <v>2</v>
      </c>
      <c r="BS144" s="19">
        <v>2</v>
      </c>
      <c r="BT144" s="19">
        <v>2</v>
      </c>
      <c r="BU144" s="19">
        <v>2</v>
      </c>
      <c r="BV144" s="19">
        <v>2</v>
      </c>
      <c r="BW144" s="19">
        <v>2</v>
      </c>
      <c r="BX144" s="19">
        <v>2</v>
      </c>
      <c r="BY144" s="19">
        <v>4</v>
      </c>
      <c r="BZ144" s="19">
        <v>4</v>
      </c>
      <c r="CA144" s="19">
        <v>5</v>
      </c>
      <c r="CB144" s="19">
        <v>5</v>
      </c>
      <c r="CC144" s="19">
        <v>5</v>
      </c>
      <c r="CD144" s="19">
        <v>5</v>
      </c>
      <c r="CE144" s="19">
        <v>4</v>
      </c>
      <c r="CF144" s="19">
        <v>4</v>
      </c>
      <c r="CG144" s="19">
        <v>5</v>
      </c>
      <c r="CH144" s="19">
        <v>5</v>
      </c>
      <c r="CI144" s="19">
        <v>4</v>
      </c>
      <c r="CJ144" s="19">
        <v>5</v>
      </c>
      <c r="CK144" s="19">
        <v>7</v>
      </c>
      <c r="CL144" t="s">
        <v>253</v>
      </c>
      <c r="CM144">
        <v>30</v>
      </c>
      <c r="CN144" s="16">
        <v>85.5</v>
      </c>
      <c r="CO144" s="16">
        <v>81</v>
      </c>
      <c r="CP144" s="16">
        <v>15.2</v>
      </c>
      <c r="CQ144">
        <v>87.44</v>
      </c>
      <c r="CR144">
        <v>0</v>
      </c>
      <c r="CS144">
        <v>0.94</v>
      </c>
      <c r="CT144">
        <v>1.97</v>
      </c>
      <c r="CU144">
        <v>9.65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2.71</v>
      </c>
      <c r="DC144">
        <v>0.6</v>
      </c>
      <c r="DD144">
        <v>2.17</v>
      </c>
      <c r="DE144">
        <v>5.97</v>
      </c>
      <c r="DF144">
        <v>2.65</v>
      </c>
      <c r="DG144">
        <v>0</v>
      </c>
      <c r="DH144">
        <v>0</v>
      </c>
      <c r="DU144">
        <v>10.6</v>
      </c>
      <c r="DV144">
        <v>1</v>
      </c>
      <c r="DW144">
        <v>60</v>
      </c>
      <c r="DX144">
        <v>2</v>
      </c>
      <c r="DY144">
        <f>0.38+0.07</f>
        <v>0.45</v>
      </c>
      <c r="DZ144">
        <v>1</v>
      </c>
      <c r="EA144">
        <v>68</v>
      </c>
      <c r="EB144">
        <v>1</v>
      </c>
      <c r="EC144" s="16">
        <v>0.31</v>
      </c>
      <c r="ED144">
        <v>1</v>
      </c>
      <c r="EE144">
        <v>85</v>
      </c>
      <c r="EF144">
        <v>2</v>
      </c>
      <c r="EG144" s="18">
        <f>1.89+0.94</f>
        <v>2.83</v>
      </c>
      <c r="EH144">
        <v>2</v>
      </c>
      <c r="EI144">
        <v>25</v>
      </c>
      <c r="EJ144">
        <v>1</v>
      </c>
      <c r="EK144" s="16">
        <v>0.27</v>
      </c>
      <c r="EL144">
        <v>2</v>
      </c>
      <c r="EY144">
        <v>0</v>
      </c>
      <c r="GJ144" s="16">
        <v>0</v>
      </c>
      <c r="GK144" s="16">
        <v>0</v>
      </c>
      <c r="GL144" s="16"/>
      <c r="GM144" s="16"/>
      <c r="GN144" s="16"/>
      <c r="GO144" s="16"/>
      <c r="GP144" s="16"/>
      <c r="GQ144" s="16"/>
      <c r="GR144" s="16"/>
      <c r="GS144" s="16"/>
      <c r="GT144" s="16"/>
      <c r="GU144" s="16">
        <v>4.17</v>
      </c>
      <c r="GV144" s="16">
        <v>2.54</v>
      </c>
      <c r="GW144" s="16"/>
      <c r="GX144" s="16"/>
      <c r="GY144" s="16">
        <v>0</v>
      </c>
      <c r="GZ144" s="16">
        <v>0</v>
      </c>
      <c r="HA144" s="16">
        <v>0</v>
      </c>
      <c r="HB144">
        <v>0</v>
      </c>
      <c r="HC144" t="s">
        <v>254</v>
      </c>
      <c r="HD144">
        <v>53</v>
      </c>
      <c r="HE144" s="16">
        <v>81.5</v>
      </c>
      <c r="HF144" s="16">
        <v>81</v>
      </c>
      <c r="HG144" s="16">
        <v>36.4</v>
      </c>
      <c r="HH144">
        <v>56.99</v>
      </c>
      <c r="HI144">
        <v>0</v>
      </c>
      <c r="HJ144">
        <v>0</v>
      </c>
      <c r="HK144">
        <v>0.12</v>
      </c>
      <c r="HL144">
        <v>42.89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25.37</v>
      </c>
      <c r="HT144">
        <v>0</v>
      </c>
      <c r="HU144">
        <v>42.65</v>
      </c>
      <c r="HV144">
        <v>6.3</v>
      </c>
      <c r="HW144">
        <v>0</v>
      </c>
      <c r="HX144">
        <v>0</v>
      </c>
      <c r="HY144">
        <v>0</v>
      </c>
      <c r="IL144">
        <v>8.6999999999999993</v>
      </c>
      <c r="IM144">
        <v>1</v>
      </c>
      <c r="IN144">
        <v>137</v>
      </c>
      <c r="IO144">
        <v>2</v>
      </c>
      <c r="IP144">
        <f>0.65+0.05</f>
        <v>0.70000000000000007</v>
      </c>
      <c r="IQ144">
        <v>1</v>
      </c>
      <c r="IR144">
        <v>103</v>
      </c>
      <c r="IS144">
        <v>2</v>
      </c>
      <c r="IT144" s="16">
        <f>0.65+0.05</f>
        <v>0.70000000000000007</v>
      </c>
      <c r="IU144">
        <v>1</v>
      </c>
      <c r="IX144" s="18"/>
      <c r="JP144">
        <v>0</v>
      </c>
      <c r="LA144" s="16">
        <v>2.2799999999999998</v>
      </c>
      <c r="LB144" s="16">
        <v>1</v>
      </c>
      <c r="LC144" s="16">
        <v>3</v>
      </c>
      <c r="LD144" s="16"/>
      <c r="LE144" s="16">
        <f>2.69+0.37+0.74</f>
        <v>3.8</v>
      </c>
      <c r="LF144" s="16"/>
      <c r="LG144" s="16"/>
      <c r="LH144" s="16"/>
      <c r="LI144" s="16"/>
      <c r="LJ144" s="16"/>
      <c r="LK144" s="16"/>
      <c r="LL144" s="16">
        <v>0.48</v>
      </c>
      <c r="LM144" s="16">
        <v>0.48</v>
      </c>
      <c r="LN144" s="16"/>
      <c r="LO144" s="16"/>
      <c r="LP144" s="16">
        <v>2.2200000000000002</v>
      </c>
      <c r="LQ144" s="16">
        <v>23.08</v>
      </c>
      <c r="LR144" s="16">
        <v>0</v>
      </c>
      <c r="LS144">
        <v>0</v>
      </c>
      <c r="LT144" t="s">
        <v>255</v>
      </c>
      <c r="LU144">
        <v>41</v>
      </c>
      <c r="LV144" s="16">
        <v>48.6</v>
      </c>
      <c r="LW144" s="16">
        <v>81</v>
      </c>
      <c r="LX144" s="16">
        <v>21.6</v>
      </c>
      <c r="LY144">
        <v>76.16</v>
      </c>
      <c r="LZ144">
        <v>0</v>
      </c>
      <c r="MA144">
        <v>7.0000000000000007E-2</v>
      </c>
      <c r="MB144">
        <v>0.13</v>
      </c>
      <c r="MC144">
        <v>23.64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6.53</v>
      </c>
      <c r="MK144">
        <v>0.2</v>
      </c>
      <c r="ML144">
        <v>27.15</v>
      </c>
      <c r="MM144">
        <v>4.1100000000000003</v>
      </c>
      <c r="MN144">
        <v>0</v>
      </c>
      <c r="MO144">
        <v>3.9</v>
      </c>
      <c r="MP144">
        <v>1</v>
      </c>
      <c r="MQ144">
        <v>10</v>
      </c>
      <c r="MS144">
        <v>1</v>
      </c>
      <c r="NC144">
        <v>0.6</v>
      </c>
      <c r="ND144">
        <v>1</v>
      </c>
      <c r="NE144">
        <v>52</v>
      </c>
      <c r="NF144">
        <v>3</v>
      </c>
      <c r="NG144" s="16">
        <f>0.16+0.13</f>
        <v>0.29000000000000004</v>
      </c>
      <c r="NH144">
        <v>2</v>
      </c>
      <c r="NO144" s="18"/>
      <c r="OG144">
        <v>0</v>
      </c>
      <c r="PR144" s="16">
        <v>0.56999999999999995</v>
      </c>
      <c r="PS144" s="16">
        <v>1</v>
      </c>
      <c r="PT144" s="16">
        <v>1</v>
      </c>
      <c r="PU144" s="16"/>
      <c r="PV144" s="16">
        <f>0.93</f>
        <v>0.93</v>
      </c>
      <c r="PW144" s="16">
        <v>2</v>
      </c>
      <c r="PX144" s="16"/>
      <c r="PY144" s="16">
        <f>0.31+0.22</f>
        <v>0.53</v>
      </c>
      <c r="PZ144" s="16"/>
      <c r="QA144" s="16"/>
      <c r="QB144" s="16"/>
      <c r="QC144" s="16">
        <v>5.72</v>
      </c>
      <c r="QD144" s="16">
        <v>5.75</v>
      </c>
      <c r="QE144" s="16"/>
      <c r="QF144" s="16"/>
      <c r="QG144" s="16">
        <v>7.41</v>
      </c>
      <c r="QH144" s="16">
        <v>0</v>
      </c>
      <c r="QI144" s="16">
        <v>0.22</v>
      </c>
      <c r="QJ144">
        <v>5</v>
      </c>
      <c r="QK144" t="s">
        <v>256</v>
      </c>
      <c r="QL144">
        <v>40</v>
      </c>
      <c r="QM144" s="16">
        <v>89.1</v>
      </c>
      <c r="QN144" s="16">
        <v>81</v>
      </c>
      <c r="QO144" s="16">
        <v>5.4</v>
      </c>
      <c r="QP144">
        <v>99.83</v>
      </c>
      <c r="QQ144">
        <v>0</v>
      </c>
      <c r="QR144">
        <v>0</v>
      </c>
      <c r="QS144">
        <v>0.17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19.8</v>
      </c>
      <c r="RC144">
        <v>8.9499999999999993</v>
      </c>
      <c r="RD144">
        <v>0</v>
      </c>
      <c r="RE144">
        <v>0</v>
      </c>
      <c r="RF144">
        <v>22.5</v>
      </c>
      <c r="RG144">
        <v>1</v>
      </c>
      <c r="RH144">
        <v>5</v>
      </c>
      <c r="RJ144">
        <v>8</v>
      </c>
      <c r="RT144">
        <v>0</v>
      </c>
      <c r="RU144">
        <v>0</v>
      </c>
      <c r="SF144" s="18"/>
      <c r="SX144">
        <v>1</v>
      </c>
      <c r="SY144">
        <v>50</v>
      </c>
      <c r="SZ144">
        <v>4</v>
      </c>
      <c r="TA144">
        <f>0.73*2+0.13*2</f>
        <v>1.72</v>
      </c>
      <c r="TB144">
        <v>3</v>
      </c>
      <c r="UI144" s="16">
        <v>1.48</v>
      </c>
      <c r="UJ144" s="16">
        <v>1</v>
      </c>
      <c r="UK144" s="16">
        <v>1</v>
      </c>
      <c r="UL144" s="16"/>
      <c r="UM144" s="16">
        <f>2.1*2+0.37*2</f>
        <v>4.9400000000000004</v>
      </c>
      <c r="UN144" s="16"/>
      <c r="UO144" s="16"/>
      <c r="UP144" s="16"/>
      <c r="UQ144" s="16"/>
      <c r="UR144" s="16"/>
      <c r="US144" s="16"/>
      <c r="UT144" s="16">
        <v>7.71</v>
      </c>
      <c r="UU144" s="16">
        <v>4.3499999999999996</v>
      </c>
      <c r="UV144" s="16"/>
      <c r="UW144" s="16"/>
      <c r="UX144" s="16">
        <v>0</v>
      </c>
      <c r="UY144" s="16">
        <v>0</v>
      </c>
      <c r="UZ144" s="16">
        <v>0</v>
      </c>
      <c r="VA144">
        <v>0</v>
      </c>
      <c r="VB144" t="s">
        <v>258</v>
      </c>
      <c r="VC144">
        <v>40</v>
      </c>
      <c r="VD144" s="16">
        <v>90.1</v>
      </c>
      <c r="VE144" s="16">
        <v>81</v>
      </c>
      <c r="VF144" s="16">
        <v>5.9</v>
      </c>
      <c r="VG144">
        <v>99.34</v>
      </c>
      <c r="VH144">
        <v>0</v>
      </c>
      <c r="VI144">
        <v>0</v>
      </c>
      <c r="VJ144">
        <v>0.66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19.8</v>
      </c>
      <c r="VT144">
        <v>8.9499999999999993</v>
      </c>
      <c r="VU144">
        <v>0</v>
      </c>
      <c r="VV144">
        <v>0</v>
      </c>
      <c r="VW144">
        <v>22.3</v>
      </c>
      <c r="VX144">
        <v>1</v>
      </c>
      <c r="VY144">
        <v>5</v>
      </c>
      <c r="WA144">
        <v>8</v>
      </c>
      <c r="WK144">
        <v>0</v>
      </c>
      <c r="WL144">
        <v>0</v>
      </c>
      <c r="WW144" s="18"/>
      <c r="XO144">
        <v>1</v>
      </c>
      <c r="XP144">
        <v>50</v>
      </c>
      <c r="XQ144">
        <v>4</v>
      </c>
      <c r="XR144">
        <f>0.73*2+0.13*2</f>
        <v>1.72</v>
      </c>
      <c r="XS144">
        <v>3</v>
      </c>
      <c r="YZ144" s="16">
        <v>1.48</v>
      </c>
      <c r="ZA144" s="16">
        <v>1</v>
      </c>
      <c r="ZB144" s="16">
        <v>1</v>
      </c>
      <c r="ZC144" s="16"/>
      <c r="ZD144" s="16">
        <f>2.1*2+0.37*2</f>
        <v>4.9400000000000004</v>
      </c>
      <c r="ZE144" s="16"/>
      <c r="ZF144" s="16"/>
      <c r="ZG144" s="16"/>
      <c r="ZH144" s="16"/>
      <c r="ZI144" s="16"/>
      <c r="ZJ144" s="16"/>
      <c r="ZK144" s="16">
        <v>7.71</v>
      </c>
      <c r="ZL144" s="16">
        <v>4.3499999999999996</v>
      </c>
      <c r="ZM144" s="16"/>
      <c r="ZN144" s="16"/>
      <c r="ZO144" s="16">
        <v>0</v>
      </c>
      <c r="ZP144" s="16">
        <v>0</v>
      </c>
      <c r="ZQ144" s="16">
        <v>0</v>
      </c>
      <c r="ZR144">
        <v>0</v>
      </c>
      <c r="ZS144" t="s">
        <v>259</v>
      </c>
      <c r="ZT144">
        <v>43</v>
      </c>
      <c r="ZU144" s="16">
        <v>93.3</v>
      </c>
      <c r="ZV144" s="16">
        <v>81</v>
      </c>
      <c r="ZW144" s="16">
        <v>6.4</v>
      </c>
      <c r="ZX144">
        <v>100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18.510000000000002</v>
      </c>
      <c r="AAK144">
        <v>28.46</v>
      </c>
      <c r="AAL144">
        <v>0</v>
      </c>
      <c r="AAM144">
        <v>0</v>
      </c>
      <c r="AAN144">
        <v>0</v>
      </c>
      <c r="AAO144">
        <v>0</v>
      </c>
      <c r="ABB144">
        <v>33</v>
      </c>
      <c r="ABC144">
        <v>0</v>
      </c>
      <c r="ABN144" s="18"/>
      <c r="ACF144">
        <v>1</v>
      </c>
      <c r="ACG144">
        <v>40</v>
      </c>
      <c r="ACH144">
        <v>8</v>
      </c>
      <c r="ACI144">
        <f>1.51*2+0.27*2+3.02</f>
        <v>6.58</v>
      </c>
      <c r="ACJ144">
        <v>3</v>
      </c>
      <c r="ACK144">
        <v>60</v>
      </c>
      <c r="ACL144">
        <v>20</v>
      </c>
      <c r="ACM144">
        <f>3.65*2+0.67*2</f>
        <v>8.64</v>
      </c>
      <c r="ACN144">
        <v>3</v>
      </c>
      <c r="ADQ144" s="16">
        <v>0</v>
      </c>
      <c r="ADR144" s="16">
        <v>0</v>
      </c>
      <c r="ADS144" s="16"/>
      <c r="ADT144" s="16"/>
      <c r="ADU144" s="16"/>
      <c r="ADV144" s="16"/>
      <c r="ADW144" s="16"/>
      <c r="ADX144" s="16"/>
      <c r="ADY144" s="16"/>
      <c r="ADZ144" s="16"/>
      <c r="AEA144" s="16"/>
      <c r="AEB144" s="16">
        <v>0</v>
      </c>
      <c r="AEC144" s="16">
        <v>0</v>
      </c>
      <c r="AED144" s="16"/>
      <c r="AEE144" s="16"/>
      <c r="AEF144" s="16">
        <v>0</v>
      </c>
      <c r="AEG144" s="16">
        <v>0</v>
      </c>
      <c r="AEH144" s="16">
        <v>0</v>
      </c>
      <c r="AEI144">
        <v>0</v>
      </c>
      <c r="AEJ144" t="s">
        <v>435</v>
      </c>
      <c r="AEK144">
        <v>52.5</v>
      </c>
      <c r="AEL144" s="16">
        <v>71.2</v>
      </c>
      <c r="AEM144" s="16">
        <v>81</v>
      </c>
      <c r="AEN144" s="16">
        <v>44.8</v>
      </c>
      <c r="AEO144">
        <v>59.03</v>
      </c>
      <c r="AEP144">
        <v>0</v>
      </c>
      <c r="AEQ144">
        <v>22.52</v>
      </c>
      <c r="AER144">
        <v>17.8</v>
      </c>
      <c r="AES144">
        <v>0.65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3.42</v>
      </c>
      <c r="AFB144">
        <v>2.94</v>
      </c>
      <c r="AFC144">
        <v>0</v>
      </c>
      <c r="AFD144">
        <v>0</v>
      </c>
      <c r="AFE144">
        <v>0</v>
      </c>
      <c r="AFF144">
        <v>0</v>
      </c>
      <c r="AFS144">
        <v>0</v>
      </c>
      <c r="AFT144">
        <v>1</v>
      </c>
      <c r="AFU144">
        <v>34</v>
      </c>
      <c r="AFV144">
        <v>8</v>
      </c>
      <c r="AFW144">
        <v>5.35</v>
      </c>
      <c r="AFX144">
        <v>1</v>
      </c>
      <c r="AGE144" s="18"/>
      <c r="AGW144">
        <v>0</v>
      </c>
      <c r="AIH144" s="16">
        <v>1.96</v>
      </c>
      <c r="AII144" s="16">
        <v>1</v>
      </c>
      <c r="AIJ144" s="16">
        <v>1</v>
      </c>
      <c r="AIK144" s="16"/>
      <c r="AIL144" s="16">
        <f>0.22+4.31+1.48+0.37*2</f>
        <v>6.75</v>
      </c>
      <c r="AIM144" s="16"/>
      <c r="AIN144" s="16"/>
      <c r="AIO144" s="16"/>
      <c r="AIP144" s="16"/>
      <c r="AIQ144" s="16"/>
      <c r="AIR144" s="16"/>
      <c r="AIS144" s="16">
        <v>4.75</v>
      </c>
      <c r="AIT144" s="16">
        <v>4.74</v>
      </c>
      <c r="AIU144" s="16"/>
      <c r="AIV144" s="16"/>
      <c r="AIW144" s="16">
        <v>0</v>
      </c>
      <c r="AIX144" s="16">
        <v>0</v>
      </c>
      <c r="AIY144" s="16">
        <v>0</v>
      </c>
      <c r="AIZ144">
        <v>0</v>
      </c>
      <c r="AJA144" t="s">
        <v>587</v>
      </c>
      <c r="AJB144">
        <v>62</v>
      </c>
      <c r="AJC144" s="16">
        <v>90.3</v>
      </c>
      <c r="AJD144" s="16">
        <v>81</v>
      </c>
      <c r="AJE144" s="16">
        <v>56.4</v>
      </c>
      <c r="AJF144">
        <v>56.67</v>
      </c>
      <c r="AJG144">
        <v>0</v>
      </c>
      <c r="AJH144">
        <v>0</v>
      </c>
      <c r="AJI144">
        <v>43.33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0.55000000000000004</v>
      </c>
      <c r="AJT144">
        <v>0</v>
      </c>
      <c r="AJU144">
        <v>0</v>
      </c>
      <c r="AJV144">
        <v>0</v>
      </c>
      <c r="AJW144">
        <v>0</v>
      </c>
      <c r="AKJ144">
        <v>0</v>
      </c>
      <c r="AKK144">
        <v>0</v>
      </c>
      <c r="AKV144" s="18"/>
      <c r="ALN144">
        <v>0</v>
      </c>
    </row>
    <row r="145" spans="1:1024" x14ac:dyDescent="0.2">
      <c r="A145" s="1" t="s">
        <v>592</v>
      </c>
      <c r="B145" s="12">
        <v>42900</v>
      </c>
      <c r="C145">
        <v>2</v>
      </c>
      <c r="D145" s="13">
        <v>42804</v>
      </c>
      <c r="E145" s="12">
        <v>33097</v>
      </c>
      <c r="F145" s="14">
        <f t="shared" si="48"/>
        <v>26.839151266255989</v>
      </c>
      <c r="G145" s="14">
        <f t="shared" si="49"/>
        <v>0.26283367556468173</v>
      </c>
      <c r="H145" s="15" t="s">
        <v>228</v>
      </c>
      <c r="I145" s="15" t="s">
        <v>251</v>
      </c>
      <c r="J145" s="15" t="s">
        <v>183</v>
      </c>
      <c r="K145" s="21">
        <v>8</v>
      </c>
      <c r="L145" s="19">
        <v>74</v>
      </c>
      <c r="M145">
        <v>1.82</v>
      </c>
      <c r="N145" s="16">
        <f t="shared" si="50"/>
        <v>22.340297065571789</v>
      </c>
      <c r="O145" s="19">
        <v>0</v>
      </c>
      <c r="P145" s="19">
        <v>0</v>
      </c>
      <c r="Q145" s="19">
        <v>0</v>
      </c>
      <c r="R145" s="19">
        <v>0</v>
      </c>
      <c r="S145" s="19">
        <v>0</v>
      </c>
      <c r="T145" s="19">
        <v>0</v>
      </c>
      <c r="U145" s="19">
        <v>0</v>
      </c>
      <c r="V145" s="19">
        <v>0</v>
      </c>
      <c r="W145" s="19">
        <v>0</v>
      </c>
      <c r="X145" s="19">
        <v>0</v>
      </c>
      <c r="Y145" s="19">
        <v>1</v>
      </c>
      <c r="Z145" s="19">
        <v>2</v>
      </c>
      <c r="AA145" s="19">
        <v>60</v>
      </c>
      <c r="AB145" s="19" t="s">
        <v>343</v>
      </c>
      <c r="AC145" s="19">
        <v>1</v>
      </c>
      <c r="AD145" s="19">
        <v>8</v>
      </c>
      <c r="AE145" s="19">
        <v>0</v>
      </c>
      <c r="AF145" s="19">
        <v>0</v>
      </c>
      <c r="AG145" s="19">
        <v>0</v>
      </c>
      <c r="AH145" s="19">
        <v>0</v>
      </c>
      <c r="AI145" s="19">
        <v>0</v>
      </c>
      <c r="AJ145" s="19">
        <v>0</v>
      </c>
      <c r="AK145" s="19">
        <v>0</v>
      </c>
      <c r="AL145" s="19">
        <v>0</v>
      </c>
      <c r="AM145" s="19">
        <v>0</v>
      </c>
      <c r="AN145" s="19">
        <v>0</v>
      </c>
      <c r="AO145" s="19">
        <v>0</v>
      </c>
      <c r="AP145" s="19">
        <v>0</v>
      </c>
      <c r="AQ145" s="19">
        <v>0</v>
      </c>
      <c r="AR145" s="19">
        <v>0</v>
      </c>
      <c r="AS145" s="19">
        <v>0</v>
      </c>
      <c r="AT145" s="19">
        <v>0</v>
      </c>
      <c r="AU145" s="19">
        <v>0</v>
      </c>
      <c r="AV145" s="19">
        <v>0</v>
      </c>
      <c r="AW145" s="19">
        <v>0</v>
      </c>
      <c r="AX145" s="19">
        <v>0</v>
      </c>
      <c r="AY145" s="19">
        <v>0</v>
      </c>
      <c r="AZ145" s="19">
        <v>0</v>
      </c>
      <c r="BA145" s="19">
        <v>0</v>
      </c>
      <c r="BB145" s="19">
        <v>0</v>
      </c>
      <c r="BC145" s="19">
        <v>0</v>
      </c>
      <c r="BD145" s="19">
        <v>0</v>
      </c>
      <c r="BE145" s="19">
        <v>0</v>
      </c>
      <c r="BF145" s="19">
        <v>0</v>
      </c>
      <c r="BG145" s="19">
        <v>0</v>
      </c>
      <c r="BH145" s="19">
        <v>0</v>
      </c>
      <c r="BI145" s="19">
        <v>0</v>
      </c>
      <c r="BJ145" s="19">
        <v>0</v>
      </c>
      <c r="BK145" s="19">
        <v>0</v>
      </c>
      <c r="BL145" s="19">
        <v>0</v>
      </c>
      <c r="BM145" s="19">
        <v>0</v>
      </c>
      <c r="BN145" s="19">
        <v>0</v>
      </c>
      <c r="BO145" s="19">
        <v>0</v>
      </c>
      <c r="BP145" s="19">
        <v>0</v>
      </c>
      <c r="BQ145" s="19">
        <v>0</v>
      </c>
      <c r="BR145" s="19">
        <v>1</v>
      </c>
      <c r="BS145" s="19">
        <v>2</v>
      </c>
      <c r="BT145" s="19">
        <v>1</v>
      </c>
      <c r="BU145" s="19">
        <v>5</v>
      </c>
      <c r="BV145" s="19">
        <v>1</v>
      </c>
      <c r="BW145" s="19">
        <v>1</v>
      </c>
      <c r="BX145" s="19">
        <v>5</v>
      </c>
      <c r="BY145" s="19">
        <v>5</v>
      </c>
      <c r="BZ145" s="19">
        <v>5</v>
      </c>
      <c r="CA145" s="19">
        <v>5</v>
      </c>
      <c r="CB145" s="19">
        <v>5</v>
      </c>
      <c r="CC145" s="19">
        <v>5</v>
      </c>
      <c r="CD145" s="19">
        <v>5</v>
      </c>
      <c r="CE145" s="19">
        <v>5</v>
      </c>
      <c r="CF145" s="19">
        <v>5</v>
      </c>
      <c r="CG145" s="19">
        <v>5</v>
      </c>
      <c r="CH145" s="19">
        <v>5</v>
      </c>
      <c r="CI145" s="19">
        <v>5</v>
      </c>
      <c r="CJ145" s="19">
        <v>5</v>
      </c>
      <c r="CK145" s="19">
        <v>10</v>
      </c>
      <c r="CL145" t="s">
        <v>253</v>
      </c>
      <c r="CM145">
        <v>30</v>
      </c>
      <c r="CN145" s="16">
        <v>85.5</v>
      </c>
      <c r="CO145" s="16">
        <v>81</v>
      </c>
      <c r="CP145" s="16">
        <v>15.2</v>
      </c>
      <c r="CQ145">
        <v>87.44</v>
      </c>
      <c r="CR145">
        <v>0</v>
      </c>
      <c r="CS145">
        <v>0.94</v>
      </c>
      <c r="CT145">
        <v>1.97</v>
      </c>
      <c r="CU145">
        <v>9.65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2.71</v>
      </c>
      <c r="DC145">
        <v>0.6</v>
      </c>
      <c r="DD145">
        <v>2.17</v>
      </c>
      <c r="DE145">
        <v>5.97</v>
      </c>
      <c r="DF145">
        <v>2.65</v>
      </c>
      <c r="DG145">
        <v>0</v>
      </c>
      <c r="DH145">
        <v>0</v>
      </c>
      <c r="DU145">
        <v>10.6</v>
      </c>
      <c r="DV145">
        <v>1</v>
      </c>
      <c r="DW145">
        <v>60</v>
      </c>
      <c r="DX145">
        <v>2</v>
      </c>
      <c r="DY145">
        <f>0.38+0.07</f>
        <v>0.45</v>
      </c>
      <c r="DZ145">
        <v>1</v>
      </c>
      <c r="EA145">
        <v>68</v>
      </c>
      <c r="EB145">
        <v>1</v>
      </c>
      <c r="EC145" s="16">
        <v>0.31</v>
      </c>
      <c r="ED145">
        <v>1</v>
      </c>
      <c r="EE145">
        <v>85</v>
      </c>
      <c r="EF145">
        <v>2</v>
      </c>
      <c r="EG145" s="18">
        <f>1.89+0.94</f>
        <v>2.83</v>
      </c>
      <c r="EH145">
        <v>2</v>
      </c>
      <c r="EI145">
        <v>25</v>
      </c>
      <c r="EJ145">
        <v>1</v>
      </c>
      <c r="EK145" s="16">
        <v>0.27</v>
      </c>
      <c r="EL145">
        <v>2</v>
      </c>
      <c r="EY145">
        <v>0</v>
      </c>
      <c r="GJ145" s="16">
        <v>0</v>
      </c>
      <c r="GK145" s="16">
        <v>0</v>
      </c>
      <c r="GL145" s="16"/>
      <c r="GM145" s="16"/>
      <c r="GN145" s="16"/>
      <c r="GO145" s="16"/>
      <c r="GP145" s="16"/>
      <c r="GQ145" s="16"/>
      <c r="GR145" s="16"/>
      <c r="GS145" s="16"/>
      <c r="GT145" s="16"/>
      <c r="GU145" s="16">
        <v>4.17</v>
      </c>
      <c r="GV145" s="16">
        <v>2.54</v>
      </c>
      <c r="GW145" s="16"/>
      <c r="GX145" s="16"/>
      <c r="GY145" s="16">
        <v>0</v>
      </c>
      <c r="GZ145" s="16">
        <v>0</v>
      </c>
      <c r="HA145" s="16">
        <v>0</v>
      </c>
      <c r="HB145">
        <v>0</v>
      </c>
      <c r="HC145" t="s">
        <v>254</v>
      </c>
      <c r="HD145">
        <v>53</v>
      </c>
      <c r="HE145" s="16">
        <v>81.5</v>
      </c>
      <c r="HF145" s="16">
        <v>81</v>
      </c>
      <c r="HG145" s="16">
        <v>36.4</v>
      </c>
      <c r="HH145">
        <v>56.99</v>
      </c>
      <c r="HI145">
        <v>0</v>
      </c>
      <c r="HJ145">
        <v>0</v>
      </c>
      <c r="HK145">
        <v>0.12</v>
      </c>
      <c r="HL145">
        <v>42.89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25.37</v>
      </c>
      <c r="HT145">
        <v>0</v>
      </c>
      <c r="HU145">
        <v>42.65</v>
      </c>
      <c r="HV145">
        <v>6.3</v>
      </c>
      <c r="HW145">
        <v>0</v>
      </c>
      <c r="HX145">
        <v>0</v>
      </c>
      <c r="HY145">
        <v>0</v>
      </c>
      <c r="IL145">
        <v>8.6999999999999993</v>
      </c>
      <c r="IM145">
        <v>1</v>
      </c>
      <c r="IN145">
        <v>137</v>
      </c>
      <c r="IO145">
        <v>2</v>
      </c>
      <c r="IP145">
        <f>0.65+0.05</f>
        <v>0.70000000000000007</v>
      </c>
      <c r="IQ145">
        <v>1</v>
      </c>
      <c r="IR145">
        <v>103</v>
      </c>
      <c r="IS145">
        <v>2</v>
      </c>
      <c r="IT145" s="16">
        <f>0.65+0.05</f>
        <v>0.70000000000000007</v>
      </c>
      <c r="IU145">
        <v>1</v>
      </c>
      <c r="IX145" s="18"/>
      <c r="JP145">
        <v>0</v>
      </c>
      <c r="LA145" s="16">
        <v>2.2799999999999998</v>
      </c>
      <c r="LB145" s="16">
        <v>1</v>
      </c>
      <c r="LC145" s="16">
        <v>3</v>
      </c>
      <c r="LD145" s="16"/>
      <c r="LE145" s="16">
        <f>2.69+0.37+0.74</f>
        <v>3.8</v>
      </c>
      <c r="LF145" s="16"/>
      <c r="LG145" s="16"/>
      <c r="LH145" s="16"/>
      <c r="LI145" s="16"/>
      <c r="LJ145" s="16"/>
      <c r="LK145" s="16"/>
      <c r="LL145" s="16">
        <v>0.48</v>
      </c>
      <c r="LM145" s="16">
        <v>0.48</v>
      </c>
      <c r="LN145" s="16"/>
      <c r="LO145" s="16"/>
      <c r="LP145" s="16">
        <v>2.2200000000000002</v>
      </c>
      <c r="LQ145" s="16">
        <v>23.08</v>
      </c>
      <c r="LR145" s="16">
        <v>0</v>
      </c>
      <c r="LS145">
        <v>0</v>
      </c>
      <c r="LT145" t="s">
        <v>255</v>
      </c>
      <c r="LU145">
        <v>41</v>
      </c>
      <c r="LV145" s="16">
        <v>48.6</v>
      </c>
      <c r="LW145" s="16">
        <v>81</v>
      </c>
      <c r="LX145" s="16">
        <v>21.6</v>
      </c>
      <c r="LY145">
        <v>76.16</v>
      </c>
      <c r="LZ145">
        <v>0</v>
      </c>
      <c r="MA145">
        <v>7.0000000000000007E-2</v>
      </c>
      <c r="MB145">
        <v>0.13</v>
      </c>
      <c r="MC145">
        <v>23.64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6.53</v>
      </c>
      <c r="MK145">
        <v>0.2</v>
      </c>
      <c r="ML145">
        <v>27.15</v>
      </c>
      <c r="MM145">
        <v>4.1100000000000003</v>
      </c>
      <c r="MN145">
        <v>0</v>
      </c>
      <c r="MO145">
        <v>3.9</v>
      </c>
      <c r="MP145">
        <v>1</v>
      </c>
      <c r="MQ145">
        <v>10</v>
      </c>
      <c r="MS145">
        <v>1</v>
      </c>
      <c r="NC145">
        <v>0.6</v>
      </c>
      <c r="ND145">
        <v>1</v>
      </c>
      <c r="NE145">
        <v>52</v>
      </c>
      <c r="NF145">
        <v>3</v>
      </c>
      <c r="NG145" s="16">
        <f>0.16+0.13</f>
        <v>0.29000000000000004</v>
      </c>
      <c r="NH145">
        <v>2</v>
      </c>
      <c r="NO145" s="18"/>
      <c r="OG145">
        <v>0</v>
      </c>
      <c r="PR145" s="16">
        <v>0.56999999999999995</v>
      </c>
      <c r="PS145" s="16">
        <v>1</v>
      </c>
      <c r="PT145" s="16">
        <v>1</v>
      </c>
      <c r="PU145" s="16"/>
      <c r="PV145" s="16">
        <f>0.93</f>
        <v>0.93</v>
      </c>
      <c r="PW145" s="16">
        <v>2</v>
      </c>
      <c r="PX145" s="16"/>
      <c r="PY145" s="16">
        <f>0.31+0.22</f>
        <v>0.53</v>
      </c>
      <c r="PZ145" s="16"/>
      <c r="QA145" s="16"/>
      <c r="QB145" s="16"/>
      <c r="QC145" s="16">
        <v>5.72</v>
      </c>
      <c r="QD145" s="16">
        <v>5.75</v>
      </c>
      <c r="QE145" s="16"/>
      <c r="QF145" s="16"/>
      <c r="QG145" s="16">
        <v>7.41</v>
      </c>
      <c r="QH145" s="16">
        <v>0</v>
      </c>
      <c r="QI145" s="16">
        <v>0.22</v>
      </c>
      <c r="QJ145">
        <v>5</v>
      </c>
      <c r="QK145" t="s">
        <v>256</v>
      </c>
      <c r="QL145">
        <v>40</v>
      </c>
      <c r="QM145" s="16">
        <v>89.1</v>
      </c>
      <c r="QN145" s="16">
        <v>81</v>
      </c>
      <c r="QO145" s="16">
        <v>5.4</v>
      </c>
      <c r="QP145">
        <v>99.83</v>
      </c>
      <c r="QQ145">
        <v>0</v>
      </c>
      <c r="QR145">
        <v>0</v>
      </c>
      <c r="QS145">
        <v>0.17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19.8</v>
      </c>
      <c r="RC145">
        <v>8.9499999999999993</v>
      </c>
      <c r="RD145">
        <v>0</v>
      </c>
      <c r="RE145">
        <v>0</v>
      </c>
      <c r="RF145">
        <v>22.5</v>
      </c>
      <c r="RG145">
        <v>1</v>
      </c>
      <c r="RH145">
        <v>5</v>
      </c>
      <c r="RJ145">
        <v>8</v>
      </c>
      <c r="RT145">
        <v>0</v>
      </c>
      <c r="RU145">
        <v>0</v>
      </c>
      <c r="SF145" s="18"/>
      <c r="SX145">
        <v>1</v>
      </c>
      <c r="SY145">
        <v>50</v>
      </c>
      <c r="SZ145">
        <v>4</v>
      </c>
      <c r="TA145">
        <f>0.73*2+0.13*2</f>
        <v>1.72</v>
      </c>
      <c r="TB145">
        <v>3</v>
      </c>
      <c r="UI145" s="16">
        <v>1.48</v>
      </c>
      <c r="UJ145" s="16">
        <v>1</v>
      </c>
      <c r="UK145" s="16">
        <v>1</v>
      </c>
      <c r="UL145" s="16"/>
      <c r="UM145" s="16">
        <f>2.1*2+0.37*2</f>
        <v>4.9400000000000004</v>
      </c>
      <c r="UN145" s="16"/>
      <c r="UO145" s="16"/>
      <c r="UP145" s="16"/>
      <c r="UQ145" s="16"/>
      <c r="UR145" s="16"/>
      <c r="US145" s="16"/>
      <c r="UT145" s="16">
        <v>7.71</v>
      </c>
      <c r="UU145" s="16">
        <v>4.3499999999999996</v>
      </c>
      <c r="UV145" s="16"/>
      <c r="UW145" s="16"/>
      <c r="UX145" s="16">
        <v>0</v>
      </c>
      <c r="UY145" s="16">
        <v>0</v>
      </c>
      <c r="UZ145" s="16">
        <v>0</v>
      </c>
      <c r="VA145">
        <v>0</v>
      </c>
      <c r="VB145" t="s">
        <v>257</v>
      </c>
      <c r="VC145">
        <v>43</v>
      </c>
      <c r="VD145" s="16">
        <v>93.3</v>
      </c>
      <c r="VE145" s="16">
        <v>81</v>
      </c>
      <c r="VF145" s="16">
        <v>6.4</v>
      </c>
      <c r="VG145">
        <v>100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18.510000000000002</v>
      </c>
      <c r="VT145">
        <v>28.46</v>
      </c>
      <c r="VU145">
        <v>0</v>
      </c>
      <c r="VV145">
        <v>0</v>
      </c>
      <c r="VW145">
        <v>0</v>
      </c>
      <c r="VX145">
        <v>0</v>
      </c>
      <c r="WK145">
        <v>33</v>
      </c>
      <c r="WL145">
        <v>0</v>
      </c>
      <c r="WW145" s="18"/>
      <c r="XO145">
        <v>1</v>
      </c>
      <c r="XP145">
        <v>40</v>
      </c>
      <c r="XQ145">
        <v>8</v>
      </c>
      <c r="XR145">
        <f>1.51*2+3.02+0.27*2</f>
        <v>6.58</v>
      </c>
      <c r="XS145">
        <v>3</v>
      </c>
      <c r="XT145">
        <v>60</v>
      </c>
      <c r="XU145">
        <v>20</v>
      </c>
      <c r="XV145">
        <f>3.65*2+0.67*2</f>
        <v>8.64</v>
      </c>
      <c r="XW145">
        <v>3</v>
      </c>
      <c r="YZ145" s="16">
        <v>0</v>
      </c>
      <c r="ZA145" s="16">
        <v>0</v>
      </c>
      <c r="ZB145" s="16"/>
      <c r="ZC145" s="16"/>
      <c r="ZD145" s="16"/>
      <c r="ZE145" s="16"/>
      <c r="ZF145" s="16"/>
      <c r="ZG145" s="16"/>
      <c r="ZH145" s="16"/>
      <c r="ZI145" s="16"/>
      <c r="ZJ145" s="16"/>
      <c r="ZK145" s="16">
        <v>0</v>
      </c>
      <c r="ZL145" s="16">
        <v>0</v>
      </c>
      <c r="ZM145" s="16"/>
      <c r="ZN145" s="16"/>
      <c r="ZO145" s="16">
        <v>0</v>
      </c>
      <c r="ZP145" s="16">
        <v>0</v>
      </c>
      <c r="ZQ145" s="16">
        <v>0</v>
      </c>
      <c r="ZR145">
        <v>0</v>
      </c>
      <c r="ZS145" t="s">
        <v>258</v>
      </c>
      <c r="ZT145">
        <v>40</v>
      </c>
      <c r="ZU145" s="16">
        <v>90.1</v>
      </c>
      <c r="ZV145" s="16">
        <v>81</v>
      </c>
      <c r="ZW145" s="16">
        <v>5.9</v>
      </c>
      <c r="ZX145">
        <v>99.34</v>
      </c>
      <c r="ZY145">
        <v>0</v>
      </c>
      <c r="ZZ145">
        <v>0</v>
      </c>
      <c r="AAA145">
        <v>0.66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19.8</v>
      </c>
      <c r="AAK145">
        <v>8.9499999999999993</v>
      </c>
      <c r="AAL145">
        <v>0</v>
      </c>
      <c r="AAM145">
        <v>0</v>
      </c>
      <c r="AAN145">
        <v>22.3</v>
      </c>
      <c r="AAO145">
        <v>1</v>
      </c>
      <c r="AAP145">
        <v>5</v>
      </c>
      <c r="AAR145">
        <v>8</v>
      </c>
      <c r="ABB145">
        <v>0</v>
      </c>
      <c r="ABC145">
        <v>0</v>
      </c>
      <c r="ABN145" s="18"/>
      <c r="ACF145">
        <v>1</v>
      </c>
      <c r="ACG145">
        <v>50</v>
      </c>
      <c r="ACH145">
        <v>4</v>
      </c>
      <c r="ACI145">
        <f>0.73*2+0.13*2</f>
        <v>1.72</v>
      </c>
      <c r="ACJ145">
        <v>3</v>
      </c>
      <c r="ADQ145" s="16">
        <v>1.48</v>
      </c>
      <c r="ADR145" s="16">
        <v>1</v>
      </c>
      <c r="ADS145" s="16">
        <v>1</v>
      </c>
      <c r="ADT145" s="16"/>
      <c r="ADU145" s="16">
        <f>2.1*2+0.37*2</f>
        <v>4.9400000000000004</v>
      </c>
      <c r="ADV145" s="16"/>
      <c r="ADW145" s="16"/>
      <c r="ADX145" s="16"/>
      <c r="ADY145" s="16"/>
      <c r="ADZ145" s="16"/>
      <c r="AEA145" s="16"/>
      <c r="AEB145" s="16">
        <v>7.71</v>
      </c>
      <c r="AEC145" s="16">
        <v>4.3499999999999996</v>
      </c>
      <c r="AED145" s="16"/>
      <c r="AEE145" s="16"/>
      <c r="AEF145" s="16">
        <v>0</v>
      </c>
      <c r="AEG145" s="16">
        <v>0</v>
      </c>
      <c r="AEH145" s="16">
        <v>0</v>
      </c>
      <c r="AEI145">
        <v>0</v>
      </c>
      <c r="AEJ145" t="s">
        <v>259</v>
      </c>
      <c r="AEK145">
        <v>43</v>
      </c>
      <c r="AEL145" s="16">
        <v>93.3</v>
      </c>
      <c r="AEM145" s="16">
        <v>81</v>
      </c>
      <c r="AEN145" s="16">
        <v>6.4</v>
      </c>
      <c r="AEO145">
        <v>100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18.510000000000002</v>
      </c>
      <c r="AFB145">
        <v>28.46</v>
      </c>
      <c r="AFC145">
        <v>0</v>
      </c>
      <c r="AFD145">
        <v>0</v>
      </c>
      <c r="AFE145">
        <v>0</v>
      </c>
      <c r="AFF145">
        <v>0</v>
      </c>
      <c r="AFS145">
        <v>33</v>
      </c>
      <c r="AFT145">
        <v>0</v>
      </c>
      <c r="AGE145" s="18"/>
      <c r="AGW145">
        <v>1</v>
      </c>
      <c r="AGX145">
        <v>40</v>
      </c>
      <c r="AGY145">
        <v>8</v>
      </c>
      <c r="AGZ145">
        <f>1.51*2+0.27*2+3.02</f>
        <v>6.58</v>
      </c>
      <c r="AHA145">
        <v>3</v>
      </c>
      <c r="AHB145">
        <v>60</v>
      </c>
      <c r="AHC145">
        <v>20</v>
      </c>
      <c r="AHD145">
        <f>3.65*2+0.67*2</f>
        <v>8.64</v>
      </c>
      <c r="AHE145">
        <v>3</v>
      </c>
      <c r="AIH145" s="16">
        <v>0</v>
      </c>
      <c r="AII145" s="16">
        <v>0</v>
      </c>
      <c r="AIJ145" s="16"/>
      <c r="AIK145" s="16"/>
      <c r="AIL145" s="16"/>
      <c r="AIM145" s="16"/>
      <c r="AIN145" s="16"/>
      <c r="AIO145" s="16"/>
      <c r="AIP145" s="16"/>
      <c r="AIQ145" s="16"/>
      <c r="AIR145" s="16"/>
      <c r="AIS145" s="16">
        <v>0</v>
      </c>
      <c r="AIT145" s="16">
        <v>0</v>
      </c>
      <c r="AIU145" s="16"/>
      <c r="AIV145" s="16"/>
      <c r="AIW145" s="16">
        <v>0</v>
      </c>
      <c r="AIX145" s="16">
        <v>0</v>
      </c>
      <c r="AIY145" s="16">
        <v>0</v>
      </c>
      <c r="AIZ145">
        <v>0</v>
      </c>
      <c r="AJA145" t="s">
        <v>435</v>
      </c>
      <c r="AJB145">
        <v>52.5</v>
      </c>
      <c r="AJC145" s="16">
        <v>71.2</v>
      </c>
      <c r="AJD145" s="16">
        <v>81</v>
      </c>
      <c r="AJE145" s="16">
        <v>44.8</v>
      </c>
      <c r="AJF145">
        <v>59.03</v>
      </c>
      <c r="AJG145">
        <v>0</v>
      </c>
      <c r="AJH145">
        <v>22.52</v>
      </c>
      <c r="AJI145">
        <v>17.8</v>
      </c>
      <c r="AJJ145">
        <v>0.65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3.42</v>
      </c>
      <c r="AJS145">
        <v>2.94</v>
      </c>
      <c r="AJT145">
        <v>0</v>
      </c>
      <c r="AJU145">
        <v>0</v>
      </c>
      <c r="AJV145">
        <v>0</v>
      </c>
      <c r="AJW145">
        <v>0</v>
      </c>
      <c r="AKJ145">
        <v>0</v>
      </c>
      <c r="AKK145">
        <v>1</v>
      </c>
      <c r="AKL145">
        <v>34</v>
      </c>
      <c r="AKM145">
        <v>8</v>
      </c>
      <c r="AKN145">
        <v>5.35</v>
      </c>
      <c r="AKO145">
        <v>1</v>
      </c>
      <c r="AKV145" s="18"/>
      <c r="ALN145">
        <v>0</v>
      </c>
    </row>
    <row r="146" spans="1:1024" x14ac:dyDescent="0.2">
      <c r="A146" s="1" t="s">
        <v>593</v>
      </c>
      <c r="B146" s="12">
        <v>42900</v>
      </c>
      <c r="C146">
        <v>2</v>
      </c>
      <c r="D146" s="13">
        <v>42818</v>
      </c>
      <c r="E146" s="12">
        <v>28268</v>
      </c>
      <c r="F146" s="14">
        <f t="shared" si="48"/>
        <v>40.060232717316907</v>
      </c>
      <c r="G146" s="14">
        <f t="shared" si="49"/>
        <v>0.22450376454483231</v>
      </c>
      <c r="H146" s="15" t="s">
        <v>228</v>
      </c>
      <c r="I146" s="15" t="s">
        <v>229</v>
      </c>
      <c r="J146" s="15" t="s">
        <v>183</v>
      </c>
      <c r="K146" s="21">
        <v>8</v>
      </c>
      <c r="L146" s="19">
        <v>96</v>
      </c>
      <c r="M146">
        <v>1.85</v>
      </c>
      <c r="N146" s="16">
        <f t="shared" si="50"/>
        <v>28.049671292914532</v>
      </c>
      <c r="O146" s="19">
        <v>0</v>
      </c>
      <c r="P146" s="19">
        <v>0</v>
      </c>
      <c r="Q146" s="19">
        <v>0</v>
      </c>
      <c r="R146" s="19">
        <v>0</v>
      </c>
      <c r="S146" s="19">
        <v>0</v>
      </c>
      <c r="T146" s="19">
        <v>0</v>
      </c>
      <c r="U146" s="19">
        <v>0</v>
      </c>
      <c r="V146" s="19">
        <v>0</v>
      </c>
      <c r="W146" s="19">
        <v>0</v>
      </c>
      <c r="X146" s="19">
        <v>0</v>
      </c>
      <c r="Y146" s="19">
        <v>0</v>
      </c>
      <c r="Z146" s="19">
        <v>0</v>
      </c>
      <c r="AA146" s="19">
        <v>0</v>
      </c>
      <c r="AB146" s="19">
        <v>0</v>
      </c>
      <c r="AC146" s="19">
        <v>0</v>
      </c>
      <c r="AD146" s="19">
        <v>0</v>
      </c>
      <c r="AE146" s="19">
        <v>0</v>
      </c>
      <c r="AF146" s="19">
        <v>0</v>
      </c>
      <c r="AG146" s="19">
        <v>0</v>
      </c>
      <c r="AH146" s="19">
        <v>0</v>
      </c>
      <c r="AI146" s="19">
        <v>0</v>
      </c>
      <c r="AJ146" s="19">
        <v>0</v>
      </c>
      <c r="AK146" s="19">
        <v>0</v>
      </c>
      <c r="AL146" s="19">
        <v>0</v>
      </c>
      <c r="AM146" s="19">
        <v>0</v>
      </c>
      <c r="AN146" s="19">
        <v>0</v>
      </c>
      <c r="AO146" s="19">
        <v>0</v>
      </c>
      <c r="AP146" s="19">
        <v>0</v>
      </c>
      <c r="AQ146" s="19">
        <v>0</v>
      </c>
      <c r="AR146" s="19">
        <v>0</v>
      </c>
      <c r="AS146" s="19">
        <v>0</v>
      </c>
      <c r="AT146" s="19">
        <v>0</v>
      </c>
      <c r="AU146" s="19">
        <v>0</v>
      </c>
      <c r="AV146" s="19">
        <v>0</v>
      </c>
      <c r="AW146" s="19">
        <v>0</v>
      </c>
      <c r="AX146" s="19">
        <v>0</v>
      </c>
      <c r="AY146" s="19">
        <v>0</v>
      </c>
      <c r="AZ146" s="19">
        <v>0</v>
      </c>
      <c r="BA146" s="19">
        <v>0</v>
      </c>
      <c r="BB146" s="19">
        <v>0</v>
      </c>
      <c r="BC146" s="19">
        <v>0</v>
      </c>
      <c r="BD146" s="19">
        <v>0</v>
      </c>
      <c r="BE146" s="19">
        <v>0</v>
      </c>
      <c r="BF146" s="19">
        <v>0</v>
      </c>
      <c r="BG146" s="19">
        <v>0</v>
      </c>
      <c r="BH146" s="19">
        <v>0</v>
      </c>
      <c r="BI146" s="19">
        <v>0</v>
      </c>
      <c r="BJ146" s="19">
        <v>0</v>
      </c>
      <c r="BK146" s="19">
        <v>0</v>
      </c>
      <c r="BL146" s="19">
        <v>0</v>
      </c>
      <c r="BM146" s="19">
        <v>0</v>
      </c>
      <c r="BN146" s="19">
        <v>0</v>
      </c>
      <c r="BO146" s="19">
        <v>0</v>
      </c>
      <c r="BP146" s="19">
        <v>0</v>
      </c>
      <c r="BQ146" s="19">
        <v>0</v>
      </c>
      <c r="BR146" s="19">
        <v>2</v>
      </c>
      <c r="BS146" s="19">
        <v>2</v>
      </c>
      <c r="BT146" s="19">
        <v>3</v>
      </c>
      <c r="BU146" s="19">
        <v>4</v>
      </c>
      <c r="BV146" s="19">
        <v>2</v>
      </c>
      <c r="BW146" s="19">
        <v>3</v>
      </c>
      <c r="BX146" s="19">
        <v>3</v>
      </c>
      <c r="BY146" s="19">
        <v>2</v>
      </c>
      <c r="BZ146" s="19">
        <v>3</v>
      </c>
      <c r="CA146" s="19">
        <v>4</v>
      </c>
      <c r="CB146" s="19">
        <v>3</v>
      </c>
      <c r="CC146" s="19">
        <v>4</v>
      </c>
      <c r="CD146" s="19">
        <v>2</v>
      </c>
      <c r="CE146" s="19">
        <v>3</v>
      </c>
      <c r="CF146" s="19">
        <v>5</v>
      </c>
      <c r="CG146" s="19">
        <v>5</v>
      </c>
      <c r="CH146" s="19">
        <v>4</v>
      </c>
      <c r="CI146" s="19">
        <v>4</v>
      </c>
      <c r="CJ146" s="19">
        <v>4</v>
      </c>
      <c r="CK146" s="19">
        <v>8</v>
      </c>
      <c r="CL146" t="s">
        <v>234</v>
      </c>
      <c r="CM146">
        <v>22.5</v>
      </c>
      <c r="CN146" s="16">
        <v>60.3</v>
      </c>
      <c r="CO146" s="16">
        <v>81</v>
      </c>
      <c r="CP146" s="16">
        <v>13.3</v>
      </c>
      <c r="CQ146">
        <v>92.98</v>
      </c>
      <c r="CR146">
        <v>0</v>
      </c>
      <c r="CS146">
        <v>0</v>
      </c>
      <c r="CT146">
        <v>0</v>
      </c>
      <c r="CU146">
        <v>7.02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0.72</v>
      </c>
      <c r="DD146">
        <v>23.12</v>
      </c>
      <c r="DE146">
        <v>24.81</v>
      </c>
      <c r="DF146">
        <v>0</v>
      </c>
      <c r="DG146">
        <v>0</v>
      </c>
      <c r="DH146">
        <v>0</v>
      </c>
      <c r="DU146">
        <v>0</v>
      </c>
      <c r="DV146">
        <v>1</v>
      </c>
      <c r="DW146">
        <v>23</v>
      </c>
      <c r="DX146">
        <v>1</v>
      </c>
      <c r="DY146">
        <v>0.3</v>
      </c>
      <c r="DZ146">
        <v>3</v>
      </c>
      <c r="EG146" s="18"/>
      <c r="EY146">
        <v>0</v>
      </c>
      <c r="GJ146" s="16">
        <v>1.26</v>
      </c>
      <c r="GK146" s="16">
        <v>1</v>
      </c>
      <c r="GL146" s="16">
        <v>1</v>
      </c>
      <c r="GM146" s="16"/>
      <c r="GN146" s="16">
        <f>2.1+1.7+0.4+0.37+0.74</f>
        <v>5.3100000000000005</v>
      </c>
      <c r="GO146" s="16"/>
      <c r="GP146" s="16"/>
      <c r="GQ146" s="16"/>
      <c r="GR146" s="16"/>
      <c r="GS146" s="16"/>
      <c r="GT146" s="16"/>
      <c r="GU146" s="16">
        <v>6.24</v>
      </c>
      <c r="GV146" s="16">
        <v>6.99</v>
      </c>
      <c r="GW146" s="16"/>
      <c r="GX146" s="16"/>
      <c r="GY146" s="16">
        <v>0</v>
      </c>
      <c r="GZ146" s="16">
        <v>0</v>
      </c>
      <c r="HA146" s="16">
        <v>0</v>
      </c>
      <c r="HB146">
        <v>0</v>
      </c>
      <c r="HC146" t="s">
        <v>236</v>
      </c>
      <c r="HD146">
        <v>51</v>
      </c>
      <c r="HE146" s="16">
        <v>93.4</v>
      </c>
      <c r="HF146" s="16">
        <v>81</v>
      </c>
      <c r="HG146" s="16">
        <v>29.5</v>
      </c>
      <c r="HH146">
        <v>55.24</v>
      </c>
      <c r="HI146">
        <v>0</v>
      </c>
      <c r="HJ146">
        <v>0</v>
      </c>
      <c r="HK146">
        <v>0</v>
      </c>
      <c r="HL146">
        <v>44.76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0.67</v>
      </c>
      <c r="HT146">
        <v>5.0999999999999996</v>
      </c>
      <c r="HU146">
        <v>47.22</v>
      </c>
      <c r="HV146">
        <v>18.3</v>
      </c>
      <c r="HW146">
        <v>0</v>
      </c>
      <c r="HX146">
        <v>7.5</v>
      </c>
      <c r="HY146">
        <v>1</v>
      </c>
      <c r="HZ146">
        <v>3.6</v>
      </c>
      <c r="IB146">
        <v>1</v>
      </c>
      <c r="IF146">
        <v>3.6</v>
      </c>
      <c r="IH146">
        <v>1</v>
      </c>
      <c r="IL146">
        <v>0</v>
      </c>
      <c r="IM146">
        <v>0</v>
      </c>
      <c r="IX146" s="18"/>
      <c r="JP146">
        <v>0</v>
      </c>
      <c r="LA146" s="16">
        <v>1.95</v>
      </c>
      <c r="LB146" s="16">
        <v>1</v>
      </c>
      <c r="LC146" s="16">
        <v>1</v>
      </c>
      <c r="LD146" s="16"/>
      <c r="LE146" s="16">
        <f>2.42+1.67+5+0.22+0.66+0.22</f>
        <v>10.190000000000001</v>
      </c>
      <c r="LF146" s="16"/>
      <c r="LG146" s="16"/>
      <c r="LH146" s="16"/>
      <c r="LI146" s="16"/>
      <c r="LJ146" s="16"/>
      <c r="LK146" s="16"/>
      <c r="LL146" s="16">
        <v>5.63</v>
      </c>
      <c r="LM146" s="16">
        <v>11.04</v>
      </c>
      <c r="LN146" s="16"/>
      <c r="LO146" s="16"/>
      <c r="LP146" s="16">
        <v>0</v>
      </c>
      <c r="LQ146" s="16">
        <v>0</v>
      </c>
      <c r="LR146" s="16">
        <v>0</v>
      </c>
      <c r="LS146">
        <v>0</v>
      </c>
      <c r="LT146" t="s">
        <v>237</v>
      </c>
      <c r="LU146">
        <v>46</v>
      </c>
      <c r="LV146" s="16">
        <v>92.7</v>
      </c>
      <c r="LW146" s="16">
        <v>81</v>
      </c>
      <c r="LX146" s="16">
        <v>20.8</v>
      </c>
      <c r="LY146">
        <v>76.44</v>
      </c>
      <c r="LZ146">
        <v>0</v>
      </c>
      <c r="MA146">
        <v>0</v>
      </c>
      <c r="MB146">
        <v>0</v>
      </c>
      <c r="MC146">
        <v>23.56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0.23</v>
      </c>
      <c r="MK146">
        <v>0.51</v>
      </c>
      <c r="ML146">
        <v>26.55</v>
      </c>
      <c r="MM146">
        <v>36.69</v>
      </c>
      <c r="MN146">
        <v>0</v>
      </c>
      <c r="MO146">
        <v>10.6</v>
      </c>
      <c r="MP146">
        <v>1</v>
      </c>
      <c r="MQ146">
        <v>6</v>
      </c>
      <c r="MS146">
        <v>1</v>
      </c>
      <c r="MW146">
        <v>6</v>
      </c>
      <c r="MY146">
        <v>1</v>
      </c>
      <c r="NC146">
        <v>7.1</v>
      </c>
      <c r="ND146">
        <v>1</v>
      </c>
      <c r="NE146">
        <v>35</v>
      </c>
      <c r="NF146">
        <v>2</v>
      </c>
      <c r="NG146">
        <f>0.76*2</f>
        <v>1.52</v>
      </c>
      <c r="NH146">
        <v>3</v>
      </c>
      <c r="NO146" s="18"/>
      <c r="OG146">
        <v>0</v>
      </c>
      <c r="PR146" s="16">
        <v>2.41</v>
      </c>
      <c r="PS146" s="16">
        <v>1</v>
      </c>
      <c r="PT146" s="16">
        <v>1</v>
      </c>
      <c r="PU146" s="16"/>
      <c r="PV146" s="16">
        <f>0.41+1.67+5+0.33+0.45+0.15</f>
        <v>8.01</v>
      </c>
      <c r="PW146" s="16"/>
      <c r="PX146" s="16"/>
      <c r="PY146" s="16"/>
      <c r="PZ146" s="16"/>
      <c r="QA146" s="16"/>
      <c r="QB146" s="16"/>
      <c r="QC146" s="16">
        <v>0.33</v>
      </c>
      <c r="QD146" s="16">
        <v>0.33</v>
      </c>
      <c r="QE146" s="16"/>
      <c r="QF146" s="16"/>
      <c r="QG146" s="16">
        <v>0</v>
      </c>
      <c r="QH146" s="16">
        <v>0</v>
      </c>
      <c r="QI146" s="16">
        <v>0</v>
      </c>
      <c r="QJ146">
        <v>0</v>
      </c>
      <c r="QK146" t="s">
        <v>462</v>
      </c>
      <c r="QL146">
        <v>47.5</v>
      </c>
      <c r="QM146" s="16">
        <v>85.1</v>
      </c>
      <c r="QN146" s="16">
        <v>81</v>
      </c>
      <c r="QO146" s="16">
        <v>33.200000000000003</v>
      </c>
      <c r="QP146">
        <v>52.89</v>
      </c>
      <c r="QQ146">
        <v>0</v>
      </c>
      <c r="QR146">
        <v>0</v>
      </c>
      <c r="QS146">
        <v>0</v>
      </c>
      <c r="QT146">
        <v>47.11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3.65</v>
      </c>
      <c r="RB146">
        <v>0</v>
      </c>
      <c r="RC146">
        <v>19.66</v>
      </c>
      <c r="RD146">
        <v>48.22</v>
      </c>
      <c r="RE146">
        <v>0</v>
      </c>
      <c r="RF146">
        <v>5.3</v>
      </c>
      <c r="RG146">
        <v>1</v>
      </c>
      <c r="RH146">
        <v>5</v>
      </c>
      <c r="RJ146">
        <v>1</v>
      </c>
      <c r="RN146">
        <v>5</v>
      </c>
      <c r="RP146">
        <v>1</v>
      </c>
      <c r="RT146">
        <v>1.5</v>
      </c>
      <c r="RU146">
        <v>0</v>
      </c>
      <c r="SF146" s="18"/>
      <c r="SX146">
        <v>1</v>
      </c>
      <c r="SY146">
        <v>60</v>
      </c>
      <c r="SZ146">
        <v>1</v>
      </c>
      <c r="TA146">
        <v>3.97</v>
      </c>
      <c r="TB146">
        <v>4</v>
      </c>
      <c r="TC146">
        <v>60</v>
      </c>
      <c r="TD146">
        <v>1</v>
      </c>
      <c r="TE146">
        <v>0.2</v>
      </c>
      <c r="TF146">
        <v>3</v>
      </c>
      <c r="UI146" s="16">
        <v>1.3</v>
      </c>
      <c r="UJ146" s="16">
        <v>1</v>
      </c>
      <c r="UK146" s="16">
        <v>1</v>
      </c>
      <c r="UL146" s="16"/>
      <c r="UM146" s="16">
        <f>1.05*2+0.15</f>
        <v>2.25</v>
      </c>
      <c r="UN146" s="16"/>
      <c r="UO146" s="16"/>
      <c r="UP146" s="16"/>
      <c r="UQ146" s="16"/>
      <c r="UR146" s="16"/>
      <c r="US146" s="16"/>
      <c r="UT146" s="16">
        <v>0.69</v>
      </c>
      <c r="UU146" s="16">
        <v>0.33</v>
      </c>
      <c r="UV146" s="16"/>
      <c r="UW146" s="16"/>
      <c r="UX146" s="16">
        <v>0</v>
      </c>
      <c r="UY146" s="16">
        <v>0</v>
      </c>
      <c r="UZ146" s="16">
        <v>0</v>
      </c>
      <c r="VA146">
        <v>0</v>
      </c>
      <c r="VB146" t="s">
        <v>463</v>
      </c>
      <c r="VC146">
        <v>50</v>
      </c>
      <c r="VD146" s="16">
        <v>86.6</v>
      </c>
      <c r="VE146" s="16">
        <v>81</v>
      </c>
      <c r="VF146" s="16">
        <v>31.6</v>
      </c>
      <c r="VG146">
        <v>51.98</v>
      </c>
      <c r="VH146">
        <v>0</v>
      </c>
      <c r="VI146">
        <v>0</v>
      </c>
      <c r="VJ146">
        <v>0</v>
      </c>
      <c r="VK146">
        <v>48.02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34.880000000000003</v>
      </c>
      <c r="VU146">
        <v>40.97</v>
      </c>
      <c r="VV146">
        <v>0</v>
      </c>
      <c r="VW146">
        <v>12</v>
      </c>
      <c r="VX146">
        <v>1</v>
      </c>
      <c r="VY146">
        <v>7</v>
      </c>
      <c r="WA146">
        <v>1</v>
      </c>
      <c r="WE146">
        <v>7</v>
      </c>
      <c r="WG146">
        <v>1</v>
      </c>
      <c r="WK146">
        <v>0.4</v>
      </c>
      <c r="WL146">
        <v>0</v>
      </c>
      <c r="WW146" s="18"/>
      <c r="XO146">
        <v>1</v>
      </c>
      <c r="XP146">
        <v>60</v>
      </c>
      <c r="XQ146">
        <v>1</v>
      </c>
      <c r="XR146">
        <v>0.53</v>
      </c>
      <c r="XS146">
        <v>4</v>
      </c>
      <c r="XT146">
        <v>60</v>
      </c>
      <c r="XU146">
        <v>1</v>
      </c>
      <c r="XV146">
        <v>0.6</v>
      </c>
      <c r="XW146">
        <v>3</v>
      </c>
      <c r="YZ146" s="16">
        <v>0.22</v>
      </c>
      <c r="ZA146" s="16">
        <v>1</v>
      </c>
      <c r="ZB146" s="16">
        <v>1</v>
      </c>
      <c r="ZC146" s="16"/>
      <c r="ZD146" s="16">
        <f>0.37*2</f>
        <v>0.74</v>
      </c>
      <c r="ZE146" s="16"/>
      <c r="ZF146" s="16"/>
      <c r="ZG146" s="16"/>
      <c r="ZH146" s="16"/>
      <c r="ZI146" s="16"/>
      <c r="ZJ146" s="16"/>
      <c r="ZK146" s="16">
        <v>0</v>
      </c>
      <c r="ZL146" s="16">
        <v>0</v>
      </c>
      <c r="ZM146" s="16"/>
      <c r="ZN146" s="16"/>
      <c r="ZO146" s="16">
        <v>0</v>
      </c>
      <c r="ZP146" s="16">
        <v>0</v>
      </c>
      <c r="ZQ146" s="16">
        <v>0</v>
      </c>
      <c r="ZR146">
        <v>0</v>
      </c>
      <c r="ZT146" s="34"/>
      <c r="ZU146" s="15"/>
      <c r="ZV146" s="15"/>
      <c r="ZX146" s="34"/>
      <c r="ZY146" s="34"/>
      <c r="AAB146" s="34"/>
      <c r="AAC146" s="15"/>
      <c r="AAD146" s="15"/>
      <c r="AAF146" s="34"/>
      <c r="AAG146" s="34"/>
      <c r="AAJ146" s="34"/>
      <c r="AAK146" s="15"/>
      <c r="AAL146" s="15"/>
      <c r="AAN146" s="34"/>
      <c r="AAO146" s="34"/>
      <c r="AAR146" s="34"/>
      <c r="AAS146" s="15"/>
      <c r="AAT146" s="15"/>
      <c r="AAV146" s="34"/>
      <c r="AAW146" s="34"/>
      <c r="AAZ146" s="34"/>
      <c r="ABA146" s="15"/>
      <c r="ABB146" s="15"/>
      <c r="ABD146" s="34"/>
      <c r="ABE146" s="34"/>
      <c r="ABH146" s="34"/>
      <c r="ABI146" s="15"/>
      <c r="ABJ146" s="15"/>
      <c r="ABL146" s="34"/>
      <c r="ABM146" s="34"/>
      <c r="ABP146" s="34"/>
      <c r="ABQ146" s="15"/>
      <c r="ABR146" s="15"/>
      <c r="ABT146" s="34"/>
      <c r="ABU146" s="34"/>
      <c r="ABX146" s="34"/>
      <c r="ABY146" s="15"/>
      <c r="ABZ146" s="15"/>
      <c r="ACB146" s="34"/>
      <c r="ACC146" s="34"/>
      <c r="ACF146" s="34"/>
      <c r="ACG146" s="15"/>
      <c r="ACH146" s="15"/>
      <c r="ACJ146" s="34"/>
      <c r="ACK146" s="34"/>
      <c r="ACN146" s="34"/>
      <c r="ACO146" s="15"/>
      <c r="ACP146" s="15"/>
      <c r="ACR146" s="34"/>
      <c r="ACS146" s="34"/>
      <c r="ACV146" s="34"/>
      <c r="ACW146" s="15"/>
      <c r="ACX146" s="15"/>
      <c r="ACZ146" s="34"/>
      <c r="ADA146" s="34"/>
      <c r="ADD146" s="34"/>
      <c r="ADE146" s="15"/>
      <c r="ADF146" s="15"/>
      <c r="ADH146" s="34"/>
      <c r="ADI146" s="34"/>
      <c r="ADL146" s="34"/>
      <c r="ADM146" s="15"/>
      <c r="ADN146" s="15"/>
      <c r="ADP146" s="34"/>
      <c r="ADQ146" s="34"/>
      <c r="ADT146" s="34"/>
      <c r="ADU146" s="15"/>
      <c r="ADV146" s="15"/>
      <c r="ADX146" s="34"/>
      <c r="ADY146" s="34"/>
      <c r="AEB146" s="34"/>
      <c r="AEC146" s="15"/>
      <c r="AED146" s="15"/>
      <c r="AEF146" s="34"/>
      <c r="AEG146" s="34"/>
      <c r="AEJ146" s="34"/>
      <c r="AEK146" s="15"/>
      <c r="AEL146" s="15"/>
      <c r="AEN146" s="34"/>
      <c r="AEO146" s="34"/>
      <c r="AER146" s="34"/>
      <c r="AES146" s="15"/>
      <c r="AET146" s="15"/>
      <c r="AEV146" s="34"/>
      <c r="AEW146" s="34"/>
      <c r="AEZ146" s="34"/>
      <c r="AFA146" s="15"/>
      <c r="AFB146" s="15"/>
      <c r="AFD146" s="34"/>
      <c r="AFE146" s="34"/>
      <c r="AFH146" s="34"/>
      <c r="AFI146" s="15"/>
      <c r="AFJ146" s="15"/>
      <c r="AFL146" s="34"/>
      <c r="AFM146" s="34"/>
      <c r="AFP146" s="34"/>
      <c r="AFQ146" s="15"/>
      <c r="AFR146" s="15"/>
      <c r="AFT146" s="34"/>
      <c r="AFU146" s="34"/>
      <c r="AFX146" s="34"/>
      <c r="AFY146" s="15"/>
      <c r="AFZ146" s="15"/>
      <c r="AGB146" s="34"/>
      <c r="AGC146" s="34"/>
      <c r="AGF146" s="34"/>
      <c r="AGG146" s="15"/>
      <c r="AGH146" s="15"/>
      <c r="AGJ146" s="34"/>
      <c r="AGK146" s="34"/>
      <c r="AGN146" s="34"/>
      <c r="AGO146" s="15"/>
      <c r="AGP146" s="15"/>
      <c r="AGR146" s="34"/>
      <c r="AGS146" s="34"/>
      <c r="AGV146" s="34"/>
      <c r="AGW146" s="15"/>
      <c r="AGX146" s="15"/>
      <c r="AGZ146" s="34"/>
      <c r="AHA146" s="34"/>
      <c r="AHD146" s="34"/>
      <c r="AHE146" s="15"/>
      <c r="AHF146" s="15"/>
      <c r="AHH146" s="34"/>
      <c r="AHI146" s="34"/>
      <c r="AHL146" s="34"/>
      <c r="AHM146" s="15"/>
      <c r="AHN146" s="15"/>
      <c r="AHP146" s="34"/>
      <c r="AHQ146" s="34"/>
      <c r="AHT146" s="34"/>
      <c r="AHU146" s="15"/>
      <c r="AHV146" s="15"/>
      <c r="AHX146" s="34"/>
      <c r="AHY146" s="34"/>
      <c r="AIB146" s="34"/>
      <c r="AIC146" s="15"/>
      <c r="AID146" s="15"/>
      <c r="AIF146" s="34"/>
      <c r="AIG146" s="34"/>
      <c r="AIJ146" s="34"/>
      <c r="AIK146" s="15"/>
      <c r="AIL146" s="15"/>
      <c r="AIN146" s="34"/>
      <c r="AIO146" s="34"/>
      <c r="AIR146" s="34"/>
      <c r="AIS146" s="15"/>
      <c r="AIT146" s="15"/>
      <c r="AIV146" s="34"/>
      <c r="AIW146" s="34"/>
      <c r="AIZ146" s="34"/>
      <c r="AJA146" s="15"/>
      <c r="AJB146" s="15"/>
      <c r="AJD146" s="34"/>
      <c r="AJE146" s="34"/>
      <c r="AJH146" s="34"/>
      <c r="AJI146" s="15"/>
      <c r="AJJ146" s="15"/>
      <c r="AJL146" s="34"/>
      <c r="AJM146" s="34"/>
      <c r="AJP146" s="34"/>
      <c r="AJQ146" s="15"/>
      <c r="AJR146" s="15"/>
      <c r="AJT146" s="34"/>
      <c r="AJU146" s="34"/>
      <c r="AJX146" s="34"/>
      <c r="AJY146" s="15"/>
      <c r="AJZ146" s="15"/>
      <c r="AKB146" s="34"/>
      <c r="AKC146" s="34"/>
      <c r="AKF146" s="34"/>
      <c r="AKG146" s="15"/>
      <c r="AKH146" s="15"/>
      <c r="AKJ146" s="34"/>
      <c r="AKK146" s="34"/>
      <c r="AKN146" s="34"/>
      <c r="AKO146" s="15"/>
      <c r="AKP146" s="15"/>
      <c r="AKR146" s="34"/>
      <c r="AKS146" s="34"/>
      <c r="AKV146" s="34"/>
      <c r="AKW146" s="15"/>
      <c r="AKX146" s="15"/>
      <c r="AKZ146" s="34"/>
      <c r="ALA146" s="34"/>
      <c r="ALD146" s="34"/>
      <c r="ALE146" s="15"/>
      <c r="ALF146" s="15"/>
      <c r="ALH146" s="34"/>
      <c r="ALI146" s="34"/>
      <c r="ALL146" s="34"/>
      <c r="ALM146" s="15"/>
      <c r="ALN146" s="15"/>
      <c r="ALP146" s="34"/>
      <c r="ALQ146" s="34"/>
      <c r="ALT146" s="34"/>
      <c r="ALU146" s="15"/>
      <c r="ALV146" s="15"/>
      <c r="ALX146" s="34"/>
      <c r="ALY146" s="34"/>
      <c r="AMB146" s="34"/>
      <c r="AMC146" s="15"/>
      <c r="AMD146" s="15"/>
      <c r="AMF146" s="34"/>
      <c r="AMG146" s="34"/>
      <c r="AMJ146" s="34"/>
    </row>
    <row r="147" spans="1:1024" x14ac:dyDescent="0.2">
      <c r="A147" s="1" t="s">
        <v>594</v>
      </c>
      <c r="B147" s="12">
        <v>42902</v>
      </c>
      <c r="C147">
        <v>1</v>
      </c>
      <c r="D147" s="13">
        <v>40301</v>
      </c>
      <c r="E147" s="12">
        <v>25953</v>
      </c>
      <c r="F147" s="14">
        <f t="shared" si="48"/>
        <v>46.403832991101986</v>
      </c>
      <c r="G147" s="14">
        <f t="shared" si="49"/>
        <v>7.1211498973305956</v>
      </c>
      <c r="H147" s="15" t="s">
        <v>228</v>
      </c>
      <c r="I147" s="15" t="s">
        <v>229</v>
      </c>
      <c r="J147" s="15" t="s">
        <v>183</v>
      </c>
      <c r="K147" s="21">
        <v>4</v>
      </c>
      <c r="L147" s="19">
        <v>64</v>
      </c>
      <c r="M147">
        <v>1.62</v>
      </c>
      <c r="N147" s="16">
        <f t="shared" si="50"/>
        <v>24.386526444139609</v>
      </c>
      <c r="O147" s="19">
        <v>0</v>
      </c>
      <c r="P147" s="19">
        <v>0</v>
      </c>
      <c r="Q147" s="19">
        <v>0</v>
      </c>
      <c r="R147" s="19">
        <v>0</v>
      </c>
      <c r="S147" s="19">
        <v>0</v>
      </c>
      <c r="T147" s="19">
        <v>0</v>
      </c>
      <c r="U147" s="19">
        <v>0</v>
      </c>
      <c r="V147" s="19">
        <v>0</v>
      </c>
      <c r="W147" s="19">
        <v>0</v>
      </c>
      <c r="X147" s="19">
        <v>0</v>
      </c>
      <c r="Y147" s="19">
        <v>0</v>
      </c>
      <c r="Z147" s="19">
        <v>0</v>
      </c>
      <c r="AA147" s="19">
        <v>0</v>
      </c>
      <c r="AB147" s="19">
        <v>0</v>
      </c>
      <c r="AC147" s="19">
        <v>0</v>
      </c>
      <c r="AD147" s="19">
        <v>0</v>
      </c>
      <c r="AE147" s="19"/>
      <c r="AF147" s="19"/>
      <c r="AG147" s="19"/>
      <c r="AH147" s="19"/>
      <c r="AI147" s="19">
        <v>1</v>
      </c>
      <c r="AJ147" s="19"/>
      <c r="AK147" s="19"/>
      <c r="AL147" s="19"/>
      <c r="AM147" s="19"/>
      <c r="AN147" s="19">
        <v>1</v>
      </c>
      <c r="AO147" s="19"/>
      <c r="AP147" s="19"/>
      <c r="AQ147" s="19"/>
      <c r="AR147" s="19"/>
      <c r="AS147" s="19">
        <v>2</v>
      </c>
      <c r="AT147" s="19"/>
      <c r="AU147" s="19"/>
      <c r="AV147" s="19"/>
      <c r="AW147" s="19"/>
      <c r="AX147" s="19"/>
      <c r="AY147" s="19"/>
      <c r="AZ147" s="19"/>
      <c r="BA147" s="19"/>
      <c r="BB147" s="19"/>
      <c r="BC147" s="19"/>
      <c r="BD147" s="19"/>
      <c r="BE147" s="19"/>
      <c r="BF147" s="19"/>
      <c r="BG147" s="19"/>
      <c r="BH147" s="19"/>
      <c r="BI147" s="19"/>
      <c r="BJ147" s="19"/>
      <c r="BK147" s="19"/>
      <c r="BL147" s="19"/>
      <c r="BM147" s="19"/>
      <c r="BN147" s="19"/>
      <c r="BO147" s="19"/>
      <c r="BP147" s="19"/>
      <c r="BQ147" s="19"/>
      <c r="BR147" s="19">
        <v>3</v>
      </c>
      <c r="BS147" s="19">
        <v>1</v>
      </c>
      <c r="BT147" s="19">
        <v>3</v>
      </c>
      <c r="BU147" s="19">
        <v>5</v>
      </c>
      <c r="BV147" s="19">
        <v>2</v>
      </c>
      <c r="BW147" s="19">
        <v>2</v>
      </c>
      <c r="BX147" s="19">
        <v>5</v>
      </c>
      <c r="BY147" s="19">
        <v>3</v>
      </c>
      <c r="BZ147" s="19">
        <v>3</v>
      </c>
      <c r="CA147" s="19">
        <v>3</v>
      </c>
      <c r="CB147" s="19">
        <v>5</v>
      </c>
      <c r="CC147" s="19">
        <v>5</v>
      </c>
      <c r="CD147" s="19">
        <v>5</v>
      </c>
      <c r="CE147" s="19">
        <v>5</v>
      </c>
      <c r="CF147" s="19">
        <v>3</v>
      </c>
      <c r="CG147" s="19">
        <v>5</v>
      </c>
      <c r="CH147" s="19">
        <v>5</v>
      </c>
      <c r="CI147" s="19">
        <v>5</v>
      </c>
      <c r="CJ147" s="19">
        <v>5</v>
      </c>
      <c r="CK147" s="19">
        <v>10</v>
      </c>
      <c r="CL147" t="s">
        <v>232</v>
      </c>
      <c r="CM147">
        <v>40</v>
      </c>
      <c r="CN147" s="16">
        <v>84.9</v>
      </c>
      <c r="CO147" s="16">
        <v>81</v>
      </c>
      <c r="CP147" s="16">
        <v>13.2</v>
      </c>
      <c r="CQ147">
        <v>93.04</v>
      </c>
      <c r="CR147">
        <v>0</v>
      </c>
      <c r="CS147">
        <v>0</v>
      </c>
      <c r="CT147">
        <v>3.59</v>
      </c>
      <c r="CU147">
        <v>3.38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1.7</v>
      </c>
      <c r="DC147">
        <v>3.97</v>
      </c>
      <c r="DD147">
        <v>39.76</v>
      </c>
      <c r="DE147">
        <v>0.13</v>
      </c>
      <c r="DF147">
        <v>0</v>
      </c>
      <c r="DG147">
        <v>0</v>
      </c>
      <c r="DH147">
        <v>0</v>
      </c>
      <c r="DU147">
        <v>15.9</v>
      </c>
      <c r="DV147">
        <v>1</v>
      </c>
      <c r="DW147">
        <v>47</v>
      </c>
      <c r="DX147">
        <v>2</v>
      </c>
      <c r="DY147">
        <v>1.51</v>
      </c>
      <c r="DZ147">
        <v>3</v>
      </c>
      <c r="EG147" s="18"/>
      <c r="EY147">
        <v>1</v>
      </c>
      <c r="EZ147">
        <v>40</v>
      </c>
      <c r="FA147">
        <v>7</v>
      </c>
      <c r="FB147">
        <f>2.27+3.02</f>
        <v>5.29</v>
      </c>
      <c r="FC147">
        <v>3</v>
      </c>
      <c r="GJ147" s="16">
        <v>1.48</v>
      </c>
      <c r="GK147" s="16">
        <v>1</v>
      </c>
      <c r="GL147" s="16">
        <v>1</v>
      </c>
      <c r="GM147" s="16"/>
      <c r="GN147" s="16">
        <f>2.1+1.7+0.37+0.74</f>
        <v>4.91</v>
      </c>
      <c r="GO147" s="16"/>
      <c r="GP147" s="16"/>
      <c r="GQ147" s="16"/>
      <c r="GR147" s="16"/>
      <c r="GS147" s="16"/>
      <c r="GT147" s="16"/>
      <c r="GU147" s="16">
        <v>7.34</v>
      </c>
      <c r="GV147" s="16">
        <v>5.01</v>
      </c>
      <c r="GW147" s="16"/>
      <c r="GX147" s="16"/>
      <c r="GY147" s="16">
        <v>0</v>
      </c>
      <c r="GZ147" s="16">
        <v>0</v>
      </c>
      <c r="HA147" s="16">
        <v>0</v>
      </c>
      <c r="HB147">
        <v>0</v>
      </c>
      <c r="HC147" t="s">
        <v>233</v>
      </c>
      <c r="HD147">
        <v>39.5</v>
      </c>
      <c r="HE147" s="16">
        <v>85</v>
      </c>
      <c r="HF147" s="16">
        <v>81</v>
      </c>
      <c r="HG147" s="16">
        <v>12.7</v>
      </c>
      <c r="HH147">
        <v>93.14</v>
      </c>
      <c r="HI147">
        <v>0</v>
      </c>
      <c r="HJ147">
        <v>1.57</v>
      </c>
      <c r="HK147">
        <v>2.08</v>
      </c>
      <c r="HL147">
        <v>3.21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1.7</v>
      </c>
      <c r="HT147">
        <v>6.54</v>
      </c>
      <c r="HU147">
        <v>37.880000000000003</v>
      </c>
      <c r="HV147">
        <v>3</v>
      </c>
      <c r="HW147">
        <v>0</v>
      </c>
      <c r="HX147">
        <v>0</v>
      </c>
      <c r="HY147">
        <v>0</v>
      </c>
      <c r="IL147">
        <v>15.7</v>
      </c>
      <c r="IM147">
        <v>1</v>
      </c>
      <c r="IN147">
        <v>47</v>
      </c>
      <c r="IO147">
        <v>2</v>
      </c>
      <c r="IP147">
        <v>1.51</v>
      </c>
      <c r="IQ147">
        <v>3</v>
      </c>
      <c r="IX147" s="18"/>
      <c r="JP147">
        <v>1</v>
      </c>
      <c r="JQ147">
        <v>50</v>
      </c>
      <c r="JR147">
        <v>3</v>
      </c>
      <c r="JS147">
        <v>0.4</v>
      </c>
      <c r="JT147">
        <v>3</v>
      </c>
      <c r="JU147">
        <v>40</v>
      </c>
      <c r="JV147">
        <v>7</v>
      </c>
      <c r="JW147">
        <f>2.27+3.02</f>
        <v>5.29</v>
      </c>
      <c r="JX147">
        <v>3</v>
      </c>
      <c r="LA147" s="16">
        <v>1.76</v>
      </c>
      <c r="LB147" s="16">
        <v>1</v>
      </c>
      <c r="LC147" s="16">
        <v>1</v>
      </c>
      <c r="LD147" s="16"/>
      <c r="LE147" s="16">
        <f>2.1+1.7+0.4+0.37+0.74</f>
        <v>5.3100000000000005</v>
      </c>
      <c r="LF147" s="16"/>
      <c r="LG147" s="16"/>
      <c r="LH147" s="16"/>
      <c r="LI147" s="16"/>
      <c r="LJ147" s="16"/>
      <c r="LK147" s="16"/>
      <c r="LL147" s="16">
        <v>7.31</v>
      </c>
      <c r="LM147" s="16">
        <v>6.99</v>
      </c>
      <c r="LN147" s="16"/>
      <c r="LO147" s="16"/>
      <c r="LP147" s="16">
        <v>0</v>
      </c>
      <c r="LQ147" s="16">
        <v>0</v>
      </c>
      <c r="LR147" s="16">
        <v>0</v>
      </c>
      <c r="LS147">
        <v>0</v>
      </c>
      <c r="LT147" t="s">
        <v>234</v>
      </c>
      <c r="LU147">
        <v>22.5</v>
      </c>
      <c r="LV147" s="16">
        <v>60.3</v>
      </c>
      <c r="LW147" s="16">
        <v>81</v>
      </c>
      <c r="LX147" s="16">
        <v>13.3</v>
      </c>
      <c r="LY147">
        <v>92.98</v>
      </c>
      <c r="LZ147">
        <v>0</v>
      </c>
      <c r="MA147">
        <v>0</v>
      </c>
      <c r="MB147">
        <v>0</v>
      </c>
      <c r="MC147">
        <v>7.02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0.72</v>
      </c>
      <c r="ML147">
        <v>23.12</v>
      </c>
      <c r="MM147">
        <v>24.81</v>
      </c>
      <c r="MN147">
        <v>0</v>
      </c>
      <c r="MO147">
        <v>0</v>
      </c>
      <c r="MP147">
        <v>0</v>
      </c>
      <c r="NC147">
        <v>0</v>
      </c>
      <c r="ND147">
        <v>1</v>
      </c>
      <c r="NE147">
        <v>23</v>
      </c>
      <c r="NF147">
        <v>1</v>
      </c>
      <c r="NG147">
        <v>0.3</v>
      </c>
      <c r="NH147">
        <v>3</v>
      </c>
      <c r="NO147" s="18"/>
      <c r="OG147">
        <v>0</v>
      </c>
      <c r="PR147" s="16">
        <v>1.26</v>
      </c>
      <c r="PS147" s="16">
        <v>1</v>
      </c>
      <c r="PT147" s="16">
        <v>1</v>
      </c>
      <c r="PU147" s="16"/>
      <c r="PV147" s="16">
        <f>2.1+1.7+0.4+0.37+0.74</f>
        <v>5.3100000000000005</v>
      </c>
      <c r="PW147" s="16"/>
      <c r="PX147" s="16"/>
      <c r="PY147" s="16"/>
      <c r="PZ147" s="16"/>
      <c r="QA147" s="16"/>
      <c r="QB147" s="16"/>
      <c r="QC147" s="16">
        <v>6.24</v>
      </c>
      <c r="QD147" s="16">
        <v>6.99</v>
      </c>
      <c r="QE147" s="16"/>
      <c r="QF147" s="16"/>
      <c r="QG147" s="16">
        <v>0</v>
      </c>
      <c r="QH147" s="16">
        <v>0</v>
      </c>
      <c r="QI147" s="16">
        <v>0</v>
      </c>
      <c r="QJ147">
        <v>0</v>
      </c>
      <c r="QK147" t="s">
        <v>235</v>
      </c>
      <c r="QL147">
        <v>37</v>
      </c>
      <c r="QM147" s="16">
        <v>81.900000000000006</v>
      </c>
      <c r="QN147" s="16">
        <v>81</v>
      </c>
      <c r="QO147" s="16">
        <v>26.3</v>
      </c>
      <c r="QP147">
        <v>68.540000000000006</v>
      </c>
      <c r="QQ147">
        <v>0</v>
      </c>
      <c r="QR147">
        <v>0</v>
      </c>
      <c r="QS147">
        <v>0</v>
      </c>
      <c r="QT147">
        <v>31.46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5.42</v>
      </c>
      <c r="RC147">
        <v>17.37</v>
      </c>
      <c r="RD147">
        <v>41.85</v>
      </c>
      <c r="RE147">
        <v>0</v>
      </c>
      <c r="RF147">
        <v>0</v>
      </c>
      <c r="RG147">
        <v>0</v>
      </c>
      <c r="RT147">
        <v>0</v>
      </c>
      <c r="RU147">
        <v>1</v>
      </c>
      <c r="RV147">
        <v>23</v>
      </c>
      <c r="RW147">
        <v>2</v>
      </c>
      <c r="RX147">
        <v>2.11</v>
      </c>
      <c r="RY147">
        <v>3</v>
      </c>
      <c r="SF147" s="18"/>
      <c r="SX147">
        <v>0</v>
      </c>
      <c r="UI147" s="16">
        <v>2.64</v>
      </c>
      <c r="UJ147" s="16">
        <v>1</v>
      </c>
      <c r="UK147" s="16">
        <v>1</v>
      </c>
      <c r="UL147" s="16"/>
      <c r="UM147" s="16">
        <f>4.2*2+1.7+5.1+0.37+0.74</f>
        <v>16.309999999999999</v>
      </c>
      <c r="UN147" s="16"/>
      <c r="UO147" s="16"/>
      <c r="UP147" s="16"/>
      <c r="UQ147" s="16"/>
      <c r="UR147" s="16"/>
      <c r="US147" s="16"/>
      <c r="UT147" s="16">
        <v>5.32</v>
      </c>
      <c r="UU147" s="16">
        <v>8.0399999999999991</v>
      </c>
      <c r="UV147" s="16"/>
      <c r="UW147" s="16"/>
      <c r="UX147" s="16">
        <v>0</v>
      </c>
      <c r="UY147" s="16">
        <v>0</v>
      </c>
      <c r="UZ147" s="16">
        <v>0</v>
      </c>
      <c r="VA147">
        <v>0</v>
      </c>
      <c r="VB147" t="s">
        <v>236</v>
      </c>
      <c r="VC147">
        <v>51</v>
      </c>
      <c r="VD147" s="16">
        <v>93.4</v>
      </c>
      <c r="VE147" s="16">
        <v>81</v>
      </c>
      <c r="VF147" s="16">
        <v>29.5</v>
      </c>
      <c r="VG147">
        <v>55.24</v>
      </c>
      <c r="VH147">
        <v>0</v>
      </c>
      <c r="VI147">
        <v>0</v>
      </c>
      <c r="VJ147">
        <v>0</v>
      </c>
      <c r="VK147">
        <v>44.76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0.67</v>
      </c>
      <c r="VS147">
        <v>5.0999999999999996</v>
      </c>
      <c r="VT147">
        <v>47.22</v>
      </c>
      <c r="VU147">
        <v>18.3</v>
      </c>
      <c r="VV147">
        <v>0</v>
      </c>
      <c r="VW147">
        <v>7.5</v>
      </c>
      <c r="VX147">
        <v>1</v>
      </c>
      <c r="VY147">
        <v>3.6</v>
      </c>
      <c r="WA147">
        <v>1</v>
      </c>
      <c r="WE147">
        <v>3.6</v>
      </c>
      <c r="WG147">
        <v>1</v>
      </c>
      <c r="WK147">
        <v>0</v>
      </c>
      <c r="WL147">
        <v>0</v>
      </c>
      <c r="WW147" s="18"/>
      <c r="XO147">
        <v>0</v>
      </c>
      <c r="YZ147" s="16">
        <v>1.95</v>
      </c>
      <c r="ZA147" s="16">
        <v>1</v>
      </c>
      <c r="ZB147" s="16">
        <v>1</v>
      </c>
      <c r="ZC147" s="16"/>
      <c r="ZD147" s="16">
        <f>2.42+1.67+5+0.22+0.66+0.22</f>
        <v>10.190000000000001</v>
      </c>
      <c r="ZE147" s="16"/>
      <c r="ZF147" s="16"/>
      <c r="ZG147" s="16"/>
      <c r="ZH147" s="16"/>
      <c r="ZI147" s="16"/>
      <c r="ZJ147" s="16"/>
      <c r="ZK147" s="16">
        <v>5.63</v>
      </c>
      <c r="ZL147" s="16">
        <v>11.04</v>
      </c>
      <c r="ZM147" s="16"/>
      <c r="ZN147" s="16"/>
      <c r="ZO147" s="16">
        <v>0</v>
      </c>
      <c r="ZP147" s="16">
        <v>0</v>
      </c>
      <c r="ZQ147" s="16">
        <v>0</v>
      </c>
      <c r="ZR147">
        <v>0</v>
      </c>
      <c r="ZS147" t="s">
        <v>237</v>
      </c>
      <c r="ZT147">
        <v>46</v>
      </c>
      <c r="ZU147" s="16">
        <v>92.7</v>
      </c>
      <c r="ZV147" s="16">
        <v>81</v>
      </c>
      <c r="ZW147" s="16">
        <v>20.8</v>
      </c>
      <c r="ZX147">
        <v>76.44</v>
      </c>
      <c r="ZY147">
        <v>0</v>
      </c>
      <c r="ZZ147">
        <v>0</v>
      </c>
      <c r="AAA147">
        <v>0</v>
      </c>
      <c r="AAB147">
        <v>23.56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0.23</v>
      </c>
      <c r="AAJ147">
        <v>0.51</v>
      </c>
      <c r="AAK147">
        <v>26.55</v>
      </c>
      <c r="AAL147">
        <v>36.69</v>
      </c>
      <c r="AAM147">
        <v>0</v>
      </c>
      <c r="AAN147">
        <v>10.6</v>
      </c>
      <c r="AAO147">
        <v>1</v>
      </c>
      <c r="AAP147">
        <v>6</v>
      </c>
      <c r="AAR147">
        <v>1</v>
      </c>
      <c r="AAV147">
        <v>6</v>
      </c>
      <c r="AAX147">
        <v>1</v>
      </c>
      <c r="ABB147">
        <v>7.1</v>
      </c>
      <c r="ABC147">
        <v>1</v>
      </c>
      <c r="ABD147">
        <v>35</v>
      </c>
      <c r="ABE147">
        <v>2</v>
      </c>
      <c r="ABF147">
        <f>0.76*2</f>
        <v>1.52</v>
      </c>
      <c r="ABG147">
        <v>3</v>
      </c>
      <c r="ABN147" s="18"/>
      <c r="ACF147">
        <v>0</v>
      </c>
      <c r="ADQ147" s="16">
        <v>2.41</v>
      </c>
      <c r="ADR147" s="16">
        <v>1</v>
      </c>
      <c r="ADS147" s="16">
        <v>1</v>
      </c>
      <c r="ADT147" s="16"/>
      <c r="ADU147" s="16">
        <f>0.41+1.67+5+0.33+0.45+0.15</f>
        <v>8.01</v>
      </c>
      <c r="ADV147" s="16"/>
      <c r="ADW147" s="16"/>
      <c r="ADX147" s="16"/>
      <c r="ADY147" s="16"/>
      <c r="ADZ147" s="16"/>
      <c r="AEA147" s="16"/>
      <c r="AEB147" s="16">
        <v>0.33</v>
      </c>
      <c r="AEC147" s="16">
        <v>0.33</v>
      </c>
      <c r="AED147" s="16"/>
      <c r="AEE147" s="16"/>
      <c r="AEF147" s="16">
        <v>0</v>
      </c>
      <c r="AEG147" s="16">
        <v>0</v>
      </c>
      <c r="AEH147" s="16">
        <v>0</v>
      </c>
      <c r="AEI147">
        <v>0</v>
      </c>
      <c r="AEJ147" t="s">
        <v>461</v>
      </c>
      <c r="AEK147">
        <v>38</v>
      </c>
      <c r="AEL147" s="16">
        <v>84.5</v>
      </c>
      <c r="AEM147" s="16">
        <v>81</v>
      </c>
      <c r="AEN147" s="16">
        <v>11.8</v>
      </c>
      <c r="AEO147">
        <v>99.78</v>
      </c>
      <c r="AEP147">
        <v>0</v>
      </c>
      <c r="AEQ147">
        <v>0</v>
      </c>
      <c r="AER147">
        <v>0</v>
      </c>
      <c r="AES147">
        <v>0.22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7.31</v>
      </c>
      <c r="AFA147">
        <v>0</v>
      </c>
      <c r="AFB147">
        <v>30.29</v>
      </c>
      <c r="AFC147">
        <v>31.72</v>
      </c>
      <c r="AFD147">
        <v>0</v>
      </c>
      <c r="AFE147">
        <v>0</v>
      </c>
      <c r="AFF147">
        <v>0</v>
      </c>
      <c r="AFS147">
        <v>14</v>
      </c>
      <c r="AFT147">
        <v>1</v>
      </c>
      <c r="AFU147">
        <v>52</v>
      </c>
      <c r="AFV147">
        <v>6</v>
      </c>
      <c r="AFW147">
        <v>4.53</v>
      </c>
      <c r="AFX147">
        <v>2</v>
      </c>
      <c r="AGE147" s="18"/>
      <c r="AGW147">
        <v>1</v>
      </c>
      <c r="AGX147">
        <v>50</v>
      </c>
      <c r="AGY147">
        <v>3</v>
      </c>
      <c r="AGZ147">
        <v>0.4</v>
      </c>
      <c r="AHA147">
        <v>6</v>
      </c>
      <c r="AIH147" s="16">
        <v>3.9</v>
      </c>
      <c r="AII147" s="16">
        <v>1</v>
      </c>
      <c r="AIJ147" s="16">
        <v>1</v>
      </c>
      <c r="AIK147" s="16"/>
      <c r="AIL147" s="16">
        <f>1.7*3+4.53+2.64*2+0.6</f>
        <v>15.51</v>
      </c>
      <c r="AIM147" s="16"/>
      <c r="AIN147" s="16"/>
      <c r="AIO147" s="16"/>
      <c r="AIP147" s="16"/>
      <c r="AIQ147" s="16"/>
      <c r="AIR147" s="16"/>
      <c r="AIS147" s="16">
        <v>8.14</v>
      </c>
      <c r="AIT147" s="16">
        <v>15.87</v>
      </c>
      <c r="AIU147" s="16"/>
      <c r="AIV147" s="16"/>
      <c r="AIW147" s="16">
        <v>0</v>
      </c>
      <c r="AIX147" s="16">
        <v>0</v>
      </c>
      <c r="AIY147" s="16">
        <v>0</v>
      </c>
      <c r="AIZ147">
        <v>0</v>
      </c>
      <c r="AJA147" t="s">
        <v>595</v>
      </c>
      <c r="AJB147">
        <v>21.5</v>
      </c>
      <c r="AJC147" s="16">
        <v>79.7</v>
      </c>
      <c r="AJD147" s="16">
        <v>81</v>
      </c>
      <c r="AJE147" s="16">
        <v>7.9</v>
      </c>
      <c r="AJF147">
        <v>99.71</v>
      </c>
      <c r="AJG147">
        <v>0</v>
      </c>
      <c r="AJH147">
        <v>0</v>
      </c>
      <c r="AJI147">
        <v>0</v>
      </c>
      <c r="AJJ147">
        <v>0.28999999999999998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11.15</v>
      </c>
      <c r="AJS147">
        <v>33.119999999999997</v>
      </c>
      <c r="AJT147">
        <v>8.7200000000000006</v>
      </c>
      <c r="AJU147">
        <v>0</v>
      </c>
      <c r="AJV147">
        <v>0</v>
      </c>
      <c r="AJW147">
        <v>0</v>
      </c>
      <c r="AKJ147">
        <v>0</v>
      </c>
      <c r="AKK147">
        <v>1</v>
      </c>
      <c r="AKL147">
        <v>23</v>
      </c>
      <c r="AKM147">
        <v>1</v>
      </c>
      <c r="AKN147">
        <v>2.27</v>
      </c>
      <c r="AKO147">
        <v>3</v>
      </c>
      <c r="AKV147" s="18"/>
      <c r="ALN147">
        <v>1</v>
      </c>
      <c r="ALO147">
        <v>50</v>
      </c>
      <c r="ALP147">
        <v>9</v>
      </c>
      <c r="ALQ147">
        <v>4.93</v>
      </c>
      <c r="ALR147">
        <v>3</v>
      </c>
    </row>
    <row r="148" spans="1:1024" x14ac:dyDescent="0.2">
      <c r="A148" s="1" t="s">
        <v>596</v>
      </c>
      <c r="B148" s="12">
        <v>42900</v>
      </c>
      <c r="C148">
        <v>2</v>
      </c>
      <c r="D148" s="13">
        <v>42776</v>
      </c>
      <c r="E148" s="12">
        <v>27334</v>
      </c>
      <c r="F148" s="14">
        <f t="shared" si="48"/>
        <v>42.617385352498289</v>
      </c>
      <c r="G148" s="14">
        <f t="shared" si="49"/>
        <v>0.33949349760438058</v>
      </c>
      <c r="H148" s="15" t="s">
        <v>228</v>
      </c>
      <c r="I148" s="15" t="s">
        <v>229</v>
      </c>
      <c r="J148" s="15" t="s">
        <v>183</v>
      </c>
      <c r="K148" s="21">
        <v>8</v>
      </c>
      <c r="L148" s="19">
        <v>70</v>
      </c>
      <c r="M148">
        <v>1.7</v>
      </c>
      <c r="N148" s="16">
        <f t="shared" si="50"/>
        <v>24.221453287197235</v>
      </c>
      <c r="O148" s="19">
        <v>0</v>
      </c>
      <c r="P148" s="19">
        <v>0</v>
      </c>
      <c r="Q148" s="19">
        <v>0</v>
      </c>
      <c r="R148" s="19">
        <v>0</v>
      </c>
      <c r="S148" s="19">
        <v>0</v>
      </c>
      <c r="T148" s="19"/>
      <c r="U148" s="19"/>
      <c r="V148" s="19"/>
      <c r="W148" s="19">
        <v>0</v>
      </c>
      <c r="X148" s="19">
        <v>0</v>
      </c>
      <c r="Y148" s="19">
        <v>0</v>
      </c>
      <c r="Z148" s="19">
        <v>0</v>
      </c>
      <c r="AA148" s="19">
        <v>0</v>
      </c>
      <c r="AB148" s="19">
        <v>0</v>
      </c>
      <c r="AC148" s="19">
        <v>0</v>
      </c>
      <c r="AD148" s="19">
        <v>0</v>
      </c>
      <c r="AE148" s="19"/>
      <c r="AF148" s="19"/>
      <c r="AG148" s="19"/>
      <c r="AH148" s="19"/>
      <c r="AI148" s="19"/>
      <c r="AJ148" s="19"/>
      <c r="AK148" s="19"/>
      <c r="AL148" s="19"/>
      <c r="AM148" s="19"/>
      <c r="AN148" s="19">
        <v>0</v>
      </c>
      <c r="AO148" s="19">
        <v>0</v>
      </c>
      <c r="AP148" s="19">
        <v>0</v>
      </c>
      <c r="AQ148" s="19">
        <v>0</v>
      </c>
      <c r="AR148" s="19">
        <v>0</v>
      </c>
      <c r="AS148" s="19">
        <v>0</v>
      </c>
      <c r="AT148" s="19">
        <v>0</v>
      </c>
      <c r="AU148" s="19">
        <v>0</v>
      </c>
      <c r="AV148" s="19">
        <v>0</v>
      </c>
      <c r="AW148" s="19">
        <v>0</v>
      </c>
      <c r="AX148" s="19">
        <v>0</v>
      </c>
      <c r="AY148" s="19">
        <v>0</v>
      </c>
      <c r="AZ148" s="19">
        <v>0</v>
      </c>
      <c r="BA148" s="19">
        <v>0</v>
      </c>
      <c r="BB148" s="19">
        <v>0</v>
      </c>
      <c r="BC148" s="19"/>
      <c r="BD148" s="19"/>
      <c r="BE148" s="19"/>
      <c r="BF148" s="19">
        <v>0</v>
      </c>
      <c r="BG148" s="19">
        <v>0</v>
      </c>
      <c r="BH148" s="19">
        <v>0</v>
      </c>
      <c r="BI148" s="19">
        <v>0</v>
      </c>
      <c r="BJ148" s="19">
        <v>0</v>
      </c>
      <c r="BK148" s="19">
        <v>0</v>
      </c>
      <c r="BL148" s="19">
        <v>0</v>
      </c>
      <c r="BM148" s="19">
        <v>0</v>
      </c>
      <c r="BN148" s="19">
        <v>1</v>
      </c>
      <c r="BO148" s="19">
        <v>1</v>
      </c>
      <c r="BP148" s="19">
        <v>1</v>
      </c>
      <c r="BQ148" s="19">
        <v>1</v>
      </c>
      <c r="BR148" s="19">
        <v>1</v>
      </c>
      <c r="BS148" s="19">
        <v>1</v>
      </c>
      <c r="BT148" s="19">
        <v>3</v>
      </c>
      <c r="BU148" s="19">
        <v>5</v>
      </c>
      <c r="BV148" s="19">
        <v>1</v>
      </c>
      <c r="BW148" s="19">
        <v>1</v>
      </c>
      <c r="BX148" s="19">
        <v>1</v>
      </c>
      <c r="BY148" s="19">
        <v>1</v>
      </c>
      <c r="BZ148" s="19">
        <v>5</v>
      </c>
      <c r="CA148" s="19">
        <v>5</v>
      </c>
      <c r="CB148" s="19">
        <v>5</v>
      </c>
      <c r="CC148" s="19">
        <v>5</v>
      </c>
      <c r="CD148" s="19">
        <v>5</v>
      </c>
      <c r="CE148" s="19">
        <v>5</v>
      </c>
      <c r="CF148" s="19">
        <v>3</v>
      </c>
      <c r="CG148" s="19">
        <v>5</v>
      </c>
      <c r="CH148" s="19">
        <v>5</v>
      </c>
      <c r="CI148" s="19">
        <v>5</v>
      </c>
      <c r="CJ148" s="19">
        <v>4</v>
      </c>
      <c r="CK148" s="19">
        <v>10</v>
      </c>
      <c r="CL148" t="s">
        <v>230</v>
      </c>
      <c r="CM148">
        <v>64</v>
      </c>
      <c r="CN148" s="16">
        <v>74.3</v>
      </c>
      <c r="CO148" s="16">
        <v>81</v>
      </c>
      <c r="CP148" s="16">
        <v>58.5</v>
      </c>
      <c r="CQ148">
        <v>49.17</v>
      </c>
      <c r="CR148">
        <v>0</v>
      </c>
      <c r="CS148">
        <v>34.450000000000003</v>
      </c>
      <c r="CT148">
        <v>16.22</v>
      </c>
      <c r="CU148">
        <v>0.16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2.52</v>
      </c>
      <c r="DE148">
        <v>9.18</v>
      </c>
      <c r="DF148">
        <v>0</v>
      </c>
      <c r="DG148">
        <v>0</v>
      </c>
      <c r="DH148">
        <v>0</v>
      </c>
      <c r="DU148">
        <v>0.3</v>
      </c>
      <c r="DV148">
        <v>1</v>
      </c>
      <c r="DW148">
        <v>34</v>
      </c>
      <c r="DX148">
        <v>8</v>
      </c>
      <c r="DY148">
        <v>0.43</v>
      </c>
      <c r="DZ148">
        <v>1</v>
      </c>
      <c r="EA148">
        <v>47</v>
      </c>
      <c r="EB148">
        <v>1</v>
      </c>
      <c r="EC148">
        <v>0.04</v>
      </c>
      <c r="ED148">
        <v>3</v>
      </c>
      <c r="EG148" s="18"/>
      <c r="EY148">
        <v>0</v>
      </c>
      <c r="GJ148" s="16">
        <v>2.89</v>
      </c>
      <c r="GK148" s="16">
        <v>1</v>
      </c>
      <c r="GL148" s="16">
        <v>1</v>
      </c>
      <c r="GM148" s="16"/>
      <c r="GN148" s="16">
        <v>7.35</v>
      </c>
      <c r="GO148" s="16"/>
      <c r="GP148" s="16"/>
      <c r="GQ148" s="16"/>
      <c r="GR148" s="16"/>
      <c r="GS148" s="16"/>
      <c r="GT148" s="16"/>
      <c r="GU148" s="16">
        <v>0</v>
      </c>
      <c r="GV148" s="16">
        <v>0</v>
      </c>
      <c r="GW148" s="16"/>
      <c r="GX148" s="16"/>
      <c r="GY148" s="16">
        <v>0</v>
      </c>
      <c r="GZ148" s="16">
        <v>0</v>
      </c>
      <c r="HA148" s="16">
        <v>0</v>
      </c>
      <c r="HB148">
        <v>0</v>
      </c>
      <c r="HC148" t="s">
        <v>231</v>
      </c>
      <c r="HD148">
        <v>64.5</v>
      </c>
      <c r="HE148" s="16">
        <v>77.8</v>
      </c>
      <c r="HF148" s="16">
        <v>81</v>
      </c>
      <c r="HG148" s="16">
        <v>52.5</v>
      </c>
      <c r="HH148">
        <v>50.19</v>
      </c>
      <c r="HI148">
        <v>0</v>
      </c>
      <c r="HJ148">
        <v>26.36</v>
      </c>
      <c r="HK148">
        <v>23.45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1.91</v>
      </c>
      <c r="HU148">
        <v>2.12</v>
      </c>
      <c r="HV148">
        <v>0</v>
      </c>
      <c r="HW148">
        <v>0</v>
      </c>
      <c r="HX148">
        <v>0</v>
      </c>
      <c r="HY148">
        <v>0</v>
      </c>
      <c r="IL148">
        <v>5.4</v>
      </c>
      <c r="IM148">
        <v>1</v>
      </c>
      <c r="IN148">
        <v>68</v>
      </c>
      <c r="IO148">
        <v>8</v>
      </c>
      <c r="IP148">
        <f>1.4*2+0.13</f>
        <v>2.9299999999999997</v>
      </c>
      <c r="IQ148">
        <v>1</v>
      </c>
      <c r="IR148">
        <v>34</v>
      </c>
      <c r="IS148">
        <v>1</v>
      </c>
      <c r="IT148">
        <v>0.13</v>
      </c>
      <c r="IU148">
        <v>1</v>
      </c>
      <c r="IX148" s="18"/>
      <c r="JP148">
        <v>1</v>
      </c>
      <c r="JQ148">
        <v>60</v>
      </c>
      <c r="JR148">
        <v>1</v>
      </c>
      <c r="JS148">
        <v>0.22</v>
      </c>
      <c r="JT148">
        <v>3</v>
      </c>
      <c r="LA148" s="16">
        <v>3.48</v>
      </c>
      <c r="LB148" s="16">
        <v>1</v>
      </c>
      <c r="LC148" s="16">
        <v>1</v>
      </c>
      <c r="LD148" s="16"/>
      <c r="LE148" s="16">
        <f>7.35+1.4*2+0.62+0.74+0.03+0.7+0.18+0.03+0.05+0.01</f>
        <v>12.509999999999996</v>
      </c>
      <c r="LF148" s="16"/>
      <c r="LG148" s="16"/>
      <c r="LH148" s="16"/>
      <c r="LI148" s="16"/>
      <c r="LJ148" s="16"/>
      <c r="LK148" s="16"/>
      <c r="LL148" s="16">
        <v>0.13</v>
      </c>
      <c r="LM148" s="16">
        <v>0.13</v>
      </c>
      <c r="LN148" s="16"/>
      <c r="LO148" s="16"/>
      <c r="LP148" s="16">
        <v>0</v>
      </c>
      <c r="LQ148" s="16">
        <v>0</v>
      </c>
      <c r="LR148" s="16">
        <v>0</v>
      </c>
      <c r="LS148">
        <v>0</v>
      </c>
      <c r="LT148" t="s">
        <v>235</v>
      </c>
      <c r="LU148">
        <v>37</v>
      </c>
      <c r="LV148" s="16">
        <v>81.900000000000006</v>
      </c>
      <c r="LW148" s="16">
        <v>81</v>
      </c>
      <c r="LX148" s="16">
        <v>26.3</v>
      </c>
      <c r="LY148">
        <v>68.540000000000006</v>
      </c>
      <c r="LZ148">
        <v>0</v>
      </c>
      <c r="MA148">
        <v>0</v>
      </c>
      <c r="MB148">
        <v>0</v>
      </c>
      <c r="MC148">
        <v>31.46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5.42</v>
      </c>
      <c r="ML148">
        <v>17.37</v>
      </c>
      <c r="MM148">
        <v>41.85</v>
      </c>
      <c r="MN148">
        <v>0</v>
      </c>
      <c r="MO148">
        <v>0</v>
      </c>
      <c r="MP148">
        <v>0</v>
      </c>
      <c r="NC148">
        <v>0</v>
      </c>
      <c r="ND148">
        <v>1</v>
      </c>
      <c r="NE148">
        <v>23</v>
      </c>
      <c r="NF148">
        <v>2</v>
      </c>
      <c r="NG148">
        <v>2.11</v>
      </c>
      <c r="NH148">
        <v>3</v>
      </c>
      <c r="NO148" s="18"/>
      <c r="OG148">
        <v>0</v>
      </c>
      <c r="PR148" s="16">
        <v>2.64</v>
      </c>
      <c r="PS148" s="16">
        <v>1</v>
      </c>
      <c r="PT148" s="16">
        <v>1</v>
      </c>
      <c r="PU148" s="16"/>
      <c r="PV148" s="16">
        <f>4.2*2+1.7+5.1+0.37+0.74</f>
        <v>16.309999999999999</v>
      </c>
      <c r="PW148" s="16"/>
      <c r="PX148" s="16"/>
      <c r="PY148" s="16"/>
      <c r="PZ148" s="16"/>
      <c r="QA148" s="16"/>
      <c r="QB148" s="16"/>
      <c r="QC148" s="16">
        <v>5.32</v>
      </c>
      <c r="QD148" s="16">
        <v>8.0399999999999991</v>
      </c>
      <c r="QE148" s="16"/>
      <c r="QF148" s="16"/>
      <c r="QG148" s="16">
        <v>0</v>
      </c>
      <c r="QH148" s="16">
        <v>0</v>
      </c>
      <c r="QI148" s="16">
        <v>0</v>
      </c>
      <c r="QJ148">
        <v>0</v>
      </c>
      <c r="QK148" t="s">
        <v>236</v>
      </c>
      <c r="QL148">
        <v>51</v>
      </c>
      <c r="QM148" s="16">
        <v>93.4</v>
      </c>
      <c r="QN148" s="16">
        <v>81</v>
      </c>
      <c r="QO148" s="16">
        <v>29.5</v>
      </c>
      <c r="QP148">
        <v>55.24</v>
      </c>
      <c r="QQ148">
        <v>0</v>
      </c>
      <c r="QR148">
        <v>0</v>
      </c>
      <c r="QS148">
        <v>0</v>
      </c>
      <c r="QT148">
        <v>44.76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0.67</v>
      </c>
      <c r="RB148">
        <v>5.0999999999999996</v>
      </c>
      <c r="RC148">
        <v>47.22</v>
      </c>
      <c r="RD148">
        <v>18.3</v>
      </c>
      <c r="RE148">
        <v>0</v>
      </c>
      <c r="RF148">
        <v>7.5</v>
      </c>
      <c r="RG148">
        <v>1</v>
      </c>
      <c r="RH148">
        <v>3.6</v>
      </c>
      <c r="RJ148">
        <v>1</v>
      </c>
      <c r="RN148">
        <v>3.6</v>
      </c>
      <c r="RP148">
        <v>1</v>
      </c>
      <c r="RT148">
        <v>0</v>
      </c>
      <c r="RU148">
        <v>0</v>
      </c>
      <c r="SF148" s="18"/>
      <c r="SX148">
        <v>0</v>
      </c>
      <c r="UI148" s="16">
        <v>1.95</v>
      </c>
      <c r="UJ148" s="16">
        <v>1</v>
      </c>
      <c r="UK148" s="16">
        <v>1</v>
      </c>
      <c r="UL148" s="16"/>
      <c r="UM148" s="16">
        <f>2.42+1.67+5+0.22+0.66+0.22</f>
        <v>10.190000000000001</v>
      </c>
      <c r="UN148" s="16"/>
      <c r="UO148" s="16"/>
      <c r="UP148" s="16"/>
      <c r="UQ148" s="16"/>
      <c r="UR148" s="16"/>
      <c r="US148" s="16"/>
      <c r="UT148" s="16">
        <v>5.63</v>
      </c>
      <c r="UU148" s="16">
        <v>11.04</v>
      </c>
      <c r="UV148" s="16"/>
      <c r="UW148" s="16"/>
      <c r="UX148" s="16">
        <v>0</v>
      </c>
      <c r="UY148" s="16">
        <v>0</v>
      </c>
      <c r="UZ148" s="16">
        <v>0</v>
      </c>
      <c r="VA148">
        <v>0</v>
      </c>
      <c r="VB148" t="s">
        <v>463</v>
      </c>
      <c r="VC148">
        <v>50</v>
      </c>
      <c r="VD148" s="16">
        <v>86.6</v>
      </c>
      <c r="VE148" s="16">
        <v>81</v>
      </c>
      <c r="VF148" s="16">
        <v>31.6</v>
      </c>
      <c r="VG148">
        <v>51.98</v>
      </c>
      <c r="VH148">
        <v>0</v>
      </c>
      <c r="VI148">
        <v>0</v>
      </c>
      <c r="VJ148">
        <v>0</v>
      </c>
      <c r="VK148">
        <v>48.02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34.880000000000003</v>
      </c>
      <c r="VU148">
        <v>40.97</v>
      </c>
      <c r="VV148">
        <v>0</v>
      </c>
      <c r="VW148">
        <v>12</v>
      </c>
      <c r="VX148">
        <v>1</v>
      </c>
      <c r="VY148">
        <v>7</v>
      </c>
      <c r="WA148">
        <v>1</v>
      </c>
      <c r="WE148">
        <v>7</v>
      </c>
      <c r="WG148">
        <v>1</v>
      </c>
      <c r="WK148">
        <v>0.4</v>
      </c>
      <c r="WL148">
        <v>0</v>
      </c>
      <c r="WW148" s="18"/>
      <c r="XO148">
        <v>1</v>
      </c>
      <c r="XP148">
        <v>60</v>
      </c>
      <c r="XQ148">
        <v>1</v>
      </c>
      <c r="XR148">
        <v>0.53</v>
      </c>
      <c r="XS148">
        <v>4</v>
      </c>
      <c r="XT148">
        <v>60</v>
      </c>
      <c r="XU148">
        <v>1</v>
      </c>
      <c r="XV148">
        <v>0.6</v>
      </c>
      <c r="XW148">
        <v>3</v>
      </c>
      <c r="YZ148" s="16">
        <v>0.22</v>
      </c>
      <c r="ZA148" s="16">
        <v>1</v>
      </c>
      <c r="ZB148" s="16">
        <v>1</v>
      </c>
      <c r="ZC148" s="16"/>
      <c r="ZD148" s="16">
        <f>0.37*2</f>
        <v>0.74</v>
      </c>
      <c r="ZE148" s="16"/>
      <c r="ZF148" s="16"/>
      <c r="ZG148" s="16"/>
      <c r="ZH148" s="16"/>
      <c r="ZI148" s="16"/>
      <c r="ZJ148" s="16"/>
      <c r="ZK148" s="16">
        <v>0</v>
      </c>
      <c r="ZL148" s="16">
        <v>0</v>
      </c>
      <c r="ZM148" s="16"/>
      <c r="ZN148" s="16"/>
      <c r="ZO148" s="16">
        <v>0</v>
      </c>
      <c r="ZP148" s="16">
        <v>0</v>
      </c>
      <c r="ZQ148" s="16">
        <v>0</v>
      </c>
      <c r="ZR148">
        <v>0</v>
      </c>
      <c r="ZT148" s="34"/>
      <c r="ZU148" s="15"/>
      <c r="ZV148" s="15"/>
      <c r="ZX148" s="34"/>
      <c r="ZY148" s="34"/>
      <c r="AAB148" s="34"/>
      <c r="AAC148" s="15"/>
      <c r="AAD148" s="15"/>
      <c r="AAF148" s="34"/>
      <c r="AAG148" s="34"/>
      <c r="AAJ148" s="34"/>
      <c r="AAK148" s="15"/>
      <c r="AAL148" s="15"/>
      <c r="AAN148" s="34"/>
      <c r="AAO148" s="34"/>
      <c r="AAR148" s="34"/>
      <c r="AAS148" s="15"/>
      <c r="AAT148" s="15"/>
      <c r="AAV148" s="34"/>
      <c r="AAW148" s="34"/>
      <c r="AAZ148" s="34"/>
      <c r="ABA148" s="15"/>
      <c r="ABB148" s="15"/>
      <c r="ABD148" s="34"/>
      <c r="ABE148" s="34"/>
      <c r="ABH148" s="34"/>
      <c r="ABI148" s="15"/>
      <c r="ABJ148" s="15"/>
      <c r="ABL148" s="34"/>
      <c r="ABM148" s="34"/>
      <c r="ABP148" s="34"/>
      <c r="ABQ148" s="15"/>
      <c r="ABR148" s="15"/>
      <c r="ABT148" s="34"/>
      <c r="ABU148" s="34"/>
      <c r="ABX148" s="34"/>
      <c r="ABY148" s="15"/>
      <c r="ABZ148" s="15"/>
      <c r="ACB148" s="34"/>
      <c r="ACC148" s="34"/>
      <c r="ACF148" s="34"/>
      <c r="ACG148" s="15"/>
      <c r="ACH148" s="15"/>
      <c r="ACJ148" s="34"/>
      <c r="ACK148" s="34"/>
      <c r="ACN148" s="34"/>
      <c r="ACO148" s="15"/>
      <c r="ACP148" s="15"/>
      <c r="ACR148" s="34"/>
      <c r="ACS148" s="34"/>
      <c r="ACV148" s="34"/>
      <c r="ACW148" s="15"/>
      <c r="ACX148" s="15"/>
      <c r="ACZ148" s="34"/>
      <c r="ADA148" s="34"/>
      <c r="ADD148" s="34"/>
      <c r="ADE148" s="15"/>
      <c r="ADF148" s="15"/>
      <c r="ADH148" s="34"/>
      <c r="ADI148" s="34"/>
      <c r="ADL148" s="34"/>
      <c r="ADM148" s="15"/>
      <c r="ADN148" s="15"/>
      <c r="ADP148" s="34"/>
      <c r="ADQ148" s="34"/>
      <c r="ADT148" s="34"/>
      <c r="ADU148" s="15"/>
      <c r="ADV148" s="15"/>
      <c r="ADX148" s="34"/>
      <c r="ADY148" s="34"/>
      <c r="AEB148" s="34"/>
      <c r="AEC148" s="15"/>
      <c r="AED148" s="15"/>
      <c r="AEF148" s="34"/>
      <c r="AEG148" s="34"/>
      <c r="AEJ148" s="34"/>
      <c r="AEK148" s="15"/>
      <c r="AEL148" s="15"/>
      <c r="AEN148" s="34"/>
      <c r="AEO148" s="34"/>
      <c r="AER148" s="34"/>
      <c r="AES148" s="15"/>
      <c r="AET148" s="15"/>
      <c r="AEV148" s="34"/>
      <c r="AEW148" s="34"/>
      <c r="AEZ148" s="34"/>
      <c r="AFA148" s="15"/>
      <c r="AFB148" s="15"/>
      <c r="AFD148" s="34"/>
      <c r="AFE148" s="34"/>
      <c r="AFH148" s="34"/>
      <c r="AFI148" s="15"/>
      <c r="AFJ148" s="15"/>
      <c r="AFL148" s="34"/>
      <c r="AFM148" s="34"/>
      <c r="AFP148" s="34"/>
      <c r="AFQ148" s="15"/>
      <c r="AFR148" s="15"/>
      <c r="AFT148" s="34"/>
      <c r="AFU148" s="34"/>
      <c r="AFX148" s="34"/>
      <c r="AFY148" s="15"/>
      <c r="AFZ148" s="15"/>
      <c r="AGB148" s="34"/>
      <c r="AGC148" s="34"/>
      <c r="AGF148" s="34"/>
      <c r="AGG148" s="15"/>
      <c r="AGH148" s="15"/>
      <c r="AGJ148" s="34"/>
      <c r="AGK148" s="34"/>
      <c r="AGN148" s="34"/>
      <c r="AGO148" s="15"/>
      <c r="AGP148" s="15"/>
      <c r="AGR148" s="34"/>
      <c r="AGS148" s="34"/>
      <c r="AGV148" s="34"/>
      <c r="AGW148" s="15"/>
      <c r="AGX148" s="15"/>
      <c r="AGZ148" s="34"/>
      <c r="AHA148" s="34"/>
      <c r="AHD148" s="34"/>
      <c r="AHE148" s="15"/>
      <c r="AHF148" s="15"/>
      <c r="AHH148" s="34"/>
      <c r="AHI148" s="34"/>
      <c r="AHL148" s="34"/>
      <c r="AHM148" s="15"/>
      <c r="AHN148" s="15"/>
      <c r="AHP148" s="34"/>
      <c r="AHQ148" s="34"/>
      <c r="AHT148" s="34"/>
      <c r="AHU148" s="15"/>
      <c r="AHV148" s="15"/>
      <c r="AHX148" s="34"/>
      <c r="AHY148" s="34"/>
      <c r="AIB148" s="34"/>
      <c r="AIC148" s="15"/>
      <c r="AID148" s="15"/>
      <c r="AIF148" s="34"/>
      <c r="AIG148" s="34"/>
      <c r="AIJ148" s="34"/>
      <c r="AIK148" s="15"/>
      <c r="AIL148" s="15"/>
      <c r="AIN148" s="34"/>
      <c r="AIO148" s="34"/>
      <c r="AIR148" s="34"/>
      <c r="AIS148" s="15"/>
      <c r="AIT148" s="15"/>
      <c r="AIV148" s="34"/>
      <c r="AIW148" s="34"/>
      <c r="AIZ148" s="34"/>
      <c r="AJA148" s="15"/>
      <c r="AJB148" s="15"/>
      <c r="AJD148" s="34"/>
      <c r="AJE148" s="34"/>
      <c r="AJH148" s="34"/>
      <c r="AJI148" s="15"/>
      <c r="AJJ148" s="15"/>
      <c r="AJL148" s="34"/>
      <c r="AJM148" s="34"/>
      <c r="AJP148" s="34"/>
      <c r="AJQ148" s="15"/>
      <c r="AJR148" s="15"/>
      <c r="AJT148" s="34"/>
      <c r="AJU148" s="34"/>
      <c r="AJX148" s="34"/>
      <c r="AJY148" s="15"/>
      <c r="AJZ148" s="15"/>
      <c r="AKB148" s="34"/>
      <c r="AKC148" s="34"/>
      <c r="AKF148" s="34"/>
      <c r="AKG148" s="15"/>
      <c r="AKH148" s="15"/>
      <c r="AKJ148" s="34"/>
      <c r="AKK148" s="34"/>
      <c r="AKN148" s="34"/>
      <c r="AKO148" s="15"/>
      <c r="AKP148" s="15"/>
      <c r="AKR148" s="34"/>
      <c r="AKS148" s="34"/>
      <c r="AKV148" s="34"/>
      <c r="AKW148" s="15"/>
      <c r="AKX148" s="15"/>
      <c r="AKZ148" s="34"/>
      <c r="ALA148" s="34"/>
      <c r="ALD148" s="34"/>
      <c r="ALE148" s="15"/>
      <c r="ALF148" s="15"/>
      <c r="ALH148" s="34"/>
      <c r="ALI148" s="34"/>
      <c r="ALL148" s="34"/>
      <c r="ALM148" s="15"/>
      <c r="ALN148" s="15"/>
      <c r="ALP148" s="34"/>
      <c r="ALQ148" s="34"/>
      <c r="ALT148" s="34"/>
      <c r="ALU148" s="15"/>
      <c r="ALV148" s="15"/>
      <c r="ALX148" s="34"/>
      <c r="ALY148" s="34"/>
      <c r="AMB148" s="34"/>
      <c r="AMC148" s="15"/>
      <c r="AMD148" s="15"/>
      <c r="AMF148" s="34"/>
      <c r="AMG148" s="34"/>
      <c r="AMJ148" s="34"/>
    </row>
    <row r="149" spans="1:1024" x14ac:dyDescent="0.2">
      <c r="A149" s="1" t="s">
        <v>597</v>
      </c>
      <c r="B149" s="12">
        <v>39247</v>
      </c>
      <c r="C149">
        <v>2</v>
      </c>
      <c r="D149" s="13">
        <v>35625</v>
      </c>
      <c r="E149" s="12">
        <v>27367</v>
      </c>
      <c r="F149" s="14">
        <f t="shared" si="48"/>
        <v>32.525667351129364</v>
      </c>
      <c r="G149" s="14">
        <f t="shared" si="49"/>
        <v>9.9164955509924706</v>
      </c>
      <c r="H149" s="15" t="s">
        <v>228</v>
      </c>
      <c r="I149" s="15" t="s">
        <v>229</v>
      </c>
      <c r="J149" s="15" t="s">
        <v>183</v>
      </c>
      <c r="K149" s="21">
        <v>8</v>
      </c>
      <c r="L149" s="19">
        <v>70</v>
      </c>
      <c r="M149">
        <v>1.78</v>
      </c>
      <c r="N149" s="16">
        <f t="shared" si="50"/>
        <v>22.093170054286073</v>
      </c>
      <c r="O149" s="19">
        <v>0</v>
      </c>
      <c r="P149" s="19">
        <v>0</v>
      </c>
      <c r="Q149" s="19">
        <v>0</v>
      </c>
      <c r="R149" s="19">
        <v>0</v>
      </c>
      <c r="S149" s="19">
        <v>0</v>
      </c>
      <c r="T149" s="19">
        <v>0</v>
      </c>
      <c r="U149" s="19">
        <v>0</v>
      </c>
      <c r="V149" s="19">
        <v>0</v>
      </c>
      <c r="W149" s="19">
        <v>0</v>
      </c>
      <c r="X149" s="19">
        <v>0</v>
      </c>
      <c r="Y149" s="19">
        <v>1</v>
      </c>
      <c r="Z149" s="19">
        <v>1</v>
      </c>
      <c r="AA149" s="19">
        <v>90</v>
      </c>
      <c r="AB149" s="19" t="s">
        <v>598</v>
      </c>
      <c r="AC149" s="19">
        <v>0</v>
      </c>
      <c r="AD149" s="19">
        <v>0</v>
      </c>
      <c r="AE149" s="19">
        <v>0</v>
      </c>
      <c r="AF149" s="19">
        <v>0</v>
      </c>
      <c r="AG149" s="19">
        <v>0</v>
      </c>
      <c r="AH149" s="19">
        <v>0</v>
      </c>
      <c r="AI149" s="19">
        <v>0</v>
      </c>
      <c r="AJ149" s="19">
        <v>0</v>
      </c>
      <c r="AK149" s="19">
        <v>0</v>
      </c>
      <c r="AL149" s="19">
        <v>0</v>
      </c>
      <c r="AM149" s="19">
        <v>0</v>
      </c>
      <c r="AN149" s="19">
        <v>0</v>
      </c>
      <c r="AO149" s="19">
        <v>0</v>
      </c>
      <c r="AP149" s="19">
        <v>0</v>
      </c>
      <c r="AQ149" s="19">
        <v>0</v>
      </c>
      <c r="AR149" s="19">
        <v>0</v>
      </c>
      <c r="AS149" s="19">
        <v>0</v>
      </c>
      <c r="AT149" s="19">
        <v>0</v>
      </c>
      <c r="AU149" s="19">
        <v>0</v>
      </c>
      <c r="AV149" s="19">
        <v>0</v>
      </c>
      <c r="AW149" s="19">
        <v>0</v>
      </c>
      <c r="AX149" s="19">
        <v>0</v>
      </c>
      <c r="AY149" s="19">
        <v>0</v>
      </c>
      <c r="AZ149" s="19">
        <v>0</v>
      </c>
      <c r="BA149" s="19">
        <v>0</v>
      </c>
      <c r="BB149" s="19">
        <v>1</v>
      </c>
      <c r="BC149" s="19">
        <v>1</v>
      </c>
      <c r="BD149" s="19">
        <v>0</v>
      </c>
      <c r="BE149" s="19">
        <v>0</v>
      </c>
      <c r="BF149" s="19">
        <v>0</v>
      </c>
      <c r="BG149" s="19">
        <v>0</v>
      </c>
      <c r="BH149" s="19">
        <v>0</v>
      </c>
      <c r="BI149" s="19">
        <v>0</v>
      </c>
      <c r="BJ149" s="19">
        <v>0</v>
      </c>
      <c r="BK149" s="19">
        <v>0</v>
      </c>
      <c r="BL149" s="19">
        <v>0</v>
      </c>
      <c r="BM149" s="19">
        <v>0</v>
      </c>
      <c r="BN149" s="19">
        <v>0</v>
      </c>
      <c r="BO149" s="19">
        <v>0</v>
      </c>
      <c r="BP149" s="19">
        <v>0</v>
      </c>
      <c r="BQ149" s="19">
        <v>0</v>
      </c>
      <c r="BR149" s="19">
        <v>2</v>
      </c>
      <c r="BS149" s="19">
        <v>1</v>
      </c>
      <c r="BT149" s="19">
        <v>4</v>
      </c>
      <c r="BU149" s="19">
        <v>5</v>
      </c>
      <c r="BV149" s="19">
        <v>3</v>
      </c>
      <c r="BW149" s="19">
        <v>4</v>
      </c>
      <c r="BX149" s="19">
        <v>3</v>
      </c>
      <c r="BY149" s="19">
        <v>4</v>
      </c>
      <c r="BZ149" s="19">
        <v>3</v>
      </c>
      <c r="CA149" s="19">
        <v>2</v>
      </c>
      <c r="CB149" s="19">
        <v>3</v>
      </c>
      <c r="CC149" s="19">
        <v>4</v>
      </c>
      <c r="CD149" s="19">
        <v>1</v>
      </c>
      <c r="CE149" s="19">
        <v>1</v>
      </c>
      <c r="CF149" s="19">
        <v>4</v>
      </c>
      <c r="CG149" s="19">
        <v>4</v>
      </c>
      <c r="CH149" s="19">
        <v>4</v>
      </c>
      <c r="CI149" s="19">
        <v>4</v>
      </c>
      <c r="CJ149" s="19">
        <v>4</v>
      </c>
      <c r="CK149" s="19">
        <v>9</v>
      </c>
      <c r="CL149" t="s">
        <v>230</v>
      </c>
      <c r="CM149">
        <v>64</v>
      </c>
      <c r="CN149" s="16">
        <v>74.3</v>
      </c>
      <c r="CO149" s="16">
        <v>81</v>
      </c>
      <c r="CP149" s="16">
        <v>58.5</v>
      </c>
      <c r="CQ149">
        <v>49.17</v>
      </c>
      <c r="CR149">
        <v>0</v>
      </c>
      <c r="CS149">
        <v>34.450000000000003</v>
      </c>
      <c r="CT149">
        <v>16.22</v>
      </c>
      <c r="CU149">
        <v>0.16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2.52</v>
      </c>
      <c r="DE149">
        <v>9.18</v>
      </c>
      <c r="DF149">
        <v>0</v>
      </c>
      <c r="DG149">
        <v>0</v>
      </c>
      <c r="DH149">
        <v>0</v>
      </c>
      <c r="DU149">
        <v>0.3</v>
      </c>
      <c r="DV149">
        <v>1</v>
      </c>
      <c r="DW149">
        <v>34</v>
      </c>
      <c r="DX149">
        <v>8</v>
      </c>
      <c r="DY149">
        <v>0.43</v>
      </c>
      <c r="DZ149">
        <v>1</v>
      </c>
      <c r="EA149">
        <v>47</v>
      </c>
      <c r="EB149">
        <v>1</v>
      </c>
      <c r="EC149">
        <v>0.04</v>
      </c>
      <c r="ED149">
        <v>3</v>
      </c>
      <c r="EG149" s="18"/>
      <c r="EY149">
        <v>0</v>
      </c>
      <c r="GJ149" s="16">
        <v>2.89</v>
      </c>
      <c r="GK149" s="16">
        <v>1</v>
      </c>
      <c r="GL149" s="16">
        <v>1</v>
      </c>
      <c r="GM149" s="16"/>
      <c r="GN149" s="16">
        <v>7.35</v>
      </c>
      <c r="GO149" s="16"/>
      <c r="GP149" s="16"/>
      <c r="GQ149" s="16"/>
      <c r="GR149" s="16"/>
      <c r="GS149" s="16"/>
      <c r="GT149" s="16"/>
      <c r="GU149" s="16">
        <v>0</v>
      </c>
      <c r="GV149" s="16">
        <v>0</v>
      </c>
      <c r="GW149" s="16"/>
      <c r="GX149" s="16"/>
      <c r="GY149" s="16">
        <v>0</v>
      </c>
      <c r="GZ149" s="16">
        <v>0</v>
      </c>
      <c r="HA149" s="16">
        <v>0</v>
      </c>
      <c r="HB149">
        <v>0</v>
      </c>
      <c r="HC149" t="s">
        <v>231</v>
      </c>
      <c r="HD149">
        <v>64.5</v>
      </c>
      <c r="HE149" s="16">
        <v>77.8</v>
      </c>
      <c r="HF149" s="16">
        <v>81</v>
      </c>
      <c r="HG149" s="16">
        <v>52.5</v>
      </c>
      <c r="HH149">
        <v>50.19</v>
      </c>
      <c r="HI149">
        <v>0</v>
      </c>
      <c r="HJ149">
        <v>26.36</v>
      </c>
      <c r="HK149">
        <v>23.45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1.91</v>
      </c>
      <c r="HU149">
        <v>2.12</v>
      </c>
      <c r="HV149">
        <v>0</v>
      </c>
      <c r="HW149">
        <v>0</v>
      </c>
      <c r="HX149">
        <v>0</v>
      </c>
      <c r="HY149">
        <v>0</v>
      </c>
      <c r="IL149">
        <v>5.4</v>
      </c>
      <c r="IM149">
        <v>1</v>
      </c>
      <c r="IN149">
        <v>68</v>
      </c>
      <c r="IO149">
        <v>8</v>
      </c>
      <c r="IP149">
        <f>1.4*2+0.13</f>
        <v>2.9299999999999997</v>
      </c>
      <c r="IQ149">
        <v>1</v>
      </c>
      <c r="IR149">
        <v>34</v>
      </c>
      <c r="IS149">
        <v>1</v>
      </c>
      <c r="IT149">
        <v>0.13</v>
      </c>
      <c r="IU149">
        <v>1</v>
      </c>
      <c r="IX149" s="18"/>
      <c r="JP149">
        <v>1</v>
      </c>
      <c r="JQ149">
        <v>60</v>
      </c>
      <c r="JR149">
        <v>1</v>
      </c>
      <c r="JS149">
        <v>0.22</v>
      </c>
      <c r="JT149">
        <v>3</v>
      </c>
      <c r="LA149" s="16">
        <v>3.48</v>
      </c>
      <c r="LB149" s="16">
        <v>1</v>
      </c>
      <c r="LC149" s="16">
        <v>1</v>
      </c>
      <c r="LD149" s="16"/>
      <c r="LE149" s="16">
        <f>7.35+1.4*2+0.62+0.74+0.03+0.7+0.18+0.03+0.05+0.01</f>
        <v>12.509999999999996</v>
      </c>
      <c r="LF149" s="16"/>
      <c r="LG149" s="16"/>
      <c r="LH149" s="16"/>
      <c r="LI149" s="16"/>
      <c r="LJ149" s="16"/>
      <c r="LK149" s="16"/>
      <c r="LL149" s="16">
        <v>0.13</v>
      </c>
      <c r="LM149" s="16">
        <v>0.13</v>
      </c>
      <c r="LN149" s="16"/>
      <c r="LO149" s="16"/>
      <c r="LP149" s="16">
        <v>0</v>
      </c>
      <c r="LQ149" s="16">
        <v>0</v>
      </c>
      <c r="LR149" s="16">
        <v>0</v>
      </c>
      <c r="LS149">
        <v>0</v>
      </c>
      <c r="LT149" t="s">
        <v>232</v>
      </c>
      <c r="LU149">
        <v>40</v>
      </c>
      <c r="LV149" s="16">
        <v>84.9</v>
      </c>
      <c r="LW149" s="16">
        <v>81</v>
      </c>
      <c r="LX149" s="16">
        <v>13.2</v>
      </c>
      <c r="LY149">
        <v>93.04</v>
      </c>
      <c r="LZ149">
        <v>0</v>
      </c>
      <c r="MA149">
        <v>0</v>
      </c>
      <c r="MB149">
        <v>3.59</v>
      </c>
      <c r="MC149">
        <v>3.38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1.7</v>
      </c>
      <c r="MK149">
        <v>3.97</v>
      </c>
      <c r="ML149">
        <v>39.76</v>
      </c>
      <c r="MM149">
        <v>0.13</v>
      </c>
      <c r="MN149">
        <v>0</v>
      </c>
      <c r="MO149">
        <v>0</v>
      </c>
      <c r="MP149">
        <v>0</v>
      </c>
      <c r="NC149">
        <v>15.9</v>
      </c>
      <c r="ND149">
        <v>1</v>
      </c>
      <c r="NE149">
        <v>47</v>
      </c>
      <c r="NF149">
        <v>2</v>
      </c>
      <c r="NG149">
        <v>1.51</v>
      </c>
      <c r="NH149">
        <v>3</v>
      </c>
      <c r="NO149" s="18"/>
      <c r="OG149">
        <v>1</v>
      </c>
      <c r="OH149">
        <v>40</v>
      </c>
      <c r="OI149">
        <v>7</v>
      </c>
      <c r="OJ149">
        <f>2.27+3.02</f>
        <v>5.29</v>
      </c>
      <c r="OK149">
        <v>3</v>
      </c>
      <c r="PR149" s="16">
        <v>1.48</v>
      </c>
      <c r="PS149" s="16">
        <v>1</v>
      </c>
      <c r="PT149" s="16">
        <v>1</v>
      </c>
      <c r="PU149" s="16"/>
      <c r="PV149" s="16">
        <f>2.1+1.7+0.37+0.74</f>
        <v>4.91</v>
      </c>
      <c r="PW149" s="16"/>
      <c r="PX149" s="16"/>
      <c r="PY149" s="16"/>
      <c r="PZ149" s="16"/>
      <c r="QA149" s="16"/>
      <c r="QB149" s="16"/>
      <c r="QC149" s="16">
        <v>7.34</v>
      </c>
      <c r="QD149" s="16">
        <v>5.01</v>
      </c>
      <c r="QE149" s="16"/>
      <c r="QF149" s="16"/>
      <c r="QG149" s="16">
        <v>0</v>
      </c>
      <c r="QH149" s="16">
        <v>0</v>
      </c>
      <c r="QI149" s="16">
        <v>0</v>
      </c>
      <c r="QJ149">
        <v>0</v>
      </c>
      <c r="QK149" t="s">
        <v>233</v>
      </c>
      <c r="QL149">
        <v>39.5</v>
      </c>
      <c r="QM149" s="16">
        <v>85</v>
      </c>
      <c r="QN149" s="16">
        <v>81</v>
      </c>
      <c r="QO149" s="16">
        <v>12.7</v>
      </c>
      <c r="QP149">
        <v>93.14</v>
      </c>
      <c r="QQ149">
        <v>0</v>
      </c>
      <c r="QR149">
        <v>1.57</v>
      </c>
      <c r="QS149">
        <v>2.08</v>
      </c>
      <c r="QT149">
        <v>3.21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1.7</v>
      </c>
      <c r="RB149">
        <v>6.54</v>
      </c>
      <c r="RC149">
        <v>37.880000000000003</v>
      </c>
      <c r="RD149">
        <v>3</v>
      </c>
      <c r="RE149">
        <v>0</v>
      </c>
      <c r="RF149">
        <v>0</v>
      </c>
      <c r="RG149">
        <v>0</v>
      </c>
      <c r="RT149">
        <v>15.7</v>
      </c>
      <c r="RU149">
        <v>1</v>
      </c>
      <c r="RV149">
        <v>47</v>
      </c>
      <c r="RW149">
        <v>2</v>
      </c>
      <c r="RX149">
        <v>1.51</v>
      </c>
      <c r="RY149">
        <v>3</v>
      </c>
      <c r="SF149" s="18"/>
      <c r="SX149">
        <v>1</v>
      </c>
      <c r="SY149">
        <v>50</v>
      </c>
      <c r="SZ149">
        <v>3</v>
      </c>
      <c r="TA149">
        <v>0.4</v>
      </c>
      <c r="TB149">
        <v>3</v>
      </c>
      <c r="TC149">
        <v>40</v>
      </c>
      <c r="TD149">
        <v>7</v>
      </c>
      <c r="TE149">
        <f>2.27+3.02</f>
        <v>5.29</v>
      </c>
      <c r="TF149">
        <v>3</v>
      </c>
      <c r="UI149" s="16">
        <v>1.76</v>
      </c>
      <c r="UJ149" s="16">
        <v>1</v>
      </c>
      <c r="UK149" s="16">
        <v>1</v>
      </c>
      <c r="UL149" s="16"/>
      <c r="UM149" s="16">
        <f>2.1+1.7+0.4+0.37+0.74</f>
        <v>5.3100000000000005</v>
      </c>
      <c r="UN149" s="16"/>
      <c r="UO149" s="16"/>
      <c r="UP149" s="16"/>
      <c r="UQ149" s="16"/>
      <c r="UR149" s="16"/>
      <c r="US149" s="16"/>
      <c r="UT149" s="16">
        <v>7.31</v>
      </c>
      <c r="UU149" s="16">
        <v>6.99</v>
      </c>
      <c r="UV149" s="16"/>
      <c r="UW149" s="16"/>
      <c r="UX149" s="16">
        <v>0</v>
      </c>
      <c r="UY149" s="16">
        <v>0</v>
      </c>
      <c r="UZ149" s="16">
        <v>0</v>
      </c>
      <c r="VA149">
        <v>0</v>
      </c>
      <c r="VB149" t="s">
        <v>234</v>
      </c>
      <c r="VC149">
        <v>22.5</v>
      </c>
      <c r="VD149" s="16">
        <v>60.3</v>
      </c>
      <c r="VE149" s="16">
        <v>81</v>
      </c>
      <c r="VF149" s="16">
        <v>13.3</v>
      </c>
      <c r="VG149">
        <v>92.98</v>
      </c>
      <c r="VH149">
        <v>0</v>
      </c>
      <c r="VI149">
        <v>0</v>
      </c>
      <c r="VJ149">
        <v>0</v>
      </c>
      <c r="VK149">
        <v>7.02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0.72</v>
      </c>
      <c r="VT149">
        <v>23.12</v>
      </c>
      <c r="VU149">
        <v>24.81</v>
      </c>
      <c r="VV149">
        <v>0</v>
      </c>
      <c r="VW149">
        <v>0</v>
      </c>
      <c r="VX149">
        <v>0</v>
      </c>
      <c r="WK149">
        <v>0</v>
      </c>
      <c r="WL149">
        <v>1</v>
      </c>
      <c r="WM149">
        <v>23</v>
      </c>
      <c r="WN149">
        <v>1</v>
      </c>
      <c r="WO149">
        <v>0.3</v>
      </c>
      <c r="WP149">
        <v>3</v>
      </c>
      <c r="WW149" s="18"/>
      <c r="XO149">
        <v>0</v>
      </c>
      <c r="YZ149" s="16">
        <v>1.26</v>
      </c>
      <c r="ZA149" s="16">
        <v>1</v>
      </c>
      <c r="ZB149" s="16">
        <v>1</v>
      </c>
      <c r="ZC149" s="16"/>
      <c r="ZD149" s="16">
        <f>2.1+1.7+0.4+0.37+0.74</f>
        <v>5.3100000000000005</v>
      </c>
      <c r="ZE149" s="16"/>
      <c r="ZF149" s="16"/>
      <c r="ZG149" s="16"/>
      <c r="ZH149" s="16"/>
      <c r="ZI149" s="16"/>
      <c r="ZJ149" s="16"/>
      <c r="ZK149" s="16">
        <v>6.24</v>
      </c>
      <c r="ZL149" s="16">
        <v>6.99</v>
      </c>
      <c r="ZM149" s="16"/>
      <c r="ZN149" s="16"/>
      <c r="ZO149" s="16">
        <v>0</v>
      </c>
      <c r="ZP149" s="16">
        <v>0</v>
      </c>
      <c r="ZQ149" s="16">
        <v>0</v>
      </c>
      <c r="ZR149">
        <v>0</v>
      </c>
      <c r="ZS149" t="s">
        <v>235</v>
      </c>
      <c r="ZT149">
        <v>37</v>
      </c>
      <c r="ZU149" s="16">
        <v>81.900000000000006</v>
      </c>
      <c r="ZV149" s="16">
        <v>81</v>
      </c>
      <c r="ZW149" s="16">
        <v>26.3</v>
      </c>
      <c r="ZX149">
        <v>68.540000000000006</v>
      </c>
      <c r="ZY149">
        <v>0</v>
      </c>
      <c r="ZZ149">
        <v>0</v>
      </c>
      <c r="AAA149">
        <v>0</v>
      </c>
      <c r="AAB149">
        <v>31.46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5.42</v>
      </c>
      <c r="AAK149">
        <v>17.37</v>
      </c>
      <c r="AAL149">
        <v>41.85</v>
      </c>
      <c r="AAM149">
        <v>0</v>
      </c>
      <c r="AAN149">
        <v>0</v>
      </c>
      <c r="AAO149">
        <v>0</v>
      </c>
      <c r="ABB149">
        <v>0</v>
      </c>
      <c r="ABC149">
        <v>1</v>
      </c>
      <c r="ABD149">
        <v>23</v>
      </c>
      <c r="ABE149">
        <v>2</v>
      </c>
      <c r="ABF149">
        <v>2.11</v>
      </c>
      <c r="ABG149">
        <v>3</v>
      </c>
      <c r="ABN149" s="18"/>
      <c r="ACF149">
        <v>0</v>
      </c>
      <c r="ADQ149" s="16">
        <v>2.64</v>
      </c>
      <c r="ADR149" s="16">
        <v>1</v>
      </c>
      <c r="ADS149" s="16">
        <v>1</v>
      </c>
      <c r="ADT149" s="16"/>
      <c r="ADU149" s="16">
        <f>4.2*2+1.7+5.1+0.37+0.74</f>
        <v>16.309999999999999</v>
      </c>
      <c r="ADV149" s="16"/>
      <c r="ADW149" s="16"/>
      <c r="ADX149" s="16"/>
      <c r="ADY149" s="16"/>
      <c r="ADZ149" s="16"/>
      <c r="AEA149" s="16"/>
      <c r="AEB149" s="16">
        <v>5.32</v>
      </c>
      <c r="AEC149" s="16">
        <v>8.0399999999999991</v>
      </c>
      <c r="AED149" s="16"/>
      <c r="AEE149" s="16"/>
      <c r="AEF149" s="16">
        <v>0</v>
      </c>
      <c r="AEG149" s="16">
        <v>0</v>
      </c>
      <c r="AEH149" s="16">
        <v>0</v>
      </c>
      <c r="AEI149">
        <v>0</v>
      </c>
      <c r="AEJ149" t="s">
        <v>236</v>
      </c>
      <c r="AEK149">
        <v>51</v>
      </c>
      <c r="AEL149" s="16">
        <v>93.4</v>
      </c>
      <c r="AEM149" s="16">
        <v>81</v>
      </c>
      <c r="AEN149" s="16">
        <v>29.5</v>
      </c>
      <c r="AEO149">
        <v>55.24</v>
      </c>
      <c r="AEP149">
        <v>0</v>
      </c>
      <c r="AEQ149">
        <v>0</v>
      </c>
      <c r="AER149">
        <v>0</v>
      </c>
      <c r="AES149">
        <v>44.76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0.67</v>
      </c>
      <c r="AFA149">
        <v>5.0999999999999996</v>
      </c>
      <c r="AFB149">
        <v>47.22</v>
      </c>
      <c r="AFC149">
        <v>18.3</v>
      </c>
      <c r="AFD149">
        <v>0</v>
      </c>
      <c r="AFE149">
        <v>7.5</v>
      </c>
      <c r="AFF149">
        <v>1</v>
      </c>
      <c r="AFG149">
        <v>3.6</v>
      </c>
      <c r="AFI149">
        <v>1</v>
      </c>
      <c r="AFM149">
        <v>3.6</v>
      </c>
      <c r="AFO149">
        <v>1</v>
      </c>
      <c r="AFS149">
        <v>0</v>
      </c>
      <c r="AFT149">
        <v>0</v>
      </c>
      <c r="AGE149" s="18"/>
      <c r="AGW149">
        <v>0</v>
      </c>
      <c r="AIH149" s="16">
        <v>1.95</v>
      </c>
      <c r="AII149" s="16">
        <v>1</v>
      </c>
      <c r="AIJ149" s="16">
        <v>1</v>
      </c>
      <c r="AIK149" s="16"/>
      <c r="AIL149" s="16">
        <f>2.42+1.67+5+0.22+0.66+0.22</f>
        <v>10.190000000000001</v>
      </c>
      <c r="AIM149" s="16"/>
      <c r="AIN149" s="16"/>
      <c r="AIO149" s="16"/>
      <c r="AIP149" s="16"/>
      <c r="AIQ149" s="16"/>
      <c r="AIR149" s="16"/>
      <c r="AIS149" s="16">
        <v>5.63</v>
      </c>
      <c r="AIT149" s="16">
        <v>11.04</v>
      </c>
      <c r="AIU149" s="16"/>
      <c r="AIV149" s="16"/>
      <c r="AIW149" s="16">
        <v>0</v>
      </c>
      <c r="AIX149" s="16">
        <v>0</v>
      </c>
      <c r="AIY149" s="16">
        <v>0</v>
      </c>
      <c r="AIZ149">
        <v>0</v>
      </c>
      <c r="AJA149" t="s">
        <v>237</v>
      </c>
      <c r="AJB149">
        <v>46</v>
      </c>
      <c r="AJC149" s="16">
        <v>92.7</v>
      </c>
      <c r="AJD149" s="16">
        <v>81</v>
      </c>
      <c r="AJE149" s="16">
        <v>20.8</v>
      </c>
      <c r="AJF149">
        <v>76.44</v>
      </c>
      <c r="AJG149">
        <v>0</v>
      </c>
      <c r="AJH149">
        <v>0</v>
      </c>
      <c r="AJI149">
        <v>0</v>
      </c>
      <c r="AJJ149">
        <v>23.56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0.23</v>
      </c>
      <c r="AJR149">
        <v>0.51</v>
      </c>
      <c r="AJS149">
        <v>26.55</v>
      </c>
      <c r="AJT149">
        <v>36.69</v>
      </c>
      <c r="AJU149">
        <v>0</v>
      </c>
      <c r="AJV149">
        <v>10.6</v>
      </c>
      <c r="AJW149">
        <v>1</v>
      </c>
      <c r="AJX149">
        <v>6</v>
      </c>
      <c r="AJZ149">
        <v>1</v>
      </c>
      <c r="AKD149">
        <v>6</v>
      </c>
      <c r="AKF149">
        <v>1</v>
      </c>
      <c r="AKJ149">
        <v>7.1</v>
      </c>
      <c r="AKK149">
        <v>1</v>
      </c>
      <c r="AKL149">
        <v>35</v>
      </c>
      <c r="AKM149">
        <v>2</v>
      </c>
      <c r="AKN149">
        <f>0.76*2</f>
        <v>1.52</v>
      </c>
      <c r="AKO149">
        <v>3</v>
      </c>
      <c r="AKV149" s="18"/>
      <c r="ALN149">
        <v>0</v>
      </c>
    </row>
    <row r="150" spans="1:1024" x14ac:dyDescent="0.2">
      <c r="A150" s="1" t="s">
        <v>599</v>
      </c>
      <c r="B150" s="12">
        <v>42900</v>
      </c>
      <c r="C150">
        <v>2</v>
      </c>
      <c r="D150" s="13">
        <v>42793</v>
      </c>
      <c r="E150" s="12">
        <v>33197</v>
      </c>
      <c r="F150" s="14">
        <f t="shared" si="48"/>
        <v>26.565366187542779</v>
      </c>
      <c r="G150" s="14">
        <f t="shared" si="49"/>
        <v>0.29295003422313481</v>
      </c>
      <c r="H150" s="15" t="s">
        <v>228</v>
      </c>
      <c r="I150" s="15" t="s">
        <v>251</v>
      </c>
      <c r="J150" s="15" t="s">
        <v>183</v>
      </c>
      <c r="K150" s="21">
        <v>8</v>
      </c>
      <c r="L150" s="19">
        <v>76</v>
      </c>
      <c r="M150">
        <v>1.81</v>
      </c>
      <c r="N150" s="16">
        <f t="shared" si="50"/>
        <v>23.198315069747565</v>
      </c>
      <c r="O150" s="19">
        <v>0</v>
      </c>
      <c r="P150" s="19">
        <v>0</v>
      </c>
      <c r="Q150" s="19">
        <v>0</v>
      </c>
      <c r="R150" s="19">
        <v>0</v>
      </c>
      <c r="S150" s="19">
        <v>0</v>
      </c>
      <c r="T150" s="19">
        <v>0</v>
      </c>
      <c r="U150" s="19">
        <v>0</v>
      </c>
      <c r="V150" s="19">
        <v>0</v>
      </c>
      <c r="W150" s="19">
        <v>0</v>
      </c>
      <c r="X150" s="19">
        <v>0</v>
      </c>
      <c r="Y150" s="19">
        <v>1</v>
      </c>
      <c r="Z150" s="19">
        <v>1</v>
      </c>
      <c r="AA150" s="19">
        <v>60</v>
      </c>
      <c r="AB150" s="19" t="s">
        <v>308</v>
      </c>
      <c r="AC150" s="19">
        <v>1</v>
      </c>
      <c r="AD150" s="19">
        <v>8</v>
      </c>
      <c r="AE150" s="19">
        <v>0</v>
      </c>
      <c r="AF150" s="19">
        <v>0</v>
      </c>
      <c r="AG150" s="19">
        <v>0</v>
      </c>
      <c r="AH150" s="19">
        <v>0</v>
      </c>
      <c r="AI150" s="19">
        <v>0</v>
      </c>
      <c r="AJ150" s="19">
        <v>0</v>
      </c>
      <c r="AK150" s="19">
        <v>0</v>
      </c>
      <c r="AL150" s="19">
        <v>0</v>
      </c>
      <c r="AM150" s="19">
        <v>0</v>
      </c>
      <c r="AN150" s="19">
        <v>0</v>
      </c>
      <c r="AO150" s="19">
        <v>0</v>
      </c>
      <c r="AP150" s="19">
        <v>0</v>
      </c>
      <c r="AQ150" s="19">
        <v>0</v>
      </c>
      <c r="AR150" s="19">
        <v>0</v>
      </c>
      <c r="AS150" s="19">
        <v>0</v>
      </c>
      <c r="AT150" s="19">
        <v>0</v>
      </c>
      <c r="AU150" s="19">
        <v>0</v>
      </c>
      <c r="AV150" s="19">
        <v>0</v>
      </c>
      <c r="AW150" s="19">
        <v>0</v>
      </c>
      <c r="AX150" s="19">
        <v>0</v>
      </c>
      <c r="AY150" s="19">
        <v>0</v>
      </c>
      <c r="AZ150" s="19">
        <v>0</v>
      </c>
      <c r="BA150" s="19">
        <v>0</v>
      </c>
      <c r="BB150" s="19">
        <v>0</v>
      </c>
      <c r="BC150" s="19">
        <v>0</v>
      </c>
      <c r="BD150" s="19">
        <v>0</v>
      </c>
      <c r="BE150" s="19">
        <v>0</v>
      </c>
      <c r="BF150" s="19">
        <v>0</v>
      </c>
      <c r="BG150" s="19">
        <v>0</v>
      </c>
      <c r="BH150" s="19">
        <v>0</v>
      </c>
      <c r="BI150" s="19">
        <v>0</v>
      </c>
      <c r="BJ150" s="19">
        <v>0</v>
      </c>
      <c r="BK150" s="19">
        <v>0</v>
      </c>
      <c r="BL150" s="19">
        <v>0</v>
      </c>
      <c r="BM150" s="19">
        <v>0</v>
      </c>
      <c r="BN150" s="19">
        <v>0</v>
      </c>
      <c r="BO150" s="19">
        <v>0</v>
      </c>
      <c r="BP150" s="19">
        <v>0</v>
      </c>
      <c r="BQ150" s="19">
        <v>0</v>
      </c>
      <c r="BR150" s="19">
        <v>1</v>
      </c>
      <c r="BS150" s="19">
        <v>1</v>
      </c>
      <c r="BT150" s="19">
        <v>3</v>
      </c>
      <c r="BU150" s="19">
        <v>4</v>
      </c>
      <c r="BV150" s="19">
        <v>3</v>
      </c>
      <c r="BW150" s="19">
        <v>2</v>
      </c>
      <c r="BX150" s="19">
        <v>4</v>
      </c>
      <c r="BY150" s="19">
        <v>3</v>
      </c>
      <c r="BZ150" s="19">
        <v>4</v>
      </c>
      <c r="CA150" s="19">
        <v>3</v>
      </c>
      <c r="CB150" s="19">
        <v>3</v>
      </c>
      <c r="CC150" s="19">
        <v>5</v>
      </c>
      <c r="CD150" s="19">
        <v>3</v>
      </c>
      <c r="CE150" s="19">
        <v>4</v>
      </c>
      <c r="CF150" s="19">
        <v>3</v>
      </c>
      <c r="CG150" s="19">
        <v>4</v>
      </c>
      <c r="CH150" s="19">
        <v>3</v>
      </c>
      <c r="CI150" s="19">
        <v>3</v>
      </c>
      <c r="CJ150" s="19">
        <v>3</v>
      </c>
      <c r="CK150" s="19">
        <v>10</v>
      </c>
      <c r="CL150" t="s">
        <v>253</v>
      </c>
      <c r="CM150">
        <v>30</v>
      </c>
      <c r="CN150" s="16">
        <v>85.5</v>
      </c>
      <c r="CO150" s="16">
        <v>81</v>
      </c>
      <c r="CP150" s="16">
        <v>15.2</v>
      </c>
      <c r="CQ150">
        <v>87.44</v>
      </c>
      <c r="CR150">
        <v>0</v>
      </c>
      <c r="CS150">
        <v>0.94</v>
      </c>
      <c r="CT150">
        <v>1.97</v>
      </c>
      <c r="CU150">
        <v>9.65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2.71</v>
      </c>
      <c r="DC150">
        <v>0.6</v>
      </c>
      <c r="DD150">
        <v>2.17</v>
      </c>
      <c r="DE150">
        <v>5.97</v>
      </c>
      <c r="DF150">
        <v>2.65</v>
      </c>
      <c r="DG150">
        <v>0</v>
      </c>
      <c r="DH150">
        <v>0</v>
      </c>
      <c r="DU150">
        <v>10.6</v>
      </c>
      <c r="DV150">
        <v>1</v>
      </c>
      <c r="DW150">
        <v>60</v>
      </c>
      <c r="DX150">
        <v>2</v>
      </c>
      <c r="DY150">
        <f>0.38+0.07</f>
        <v>0.45</v>
      </c>
      <c r="DZ150">
        <v>1</v>
      </c>
      <c r="EA150">
        <v>68</v>
      </c>
      <c r="EB150">
        <v>1</v>
      </c>
      <c r="EC150" s="16">
        <v>0.31</v>
      </c>
      <c r="ED150">
        <v>1</v>
      </c>
      <c r="EE150">
        <v>85</v>
      </c>
      <c r="EF150">
        <v>2</v>
      </c>
      <c r="EG150" s="18">
        <f>1.89+0.94</f>
        <v>2.83</v>
      </c>
      <c r="EH150">
        <v>2</v>
      </c>
      <c r="EI150">
        <v>25</v>
      </c>
      <c r="EJ150">
        <v>1</v>
      </c>
      <c r="EK150" s="16">
        <v>0.27</v>
      </c>
      <c r="EL150">
        <v>2</v>
      </c>
      <c r="EY150">
        <v>0</v>
      </c>
      <c r="GJ150" s="16">
        <v>0</v>
      </c>
      <c r="GK150" s="16">
        <v>0</v>
      </c>
      <c r="GL150" s="16"/>
      <c r="GM150" s="16"/>
      <c r="GN150" s="16"/>
      <c r="GO150" s="16"/>
      <c r="GP150" s="16"/>
      <c r="GQ150" s="16"/>
      <c r="GR150" s="16"/>
      <c r="GS150" s="16"/>
      <c r="GT150" s="16"/>
      <c r="GU150" s="16">
        <v>4.17</v>
      </c>
      <c r="GV150" s="16">
        <v>2.54</v>
      </c>
      <c r="GW150" s="16"/>
      <c r="GX150" s="16"/>
      <c r="GY150" s="16">
        <v>0</v>
      </c>
      <c r="GZ150" s="16">
        <v>0</v>
      </c>
      <c r="HA150" s="16">
        <v>0</v>
      </c>
      <c r="HB150">
        <v>0</v>
      </c>
      <c r="HC150" t="s">
        <v>254</v>
      </c>
      <c r="HD150">
        <v>53</v>
      </c>
      <c r="HE150" s="16">
        <v>81.5</v>
      </c>
      <c r="HF150" s="16">
        <v>81</v>
      </c>
      <c r="HG150" s="16">
        <v>36.4</v>
      </c>
      <c r="HH150">
        <v>56.99</v>
      </c>
      <c r="HI150">
        <v>0</v>
      </c>
      <c r="HJ150">
        <v>0</v>
      </c>
      <c r="HK150">
        <v>0.12</v>
      </c>
      <c r="HL150">
        <v>42.89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25.37</v>
      </c>
      <c r="HT150">
        <v>0</v>
      </c>
      <c r="HU150">
        <v>42.65</v>
      </c>
      <c r="HV150">
        <v>6.3</v>
      </c>
      <c r="HW150">
        <v>0</v>
      </c>
      <c r="HX150">
        <v>0</v>
      </c>
      <c r="HY150">
        <v>0</v>
      </c>
      <c r="IL150">
        <v>8.6999999999999993</v>
      </c>
      <c r="IM150">
        <v>1</v>
      </c>
      <c r="IN150">
        <v>137</v>
      </c>
      <c r="IO150">
        <v>2</v>
      </c>
      <c r="IP150">
        <f>0.65+0.05</f>
        <v>0.70000000000000007</v>
      </c>
      <c r="IQ150">
        <v>1</v>
      </c>
      <c r="IR150">
        <v>103</v>
      </c>
      <c r="IS150">
        <v>2</v>
      </c>
      <c r="IT150" s="16">
        <f>0.65+0.05</f>
        <v>0.70000000000000007</v>
      </c>
      <c r="IU150">
        <v>1</v>
      </c>
      <c r="IX150" s="18"/>
      <c r="JP150">
        <v>0</v>
      </c>
      <c r="LA150" s="16">
        <v>2.2799999999999998</v>
      </c>
      <c r="LB150" s="16">
        <v>1</v>
      </c>
      <c r="LC150" s="16">
        <v>3</v>
      </c>
      <c r="LD150" s="16"/>
      <c r="LE150" s="16">
        <f>2.69+0.37+0.74</f>
        <v>3.8</v>
      </c>
      <c r="LF150" s="16"/>
      <c r="LG150" s="16"/>
      <c r="LH150" s="16"/>
      <c r="LI150" s="16"/>
      <c r="LJ150" s="16"/>
      <c r="LK150" s="16"/>
      <c r="LL150" s="16">
        <v>0.48</v>
      </c>
      <c r="LM150" s="16">
        <v>0.48</v>
      </c>
      <c r="LN150" s="16"/>
      <c r="LO150" s="16"/>
      <c r="LP150" s="16">
        <v>2.2200000000000002</v>
      </c>
      <c r="LQ150" s="16">
        <v>23.08</v>
      </c>
      <c r="LR150" s="16">
        <v>0</v>
      </c>
      <c r="LS150">
        <v>0</v>
      </c>
      <c r="LT150" t="s">
        <v>255</v>
      </c>
      <c r="LU150">
        <v>41</v>
      </c>
      <c r="LV150" s="16">
        <v>48.6</v>
      </c>
      <c r="LW150" s="16">
        <v>81</v>
      </c>
      <c r="LX150" s="16">
        <v>21.6</v>
      </c>
      <c r="LY150">
        <v>76.16</v>
      </c>
      <c r="LZ150">
        <v>0</v>
      </c>
      <c r="MA150">
        <v>7.0000000000000007E-2</v>
      </c>
      <c r="MB150">
        <v>0.13</v>
      </c>
      <c r="MC150">
        <v>23.64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6.53</v>
      </c>
      <c r="MK150">
        <v>0.2</v>
      </c>
      <c r="ML150">
        <v>27.15</v>
      </c>
      <c r="MM150">
        <v>4.1100000000000003</v>
      </c>
      <c r="MN150">
        <v>0</v>
      </c>
      <c r="MO150">
        <v>3.9</v>
      </c>
      <c r="MP150">
        <v>1</v>
      </c>
      <c r="MQ150">
        <v>10</v>
      </c>
      <c r="MS150">
        <v>1</v>
      </c>
      <c r="NC150">
        <v>0.6</v>
      </c>
      <c r="ND150">
        <v>1</v>
      </c>
      <c r="NE150">
        <v>52</v>
      </c>
      <c r="NF150">
        <v>3</v>
      </c>
      <c r="NG150" s="16">
        <f>0.16+0.13</f>
        <v>0.29000000000000004</v>
      </c>
      <c r="NH150">
        <v>2</v>
      </c>
      <c r="NO150" s="18"/>
      <c r="OG150">
        <v>0</v>
      </c>
      <c r="PR150" s="16">
        <v>0.56999999999999995</v>
      </c>
      <c r="PS150" s="16">
        <v>1</v>
      </c>
      <c r="PT150" s="16">
        <v>1</v>
      </c>
      <c r="PU150" s="16"/>
      <c r="PV150" s="16">
        <f>0.93</f>
        <v>0.93</v>
      </c>
      <c r="PW150" s="16">
        <v>2</v>
      </c>
      <c r="PX150" s="16"/>
      <c r="PY150" s="16">
        <f>0.31+0.22</f>
        <v>0.53</v>
      </c>
      <c r="PZ150" s="16"/>
      <c r="QA150" s="16"/>
      <c r="QB150" s="16"/>
      <c r="QC150" s="16">
        <v>5.72</v>
      </c>
      <c r="QD150" s="16">
        <v>5.75</v>
      </c>
      <c r="QE150" s="16"/>
      <c r="QF150" s="16"/>
      <c r="QG150" s="16">
        <v>7.41</v>
      </c>
      <c r="QH150" s="16">
        <v>0</v>
      </c>
      <c r="QI150" s="16">
        <v>0.22</v>
      </c>
      <c r="QJ150">
        <v>5</v>
      </c>
      <c r="QK150" t="s">
        <v>256</v>
      </c>
      <c r="QL150">
        <v>40</v>
      </c>
      <c r="QM150" s="16">
        <v>89.1</v>
      </c>
      <c r="QN150" s="16">
        <v>81</v>
      </c>
      <c r="QO150" s="16">
        <v>5.4</v>
      </c>
      <c r="QP150">
        <v>99.83</v>
      </c>
      <c r="QQ150">
        <v>0</v>
      </c>
      <c r="QR150">
        <v>0</v>
      </c>
      <c r="QS150">
        <v>0.17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19.8</v>
      </c>
      <c r="RC150">
        <v>8.9499999999999993</v>
      </c>
      <c r="RD150">
        <v>0</v>
      </c>
      <c r="RE150">
        <v>0</v>
      </c>
      <c r="RF150">
        <v>22.5</v>
      </c>
      <c r="RG150">
        <v>1</v>
      </c>
      <c r="RH150">
        <v>5</v>
      </c>
      <c r="RJ150">
        <v>8</v>
      </c>
      <c r="RT150">
        <v>0</v>
      </c>
      <c r="RU150">
        <v>0</v>
      </c>
      <c r="SF150" s="18"/>
      <c r="SX150">
        <v>1</v>
      </c>
      <c r="SY150">
        <v>50</v>
      </c>
      <c r="SZ150">
        <v>4</v>
      </c>
      <c r="TA150">
        <f>0.73*2+0.13*2</f>
        <v>1.72</v>
      </c>
      <c r="TB150">
        <v>3</v>
      </c>
      <c r="UI150" s="16">
        <v>1.48</v>
      </c>
      <c r="UJ150" s="16">
        <v>1</v>
      </c>
      <c r="UK150" s="16">
        <v>1</v>
      </c>
      <c r="UL150" s="16"/>
      <c r="UM150" s="16">
        <f>2.1*2+0.37*2</f>
        <v>4.9400000000000004</v>
      </c>
      <c r="UN150" s="16"/>
      <c r="UO150" s="16"/>
      <c r="UP150" s="16"/>
      <c r="UQ150" s="16"/>
      <c r="UR150" s="16"/>
      <c r="US150" s="16"/>
      <c r="UT150" s="16">
        <v>7.71</v>
      </c>
      <c r="UU150" s="16">
        <v>4.3499999999999996</v>
      </c>
      <c r="UV150" s="16"/>
      <c r="UW150" s="16"/>
      <c r="UX150" s="16">
        <v>0</v>
      </c>
      <c r="UY150" s="16">
        <v>0</v>
      </c>
      <c r="UZ150" s="16">
        <v>0</v>
      </c>
      <c r="VA150">
        <v>0</v>
      </c>
      <c r="VB150" t="s">
        <v>257</v>
      </c>
      <c r="VC150">
        <v>43</v>
      </c>
      <c r="VD150" s="16">
        <v>93.3</v>
      </c>
      <c r="VE150" s="16">
        <v>81</v>
      </c>
      <c r="VF150" s="16">
        <v>6.4</v>
      </c>
      <c r="VG150">
        <v>100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18.510000000000002</v>
      </c>
      <c r="VT150">
        <v>28.46</v>
      </c>
      <c r="VU150">
        <v>0</v>
      </c>
      <c r="VV150">
        <v>0</v>
      </c>
      <c r="VW150">
        <v>0</v>
      </c>
      <c r="VX150">
        <v>0</v>
      </c>
      <c r="WK150">
        <v>33</v>
      </c>
      <c r="WL150">
        <v>0</v>
      </c>
      <c r="WW150" s="18"/>
      <c r="XO150">
        <v>1</v>
      </c>
      <c r="XP150">
        <v>40</v>
      </c>
      <c r="XQ150">
        <v>8</v>
      </c>
      <c r="XR150">
        <f>1.51*2+3.02+0.27*2</f>
        <v>6.58</v>
      </c>
      <c r="XS150">
        <v>3</v>
      </c>
      <c r="XT150">
        <v>60</v>
      </c>
      <c r="XU150">
        <v>20</v>
      </c>
      <c r="XV150">
        <f>3.65*2+0.67*2</f>
        <v>8.64</v>
      </c>
      <c r="XW150">
        <v>3</v>
      </c>
      <c r="YZ150" s="16">
        <v>0</v>
      </c>
      <c r="ZA150" s="16">
        <v>0</v>
      </c>
      <c r="ZB150" s="16"/>
      <c r="ZC150" s="16"/>
      <c r="ZD150" s="16"/>
      <c r="ZE150" s="16"/>
      <c r="ZF150" s="16"/>
      <c r="ZG150" s="16"/>
      <c r="ZH150" s="16"/>
      <c r="ZI150" s="16"/>
      <c r="ZJ150" s="16"/>
      <c r="ZK150" s="16">
        <v>0</v>
      </c>
      <c r="ZL150" s="16">
        <v>0</v>
      </c>
      <c r="ZM150" s="16"/>
      <c r="ZN150" s="16"/>
      <c r="ZO150" s="16">
        <v>0</v>
      </c>
      <c r="ZP150" s="16">
        <v>0</v>
      </c>
      <c r="ZQ150" s="16">
        <v>0</v>
      </c>
      <c r="ZR150">
        <v>0</v>
      </c>
      <c r="ZS150" t="s">
        <v>258</v>
      </c>
      <c r="ZT150">
        <v>40</v>
      </c>
      <c r="ZU150" s="16">
        <v>90.1</v>
      </c>
      <c r="ZV150" s="16">
        <v>81</v>
      </c>
      <c r="ZW150" s="16">
        <v>5.9</v>
      </c>
      <c r="ZX150">
        <v>99.34</v>
      </c>
      <c r="ZY150">
        <v>0</v>
      </c>
      <c r="ZZ150">
        <v>0</v>
      </c>
      <c r="AAA150">
        <v>0.66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19.8</v>
      </c>
      <c r="AAK150">
        <v>8.9499999999999993</v>
      </c>
      <c r="AAL150">
        <v>0</v>
      </c>
      <c r="AAM150">
        <v>0</v>
      </c>
      <c r="AAN150">
        <v>22.3</v>
      </c>
      <c r="AAO150">
        <v>1</v>
      </c>
      <c r="AAP150">
        <v>5</v>
      </c>
      <c r="AAR150">
        <v>8</v>
      </c>
      <c r="ABB150">
        <v>0</v>
      </c>
      <c r="ABC150">
        <v>0</v>
      </c>
      <c r="ABN150" s="18"/>
      <c r="ACF150">
        <v>1</v>
      </c>
      <c r="ACG150">
        <v>50</v>
      </c>
      <c r="ACH150">
        <v>4</v>
      </c>
      <c r="ACI150">
        <f>0.73*2+0.13*2</f>
        <v>1.72</v>
      </c>
      <c r="ACJ150">
        <v>3</v>
      </c>
      <c r="ADQ150" s="16">
        <v>1.48</v>
      </c>
      <c r="ADR150" s="16">
        <v>1</v>
      </c>
      <c r="ADS150" s="16">
        <v>1</v>
      </c>
      <c r="ADT150" s="16"/>
      <c r="ADU150" s="16">
        <f>2.1*2+0.37*2</f>
        <v>4.9400000000000004</v>
      </c>
      <c r="ADV150" s="16"/>
      <c r="ADW150" s="16"/>
      <c r="ADX150" s="16"/>
      <c r="ADY150" s="16"/>
      <c r="ADZ150" s="16"/>
      <c r="AEA150" s="16"/>
      <c r="AEB150" s="16">
        <v>7.71</v>
      </c>
      <c r="AEC150" s="16">
        <v>4.3499999999999996</v>
      </c>
      <c r="AED150" s="16"/>
      <c r="AEE150" s="16"/>
      <c r="AEF150" s="16">
        <v>0</v>
      </c>
      <c r="AEG150" s="16">
        <v>0</v>
      </c>
      <c r="AEH150" s="16">
        <v>0</v>
      </c>
      <c r="AEI150">
        <v>0</v>
      </c>
      <c r="AEJ150" t="s">
        <v>259</v>
      </c>
      <c r="AEK150">
        <v>43</v>
      </c>
      <c r="AEL150" s="16">
        <v>93.3</v>
      </c>
      <c r="AEM150" s="16">
        <v>81</v>
      </c>
      <c r="AEN150" s="16">
        <v>6.4</v>
      </c>
      <c r="AEO150">
        <v>100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18.510000000000002</v>
      </c>
      <c r="AFB150">
        <v>28.46</v>
      </c>
      <c r="AFC150">
        <v>0</v>
      </c>
      <c r="AFD150">
        <v>0</v>
      </c>
      <c r="AFE150">
        <v>0</v>
      </c>
      <c r="AFF150">
        <v>0</v>
      </c>
      <c r="AFS150">
        <v>33</v>
      </c>
      <c r="AFT150">
        <v>0</v>
      </c>
      <c r="AGE150" s="18"/>
      <c r="AGW150">
        <v>1</v>
      </c>
      <c r="AGX150">
        <v>40</v>
      </c>
      <c r="AGY150">
        <v>8</v>
      </c>
      <c r="AGZ150">
        <f>1.51*2+0.27*2+3.02</f>
        <v>6.58</v>
      </c>
      <c r="AHA150">
        <v>3</v>
      </c>
      <c r="AHB150">
        <v>60</v>
      </c>
      <c r="AHC150">
        <v>20</v>
      </c>
      <c r="AHD150">
        <f>3.65*2+0.67*2</f>
        <v>8.64</v>
      </c>
      <c r="AHE150">
        <v>3</v>
      </c>
      <c r="AIH150" s="16">
        <v>0</v>
      </c>
      <c r="AII150" s="16">
        <v>0</v>
      </c>
      <c r="AIJ150" s="16"/>
      <c r="AIK150" s="16"/>
      <c r="AIL150" s="16"/>
      <c r="AIM150" s="16"/>
      <c r="AIN150" s="16"/>
      <c r="AIO150" s="16"/>
      <c r="AIP150" s="16"/>
      <c r="AIQ150" s="16"/>
      <c r="AIR150" s="16"/>
      <c r="AIS150" s="16">
        <v>0</v>
      </c>
      <c r="AIT150" s="16">
        <v>0</v>
      </c>
      <c r="AIU150" s="16"/>
      <c r="AIV150" s="16"/>
      <c r="AIW150" s="16">
        <v>0</v>
      </c>
      <c r="AIX150" s="16">
        <v>0</v>
      </c>
      <c r="AIY150" s="16">
        <v>0</v>
      </c>
      <c r="AIZ150">
        <v>0</v>
      </c>
      <c r="AJA150" t="s">
        <v>435</v>
      </c>
      <c r="AJB150">
        <v>52.5</v>
      </c>
      <c r="AJC150" s="16">
        <v>71.2</v>
      </c>
      <c r="AJD150" s="16">
        <v>81</v>
      </c>
      <c r="AJE150" s="16">
        <v>44.8</v>
      </c>
      <c r="AJF150">
        <v>59.03</v>
      </c>
      <c r="AJG150">
        <v>0</v>
      </c>
      <c r="AJH150">
        <v>22.52</v>
      </c>
      <c r="AJI150">
        <v>17.8</v>
      </c>
      <c r="AJJ150">
        <v>0.65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3.42</v>
      </c>
      <c r="AJS150">
        <v>2.94</v>
      </c>
      <c r="AJT150">
        <v>0</v>
      </c>
      <c r="AJU150">
        <v>0</v>
      </c>
      <c r="AJV150">
        <v>0</v>
      </c>
      <c r="AJW150">
        <v>0</v>
      </c>
      <c r="AKJ150">
        <v>0</v>
      </c>
      <c r="AKK150">
        <v>1</v>
      </c>
      <c r="AKL150">
        <v>34</v>
      </c>
      <c r="AKM150">
        <v>8</v>
      </c>
      <c r="AKN150">
        <v>5.35</v>
      </c>
      <c r="AKO150">
        <v>1</v>
      </c>
      <c r="AKV150" s="18"/>
      <c r="ALN150">
        <v>0</v>
      </c>
    </row>
    <row r="151" spans="1:1024" x14ac:dyDescent="0.2">
      <c r="A151" s="1" t="s">
        <v>600</v>
      </c>
      <c r="B151" s="12">
        <v>42902</v>
      </c>
      <c r="C151">
        <v>2</v>
      </c>
      <c r="D151" s="13">
        <v>37089</v>
      </c>
      <c r="E151" s="12">
        <v>24677</v>
      </c>
      <c r="F151" s="14">
        <f t="shared" si="48"/>
        <v>49.897330595482543</v>
      </c>
      <c r="G151" s="14">
        <f t="shared" si="49"/>
        <v>15.915126625598905</v>
      </c>
      <c r="H151" s="15" t="s">
        <v>228</v>
      </c>
      <c r="I151" s="15" t="s">
        <v>251</v>
      </c>
      <c r="J151" s="15" t="s">
        <v>183</v>
      </c>
      <c r="K151" s="21">
        <v>4</v>
      </c>
      <c r="L151" s="19">
        <v>72</v>
      </c>
      <c r="M151">
        <v>1.74</v>
      </c>
      <c r="N151" s="16">
        <f t="shared" si="50"/>
        <v>23.781212841854934</v>
      </c>
      <c r="O151" s="19">
        <v>1</v>
      </c>
      <c r="P151" s="19">
        <v>0</v>
      </c>
      <c r="Q151" s="19">
        <v>0</v>
      </c>
      <c r="R151" s="19">
        <v>0</v>
      </c>
      <c r="S151" s="19">
        <v>0</v>
      </c>
      <c r="T151" s="19">
        <v>0</v>
      </c>
      <c r="U151" s="19">
        <v>1</v>
      </c>
      <c r="V151" s="19">
        <v>3</v>
      </c>
      <c r="W151" s="19">
        <v>1</v>
      </c>
      <c r="X151" s="19">
        <v>1</v>
      </c>
      <c r="Y151" s="19">
        <v>0</v>
      </c>
      <c r="Z151" s="19">
        <v>0</v>
      </c>
      <c r="AA151" s="19">
        <v>0</v>
      </c>
      <c r="AB151" s="19">
        <v>0</v>
      </c>
      <c r="AC151" s="19">
        <v>1</v>
      </c>
      <c r="AD151" s="19">
        <v>10</v>
      </c>
      <c r="AE151" s="19">
        <v>1</v>
      </c>
      <c r="AF151" s="19">
        <v>0</v>
      </c>
      <c r="AG151" s="19">
        <v>1</v>
      </c>
      <c r="AH151" s="19">
        <v>6</v>
      </c>
      <c r="AI151" s="19">
        <v>3</v>
      </c>
      <c r="AJ151" s="19">
        <v>3</v>
      </c>
      <c r="AK151" s="19">
        <v>3</v>
      </c>
      <c r="AL151" s="19">
        <v>5</v>
      </c>
      <c r="AM151" s="19">
        <v>5</v>
      </c>
      <c r="AN151" s="19">
        <v>0</v>
      </c>
      <c r="AO151" s="19">
        <v>0</v>
      </c>
      <c r="AP151" s="19">
        <v>0</v>
      </c>
      <c r="AQ151" s="19">
        <v>0</v>
      </c>
      <c r="AR151" s="19">
        <v>0</v>
      </c>
      <c r="AS151" s="19">
        <v>0</v>
      </c>
      <c r="AT151" s="19">
        <v>0</v>
      </c>
      <c r="AU151" s="19">
        <v>0</v>
      </c>
      <c r="AV151" s="19">
        <v>0</v>
      </c>
      <c r="AW151" s="19">
        <v>0</v>
      </c>
      <c r="AX151" s="19"/>
      <c r="AY151" s="19"/>
      <c r="AZ151" s="19"/>
      <c r="BA151" s="19"/>
      <c r="BB151" s="19">
        <v>1</v>
      </c>
      <c r="BC151" s="19">
        <v>1</v>
      </c>
      <c r="BD151" s="19">
        <v>1</v>
      </c>
      <c r="BE151" s="19">
        <v>6</v>
      </c>
      <c r="BF151" s="19">
        <v>0</v>
      </c>
      <c r="BG151" s="19">
        <v>0</v>
      </c>
      <c r="BH151" s="19">
        <v>0</v>
      </c>
      <c r="BI151" s="19">
        <v>0</v>
      </c>
      <c r="BJ151" s="19">
        <v>0</v>
      </c>
      <c r="BK151" s="19">
        <v>0</v>
      </c>
      <c r="BL151" s="19">
        <v>0</v>
      </c>
      <c r="BM151" s="19">
        <v>0</v>
      </c>
      <c r="BN151" s="19">
        <v>0</v>
      </c>
      <c r="BO151" s="19">
        <v>0</v>
      </c>
      <c r="BP151" s="19">
        <v>0</v>
      </c>
      <c r="BQ151" s="19">
        <v>0</v>
      </c>
      <c r="BR151" s="19">
        <v>3</v>
      </c>
      <c r="BS151" s="19">
        <v>1</v>
      </c>
      <c r="BT151" s="19">
        <v>3</v>
      </c>
      <c r="BU151" s="19">
        <v>5</v>
      </c>
      <c r="BV151" s="19">
        <v>2</v>
      </c>
      <c r="BW151" s="19">
        <v>3</v>
      </c>
      <c r="BX151" s="19">
        <v>3</v>
      </c>
      <c r="BY151" s="19">
        <v>3</v>
      </c>
      <c r="BZ151" s="19">
        <v>2</v>
      </c>
      <c r="CA151" s="19">
        <v>3</v>
      </c>
      <c r="CB151" s="19">
        <v>5</v>
      </c>
      <c r="CC151" s="19">
        <v>5</v>
      </c>
      <c r="CD151" s="19">
        <v>5</v>
      </c>
      <c r="CE151" s="19">
        <v>3</v>
      </c>
      <c r="CF151" s="19">
        <v>3</v>
      </c>
      <c r="CG151" s="19">
        <v>5</v>
      </c>
      <c r="CH151" s="19">
        <v>5</v>
      </c>
      <c r="CI151" s="19">
        <v>5</v>
      </c>
      <c r="CJ151" s="19">
        <v>5</v>
      </c>
      <c r="CK151" s="19">
        <v>7</v>
      </c>
      <c r="CL151" t="s">
        <v>256</v>
      </c>
      <c r="CM151">
        <v>40</v>
      </c>
      <c r="CN151" s="16">
        <v>89.1</v>
      </c>
      <c r="CO151" s="16">
        <v>81</v>
      </c>
      <c r="CP151" s="16">
        <v>5.4</v>
      </c>
      <c r="CQ151">
        <v>99.83</v>
      </c>
      <c r="CR151">
        <v>0</v>
      </c>
      <c r="CS151">
        <v>0</v>
      </c>
      <c r="CT151">
        <v>0.17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19.8</v>
      </c>
      <c r="DD151">
        <v>8.9499999999999993</v>
      </c>
      <c r="DE151">
        <v>0</v>
      </c>
      <c r="DF151">
        <v>0</v>
      </c>
      <c r="DG151">
        <v>22.5</v>
      </c>
      <c r="DH151">
        <v>1</v>
      </c>
      <c r="DI151">
        <v>5</v>
      </c>
      <c r="DK151">
        <v>8</v>
      </c>
      <c r="DU151">
        <v>0</v>
      </c>
      <c r="DV151">
        <v>0</v>
      </c>
      <c r="EG151" s="18"/>
      <c r="EY151">
        <v>1</v>
      </c>
      <c r="EZ151">
        <v>50</v>
      </c>
      <c r="FA151">
        <v>4</v>
      </c>
      <c r="FB151">
        <f>0.73*2+0.13*2</f>
        <v>1.72</v>
      </c>
      <c r="FC151">
        <v>3</v>
      </c>
      <c r="GJ151" s="16">
        <v>1.48</v>
      </c>
      <c r="GK151" s="16">
        <v>1</v>
      </c>
      <c r="GL151" s="16">
        <v>1</v>
      </c>
      <c r="GM151" s="16"/>
      <c r="GN151" s="16">
        <f>2.1*2+0.37*2</f>
        <v>4.9400000000000004</v>
      </c>
      <c r="GO151" s="16"/>
      <c r="GP151" s="16"/>
      <c r="GQ151" s="16"/>
      <c r="GR151" s="16"/>
      <c r="GS151" s="16"/>
      <c r="GT151" s="16"/>
      <c r="GU151" s="16">
        <v>7.71</v>
      </c>
      <c r="GV151" s="16">
        <v>4.3499999999999996</v>
      </c>
      <c r="GW151" s="16"/>
      <c r="GX151" s="16"/>
      <c r="GY151" s="16">
        <v>0</v>
      </c>
      <c r="GZ151" s="16">
        <v>0</v>
      </c>
      <c r="HA151" s="16">
        <v>0</v>
      </c>
      <c r="HB151">
        <v>0</v>
      </c>
      <c r="HC151" t="s">
        <v>257</v>
      </c>
      <c r="HD151">
        <v>43</v>
      </c>
      <c r="HE151" s="16">
        <v>93.3</v>
      </c>
      <c r="HF151" s="16">
        <v>81</v>
      </c>
      <c r="HG151" s="16">
        <v>6.4</v>
      </c>
      <c r="HH151">
        <v>100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18.510000000000002</v>
      </c>
      <c r="HU151">
        <v>28.46</v>
      </c>
      <c r="HV151">
        <v>0</v>
      </c>
      <c r="HW151">
        <v>0</v>
      </c>
      <c r="HX151">
        <v>0</v>
      </c>
      <c r="HY151">
        <v>0</v>
      </c>
      <c r="IL151">
        <v>33</v>
      </c>
      <c r="IM151">
        <v>0</v>
      </c>
      <c r="IX151" s="18"/>
      <c r="JP151">
        <v>1</v>
      </c>
      <c r="JQ151">
        <v>40</v>
      </c>
      <c r="JR151">
        <v>8</v>
      </c>
      <c r="JS151">
        <f>1.51*2+3.02+0.27*2</f>
        <v>6.58</v>
      </c>
      <c r="JT151">
        <v>3</v>
      </c>
      <c r="JU151">
        <v>60</v>
      </c>
      <c r="JV151">
        <v>20</v>
      </c>
      <c r="JW151">
        <f>3.65*2+0.67*2</f>
        <v>8.64</v>
      </c>
      <c r="JX151">
        <v>3</v>
      </c>
      <c r="LA151" s="16">
        <v>0</v>
      </c>
      <c r="LB151" s="16">
        <v>0</v>
      </c>
      <c r="LC151" s="16"/>
      <c r="LD151" s="16"/>
      <c r="LE151" s="16"/>
      <c r="LF151" s="16"/>
      <c r="LG151" s="16"/>
      <c r="LH151" s="16"/>
      <c r="LI151" s="16"/>
      <c r="LJ151" s="16"/>
      <c r="LK151" s="16"/>
      <c r="LL151" s="16">
        <v>0</v>
      </c>
      <c r="LM151" s="16">
        <v>0</v>
      </c>
      <c r="LN151" s="16"/>
      <c r="LO151" s="16"/>
      <c r="LP151" s="16">
        <v>0</v>
      </c>
      <c r="LQ151" s="16">
        <v>0</v>
      </c>
      <c r="LR151" s="16">
        <v>0</v>
      </c>
      <c r="LS151">
        <v>0</v>
      </c>
      <c r="LT151" t="s">
        <v>258</v>
      </c>
      <c r="LU151">
        <v>40</v>
      </c>
      <c r="LV151" s="16">
        <v>90.1</v>
      </c>
      <c r="LW151" s="16">
        <v>81</v>
      </c>
      <c r="LX151" s="16">
        <v>5.9</v>
      </c>
      <c r="LY151">
        <v>99.34</v>
      </c>
      <c r="LZ151">
        <v>0</v>
      </c>
      <c r="MA151">
        <v>0</v>
      </c>
      <c r="MB151">
        <v>0.66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19.8</v>
      </c>
      <c r="ML151">
        <v>8.9499999999999993</v>
      </c>
      <c r="MM151">
        <v>0</v>
      </c>
      <c r="MN151">
        <v>0</v>
      </c>
      <c r="MO151">
        <v>22.3</v>
      </c>
      <c r="MP151">
        <v>1</v>
      </c>
      <c r="MQ151">
        <v>5</v>
      </c>
      <c r="MS151">
        <v>8</v>
      </c>
      <c r="NC151">
        <v>0</v>
      </c>
      <c r="ND151">
        <v>0</v>
      </c>
      <c r="NO151" s="18"/>
      <c r="OG151">
        <v>1</v>
      </c>
      <c r="OH151">
        <v>50</v>
      </c>
      <c r="OI151">
        <v>4</v>
      </c>
      <c r="OJ151">
        <f>0.73*2+0.13*2</f>
        <v>1.72</v>
      </c>
      <c r="OK151">
        <v>3</v>
      </c>
      <c r="PR151" s="16">
        <v>1.48</v>
      </c>
      <c r="PS151" s="16">
        <v>1</v>
      </c>
      <c r="PT151" s="16">
        <v>1</v>
      </c>
      <c r="PU151" s="16"/>
      <c r="PV151" s="16">
        <f>2.1*2+0.37*2</f>
        <v>4.9400000000000004</v>
      </c>
      <c r="PW151" s="16"/>
      <c r="PX151" s="16"/>
      <c r="PY151" s="16"/>
      <c r="PZ151" s="16"/>
      <c r="QA151" s="16"/>
      <c r="QB151" s="16"/>
      <c r="QC151" s="16">
        <v>7.71</v>
      </c>
      <c r="QD151" s="16">
        <v>4.3499999999999996</v>
      </c>
      <c r="QE151" s="16"/>
      <c r="QF151" s="16"/>
      <c r="QG151" s="16">
        <v>0</v>
      </c>
      <c r="QH151" s="16">
        <v>0</v>
      </c>
      <c r="QI151" s="16">
        <v>0</v>
      </c>
      <c r="QJ151">
        <v>0</v>
      </c>
      <c r="QK151" t="s">
        <v>259</v>
      </c>
      <c r="QL151">
        <v>43</v>
      </c>
      <c r="QM151" s="16">
        <v>93.3</v>
      </c>
      <c r="QN151" s="16">
        <v>81</v>
      </c>
      <c r="QO151" s="16">
        <v>6.4</v>
      </c>
      <c r="QP151">
        <v>100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18.510000000000002</v>
      </c>
      <c r="RC151">
        <v>28.46</v>
      </c>
      <c r="RD151">
        <v>0</v>
      </c>
      <c r="RE151">
        <v>0</v>
      </c>
      <c r="RF151">
        <v>0</v>
      </c>
      <c r="RG151">
        <v>0</v>
      </c>
      <c r="RT151">
        <v>33</v>
      </c>
      <c r="RU151">
        <v>0</v>
      </c>
      <c r="SF151" s="18"/>
      <c r="SX151">
        <v>1</v>
      </c>
      <c r="SY151">
        <v>40</v>
      </c>
      <c r="SZ151">
        <v>8</v>
      </c>
      <c r="TA151">
        <f>1.51*2+0.27*2+3.02</f>
        <v>6.58</v>
      </c>
      <c r="TB151">
        <v>3</v>
      </c>
      <c r="TC151">
        <v>60</v>
      </c>
      <c r="TD151">
        <v>20</v>
      </c>
      <c r="TE151">
        <f>3.65*2+0.67*2</f>
        <v>8.64</v>
      </c>
      <c r="TF151">
        <v>3</v>
      </c>
      <c r="UI151" s="16">
        <v>0</v>
      </c>
      <c r="UJ151" s="16">
        <v>0</v>
      </c>
      <c r="UK151" s="16"/>
      <c r="UL151" s="16"/>
      <c r="UM151" s="16"/>
      <c r="UN151" s="16"/>
      <c r="UO151" s="16"/>
      <c r="UP151" s="16"/>
      <c r="UQ151" s="16"/>
      <c r="UR151" s="16"/>
      <c r="US151" s="16"/>
      <c r="UT151" s="16">
        <v>0</v>
      </c>
      <c r="UU151" s="16">
        <v>0</v>
      </c>
      <c r="UV151" s="16"/>
      <c r="UW151" s="16"/>
      <c r="UX151" s="16">
        <v>0</v>
      </c>
      <c r="UY151" s="16">
        <v>0</v>
      </c>
      <c r="UZ151" s="16">
        <v>0</v>
      </c>
      <c r="VA151">
        <v>0</v>
      </c>
      <c r="VB151" t="s">
        <v>435</v>
      </c>
      <c r="VC151">
        <v>52.5</v>
      </c>
      <c r="VD151" s="16">
        <v>71.2</v>
      </c>
      <c r="VE151" s="16">
        <v>81</v>
      </c>
      <c r="VF151" s="16">
        <v>44.8</v>
      </c>
      <c r="VG151">
        <v>59.03</v>
      </c>
      <c r="VH151">
        <v>0</v>
      </c>
      <c r="VI151">
        <v>22.52</v>
      </c>
      <c r="VJ151">
        <v>17.8</v>
      </c>
      <c r="VK151">
        <v>0.65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3.42</v>
      </c>
      <c r="VT151">
        <v>2.94</v>
      </c>
      <c r="VU151">
        <v>0</v>
      </c>
      <c r="VV151">
        <v>0</v>
      </c>
      <c r="VW151">
        <v>0</v>
      </c>
      <c r="VX151">
        <v>0</v>
      </c>
      <c r="WK151">
        <v>0</v>
      </c>
      <c r="WL151">
        <v>1</v>
      </c>
      <c r="WM151">
        <v>34</v>
      </c>
      <c r="WN151">
        <v>8</v>
      </c>
      <c r="WO151">
        <v>5.35</v>
      </c>
      <c r="WP151">
        <v>1</v>
      </c>
      <c r="WW151" s="18"/>
      <c r="XO151">
        <v>0</v>
      </c>
      <c r="YZ151" s="16">
        <v>1.96</v>
      </c>
      <c r="ZA151" s="16">
        <v>1</v>
      </c>
      <c r="ZB151" s="16">
        <v>1</v>
      </c>
      <c r="ZC151" s="16"/>
      <c r="ZD151" s="16">
        <f>0.22+4.31+1.48+0.37*2</f>
        <v>6.75</v>
      </c>
      <c r="ZE151" s="16"/>
      <c r="ZF151" s="16"/>
      <c r="ZG151" s="16"/>
      <c r="ZH151" s="16"/>
      <c r="ZI151" s="16"/>
      <c r="ZJ151" s="16"/>
      <c r="ZK151" s="16">
        <v>4.75</v>
      </c>
      <c r="ZL151" s="16">
        <v>4.74</v>
      </c>
      <c r="ZM151" s="16"/>
      <c r="ZN151" s="16"/>
      <c r="ZO151" s="16">
        <v>0</v>
      </c>
      <c r="ZP151" s="16">
        <v>0</v>
      </c>
      <c r="ZQ151" s="16">
        <v>0</v>
      </c>
      <c r="ZR151">
        <v>0</v>
      </c>
      <c r="ZS151" t="s">
        <v>587</v>
      </c>
      <c r="ZT151">
        <v>62</v>
      </c>
      <c r="ZU151" s="16">
        <v>90.3</v>
      </c>
      <c r="ZV151" s="16">
        <v>81</v>
      </c>
      <c r="ZW151" s="16">
        <v>56.4</v>
      </c>
      <c r="ZX151">
        <v>56.67</v>
      </c>
      <c r="ZY151">
        <v>0</v>
      </c>
      <c r="ZZ151">
        <v>0</v>
      </c>
      <c r="AAA151">
        <v>43.33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0.55000000000000004</v>
      </c>
      <c r="AAL151">
        <v>0</v>
      </c>
      <c r="AAM151">
        <v>0</v>
      </c>
      <c r="AAN151">
        <v>0</v>
      </c>
      <c r="AAO151">
        <v>0</v>
      </c>
      <c r="ABB151">
        <v>0</v>
      </c>
      <c r="ABC151">
        <v>0</v>
      </c>
      <c r="ABN151" s="18"/>
      <c r="ACF151">
        <v>0</v>
      </c>
      <c r="ADQ151" s="16">
        <v>3.58</v>
      </c>
      <c r="ADR151" s="16">
        <v>1</v>
      </c>
      <c r="ADS151" s="16">
        <v>1</v>
      </c>
      <c r="ADT151" s="16"/>
      <c r="ADU151" s="16">
        <f>10.5+5.57+3.88+6.19+1.33+1.67+0.4+0.65</f>
        <v>30.189999999999998</v>
      </c>
      <c r="ADV151" s="16"/>
      <c r="ADW151" s="16"/>
      <c r="ADX151" s="16"/>
      <c r="ADY151" s="16"/>
      <c r="ADZ151" s="16"/>
      <c r="AEA151" s="16"/>
      <c r="AEB151" s="16">
        <v>1.71</v>
      </c>
      <c r="AEC151" s="16">
        <v>1.58</v>
      </c>
      <c r="AED151" s="16"/>
      <c r="AEE151" s="16"/>
      <c r="AEF151" s="16">
        <v>0</v>
      </c>
      <c r="AEG151" s="16">
        <v>0</v>
      </c>
      <c r="AEH151" s="16">
        <v>0</v>
      </c>
      <c r="AEI151">
        <v>0</v>
      </c>
      <c r="AEJ151" s="34"/>
      <c r="AEK151" s="15"/>
      <c r="AEL151" s="15"/>
      <c r="AEN151" s="34"/>
      <c r="AEO151" s="34"/>
      <c r="AER151" s="34"/>
      <c r="AES151" s="15"/>
      <c r="AET151" s="15"/>
      <c r="AEV151" s="34"/>
      <c r="AEW151" s="34"/>
      <c r="AEZ151" s="34"/>
      <c r="AFA151" s="15"/>
      <c r="AFB151" s="15"/>
      <c r="AFD151" s="34"/>
      <c r="AFE151" s="34"/>
      <c r="AFH151" s="34"/>
      <c r="AFI151" s="15"/>
      <c r="AFJ151" s="15"/>
      <c r="AFL151" s="34"/>
      <c r="AFM151" s="34"/>
      <c r="AFP151" s="34"/>
      <c r="AFQ151" s="15"/>
      <c r="AFR151" s="15"/>
      <c r="AFT151" s="34"/>
      <c r="AFU151" s="34"/>
      <c r="AFX151" s="34"/>
      <c r="AFY151" s="15"/>
      <c r="AFZ151" s="15"/>
      <c r="AGB151" s="34"/>
      <c r="AGC151" s="34"/>
      <c r="AGF151" s="34"/>
      <c r="AGG151" s="15"/>
      <c r="AGH151" s="15"/>
      <c r="AGJ151" s="34"/>
      <c r="AGK151" s="34"/>
      <c r="AGN151" s="34"/>
      <c r="AGO151" s="15"/>
      <c r="AGP151" s="15"/>
      <c r="AGR151" s="34"/>
      <c r="AGS151" s="34"/>
      <c r="AGV151" s="34"/>
      <c r="AGW151" s="15"/>
      <c r="AGX151" s="15"/>
      <c r="AGZ151" s="34"/>
      <c r="AHA151" s="34"/>
      <c r="AHD151" s="34"/>
      <c r="AHE151" s="15"/>
      <c r="AHF151" s="15"/>
      <c r="AHH151" s="34"/>
      <c r="AHI151" s="34"/>
      <c r="AHL151" s="34"/>
      <c r="AHM151" s="15"/>
      <c r="AHN151" s="15"/>
      <c r="AHP151" s="34"/>
      <c r="AHQ151" s="34"/>
      <c r="AHT151" s="34"/>
      <c r="AHU151" s="15"/>
      <c r="AHV151" s="15"/>
      <c r="AHX151" s="34"/>
      <c r="AHY151" s="34"/>
      <c r="AIB151" s="34"/>
      <c r="AIC151" s="15"/>
      <c r="AID151" s="15"/>
      <c r="AIF151" s="34"/>
      <c r="AIG151" s="34"/>
      <c r="AIJ151" s="34"/>
      <c r="AIK151" s="15"/>
      <c r="AIL151" s="15"/>
      <c r="AIN151" s="34"/>
      <c r="AIO151" s="34"/>
      <c r="AIR151" s="34"/>
      <c r="AIS151" s="15"/>
      <c r="AIT151" s="15"/>
      <c r="AIV151" s="34"/>
      <c r="AIW151" s="34"/>
      <c r="AIZ151" s="34"/>
      <c r="AJA151" s="15"/>
      <c r="AJB151" s="15"/>
      <c r="AJD151" s="34"/>
      <c r="AJE151" s="34"/>
      <c r="AJH151" s="34"/>
      <c r="AJI151" s="15"/>
      <c r="AJJ151" s="15"/>
      <c r="AJL151" s="34"/>
      <c r="AJM151" s="34"/>
      <c r="AJP151" s="34"/>
      <c r="AJQ151" s="15"/>
      <c r="AJR151" s="15"/>
      <c r="AJT151" s="34"/>
      <c r="AJU151" s="34"/>
      <c r="AJX151" s="34"/>
      <c r="AJY151" s="15"/>
      <c r="AJZ151" s="15"/>
      <c r="AKB151" s="34"/>
      <c r="AKC151" s="34"/>
      <c r="AKF151" s="34"/>
      <c r="AKG151" s="15"/>
      <c r="AKH151" s="15"/>
      <c r="AKJ151" s="34"/>
      <c r="AKK151" s="34"/>
      <c r="AKN151" s="34"/>
      <c r="AKO151" s="15"/>
      <c r="AKP151" s="15"/>
      <c r="AKR151" s="34"/>
      <c r="AKS151" s="34"/>
      <c r="AKV151" s="34"/>
      <c r="AKW151" s="15"/>
      <c r="AKX151" s="15"/>
      <c r="AKZ151" s="34"/>
      <c r="ALA151" s="34"/>
      <c r="ALD151" s="34"/>
      <c r="ALE151" s="15"/>
      <c r="ALF151" s="15"/>
      <c r="ALH151" s="34"/>
      <c r="ALI151" s="34"/>
      <c r="ALL151" s="34"/>
      <c r="ALM151" s="15"/>
      <c r="ALN151" s="15"/>
      <c r="ALP151" s="34"/>
      <c r="ALQ151" s="34"/>
      <c r="ALT151" s="34"/>
      <c r="ALU151" s="15"/>
      <c r="ALV151" s="15"/>
      <c r="ALX151" s="34"/>
      <c r="ALY151" s="34"/>
      <c r="AMB151" s="34"/>
      <c r="AMC151" s="15"/>
      <c r="AMD151" s="15"/>
      <c r="AMF151" s="34"/>
      <c r="AMG151" s="34"/>
      <c r="AMJ151" s="34"/>
    </row>
    <row r="152" spans="1:1024" x14ac:dyDescent="0.2">
      <c r="A152" s="1" t="s">
        <v>601</v>
      </c>
      <c r="B152" s="12">
        <v>42902</v>
      </c>
      <c r="C152">
        <v>1</v>
      </c>
      <c r="D152" s="13">
        <v>42786</v>
      </c>
      <c r="E152" s="12">
        <v>34603</v>
      </c>
      <c r="F152" s="14">
        <f t="shared" si="48"/>
        <v>22.721423682409309</v>
      </c>
      <c r="G152" s="14">
        <f t="shared" si="49"/>
        <v>0.31759069130732376</v>
      </c>
      <c r="H152" s="15" t="s">
        <v>228</v>
      </c>
      <c r="I152" s="15" t="s">
        <v>602</v>
      </c>
      <c r="J152" s="15" t="s">
        <v>183</v>
      </c>
      <c r="K152" s="21">
        <v>4</v>
      </c>
      <c r="L152" s="19"/>
      <c r="N152" s="16" t="e">
        <f t="shared" si="50"/>
        <v>#DIV/0!</v>
      </c>
      <c r="O152" s="19">
        <v>0</v>
      </c>
      <c r="P152" s="19">
        <v>0</v>
      </c>
      <c r="Q152" s="19">
        <v>0</v>
      </c>
      <c r="R152" s="19">
        <v>0</v>
      </c>
      <c r="S152" s="19">
        <v>0</v>
      </c>
      <c r="T152" s="19">
        <v>0</v>
      </c>
      <c r="U152" s="19">
        <v>0</v>
      </c>
      <c r="V152" s="19">
        <v>0</v>
      </c>
      <c r="W152" s="19">
        <v>0</v>
      </c>
      <c r="X152" s="19">
        <v>0</v>
      </c>
      <c r="Y152" s="19">
        <v>1</v>
      </c>
      <c r="Z152" s="19">
        <v>2</v>
      </c>
      <c r="AA152" s="19">
        <v>120</v>
      </c>
      <c r="AB152" s="19" t="s">
        <v>603</v>
      </c>
      <c r="AC152" s="19">
        <v>0</v>
      </c>
      <c r="AD152" s="19">
        <v>0</v>
      </c>
      <c r="AE152" s="19">
        <v>0</v>
      </c>
      <c r="AF152" s="19"/>
      <c r="AG152" s="19"/>
      <c r="AH152" s="19"/>
      <c r="AI152" s="19">
        <v>0</v>
      </c>
      <c r="AJ152" s="19">
        <v>0</v>
      </c>
      <c r="AK152" s="19">
        <v>0</v>
      </c>
      <c r="AL152" s="19">
        <v>0</v>
      </c>
      <c r="AM152" s="19">
        <v>0</v>
      </c>
      <c r="AN152" s="19">
        <v>0</v>
      </c>
      <c r="AO152" s="19">
        <v>0</v>
      </c>
      <c r="AP152" s="19">
        <v>0</v>
      </c>
      <c r="AQ152" s="19">
        <v>0</v>
      </c>
      <c r="AR152" s="19">
        <v>0</v>
      </c>
      <c r="AS152" s="19">
        <v>0</v>
      </c>
      <c r="AT152" s="19">
        <v>0</v>
      </c>
      <c r="AU152" s="19">
        <v>0</v>
      </c>
      <c r="AV152" s="19">
        <v>0</v>
      </c>
      <c r="AW152" s="19">
        <v>0</v>
      </c>
      <c r="AX152" s="19">
        <v>0</v>
      </c>
      <c r="AY152" s="19">
        <v>0</v>
      </c>
      <c r="AZ152" s="19">
        <v>0</v>
      </c>
      <c r="BA152" s="19">
        <v>0</v>
      </c>
      <c r="BB152" s="19">
        <v>0</v>
      </c>
      <c r="BC152" s="19">
        <v>0</v>
      </c>
      <c r="BD152" s="19">
        <v>0</v>
      </c>
      <c r="BE152" s="19">
        <v>0</v>
      </c>
      <c r="BF152" s="19">
        <v>0</v>
      </c>
      <c r="BG152" s="19">
        <v>0</v>
      </c>
      <c r="BH152" s="19">
        <v>0</v>
      </c>
      <c r="BI152" s="19">
        <v>0</v>
      </c>
      <c r="BJ152" s="19">
        <v>0</v>
      </c>
      <c r="BK152" s="19">
        <v>0</v>
      </c>
      <c r="BL152" s="19">
        <v>0</v>
      </c>
      <c r="BM152" s="19">
        <v>0</v>
      </c>
      <c r="BN152" s="19">
        <v>0</v>
      </c>
      <c r="BO152" s="19">
        <v>0</v>
      </c>
      <c r="BP152" s="19">
        <v>0</v>
      </c>
      <c r="BQ152" s="19">
        <v>0</v>
      </c>
      <c r="BR152" s="19">
        <v>1</v>
      </c>
      <c r="BS152" s="19">
        <v>2</v>
      </c>
      <c r="BT152" s="19">
        <v>3</v>
      </c>
      <c r="BU152" s="19">
        <v>4</v>
      </c>
      <c r="BV152" s="19">
        <v>2</v>
      </c>
      <c r="BW152" s="19">
        <v>2</v>
      </c>
      <c r="BX152" s="19">
        <v>2</v>
      </c>
      <c r="BY152" s="19">
        <v>4</v>
      </c>
      <c r="BZ152" s="19">
        <v>3</v>
      </c>
      <c r="CA152" s="19">
        <v>4</v>
      </c>
      <c r="CB152" s="19">
        <v>4</v>
      </c>
      <c r="CC152" s="19">
        <v>5</v>
      </c>
      <c r="CD152" s="19">
        <v>4</v>
      </c>
      <c r="CE152" s="19">
        <v>5</v>
      </c>
      <c r="CF152" s="19">
        <v>4</v>
      </c>
      <c r="CG152" s="19">
        <v>5</v>
      </c>
      <c r="CH152" s="19">
        <v>5</v>
      </c>
      <c r="CI152" s="19">
        <v>4</v>
      </c>
      <c r="CJ152" s="19">
        <v>5</v>
      </c>
      <c r="CK152" s="19">
        <v>10</v>
      </c>
      <c r="CL152" t="s">
        <v>604</v>
      </c>
      <c r="CM152">
        <v>32</v>
      </c>
      <c r="CN152" s="16">
        <v>93.9</v>
      </c>
      <c r="CO152" s="16">
        <v>81</v>
      </c>
      <c r="CP152" s="16">
        <v>11.9</v>
      </c>
      <c r="CQ152">
        <v>93.99</v>
      </c>
      <c r="CR152">
        <v>4.91</v>
      </c>
      <c r="CS152">
        <v>0</v>
      </c>
      <c r="CT152">
        <v>0</v>
      </c>
      <c r="CU152">
        <v>1.1000000000000001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21.14</v>
      </c>
      <c r="DE152">
        <v>45.4</v>
      </c>
      <c r="DF152">
        <v>0</v>
      </c>
      <c r="DG152">
        <v>0</v>
      </c>
      <c r="DH152">
        <v>0</v>
      </c>
      <c r="DU152">
        <v>0.6</v>
      </c>
      <c r="DV152">
        <v>1</v>
      </c>
      <c r="DW152">
        <v>52</v>
      </c>
      <c r="DX152">
        <v>3</v>
      </c>
      <c r="DY152">
        <v>0.27</v>
      </c>
      <c r="DZ152">
        <v>2</v>
      </c>
      <c r="EG152" s="18"/>
      <c r="EY152">
        <v>0</v>
      </c>
      <c r="GJ152" s="16">
        <v>1.89</v>
      </c>
      <c r="GK152" s="16">
        <v>1</v>
      </c>
      <c r="GL152" s="16">
        <v>2</v>
      </c>
      <c r="GM152" s="16"/>
      <c r="GN152" s="16">
        <v>5.25</v>
      </c>
      <c r="GO152" s="16"/>
      <c r="GP152" s="16"/>
      <c r="GQ152" s="16"/>
      <c r="GR152" s="16"/>
      <c r="GS152" s="16"/>
      <c r="GT152" s="16"/>
      <c r="GU152" s="16">
        <v>10.119999999999999</v>
      </c>
      <c r="GV152" s="16">
        <v>28</v>
      </c>
      <c r="GW152" s="16"/>
      <c r="GX152" s="16"/>
      <c r="GY152" s="16">
        <v>2.96</v>
      </c>
      <c r="GZ152" s="16">
        <v>11.53</v>
      </c>
      <c r="HA152" s="16">
        <v>0</v>
      </c>
      <c r="HB152">
        <v>0</v>
      </c>
      <c r="HC152" t="s">
        <v>605</v>
      </c>
      <c r="HD152">
        <v>23.5</v>
      </c>
      <c r="HE152" s="16">
        <v>76.8</v>
      </c>
      <c r="HF152" s="16">
        <v>81</v>
      </c>
      <c r="HG152" s="16">
        <v>13.3</v>
      </c>
      <c r="HH152">
        <v>89.68</v>
      </c>
      <c r="HI152">
        <v>0</v>
      </c>
      <c r="HJ152">
        <v>0.91</v>
      </c>
      <c r="HK152">
        <v>0</v>
      </c>
      <c r="HL152">
        <v>9.41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47.21</v>
      </c>
      <c r="HV152">
        <v>1.76</v>
      </c>
      <c r="HW152">
        <v>0</v>
      </c>
      <c r="HX152">
        <v>0</v>
      </c>
      <c r="HY152">
        <v>0</v>
      </c>
      <c r="IL152">
        <v>0.5</v>
      </c>
      <c r="IM152">
        <v>1</v>
      </c>
      <c r="IN152">
        <v>26</v>
      </c>
      <c r="IO152">
        <v>2</v>
      </c>
      <c r="IP152">
        <v>1.51</v>
      </c>
      <c r="IQ152">
        <v>2</v>
      </c>
      <c r="IR152">
        <v>52</v>
      </c>
      <c r="IS152">
        <v>3</v>
      </c>
      <c r="IT152">
        <v>0.38</v>
      </c>
      <c r="IU152">
        <v>2</v>
      </c>
      <c r="IX152" s="18"/>
      <c r="JP152">
        <v>0</v>
      </c>
      <c r="LA152" s="16">
        <v>0.11</v>
      </c>
      <c r="LB152" s="16">
        <v>1</v>
      </c>
      <c r="LC152" s="16">
        <v>1</v>
      </c>
      <c r="LD152" s="16"/>
      <c r="LE152" s="16">
        <v>0.37</v>
      </c>
      <c r="LF152" s="16"/>
      <c r="LG152" s="16"/>
      <c r="LH152" s="16"/>
      <c r="LI152" s="16"/>
      <c r="LJ152" s="16"/>
      <c r="LK152" s="16"/>
      <c r="LL152" s="16">
        <v>6.62</v>
      </c>
      <c r="LM152" s="16">
        <v>11.28</v>
      </c>
      <c r="LN152" s="16"/>
      <c r="LO152" s="16"/>
      <c r="LP152" s="16">
        <v>0</v>
      </c>
      <c r="LQ152" s="16">
        <v>0</v>
      </c>
      <c r="LR152" s="16">
        <v>0</v>
      </c>
      <c r="LS152">
        <v>0</v>
      </c>
      <c r="LT152" t="s">
        <v>606</v>
      </c>
      <c r="LU152">
        <v>22</v>
      </c>
      <c r="LV152" s="16">
        <v>82.5</v>
      </c>
      <c r="LW152" s="16">
        <v>81</v>
      </c>
      <c r="LX152" s="16">
        <v>15.1</v>
      </c>
      <c r="LY152">
        <v>0</v>
      </c>
      <c r="LZ152">
        <v>0</v>
      </c>
      <c r="MA152">
        <v>0</v>
      </c>
      <c r="MB152">
        <v>2</v>
      </c>
      <c r="MC152">
        <v>8.67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5.88</v>
      </c>
      <c r="MK152">
        <v>34.729999999999997</v>
      </c>
      <c r="ML152">
        <v>6.44</v>
      </c>
      <c r="MM152">
        <v>0</v>
      </c>
      <c r="MN152">
        <v>0</v>
      </c>
      <c r="MO152">
        <v>0</v>
      </c>
      <c r="MP152">
        <v>0</v>
      </c>
      <c r="NC152">
        <v>5.8</v>
      </c>
      <c r="ND152">
        <v>1</v>
      </c>
      <c r="NE152">
        <v>68</v>
      </c>
      <c r="NF152">
        <v>6</v>
      </c>
      <c r="NG152">
        <f>0.38+1.89+0+0.33</f>
        <v>2.6</v>
      </c>
      <c r="NH152">
        <v>2</v>
      </c>
      <c r="NI152">
        <v>23</v>
      </c>
      <c r="NJ152">
        <v>1</v>
      </c>
      <c r="NK152">
        <v>2.27</v>
      </c>
      <c r="NL152">
        <v>3</v>
      </c>
      <c r="NO152" s="18"/>
      <c r="OG152">
        <v>0</v>
      </c>
      <c r="PR152" s="16">
        <v>0</v>
      </c>
      <c r="PS152" s="16">
        <v>0</v>
      </c>
      <c r="PT152" s="16"/>
      <c r="PU152" s="16"/>
      <c r="PV152" s="16"/>
      <c r="PW152" s="16"/>
      <c r="PX152" s="16"/>
      <c r="PY152" s="16"/>
      <c r="PZ152" s="16"/>
      <c r="QA152" s="16"/>
      <c r="QB152" s="16"/>
      <c r="QC152" s="16">
        <v>0.77</v>
      </c>
      <c r="QD152" s="16">
        <v>0.77</v>
      </c>
      <c r="QE152" s="16"/>
      <c r="QF152" s="16"/>
      <c r="QG152" s="16">
        <v>0</v>
      </c>
      <c r="QH152" s="16">
        <v>0</v>
      </c>
      <c r="QI152" s="16">
        <v>0</v>
      </c>
      <c r="QJ152">
        <v>0</v>
      </c>
      <c r="QK152" t="s">
        <v>607</v>
      </c>
      <c r="QL152">
        <v>34.5</v>
      </c>
      <c r="QM152" s="16">
        <v>93.1</v>
      </c>
      <c r="QN152" s="16">
        <v>81</v>
      </c>
      <c r="QO152" s="16">
        <v>25.7</v>
      </c>
      <c r="QP152">
        <v>72.2</v>
      </c>
      <c r="QQ152">
        <v>2.27</v>
      </c>
      <c r="QR152">
        <v>10.23</v>
      </c>
      <c r="QS152">
        <v>0</v>
      </c>
      <c r="QT152">
        <v>15.3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41.42</v>
      </c>
      <c r="RD152">
        <v>39.33</v>
      </c>
      <c r="RE152">
        <v>0</v>
      </c>
      <c r="RF152">
        <v>0</v>
      </c>
      <c r="RG152">
        <v>0</v>
      </c>
      <c r="RT152">
        <v>0</v>
      </c>
      <c r="RU152">
        <v>0</v>
      </c>
      <c r="SF152" s="18"/>
      <c r="SX152">
        <v>0</v>
      </c>
      <c r="UI152" s="16">
        <v>3.45</v>
      </c>
      <c r="UJ152" s="16">
        <v>1</v>
      </c>
      <c r="UK152" s="16">
        <v>1</v>
      </c>
      <c r="UL152" s="16"/>
      <c r="UM152" s="16">
        <f>2.1+6.3+6.23*2+6.3+0.65+0.74*2+0.19</f>
        <v>29.48</v>
      </c>
      <c r="UN152" s="16"/>
      <c r="UO152" s="16"/>
      <c r="UP152" s="16"/>
      <c r="UQ152" s="16"/>
      <c r="UR152" s="16"/>
      <c r="US152" s="16"/>
      <c r="UT152" s="16">
        <v>0.65</v>
      </c>
      <c r="UU152" s="16">
        <v>0.65</v>
      </c>
      <c r="UV152" s="16"/>
      <c r="UW152" s="16"/>
      <c r="UX152" s="16">
        <v>0</v>
      </c>
      <c r="UY152" s="16">
        <v>0</v>
      </c>
      <c r="UZ152" s="16">
        <v>0</v>
      </c>
      <c r="VA152">
        <v>0</v>
      </c>
      <c r="VB152" t="s">
        <v>608</v>
      </c>
      <c r="VC152">
        <v>33.5</v>
      </c>
      <c r="VD152" s="16">
        <v>96.2</v>
      </c>
      <c r="VE152" s="16">
        <v>81</v>
      </c>
      <c r="VF152" s="16">
        <v>22.7</v>
      </c>
      <c r="VG152">
        <v>75.63</v>
      </c>
      <c r="VH152">
        <v>0</v>
      </c>
      <c r="VI152">
        <v>8.36</v>
      </c>
      <c r="VJ152">
        <v>0</v>
      </c>
      <c r="VK152">
        <v>15.71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55.49</v>
      </c>
      <c r="VU152">
        <v>29.63</v>
      </c>
      <c r="VV152">
        <v>0</v>
      </c>
      <c r="VW152">
        <v>0</v>
      </c>
      <c r="VX152">
        <v>0</v>
      </c>
      <c r="WK152">
        <v>0</v>
      </c>
      <c r="WL152">
        <v>0</v>
      </c>
      <c r="WW152" s="18"/>
      <c r="XO152">
        <v>0</v>
      </c>
      <c r="YZ152" s="16">
        <v>4.96</v>
      </c>
      <c r="ZA152" s="16">
        <v>1</v>
      </c>
      <c r="ZB152" s="16">
        <v>1</v>
      </c>
      <c r="ZC152" s="16"/>
      <c r="ZD152" s="16">
        <f>2.1+6.3*2+12.47*2+0.74+0.19+1.67</f>
        <v>42.24</v>
      </c>
      <c r="ZE152" s="16"/>
      <c r="ZF152" s="16"/>
      <c r="ZG152" s="16"/>
      <c r="ZH152" s="16"/>
      <c r="ZI152" s="16"/>
      <c r="ZJ152" s="16"/>
      <c r="ZK152" s="16">
        <v>0.32</v>
      </c>
      <c r="ZL152" s="16">
        <v>0.32</v>
      </c>
      <c r="ZM152" s="16"/>
      <c r="ZN152" s="16"/>
      <c r="ZO152" s="16">
        <v>0</v>
      </c>
      <c r="ZP152" s="16">
        <v>0</v>
      </c>
      <c r="ZQ152" s="16">
        <v>0</v>
      </c>
      <c r="ZR152">
        <v>0</v>
      </c>
      <c r="ZS152" t="s">
        <v>609</v>
      </c>
      <c r="ZT152">
        <v>27.5</v>
      </c>
      <c r="ZU152" s="16">
        <v>85.4</v>
      </c>
      <c r="ZV152" s="16">
        <v>81</v>
      </c>
      <c r="ZW152" s="16">
        <v>17.8</v>
      </c>
      <c r="ZX152">
        <v>85.58</v>
      </c>
      <c r="ZY152">
        <v>0</v>
      </c>
      <c r="ZZ152">
        <v>12.16</v>
      </c>
      <c r="AAA152">
        <v>0</v>
      </c>
      <c r="AAB152">
        <v>2.2599999999999998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20.21</v>
      </c>
      <c r="AAK152">
        <v>37.159999999999997</v>
      </c>
      <c r="AAL152">
        <v>3.57</v>
      </c>
      <c r="AAM152">
        <v>0</v>
      </c>
      <c r="AAN152">
        <v>0</v>
      </c>
      <c r="AAO152">
        <v>0</v>
      </c>
      <c r="ABB152">
        <v>0</v>
      </c>
      <c r="ABC152">
        <v>0</v>
      </c>
      <c r="ABN152" s="18"/>
      <c r="ACF152">
        <v>0</v>
      </c>
      <c r="ADQ152" s="16">
        <v>3.29</v>
      </c>
      <c r="ADR152" s="16">
        <v>1</v>
      </c>
      <c r="ADS152" s="16">
        <v>1</v>
      </c>
      <c r="ADT152" s="16"/>
      <c r="ADU152" s="16">
        <f>10.5+0.19+0.83</f>
        <v>11.52</v>
      </c>
      <c r="ADV152" s="16"/>
      <c r="ADW152" s="16"/>
      <c r="ADX152" s="16"/>
      <c r="ADY152" s="16"/>
      <c r="ADZ152" s="16"/>
      <c r="AEA152" s="16"/>
      <c r="AEB152" s="16">
        <v>3.85</v>
      </c>
      <c r="AEC152" s="16">
        <v>3.86</v>
      </c>
      <c r="AED152" s="16"/>
      <c r="AEE152" s="16"/>
      <c r="AEF152" s="16">
        <v>0</v>
      </c>
      <c r="AEG152" s="16">
        <v>0</v>
      </c>
      <c r="AEH152" s="16">
        <v>0</v>
      </c>
      <c r="AEI152">
        <v>0</v>
      </c>
      <c r="AEJ152" t="s">
        <v>610</v>
      </c>
      <c r="AEK152">
        <v>28.5</v>
      </c>
      <c r="AEL152" s="16">
        <v>85.2</v>
      </c>
      <c r="AEM152" s="16">
        <v>81</v>
      </c>
      <c r="AEN152" s="16">
        <v>18.399999999999999</v>
      </c>
      <c r="AEO152">
        <v>84.66</v>
      </c>
      <c r="AEP152">
        <v>0</v>
      </c>
      <c r="AEQ152">
        <v>13.08</v>
      </c>
      <c r="AER152">
        <v>0</v>
      </c>
      <c r="AES152">
        <v>2.2599999999999998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20.21</v>
      </c>
      <c r="AFB152">
        <v>38.43</v>
      </c>
      <c r="AFC152">
        <v>2.54</v>
      </c>
      <c r="AFD152">
        <v>0</v>
      </c>
      <c r="AFE152">
        <v>0</v>
      </c>
      <c r="AFF152">
        <v>0</v>
      </c>
      <c r="AFS152">
        <v>0</v>
      </c>
      <c r="AFT152">
        <v>0</v>
      </c>
      <c r="AGE152" s="18"/>
      <c r="AGW152">
        <v>0</v>
      </c>
      <c r="AIH152" s="16">
        <v>3.39</v>
      </c>
      <c r="AII152" s="16">
        <v>1</v>
      </c>
      <c r="AIJ152" s="16">
        <v>1</v>
      </c>
      <c r="AIK152" s="16"/>
      <c r="AIL152" s="16">
        <f>10.5+0.19+0.65+1.67</f>
        <v>13.01</v>
      </c>
      <c r="AIM152" s="16"/>
      <c r="AIN152" s="16"/>
      <c r="AIO152" s="16"/>
      <c r="AIP152" s="16"/>
      <c r="AIQ152" s="16"/>
      <c r="AIR152" s="16"/>
      <c r="AIS152" s="16">
        <v>3.95</v>
      </c>
      <c r="AIT152" s="16">
        <v>3.95</v>
      </c>
      <c r="AIU152" s="16"/>
      <c r="AIV152" s="16"/>
      <c r="AIW152" s="16">
        <v>0</v>
      </c>
      <c r="AIX152" s="16">
        <v>0</v>
      </c>
      <c r="AIY152" s="16">
        <v>0</v>
      </c>
      <c r="AIZ152">
        <v>0</v>
      </c>
      <c r="AJA152" t="s">
        <v>611</v>
      </c>
      <c r="AJB152">
        <v>69.5</v>
      </c>
      <c r="AJC152" s="16">
        <v>94.1</v>
      </c>
      <c r="AJD152" s="16">
        <v>81</v>
      </c>
      <c r="AJE152" s="16">
        <v>66.2</v>
      </c>
      <c r="AJF152">
        <v>39.99</v>
      </c>
      <c r="AJG152">
        <v>0</v>
      </c>
      <c r="AJH152">
        <v>33.270000000000003</v>
      </c>
      <c r="AJI152">
        <v>26.74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9.07</v>
      </c>
      <c r="AJS152">
        <v>0</v>
      </c>
      <c r="AJT152">
        <v>2.2999999999999998</v>
      </c>
      <c r="AJU152">
        <v>0</v>
      </c>
      <c r="AJV152">
        <v>0</v>
      </c>
      <c r="AJW152">
        <v>0</v>
      </c>
      <c r="AKJ152">
        <v>0</v>
      </c>
      <c r="AKK152">
        <v>0</v>
      </c>
      <c r="AKV152" s="18"/>
      <c r="ALN152">
        <v>0</v>
      </c>
    </row>
    <row r="153" spans="1:1024" x14ac:dyDescent="0.2">
      <c r="A153" s="1" t="s">
        <v>612</v>
      </c>
      <c r="B153" s="12">
        <v>42900</v>
      </c>
      <c r="C153">
        <v>2</v>
      </c>
      <c r="D153" s="13">
        <v>42793</v>
      </c>
      <c r="E153" s="12">
        <v>35739</v>
      </c>
      <c r="F153" s="14">
        <f t="shared" si="48"/>
        <v>19.605749486652979</v>
      </c>
      <c r="G153" s="14">
        <f t="shared" si="49"/>
        <v>0.29295003422313481</v>
      </c>
      <c r="H153" s="15" t="s">
        <v>228</v>
      </c>
      <c r="I153" s="15" t="s">
        <v>602</v>
      </c>
      <c r="J153" s="15" t="s">
        <v>183</v>
      </c>
      <c r="K153" s="21">
        <v>8</v>
      </c>
      <c r="L153" s="19">
        <v>60</v>
      </c>
      <c r="M153">
        <v>1.76</v>
      </c>
      <c r="N153" s="16">
        <f t="shared" si="50"/>
        <v>19.369834710743802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1</v>
      </c>
      <c r="Z153" s="19">
        <v>3</v>
      </c>
      <c r="AA153" s="19">
        <v>90</v>
      </c>
      <c r="AB153" s="19" t="s">
        <v>308</v>
      </c>
      <c r="AC153" s="19">
        <v>0</v>
      </c>
      <c r="AD153" s="19">
        <v>0</v>
      </c>
      <c r="AE153" s="19">
        <v>0</v>
      </c>
      <c r="AF153" s="19">
        <v>0</v>
      </c>
      <c r="AG153" s="19">
        <v>0</v>
      </c>
      <c r="AH153" s="19">
        <v>0</v>
      </c>
      <c r="AI153" s="19">
        <v>0</v>
      </c>
      <c r="AJ153" s="19">
        <v>0</v>
      </c>
      <c r="AK153" s="19">
        <v>0</v>
      </c>
      <c r="AL153" s="19">
        <v>0</v>
      </c>
      <c r="AM153" s="19">
        <v>0</v>
      </c>
      <c r="AN153" s="19">
        <v>0</v>
      </c>
      <c r="AO153" s="19">
        <v>0</v>
      </c>
      <c r="AP153" s="19">
        <v>0</v>
      </c>
      <c r="AQ153" s="19">
        <v>0</v>
      </c>
      <c r="AR153" s="19">
        <v>0</v>
      </c>
      <c r="AS153" s="19">
        <v>0</v>
      </c>
      <c r="AT153" s="19">
        <v>0</v>
      </c>
      <c r="AU153" s="19">
        <v>0</v>
      </c>
      <c r="AV153" s="19">
        <v>0</v>
      </c>
      <c r="AW153" s="19">
        <v>0</v>
      </c>
      <c r="AX153" s="19">
        <v>0</v>
      </c>
      <c r="AY153" s="19">
        <v>0</v>
      </c>
      <c r="AZ153" s="19">
        <v>0</v>
      </c>
      <c r="BA153" s="19">
        <v>0</v>
      </c>
      <c r="BB153" s="19">
        <v>0</v>
      </c>
      <c r="BC153" s="19">
        <v>0</v>
      </c>
      <c r="BD153" s="19">
        <v>0</v>
      </c>
      <c r="BE153" s="19">
        <v>0</v>
      </c>
      <c r="BF153" s="19">
        <v>0</v>
      </c>
      <c r="BG153" s="19">
        <v>0</v>
      </c>
      <c r="BH153" s="19">
        <v>0</v>
      </c>
      <c r="BI153" s="19">
        <v>0</v>
      </c>
      <c r="BJ153" s="19">
        <v>0</v>
      </c>
      <c r="BK153" s="19">
        <v>0</v>
      </c>
      <c r="BL153" s="19">
        <v>0</v>
      </c>
      <c r="BM153" s="19">
        <v>0</v>
      </c>
      <c r="BN153" s="19">
        <v>0</v>
      </c>
      <c r="BO153" s="19">
        <v>0</v>
      </c>
      <c r="BP153" s="19">
        <v>0</v>
      </c>
      <c r="BQ153" s="19">
        <v>0</v>
      </c>
      <c r="BR153" s="19"/>
      <c r="BS153" s="19"/>
      <c r="BT153" s="19"/>
      <c r="BU153" s="19"/>
      <c r="BV153" s="19"/>
      <c r="BW153" s="19"/>
      <c r="BX153" s="19"/>
      <c r="BY153" s="19"/>
      <c r="BZ153" s="19"/>
      <c r="CA153" s="19"/>
      <c r="CB153" s="19"/>
      <c r="CC153" s="19"/>
      <c r="CD153" s="19"/>
      <c r="CE153" s="19"/>
      <c r="CF153" s="19"/>
      <c r="CG153" s="19"/>
      <c r="CH153" s="19">
        <v>4</v>
      </c>
      <c r="CI153" s="19">
        <v>4</v>
      </c>
      <c r="CJ153" s="19">
        <v>4</v>
      </c>
      <c r="CK153" s="19">
        <v>10</v>
      </c>
      <c r="CL153" t="s">
        <v>604</v>
      </c>
      <c r="CM153">
        <v>32</v>
      </c>
      <c r="CN153" s="16">
        <v>93.9</v>
      </c>
      <c r="CO153" s="16">
        <v>81</v>
      </c>
      <c r="CP153" s="16">
        <v>11.9</v>
      </c>
      <c r="CQ153">
        <v>93.99</v>
      </c>
      <c r="CR153">
        <v>4.91</v>
      </c>
      <c r="CS153">
        <v>0</v>
      </c>
      <c r="CT153">
        <v>0</v>
      </c>
      <c r="CU153">
        <v>1.1000000000000001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21.14</v>
      </c>
      <c r="DE153">
        <v>45.4</v>
      </c>
      <c r="DF153">
        <v>0</v>
      </c>
      <c r="DG153">
        <v>0</v>
      </c>
      <c r="DH153">
        <v>0</v>
      </c>
      <c r="DU153">
        <v>0.6</v>
      </c>
      <c r="DV153">
        <v>1</v>
      </c>
      <c r="DW153">
        <v>52</v>
      </c>
      <c r="DX153">
        <v>3</v>
      </c>
      <c r="DY153">
        <v>0.27</v>
      </c>
      <c r="DZ153">
        <v>2</v>
      </c>
      <c r="EG153" s="18"/>
      <c r="EY153">
        <v>0</v>
      </c>
      <c r="GJ153" s="16">
        <v>1.89</v>
      </c>
      <c r="GK153" s="16">
        <v>1</v>
      </c>
      <c r="GL153" s="16">
        <v>2</v>
      </c>
      <c r="GM153" s="16"/>
      <c r="GN153" s="16">
        <v>5.25</v>
      </c>
      <c r="GO153" s="16"/>
      <c r="GP153" s="16"/>
      <c r="GQ153" s="16"/>
      <c r="GR153" s="16"/>
      <c r="GS153" s="16"/>
      <c r="GT153" s="16"/>
      <c r="GU153" s="16">
        <v>10.119999999999999</v>
      </c>
      <c r="GV153" s="16">
        <v>28</v>
      </c>
      <c r="GW153" s="16"/>
      <c r="GX153" s="16"/>
      <c r="GY153" s="16">
        <v>2.96</v>
      </c>
      <c r="GZ153" s="16">
        <v>11.53</v>
      </c>
      <c r="HA153" s="16">
        <v>0</v>
      </c>
      <c r="HB153">
        <v>0</v>
      </c>
      <c r="HC153" t="s">
        <v>605</v>
      </c>
      <c r="HD153">
        <v>23.5</v>
      </c>
      <c r="HE153" s="16">
        <v>76.8</v>
      </c>
      <c r="HF153" s="16">
        <v>81</v>
      </c>
      <c r="HG153" s="16">
        <v>13.3</v>
      </c>
      <c r="HH153">
        <v>89.68</v>
      </c>
      <c r="HI153">
        <v>0</v>
      </c>
      <c r="HJ153">
        <v>0.91</v>
      </c>
      <c r="HK153">
        <v>0</v>
      </c>
      <c r="HL153">
        <v>9.41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47.21</v>
      </c>
      <c r="HV153">
        <v>1.76</v>
      </c>
      <c r="HW153">
        <v>0</v>
      </c>
      <c r="HX153">
        <v>0</v>
      </c>
      <c r="HY153">
        <v>0</v>
      </c>
      <c r="IL153">
        <v>0.5</v>
      </c>
      <c r="IM153">
        <v>1</v>
      </c>
      <c r="IN153">
        <v>26</v>
      </c>
      <c r="IO153">
        <v>2</v>
      </c>
      <c r="IP153">
        <v>1.51</v>
      </c>
      <c r="IQ153">
        <v>2</v>
      </c>
      <c r="IR153">
        <v>52</v>
      </c>
      <c r="IS153">
        <v>3</v>
      </c>
      <c r="IT153">
        <v>0.38</v>
      </c>
      <c r="IU153">
        <v>2</v>
      </c>
      <c r="IX153" s="18"/>
      <c r="JP153">
        <v>0</v>
      </c>
      <c r="LA153" s="16">
        <v>0.11</v>
      </c>
      <c r="LB153" s="16">
        <v>1</v>
      </c>
      <c r="LC153" s="16">
        <v>1</v>
      </c>
      <c r="LD153" s="16"/>
      <c r="LE153" s="16">
        <v>0.37</v>
      </c>
      <c r="LF153" s="16"/>
      <c r="LG153" s="16"/>
      <c r="LH153" s="16"/>
      <c r="LI153" s="16"/>
      <c r="LJ153" s="16"/>
      <c r="LK153" s="16"/>
      <c r="LL153" s="16">
        <v>6.62</v>
      </c>
      <c r="LM153" s="16">
        <v>11.28</v>
      </c>
      <c r="LN153" s="16"/>
      <c r="LO153" s="16"/>
      <c r="LP153" s="16">
        <v>0</v>
      </c>
      <c r="LQ153" s="16">
        <v>0</v>
      </c>
      <c r="LR153" s="16">
        <v>0</v>
      </c>
      <c r="LS153">
        <v>0</v>
      </c>
      <c r="LT153" t="s">
        <v>606</v>
      </c>
      <c r="LU153">
        <v>22</v>
      </c>
      <c r="LV153" s="16">
        <v>82.5</v>
      </c>
      <c r="LW153" s="16">
        <v>81</v>
      </c>
      <c r="LX153" s="16">
        <v>15.1</v>
      </c>
      <c r="LY153">
        <v>0</v>
      </c>
      <c r="LZ153">
        <v>0</v>
      </c>
      <c r="MA153">
        <v>0</v>
      </c>
      <c r="MB153">
        <v>2</v>
      </c>
      <c r="MC153">
        <v>8.67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5.88</v>
      </c>
      <c r="MK153">
        <v>34.729999999999997</v>
      </c>
      <c r="ML153">
        <v>6.44</v>
      </c>
      <c r="MM153">
        <v>0</v>
      </c>
      <c r="MN153">
        <v>0</v>
      </c>
      <c r="MO153">
        <v>0</v>
      </c>
      <c r="MP153">
        <v>0</v>
      </c>
      <c r="NC153">
        <v>5.8</v>
      </c>
      <c r="ND153">
        <v>1</v>
      </c>
      <c r="NE153">
        <v>68</v>
      </c>
      <c r="NF153">
        <v>6</v>
      </c>
      <c r="NG153">
        <f>0.38+1.89+0+0.33</f>
        <v>2.6</v>
      </c>
      <c r="NH153">
        <v>2</v>
      </c>
      <c r="NI153">
        <v>23</v>
      </c>
      <c r="NJ153">
        <v>1</v>
      </c>
      <c r="NK153">
        <v>2.27</v>
      </c>
      <c r="NL153">
        <v>3</v>
      </c>
      <c r="NO153" s="18"/>
      <c r="OG153">
        <v>0</v>
      </c>
      <c r="PR153" s="16">
        <v>0</v>
      </c>
      <c r="PS153" s="16">
        <v>0</v>
      </c>
      <c r="PT153" s="16"/>
      <c r="PU153" s="16"/>
      <c r="PV153" s="16"/>
      <c r="PW153" s="16"/>
      <c r="PX153" s="16"/>
      <c r="PY153" s="16"/>
      <c r="PZ153" s="16"/>
      <c r="QA153" s="16"/>
      <c r="QB153" s="16"/>
      <c r="QC153" s="16">
        <v>0.77</v>
      </c>
      <c r="QD153" s="16">
        <v>0.77</v>
      </c>
      <c r="QE153" s="16"/>
      <c r="QF153" s="16"/>
      <c r="QG153" s="16">
        <v>0</v>
      </c>
      <c r="QH153" s="16">
        <v>0</v>
      </c>
      <c r="QI153" s="16">
        <v>0</v>
      </c>
      <c r="QJ153">
        <v>0</v>
      </c>
      <c r="QK153" t="s">
        <v>607</v>
      </c>
      <c r="QL153">
        <v>34.5</v>
      </c>
      <c r="QM153" s="16">
        <v>93.1</v>
      </c>
      <c r="QN153" s="16">
        <v>81</v>
      </c>
      <c r="QO153" s="16">
        <v>25.7</v>
      </c>
      <c r="QP153">
        <v>72.2</v>
      </c>
      <c r="QQ153">
        <v>2.27</v>
      </c>
      <c r="QR153">
        <v>10.23</v>
      </c>
      <c r="QS153">
        <v>0</v>
      </c>
      <c r="QT153">
        <v>15.3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41.42</v>
      </c>
      <c r="RD153">
        <v>39.33</v>
      </c>
      <c r="RE153">
        <v>0</v>
      </c>
      <c r="RF153">
        <v>0</v>
      </c>
      <c r="RG153">
        <v>0</v>
      </c>
      <c r="RT153">
        <v>0</v>
      </c>
      <c r="RU153">
        <v>0</v>
      </c>
      <c r="SF153" s="18"/>
      <c r="SX153">
        <v>0</v>
      </c>
      <c r="UI153" s="16">
        <v>3.45</v>
      </c>
      <c r="UJ153" s="16">
        <v>1</v>
      </c>
      <c r="UK153" s="16">
        <v>1</v>
      </c>
      <c r="UL153" s="16"/>
      <c r="UM153" s="16">
        <f>2.1+6.3+6.23*2+6.3+0.65+0.74*2+0.19</f>
        <v>29.48</v>
      </c>
      <c r="UN153" s="16"/>
      <c r="UO153" s="16"/>
      <c r="UP153" s="16"/>
      <c r="UQ153" s="16"/>
      <c r="UR153" s="16"/>
      <c r="US153" s="16"/>
      <c r="UT153" s="16">
        <v>0.65</v>
      </c>
      <c r="UU153" s="16">
        <v>0.65</v>
      </c>
      <c r="UV153" s="16"/>
      <c r="UW153" s="16"/>
      <c r="UX153" s="16">
        <v>0</v>
      </c>
      <c r="UY153" s="16">
        <v>0</v>
      </c>
      <c r="UZ153" s="16">
        <v>0</v>
      </c>
      <c r="VA153">
        <v>0</v>
      </c>
      <c r="VB153" t="s">
        <v>608</v>
      </c>
      <c r="VC153">
        <v>33.5</v>
      </c>
      <c r="VD153" s="16">
        <v>96.2</v>
      </c>
      <c r="VE153" s="16">
        <v>81</v>
      </c>
      <c r="VF153" s="16">
        <v>22.7</v>
      </c>
      <c r="VG153">
        <v>75.63</v>
      </c>
      <c r="VH153">
        <v>0</v>
      </c>
      <c r="VI153">
        <v>8.36</v>
      </c>
      <c r="VJ153">
        <v>0</v>
      </c>
      <c r="VK153">
        <v>15.71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55.49</v>
      </c>
      <c r="VU153">
        <v>29.63</v>
      </c>
      <c r="VV153">
        <v>0</v>
      </c>
      <c r="VW153">
        <v>0</v>
      </c>
      <c r="VX153">
        <v>0</v>
      </c>
      <c r="WK153">
        <v>0</v>
      </c>
      <c r="WL153">
        <v>0</v>
      </c>
      <c r="WW153" s="18"/>
      <c r="XO153">
        <v>0</v>
      </c>
      <c r="YZ153" s="16">
        <v>4.96</v>
      </c>
      <c r="ZA153" s="16">
        <v>1</v>
      </c>
      <c r="ZB153" s="16">
        <v>1</v>
      </c>
      <c r="ZC153" s="16"/>
      <c r="ZD153" s="16">
        <f>2.1+6.3*2+12.47*2+0.74+0.19+1.67</f>
        <v>42.24</v>
      </c>
      <c r="ZE153" s="16"/>
      <c r="ZF153" s="16"/>
      <c r="ZG153" s="16"/>
      <c r="ZH153" s="16"/>
      <c r="ZI153" s="16"/>
      <c r="ZJ153" s="16"/>
      <c r="ZK153" s="16">
        <v>0.32</v>
      </c>
      <c r="ZL153" s="16">
        <v>0.32</v>
      </c>
      <c r="ZM153" s="16"/>
      <c r="ZN153" s="16"/>
      <c r="ZO153" s="16">
        <v>0</v>
      </c>
      <c r="ZP153" s="16">
        <v>0</v>
      </c>
      <c r="ZQ153" s="16">
        <v>0</v>
      </c>
      <c r="ZR153">
        <v>0</v>
      </c>
      <c r="ZS153" t="s">
        <v>609</v>
      </c>
      <c r="ZT153">
        <v>27.5</v>
      </c>
      <c r="ZU153" s="16">
        <v>85.4</v>
      </c>
      <c r="ZV153" s="16">
        <v>81</v>
      </c>
      <c r="ZW153" s="16">
        <v>17.8</v>
      </c>
      <c r="ZX153">
        <v>85.58</v>
      </c>
      <c r="ZY153">
        <v>0</v>
      </c>
      <c r="ZZ153">
        <v>12.16</v>
      </c>
      <c r="AAA153">
        <v>0</v>
      </c>
      <c r="AAB153">
        <v>2.2599999999999998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20.21</v>
      </c>
      <c r="AAK153">
        <v>37.159999999999997</v>
      </c>
      <c r="AAL153">
        <v>3.57</v>
      </c>
      <c r="AAM153">
        <v>0</v>
      </c>
      <c r="AAN153">
        <v>0</v>
      </c>
      <c r="AAO153">
        <v>0</v>
      </c>
      <c r="ABB153">
        <v>0</v>
      </c>
      <c r="ABC153">
        <v>0</v>
      </c>
      <c r="ABN153" s="18"/>
      <c r="ACF153">
        <v>0</v>
      </c>
      <c r="ADQ153" s="16">
        <v>3.29</v>
      </c>
      <c r="ADR153" s="16">
        <v>1</v>
      </c>
      <c r="ADS153" s="16">
        <v>1</v>
      </c>
      <c r="ADT153" s="16"/>
      <c r="ADU153" s="16">
        <f>10.5+0.19+0.83</f>
        <v>11.52</v>
      </c>
      <c r="ADV153" s="16"/>
      <c r="ADW153" s="16"/>
      <c r="ADX153" s="16"/>
      <c r="ADY153" s="16"/>
      <c r="ADZ153" s="16"/>
      <c r="AEA153" s="16"/>
      <c r="AEB153" s="16">
        <v>3.85</v>
      </c>
      <c r="AEC153" s="16">
        <v>3.86</v>
      </c>
      <c r="AED153" s="16"/>
      <c r="AEE153" s="16"/>
      <c r="AEF153" s="16">
        <v>0</v>
      </c>
      <c r="AEG153" s="16">
        <v>0</v>
      </c>
      <c r="AEH153" s="16">
        <v>0</v>
      </c>
      <c r="AEI153">
        <v>0</v>
      </c>
      <c r="AEJ153" t="s">
        <v>610</v>
      </c>
      <c r="AEK153">
        <v>28.5</v>
      </c>
      <c r="AEL153" s="16">
        <v>85.2</v>
      </c>
      <c r="AEM153" s="16">
        <v>81</v>
      </c>
      <c r="AEN153" s="16">
        <v>18.399999999999999</v>
      </c>
      <c r="AEO153">
        <v>84.66</v>
      </c>
      <c r="AEP153">
        <v>0</v>
      </c>
      <c r="AEQ153">
        <v>13.08</v>
      </c>
      <c r="AER153">
        <v>0</v>
      </c>
      <c r="AES153">
        <v>2.2599999999999998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20.21</v>
      </c>
      <c r="AFB153">
        <v>38.43</v>
      </c>
      <c r="AFC153">
        <v>2.54</v>
      </c>
      <c r="AFD153">
        <v>0</v>
      </c>
      <c r="AFE153">
        <v>0</v>
      </c>
      <c r="AFF153">
        <v>0</v>
      </c>
      <c r="AFS153">
        <v>0</v>
      </c>
      <c r="AFT153">
        <v>0</v>
      </c>
      <c r="AGE153" s="18"/>
      <c r="AGW153">
        <v>0</v>
      </c>
      <c r="AIH153" s="16">
        <v>3.39</v>
      </c>
      <c r="AII153" s="16">
        <v>1</v>
      </c>
      <c r="AIJ153" s="16">
        <v>1</v>
      </c>
      <c r="AIK153" s="16"/>
      <c r="AIL153" s="16">
        <f>10.5+0.19+0.65+1.67</f>
        <v>13.01</v>
      </c>
      <c r="AIM153" s="16"/>
      <c r="AIN153" s="16"/>
      <c r="AIO153" s="16"/>
      <c r="AIP153" s="16"/>
      <c r="AIQ153" s="16"/>
      <c r="AIR153" s="16"/>
      <c r="AIS153" s="16">
        <v>3.95</v>
      </c>
      <c r="AIT153" s="16">
        <v>3.95</v>
      </c>
      <c r="AIU153" s="16"/>
      <c r="AIV153" s="16"/>
      <c r="AIW153" s="16">
        <v>0</v>
      </c>
      <c r="AIX153" s="16">
        <v>0</v>
      </c>
      <c r="AIY153" s="16">
        <v>0</v>
      </c>
      <c r="AIZ153">
        <v>0</v>
      </c>
      <c r="AJA153" s="35" t="s">
        <v>611</v>
      </c>
      <c r="AJB153">
        <v>69.5</v>
      </c>
      <c r="AJC153" s="16">
        <v>94.1</v>
      </c>
      <c r="AJD153" s="16">
        <v>81</v>
      </c>
      <c r="AJE153" s="16">
        <v>66.2</v>
      </c>
      <c r="AJF153">
        <v>39.99</v>
      </c>
      <c r="AJG153">
        <v>0</v>
      </c>
      <c r="AJH153">
        <v>33.270000000000003</v>
      </c>
      <c r="AJI153">
        <v>26.74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9.07</v>
      </c>
      <c r="AJS153">
        <v>0</v>
      </c>
      <c r="AJT153">
        <v>2.2999999999999998</v>
      </c>
      <c r="AJU153">
        <v>0</v>
      </c>
      <c r="AJV153">
        <v>0</v>
      </c>
      <c r="AJW153">
        <v>0</v>
      </c>
      <c r="AKJ153">
        <v>0</v>
      </c>
      <c r="AKK153">
        <v>0</v>
      </c>
      <c r="AKV153" s="18"/>
      <c r="ALN153">
        <v>0</v>
      </c>
    </row>
    <row r="154" spans="1:1024" x14ac:dyDescent="0.2">
      <c r="A154" s="1" t="s">
        <v>613</v>
      </c>
      <c r="B154" s="12">
        <v>42900</v>
      </c>
      <c r="C154">
        <v>2</v>
      </c>
      <c r="D154" s="13">
        <v>42804</v>
      </c>
      <c r="E154" s="12">
        <v>28400</v>
      </c>
      <c r="F154" s="14">
        <f t="shared" si="48"/>
        <v>39.698836413415471</v>
      </c>
      <c r="G154" s="14">
        <f t="shared" si="49"/>
        <v>0.26283367556468173</v>
      </c>
      <c r="H154" s="15" t="s">
        <v>228</v>
      </c>
      <c r="I154" s="15" t="s">
        <v>602</v>
      </c>
      <c r="J154" s="15" t="s">
        <v>183</v>
      </c>
      <c r="K154" s="21">
        <v>8</v>
      </c>
      <c r="L154" s="19">
        <v>65</v>
      </c>
      <c r="M154">
        <v>1.72</v>
      </c>
      <c r="N154" s="16">
        <f t="shared" si="50"/>
        <v>21.971335857220122</v>
      </c>
      <c r="O154" s="19">
        <v>0</v>
      </c>
      <c r="P154" s="19">
        <v>0</v>
      </c>
      <c r="Q154" s="19">
        <v>0</v>
      </c>
      <c r="R154" s="19">
        <v>0</v>
      </c>
      <c r="S154" s="19">
        <v>0</v>
      </c>
      <c r="T154" s="19">
        <v>0</v>
      </c>
      <c r="U154" s="19">
        <v>0</v>
      </c>
      <c r="V154" s="19">
        <v>0</v>
      </c>
      <c r="W154" s="19">
        <v>0</v>
      </c>
      <c r="X154" s="19">
        <v>0</v>
      </c>
      <c r="Y154" s="19">
        <v>1</v>
      </c>
      <c r="Z154" s="19">
        <v>2</v>
      </c>
      <c r="AA154" s="19">
        <v>180</v>
      </c>
      <c r="AB154" s="19" t="s">
        <v>516</v>
      </c>
      <c r="AC154" s="19">
        <v>0</v>
      </c>
      <c r="AD154" s="19">
        <v>0</v>
      </c>
      <c r="AE154" s="19">
        <v>0</v>
      </c>
      <c r="AF154" s="19">
        <v>0</v>
      </c>
      <c r="AG154" s="19">
        <v>0</v>
      </c>
      <c r="AH154" s="19">
        <v>0</v>
      </c>
      <c r="AI154" s="19">
        <v>0</v>
      </c>
      <c r="AJ154" s="19">
        <v>0</v>
      </c>
      <c r="AK154" s="19">
        <v>0</v>
      </c>
      <c r="AL154" s="19">
        <v>0</v>
      </c>
      <c r="AM154" s="19">
        <v>0</v>
      </c>
      <c r="AN154" s="19">
        <v>0</v>
      </c>
      <c r="AO154" s="19">
        <v>0</v>
      </c>
      <c r="AP154" s="19">
        <v>0</v>
      </c>
      <c r="AQ154" s="19">
        <v>0</v>
      </c>
      <c r="AR154" s="19">
        <v>0</v>
      </c>
      <c r="AS154" s="19">
        <v>0</v>
      </c>
      <c r="AT154" s="19">
        <v>0</v>
      </c>
      <c r="AU154" s="19">
        <v>0</v>
      </c>
      <c r="AV154" s="19">
        <v>0</v>
      </c>
      <c r="AW154" s="19">
        <v>0</v>
      </c>
      <c r="AX154" s="19">
        <v>0</v>
      </c>
      <c r="AY154" s="19">
        <v>0</v>
      </c>
      <c r="AZ154" s="19">
        <v>0</v>
      </c>
      <c r="BA154" s="19">
        <v>0</v>
      </c>
      <c r="BB154" s="19">
        <v>0</v>
      </c>
      <c r="BC154" s="19">
        <v>0</v>
      </c>
      <c r="BD154" s="19">
        <v>0</v>
      </c>
      <c r="BE154" s="19">
        <v>0</v>
      </c>
      <c r="BF154" s="19">
        <v>0</v>
      </c>
      <c r="BG154" s="19">
        <v>0</v>
      </c>
      <c r="BH154" s="19">
        <v>0</v>
      </c>
      <c r="BI154" s="19">
        <v>0</v>
      </c>
      <c r="BJ154" s="19">
        <v>0</v>
      </c>
      <c r="BK154" s="19">
        <v>0</v>
      </c>
      <c r="BL154" s="19">
        <v>0</v>
      </c>
      <c r="BM154" s="19">
        <v>0</v>
      </c>
      <c r="BN154" s="19">
        <v>0</v>
      </c>
      <c r="BO154" s="19">
        <v>0</v>
      </c>
      <c r="BP154" s="19">
        <v>0</v>
      </c>
      <c r="BQ154" s="19">
        <v>0</v>
      </c>
      <c r="BR154" s="19">
        <v>1</v>
      </c>
      <c r="BS154" s="19">
        <v>1</v>
      </c>
      <c r="BT154" s="19">
        <v>2</v>
      </c>
      <c r="BU154" s="19">
        <v>4</v>
      </c>
      <c r="BV154" s="19">
        <v>3</v>
      </c>
      <c r="BW154" s="19">
        <v>1</v>
      </c>
      <c r="BX154" s="19">
        <v>1</v>
      </c>
      <c r="BY154" s="19">
        <v>3</v>
      </c>
      <c r="BZ154" s="19">
        <v>5</v>
      </c>
      <c r="CA154" s="19">
        <v>5</v>
      </c>
      <c r="CB154" s="19">
        <v>5</v>
      </c>
      <c r="CC154" s="19">
        <v>5</v>
      </c>
      <c r="CD154" s="19">
        <v>5</v>
      </c>
      <c r="CE154" s="19">
        <v>5</v>
      </c>
      <c r="CF154" s="19">
        <v>5</v>
      </c>
      <c r="CG154" s="19">
        <v>5</v>
      </c>
      <c r="CH154" s="19">
        <v>5</v>
      </c>
      <c r="CI154" s="19">
        <v>5</v>
      </c>
      <c r="CJ154" s="19">
        <v>5</v>
      </c>
      <c r="CK154" s="19">
        <v>10</v>
      </c>
      <c r="CL154" t="s">
        <v>604</v>
      </c>
      <c r="CM154">
        <v>32</v>
      </c>
      <c r="CN154" s="16">
        <v>93.9</v>
      </c>
      <c r="CO154" s="16">
        <v>81</v>
      </c>
      <c r="CP154" s="16">
        <v>11.9</v>
      </c>
      <c r="CQ154">
        <v>93.99</v>
      </c>
      <c r="CR154">
        <v>4.91</v>
      </c>
      <c r="CS154">
        <v>0</v>
      </c>
      <c r="CT154">
        <v>0</v>
      </c>
      <c r="CU154">
        <v>1.1000000000000001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21.14</v>
      </c>
      <c r="DE154">
        <v>45.4</v>
      </c>
      <c r="DF154">
        <v>0</v>
      </c>
      <c r="DG154">
        <v>0</v>
      </c>
      <c r="DH154">
        <v>0</v>
      </c>
      <c r="DU154">
        <v>0.6</v>
      </c>
      <c r="DV154">
        <v>1</v>
      </c>
      <c r="DW154">
        <v>52</v>
      </c>
      <c r="DX154">
        <v>3</v>
      </c>
      <c r="DY154">
        <v>0.27</v>
      </c>
      <c r="DZ154">
        <v>2</v>
      </c>
      <c r="EG154" s="18"/>
      <c r="EY154">
        <v>0</v>
      </c>
      <c r="GJ154" s="16">
        <v>1.89</v>
      </c>
      <c r="GK154" s="16">
        <v>1</v>
      </c>
      <c r="GL154" s="16">
        <v>2</v>
      </c>
      <c r="GM154" s="16"/>
      <c r="GN154" s="16">
        <v>5.25</v>
      </c>
      <c r="GO154" s="16"/>
      <c r="GP154" s="16"/>
      <c r="GQ154" s="16"/>
      <c r="GR154" s="16"/>
      <c r="GS154" s="16"/>
      <c r="GT154" s="16"/>
      <c r="GU154" s="16">
        <v>10.119999999999999</v>
      </c>
      <c r="GV154" s="16">
        <v>28</v>
      </c>
      <c r="GW154" s="16"/>
      <c r="GX154" s="16"/>
      <c r="GY154" s="16">
        <v>2.96</v>
      </c>
      <c r="GZ154" s="16">
        <v>11.53</v>
      </c>
      <c r="HA154" s="16">
        <v>0</v>
      </c>
      <c r="HB154">
        <v>0</v>
      </c>
      <c r="HC154" t="s">
        <v>606</v>
      </c>
      <c r="HD154">
        <v>22</v>
      </c>
      <c r="HE154" s="16">
        <v>82.5</v>
      </c>
      <c r="HF154" s="16">
        <v>81</v>
      </c>
      <c r="HG154" s="16">
        <v>15.1</v>
      </c>
      <c r="HH154">
        <v>0</v>
      </c>
      <c r="HI154">
        <v>0</v>
      </c>
      <c r="HJ154">
        <v>0</v>
      </c>
      <c r="HK154">
        <v>2</v>
      </c>
      <c r="HL154">
        <v>8.67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5.88</v>
      </c>
      <c r="HT154">
        <v>34.729999999999997</v>
      </c>
      <c r="HU154">
        <v>6.44</v>
      </c>
      <c r="HV154">
        <v>0</v>
      </c>
      <c r="HW154">
        <v>0</v>
      </c>
      <c r="HX154">
        <v>0</v>
      </c>
      <c r="HY154">
        <v>0</v>
      </c>
      <c r="IL154">
        <v>5.8</v>
      </c>
      <c r="IM154">
        <v>1</v>
      </c>
      <c r="IN154">
        <v>68</v>
      </c>
      <c r="IO154">
        <v>6</v>
      </c>
      <c r="IP154">
        <f>0.38+1.89+0+0.33</f>
        <v>2.6</v>
      </c>
      <c r="IQ154">
        <v>2</v>
      </c>
      <c r="IR154">
        <v>23</v>
      </c>
      <c r="IS154">
        <v>1</v>
      </c>
      <c r="IT154">
        <v>2.27</v>
      </c>
      <c r="IU154">
        <v>3</v>
      </c>
      <c r="IX154" s="18"/>
      <c r="JP154">
        <v>0</v>
      </c>
      <c r="LA154" s="16">
        <v>0</v>
      </c>
      <c r="LB154" s="16">
        <v>0</v>
      </c>
      <c r="LC154" s="16"/>
      <c r="LD154" s="16"/>
      <c r="LE154" s="16"/>
      <c r="LF154" s="16"/>
      <c r="LG154" s="16"/>
      <c r="LH154" s="16"/>
      <c r="LI154" s="16"/>
      <c r="LJ154" s="16"/>
      <c r="LK154" s="16"/>
      <c r="LL154" s="16">
        <v>0.77</v>
      </c>
      <c r="LM154" s="16">
        <v>0.77</v>
      </c>
      <c r="LN154" s="16"/>
      <c r="LO154" s="16"/>
      <c r="LP154" s="16">
        <v>0</v>
      </c>
      <c r="LQ154" s="16">
        <v>0</v>
      </c>
      <c r="LR154" s="16">
        <v>0</v>
      </c>
      <c r="LS154">
        <v>0</v>
      </c>
      <c r="LT154" t="s">
        <v>607</v>
      </c>
      <c r="LU154">
        <v>34.5</v>
      </c>
      <c r="LV154" s="16">
        <v>93.1</v>
      </c>
      <c r="LW154" s="16">
        <v>81</v>
      </c>
      <c r="LX154" s="16">
        <v>25.7</v>
      </c>
      <c r="LY154">
        <v>72.2</v>
      </c>
      <c r="LZ154">
        <v>2.27</v>
      </c>
      <c r="MA154">
        <v>10.23</v>
      </c>
      <c r="MB154">
        <v>0</v>
      </c>
      <c r="MC154">
        <v>15.3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41.42</v>
      </c>
      <c r="MM154">
        <v>39.33</v>
      </c>
      <c r="MN154">
        <v>0</v>
      </c>
      <c r="MO154">
        <v>0</v>
      </c>
      <c r="MP154">
        <v>0</v>
      </c>
      <c r="NC154">
        <v>0</v>
      </c>
      <c r="ND154">
        <v>0</v>
      </c>
      <c r="NO154" s="18"/>
      <c r="OG154">
        <v>0</v>
      </c>
      <c r="PR154" s="16">
        <v>3.45</v>
      </c>
      <c r="PS154" s="16">
        <v>1</v>
      </c>
      <c r="PT154" s="16">
        <v>1</v>
      </c>
      <c r="PU154" s="16"/>
      <c r="PV154" s="16">
        <f>2.1+6.3+6.23*2+6.3+0.65+0.74*2+0.19</f>
        <v>29.48</v>
      </c>
      <c r="PW154" s="16"/>
      <c r="PX154" s="16"/>
      <c r="PY154" s="16"/>
      <c r="PZ154" s="16"/>
      <c r="QA154" s="16"/>
      <c r="QB154" s="16"/>
      <c r="QC154" s="16">
        <v>0.65</v>
      </c>
      <c r="QD154" s="16">
        <v>0.65</v>
      </c>
      <c r="QE154" s="16"/>
      <c r="QF154" s="16"/>
      <c r="QG154" s="16">
        <v>0</v>
      </c>
      <c r="QH154" s="16">
        <v>0</v>
      </c>
      <c r="QI154" s="16">
        <v>0</v>
      </c>
      <c r="QJ154">
        <v>0</v>
      </c>
      <c r="QK154" t="s">
        <v>608</v>
      </c>
      <c r="QL154">
        <v>33.5</v>
      </c>
      <c r="QM154" s="16">
        <v>96.2</v>
      </c>
      <c r="QN154" s="16">
        <v>81</v>
      </c>
      <c r="QO154" s="16">
        <v>22.7</v>
      </c>
      <c r="QP154">
        <v>75.63</v>
      </c>
      <c r="QQ154">
        <v>0</v>
      </c>
      <c r="QR154">
        <v>8.36</v>
      </c>
      <c r="QS154">
        <v>0</v>
      </c>
      <c r="QT154">
        <v>15.71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55.49</v>
      </c>
      <c r="RD154">
        <v>29.63</v>
      </c>
      <c r="RE154">
        <v>0</v>
      </c>
      <c r="RF154">
        <v>0</v>
      </c>
      <c r="RG154">
        <v>0</v>
      </c>
      <c r="RT154">
        <v>0</v>
      </c>
      <c r="RU154">
        <v>0</v>
      </c>
      <c r="SF154" s="18"/>
      <c r="SX154">
        <v>0</v>
      </c>
      <c r="UI154" s="16">
        <v>4.96</v>
      </c>
      <c r="UJ154" s="16">
        <v>1</v>
      </c>
      <c r="UK154" s="16">
        <v>1</v>
      </c>
      <c r="UL154" s="16"/>
      <c r="UM154" s="16">
        <f>2.1+6.3*2+12.47*2+0.74+0.19+1.67</f>
        <v>42.24</v>
      </c>
      <c r="UN154" s="16"/>
      <c r="UO154" s="16"/>
      <c r="UP154" s="16"/>
      <c r="UQ154" s="16"/>
      <c r="UR154" s="16"/>
      <c r="US154" s="16"/>
      <c r="UT154" s="16">
        <v>0.32</v>
      </c>
      <c r="UU154" s="16">
        <v>0.32</v>
      </c>
      <c r="UV154" s="16"/>
      <c r="UW154" s="16"/>
      <c r="UX154" s="16">
        <v>0</v>
      </c>
      <c r="UY154" s="16">
        <v>0</v>
      </c>
      <c r="UZ154" s="16">
        <v>0</v>
      </c>
      <c r="VA154">
        <v>0</v>
      </c>
      <c r="VB154" t="s">
        <v>609</v>
      </c>
      <c r="VC154">
        <v>27.5</v>
      </c>
      <c r="VD154" s="16">
        <v>85.4</v>
      </c>
      <c r="VE154" s="16">
        <v>81</v>
      </c>
      <c r="VF154" s="16">
        <v>17.8</v>
      </c>
      <c r="VG154">
        <v>85.58</v>
      </c>
      <c r="VH154">
        <v>0</v>
      </c>
      <c r="VI154">
        <v>12.16</v>
      </c>
      <c r="VJ154">
        <v>0</v>
      </c>
      <c r="VK154">
        <v>2.2599999999999998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20.21</v>
      </c>
      <c r="VT154">
        <v>37.159999999999997</v>
      </c>
      <c r="VU154">
        <v>3.57</v>
      </c>
      <c r="VV154">
        <v>0</v>
      </c>
      <c r="VW154">
        <v>0</v>
      </c>
      <c r="VX154">
        <v>0</v>
      </c>
      <c r="WK154">
        <v>0</v>
      </c>
      <c r="WL154">
        <v>0</v>
      </c>
      <c r="WW154" s="18"/>
      <c r="XO154">
        <v>0</v>
      </c>
      <c r="YZ154" s="16">
        <v>3.29</v>
      </c>
      <c r="ZA154" s="16">
        <v>1</v>
      </c>
      <c r="ZB154" s="16">
        <v>1</v>
      </c>
      <c r="ZC154" s="16"/>
      <c r="ZD154" s="16">
        <f>10.5+0.19+0.83</f>
        <v>11.52</v>
      </c>
      <c r="ZE154" s="16"/>
      <c r="ZF154" s="16"/>
      <c r="ZG154" s="16"/>
      <c r="ZH154" s="16"/>
      <c r="ZI154" s="16"/>
      <c r="ZJ154" s="16"/>
      <c r="ZK154" s="16">
        <v>3.85</v>
      </c>
      <c r="ZL154" s="16">
        <v>3.86</v>
      </c>
      <c r="ZM154" s="16"/>
      <c r="ZN154" s="16"/>
      <c r="ZO154" s="16">
        <v>0</v>
      </c>
      <c r="ZP154" s="16">
        <v>0</v>
      </c>
      <c r="ZQ154" s="16">
        <v>0</v>
      </c>
      <c r="ZR154">
        <v>0</v>
      </c>
      <c r="ZS154" t="s">
        <v>610</v>
      </c>
      <c r="ZT154">
        <v>28.5</v>
      </c>
      <c r="ZU154" s="16">
        <v>85.2</v>
      </c>
      <c r="ZV154" s="16">
        <v>81</v>
      </c>
      <c r="ZW154" s="16">
        <v>18.399999999999999</v>
      </c>
      <c r="ZX154">
        <v>84.66</v>
      </c>
      <c r="ZY154">
        <v>0</v>
      </c>
      <c r="ZZ154">
        <v>13.08</v>
      </c>
      <c r="AAA154">
        <v>0</v>
      </c>
      <c r="AAB154">
        <v>2.2599999999999998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20.21</v>
      </c>
      <c r="AAK154">
        <v>38.43</v>
      </c>
      <c r="AAL154">
        <v>2.54</v>
      </c>
      <c r="AAM154">
        <v>0</v>
      </c>
      <c r="AAN154">
        <v>0</v>
      </c>
      <c r="AAO154">
        <v>0</v>
      </c>
      <c r="ABB154">
        <v>0</v>
      </c>
      <c r="ABC154">
        <v>0</v>
      </c>
      <c r="ABN154" s="18"/>
      <c r="ACF154">
        <v>0</v>
      </c>
      <c r="ADQ154" s="16">
        <v>3.39</v>
      </c>
      <c r="ADR154" s="16">
        <v>1</v>
      </c>
      <c r="ADS154" s="16">
        <v>1</v>
      </c>
      <c r="ADT154" s="16"/>
      <c r="ADU154" s="16">
        <f>10.5+0.19+0.65+1.67</f>
        <v>13.01</v>
      </c>
      <c r="ADV154" s="16"/>
      <c r="ADW154" s="16"/>
      <c r="ADX154" s="16"/>
      <c r="ADY154" s="16"/>
      <c r="ADZ154" s="16"/>
      <c r="AEA154" s="16"/>
      <c r="AEB154" s="16">
        <v>3.95</v>
      </c>
      <c r="AEC154" s="16">
        <v>3.95</v>
      </c>
      <c r="AED154" s="16"/>
      <c r="AEE154" s="16"/>
      <c r="AEF154" s="16">
        <v>0</v>
      </c>
      <c r="AEG154" s="16">
        <v>0</v>
      </c>
      <c r="AEH154" s="16">
        <v>0</v>
      </c>
      <c r="AEI154">
        <v>0</v>
      </c>
      <c r="AEJ154" t="s">
        <v>611</v>
      </c>
      <c r="AEK154">
        <v>69.5</v>
      </c>
      <c r="AEL154" s="16">
        <v>94.1</v>
      </c>
      <c r="AEM154" s="16">
        <v>81</v>
      </c>
      <c r="AEN154" s="16">
        <v>66.2</v>
      </c>
      <c r="AEO154">
        <v>39.99</v>
      </c>
      <c r="AEP154">
        <v>0</v>
      </c>
      <c r="AEQ154">
        <v>33.270000000000003</v>
      </c>
      <c r="AER154">
        <v>26.74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9.07</v>
      </c>
      <c r="AFB154">
        <v>0</v>
      </c>
      <c r="AFC154">
        <v>2.2999999999999998</v>
      </c>
      <c r="AFD154">
        <v>0</v>
      </c>
      <c r="AFE154">
        <v>0</v>
      </c>
      <c r="AFF154">
        <v>0</v>
      </c>
      <c r="AFS154">
        <v>0</v>
      </c>
      <c r="AFT154">
        <v>0</v>
      </c>
      <c r="AGE154" s="18"/>
      <c r="AGW154">
        <v>0</v>
      </c>
      <c r="AIH154" s="16">
        <v>0</v>
      </c>
      <c r="AII154" s="16">
        <v>0</v>
      </c>
      <c r="AIJ154" s="16"/>
      <c r="AIK154" s="16"/>
      <c r="AIL154" s="16"/>
      <c r="AIM154" s="16"/>
      <c r="AIN154" s="16"/>
      <c r="AIO154" s="16"/>
      <c r="AIP154" s="16"/>
      <c r="AIQ154" s="16"/>
      <c r="AIR154" s="16"/>
      <c r="AIS154" s="16">
        <v>2.25</v>
      </c>
      <c r="AIT154" s="16">
        <v>2.2599999999999998</v>
      </c>
      <c r="AIU154" s="16"/>
      <c r="AIV154" s="16"/>
      <c r="AIW154" s="16">
        <v>0</v>
      </c>
      <c r="AIX154" s="16">
        <v>0</v>
      </c>
      <c r="AIY154" s="16">
        <v>0</v>
      </c>
      <c r="AIZ154">
        <v>0</v>
      </c>
      <c r="AJA154" s="15"/>
      <c r="AJB154" s="15"/>
      <c r="AJD154" s="34"/>
      <c r="AJE154" s="34"/>
      <c r="AJH154" s="34"/>
      <c r="AJI154" s="15"/>
      <c r="AJJ154" s="15"/>
      <c r="AJL154" s="34"/>
      <c r="AJM154" s="34"/>
      <c r="AJP154" s="34"/>
      <c r="AJQ154" s="15"/>
      <c r="AJR154" s="15"/>
      <c r="AJT154" s="34"/>
      <c r="AJU154" s="34"/>
      <c r="AJX154" s="34"/>
      <c r="AJY154" s="15"/>
      <c r="AJZ154" s="15"/>
      <c r="AKB154" s="34"/>
      <c r="AKC154" s="34"/>
      <c r="AKF154" s="34"/>
      <c r="AKG154" s="15"/>
      <c r="AKH154" s="15"/>
      <c r="AKJ154" s="34"/>
      <c r="AKK154" s="34"/>
      <c r="AKN154" s="34"/>
      <c r="AKO154" s="15"/>
      <c r="AKP154" s="15"/>
      <c r="AKR154" s="34"/>
      <c r="AKS154" s="34"/>
      <c r="AKV154" s="34"/>
      <c r="AKW154" s="15"/>
      <c r="AKX154" s="15"/>
      <c r="AKZ154" s="34"/>
      <c r="ALA154" s="34"/>
      <c r="ALD154" s="34"/>
      <c r="ALE154" s="15"/>
      <c r="ALF154" s="15"/>
      <c r="ALH154" s="34"/>
      <c r="ALI154" s="34"/>
      <c r="ALL154" s="34"/>
      <c r="ALM154" s="15"/>
      <c r="ALN154" s="15"/>
      <c r="ALP154" s="34"/>
      <c r="ALQ154" s="34"/>
      <c r="ALT154" s="34"/>
      <c r="ALU154" s="15"/>
      <c r="ALV154" s="15"/>
      <c r="ALX154" s="34"/>
      <c r="ALY154" s="34"/>
      <c r="AMB154" s="34"/>
      <c r="AMC154" s="15"/>
      <c r="AMD154" s="15"/>
      <c r="AMF154" s="34"/>
      <c r="AMG154" s="34"/>
      <c r="AMJ154" s="34"/>
    </row>
    <row r="155" spans="1:1024" x14ac:dyDescent="0.2">
      <c r="A155" s="1" t="s">
        <v>614</v>
      </c>
      <c r="B155" s="12">
        <v>42900</v>
      </c>
      <c r="C155">
        <v>2</v>
      </c>
      <c r="D155" s="13">
        <v>42821</v>
      </c>
      <c r="E155" s="12">
        <v>30935</v>
      </c>
      <c r="F155" s="14">
        <f t="shared" si="48"/>
        <v>32.758384668035589</v>
      </c>
      <c r="G155" s="14">
        <f t="shared" si="49"/>
        <v>0.216290212183436</v>
      </c>
      <c r="H155" s="15" t="s">
        <v>228</v>
      </c>
      <c r="I155" s="15" t="s">
        <v>602</v>
      </c>
      <c r="J155" s="15" t="s">
        <v>183</v>
      </c>
      <c r="K155" s="21">
        <v>8</v>
      </c>
      <c r="L155" s="19"/>
      <c r="N155" s="16" t="e">
        <f t="shared" si="50"/>
        <v>#DIV/0!</v>
      </c>
      <c r="O155" s="19">
        <v>0</v>
      </c>
      <c r="P155" s="19">
        <v>0</v>
      </c>
      <c r="Q155" s="19">
        <v>0</v>
      </c>
      <c r="R155" s="19">
        <v>0</v>
      </c>
      <c r="S155" s="19">
        <v>0</v>
      </c>
      <c r="T155" s="19">
        <v>0</v>
      </c>
      <c r="U155" s="19">
        <v>0</v>
      </c>
      <c r="V155" s="19">
        <v>0</v>
      </c>
      <c r="W155" s="19">
        <v>0</v>
      </c>
      <c r="X155" s="19">
        <v>0</v>
      </c>
      <c r="Y155" s="19">
        <v>0</v>
      </c>
      <c r="Z155" s="19">
        <v>0</v>
      </c>
      <c r="AA155" s="19">
        <v>0</v>
      </c>
      <c r="AB155" s="19">
        <v>0</v>
      </c>
      <c r="AC155" s="19">
        <v>1</v>
      </c>
      <c r="AD155" s="19">
        <v>20</v>
      </c>
      <c r="AE155" s="19">
        <v>0</v>
      </c>
      <c r="AF155" s="19">
        <v>0</v>
      </c>
      <c r="AG155" s="19">
        <v>0</v>
      </c>
      <c r="AH155" s="19">
        <v>0</v>
      </c>
      <c r="AI155" s="19">
        <v>0</v>
      </c>
      <c r="AJ155" s="19">
        <v>0</v>
      </c>
      <c r="AK155" s="19">
        <v>0</v>
      </c>
      <c r="AL155" s="19">
        <v>0</v>
      </c>
      <c r="AM155" s="19">
        <v>0</v>
      </c>
      <c r="AN155" s="19">
        <v>0</v>
      </c>
      <c r="AO155" s="19">
        <v>0</v>
      </c>
      <c r="AP155" s="19">
        <v>0</v>
      </c>
      <c r="AQ155" s="19">
        <v>0</v>
      </c>
      <c r="AR155" s="19">
        <v>0</v>
      </c>
      <c r="AS155" s="19">
        <v>0</v>
      </c>
      <c r="AT155" s="19">
        <v>0</v>
      </c>
      <c r="AU155" s="19">
        <v>0</v>
      </c>
      <c r="AV155" s="19">
        <v>0</v>
      </c>
      <c r="AW155" s="19">
        <v>0</v>
      </c>
      <c r="AX155" s="19">
        <v>0</v>
      </c>
      <c r="AY155" s="19">
        <v>0</v>
      </c>
      <c r="AZ155" s="19">
        <v>0</v>
      </c>
      <c r="BA155" s="19">
        <v>0</v>
      </c>
      <c r="BB155" s="19">
        <v>0</v>
      </c>
      <c r="BC155" s="19">
        <v>0</v>
      </c>
      <c r="BD155" s="19">
        <v>0</v>
      </c>
      <c r="BE155" s="19">
        <v>0</v>
      </c>
      <c r="BF155" s="19">
        <v>0</v>
      </c>
      <c r="BG155" s="19">
        <v>0</v>
      </c>
      <c r="BH155" s="19">
        <v>0</v>
      </c>
      <c r="BI155" s="19">
        <v>0</v>
      </c>
      <c r="BJ155" s="19">
        <v>0</v>
      </c>
      <c r="BK155" s="19">
        <v>0</v>
      </c>
      <c r="BL155" s="19">
        <v>0</v>
      </c>
      <c r="BM155" s="19">
        <v>0</v>
      </c>
      <c r="BN155" s="19">
        <v>0</v>
      </c>
      <c r="BO155" s="19">
        <v>0</v>
      </c>
      <c r="BP155" s="19">
        <v>0</v>
      </c>
      <c r="BQ155" s="19">
        <v>0</v>
      </c>
      <c r="BR155" s="19">
        <v>2</v>
      </c>
      <c r="BS155" s="19">
        <v>2</v>
      </c>
      <c r="BT155" s="19">
        <v>3</v>
      </c>
      <c r="BU155" s="19">
        <v>5</v>
      </c>
      <c r="BV155" s="19">
        <v>1</v>
      </c>
      <c r="BW155" s="19">
        <v>1</v>
      </c>
      <c r="BX155" s="19">
        <v>1</v>
      </c>
      <c r="BY155" s="19">
        <v>2</v>
      </c>
      <c r="BZ155" s="19">
        <v>2</v>
      </c>
      <c r="CA155" s="19">
        <v>4</v>
      </c>
      <c r="CB155" s="19">
        <v>4</v>
      </c>
      <c r="CC155" s="19">
        <v>5</v>
      </c>
      <c r="CD155" s="19">
        <v>3</v>
      </c>
      <c r="CE155" s="19">
        <v>2</v>
      </c>
      <c r="CF155" s="19">
        <v>2</v>
      </c>
      <c r="CG155" s="19">
        <v>4</v>
      </c>
      <c r="CH155" s="19">
        <v>2</v>
      </c>
      <c r="CI155" s="19">
        <v>3</v>
      </c>
      <c r="CJ155" s="19">
        <v>4</v>
      </c>
      <c r="CK155" s="19">
        <v>10</v>
      </c>
      <c r="CL155" t="s">
        <v>604</v>
      </c>
      <c r="CM155">
        <v>32</v>
      </c>
      <c r="CN155" s="16">
        <v>93.9</v>
      </c>
      <c r="CO155" s="16">
        <v>81</v>
      </c>
      <c r="CP155" s="16">
        <v>11.9</v>
      </c>
      <c r="CQ155">
        <v>93.99</v>
      </c>
      <c r="CR155">
        <v>4.91</v>
      </c>
      <c r="CS155">
        <v>0</v>
      </c>
      <c r="CT155">
        <v>0</v>
      </c>
      <c r="CU155">
        <v>1.1000000000000001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21.14</v>
      </c>
      <c r="DE155">
        <v>45.4</v>
      </c>
      <c r="DF155">
        <v>0</v>
      </c>
      <c r="DG155">
        <v>0</v>
      </c>
      <c r="DH155">
        <v>0</v>
      </c>
      <c r="DU155">
        <v>0.6</v>
      </c>
      <c r="DV155">
        <v>1</v>
      </c>
      <c r="DW155">
        <v>52</v>
      </c>
      <c r="DX155">
        <v>3</v>
      </c>
      <c r="DY155">
        <v>0.27</v>
      </c>
      <c r="DZ155">
        <v>2</v>
      </c>
      <c r="EG155" s="18"/>
      <c r="EY155">
        <v>0</v>
      </c>
      <c r="GJ155" s="16">
        <v>1.89</v>
      </c>
      <c r="GK155" s="16">
        <v>1</v>
      </c>
      <c r="GL155" s="16">
        <v>2</v>
      </c>
      <c r="GM155" s="16"/>
      <c r="GN155" s="16">
        <v>5.25</v>
      </c>
      <c r="GO155" s="16"/>
      <c r="GP155" s="16"/>
      <c r="GQ155" s="16"/>
      <c r="GR155" s="16"/>
      <c r="GS155" s="16"/>
      <c r="GT155" s="16"/>
      <c r="GU155" s="16">
        <v>10.119999999999999</v>
      </c>
      <c r="GV155" s="16">
        <v>28</v>
      </c>
      <c r="GW155" s="16"/>
      <c r="GX155" s="16"/>
      <c r="GY155" s="16">
        <v>2.96</v>
      </c>
      <c r="GZ155" s="16">
        <v>11.53</v>
      </c>
      <c r="HA155" s="16">
        <v>0</v>
      </c>
      <c r="HB155">
        <v>0</v>
      </c>
      <c r="HC155" t="s">
        <v>605</v>
      </c>
      <c r="HD155">
        <v>23.5</v>
      </c>
      <c r="HE155" s="16">
        <v>76.8</v>
      </c>
      <c r="HF155" s="16">
        <v>81</v>
      </c>
      <c r="HG155" s="16">
        <v>13.3</v>
      </c>
      <c r="HH155">
        <v>89.68</v>
      </c>
      <c r="HI155">
        <v>0</v>
      </c>
      <c r="HJ155">
        <v>0.91</v>
      </c>
      <c r="HK155">
        <v>0</v>
      </c>
      <c r="HL155">
        <v>9.41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47.21</v>
      </c>
      <c r="HV155">
        <v>1.76</v>
      </c>
      <c r="HW155">
        <v>0</v>
      </c>
      <c r="HX155">
        <v>0</v>
      </c>
      <c r="HY155">
        <v>0</v>
      </c>
      <c r="IL155">
        <v>0.5</v>
      </c>
      <c r="IM155">
        <v>1</v>
      </c>
      <c r="IN155">
        <v>26</v>
      </c>
      <c r="IO155">
        <v>2</v>
      </c>
      <c r="IP155">
        <v>1.51</v>
      </c>
      <c r="IQ155">
        <v>2</v>
      </c>
      <c r="IR155">
        <v>52</v>
      </c>
      <c r="IS155">
        <v>3</v>
      </c>
      <c r="IT155">
        <v>0.38</v>
      </c>
      <c r="IU155">
        <v>2</v>
      </c>
      <c r="IX155" s="18"/>
      <c r="JP155">
        <v>0</v>
      </c>
      <c r="LA155" s="16">
        <v>0.11</v>
      </c>
      <c r="LB155" s="16">
        <v>1</v>
      </c>
      <c r="LC155" s="16">
        <v>1</v>
      </c>
      <c r="LD155" s="16"/>
      <c r="LE155" s="16">
        <v>0.37</v>
      </c>
      <c r="LF155" s="16"/>
      <c r="LG155" s="16"/>
      <c r="LH155" s="16"/>
      <c r="LI155" s="16"/>
      <c r="LJ155" s="16"/>
      <c r="LK155" s="16"/>
      <c r="LL155" s="16">
        <v>6.62</v>
      </c>
      <c r="LM155" s="16">
        <v>11.28</v>
      </c>
      <c r="LN155" s="16"/>
      <c r="LO155" s="16"/>
      <c r="LP155" s="16">
        <v>0</v>
      </c>
      <c r="LQ155" s="16">
        <v>0</v>
      </c>
      <c r="LR155" s="16">
        <v>0</v>
      </c>
      <c r="LS155">
        <v>0</v>
      </c>
      <c r="LT155" t="s">
        <v>606</v>
      </c>
      <c r="LU155">
        <v>22</v>
      </c>
      <c r="LV155" s="16">
        <v>82.5</v>
      </c>
      <c r="LW155" s="16">
        <v>81</v>
      </c>
      <c r="LX155" s="16">
        <v>15.1</v>
      </c>
      <c r="LY155">
        <v>0</v>
      </c>
      <c r="LZ155">
        <v>0</v>
      </c>
      <c r="MA155">
        <v>0</v>
      </c>
      <c r="MB155">
        <v>2</v>
      </c>
      <c r="MC155">
        <v>8.67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5.88</v>
      </c>
      <c r="MK155">
        <v>34.729999999999997</v>
      </c>
      <c r="ML155">
        <v>6.44</v>
      </c>
      <c r="MM155">
        <v>0</v>
      </c>
      <c r="MN155">
        <v>0</v>
      </c>
      <c r="MO155">
        <v>0</v>
      </c>
      <c r="MP155">
        <v>0</v>
      </c>
      <c r="NC155">
        <v>5.8</v>
      </c>
      <c r="ND155">
        <v>1</v>
      </c>
      <c r="NE155">
        <v>68</v>
      </c>
      <c r="NF155">
        <v>6</v>
      </c>
      <c r="NG155">
        <f>0.38+1.89+0+0.33</f>
        <v>2.6</v>
      </c>
      <c r="NH155">
        <v>2</v>
      </c>
      <c r="NI155">
        <v>23</v>
      </c>
      <c r="NJ155">
        <v>1</v>
      </c>
      <c r="NK155">
        <v>2.27</v>
      </c>
      <c r="NL155">
        <v>3</v>
      </c>
      <c r="NO155" s="18"/>
      <c r="OG155">
        <v>0</v>
      </c>
      <c r="PR155" s="16">
        <v>0</v>
      </c>
      <c r="PS155" s="16">
        <v>0</v>
      </c>
      <c r="PT155" s="16"/>
      <c r="PU155" s="16"/>
      <c r="PV155" s="16"/>
      <c r="PW155" s="16"/>
      <c r="PX155" s="16"/>
      <c r="PY155" s="16"/>
      <c r="PZ155" s="16"/>
      <c r="QA155" s="16"/>
      <c r="QB155" s="16"/>
      <c r="QC155" s="16">
        <v>0.77</v>
      </c>
      <c r="QD155" s="16">
        <v>0.77</v>
      </c>
      <c r="QE155" s="16"/>
      <c r="QF155" s="16"/>
      <c r="QG155" s="16">
        <v>0</v>
      </c>
      <c r="QH155" s="16">
        <v>0</v>
      </c>
      <c r="QI155" s="16">
        <v>0</v>
      </c>
      <c r="QJ155">
        <v>0</v>
      </c>
      <c r="QK155" t="s">
        <v>607</v>
      </c>
      <c r="QL155">
        <v>34.5</v>
      </c>
      <c r="QM155" s="16">
        <v>93.1</v>
      </c>
      <c r="QN155" s="16">
        <v>81</v>
      </c>
      <c r="QO155" s="16">
        <v>25.7</v>
      </c>
      <c r="QP155">
        <v>72.2</v>
      </c>
      <c r="QQ155">
        <v>2.27</v>
      </c>
      <c r="QR155">
        <v>10.23</v>
      </c>
      <c r="QS155">
        <v>0</v>
      </c>
      <c r="QT155">
        <v>15.3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41.42</v>
      </c>
      <c r="RD155">
        <v>39.33</v>
      </c>
      <c r="RE155">
        <v>0</v>
      </c>
      <c r="RF155">
        <v>0</v>
      </c>
      <c r="RG155">
        <v>0</v>
      </c>
      <c r="RT155">
        <v>0</v>
      </c>
      <c r="RU155">
        <v>0</v>
      </c>
      <c r="SF155" s="18"/>
      <c r="SX155">
        <v>0</v>
      </c>
      <c r="UI155" s="16">
        <v>3.45</v>
      </c>
      <c r="UJ155" s="16">
        <v>1</v>
      </c>
      <c r="UK155" s="16">
        <v>1</v>
      </c>
      <c r="UL155" s="16"/>
      <c r="UM155" s="16">
        <f>2.1+6.3+6.23*2+6.3+0.65+0.74*2+0.19</f>
        <v>29.48</v>
      </c>
      <c r="UN155" s="16"/>
      <c r="UO155" s="16"/>
      <c r="UP155" s="16"/>
      <c r="UQ155" s="16"/>
      <c r="UR155" s="16"/>
      <c r="US155" s="16"/>
      <c r="UT155" s="16">
        <v>0.65</v>
      </c>
      <c r="UU155" s="16">
        <v>0.65</v>
      </c>
      <c r="UV155" s="16"/>
      <c r="UW155" s="16"/>
      <c r="UX155" s="16">
        <v>0</v>
      </c>
      <c r="UY155" s="16">
        <v>0</v>
      </c>
      <c r="UZ155" s="16">
        <v>0</v>
      </c>
      <c r="VA155">
        <v>0</v>
      </c>
      <c r="VB155" t="s">
        <v>608</v>
      </c>
      <c r="VC155">
        <v>33.5</v>
      </c>
      <c r="VD155" s="16">
        <v>96.2</v>
      </c>
      <c r="VE155" s="16">
        <v>81</v>
      </c>
      <c r="VF155" s="16">
        <v>22.7</v>
      </c>
      <c r="VG155">
        <v>75.63</v>
      </c>
      <c r="VH155">
        <v>0</v>
      </c>
      <c r="VI155">
        <v>8.36</v>
      </c>
      <c r="VJ155">
        <v>0</v>
      </c>
      <c r="VK155">
        <v>15.71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55.49</v>
      </c>
      <c r="VU155">
        <v>29.63</v>
      </c>
      <c r="VV155">
        <v>0</v>
      </c>
      <c r="VW155">
        <v>0</v>
      </c>
      <c r="VX155">
        <v>0</v>
      </c>
      <c r="WK155">
        <v>0</v>
      </c>
      <c r="WL155">
        <v>0</v>
      </c>
      <c r="WW155" s="18"/>
      <c r="XO155">
        <v>0</v>
      </c>
      <c r="YZ155" s="16">
        <v>4.96</v>
      </c>
      <c r="ZA155" s="16">
        <v>1</v>
      </c>
      <c r="ZB155" s="16">
        <v>1</v>
      </c>
      <c r="ZC155" s="16"/>
      <c r="ZD155" s="16">
        <f>2.1+6.3*2+12.47*2+0.74+0.19+1.67</f>
        <v>42.24</v>
      </c>
      <c r="ZE155" s="16"/>
      <c r="ZF155" s="16"/>
      <c r="ZG155" s="16"/>
      <c r="ZH155" s="16"/>
      <c r="ZI155" s="16"/>
      <c r="ZJ155" s="16"/>
      <c r="ZK155" s="16">
        <v>0.32</v>
      </c>
      <c r="ZL155" s="16">
        <v>0.32</v>
      </c>
      <c r="ZM155" s="16"/>
      <c r="ZN155" s="16"/>
      <c r="ZO155" s="16">
        <v>0</v>
      </c>
      <c r="ZP155" s="16">
        <v>0</v>
      </c>
      <c r="ZQ155" s="16">
        <v>0</v>
      </c>
      <c r="ZR155">
        <v>0</v>
      </c>
      <c r="ZS155" t="s">
        <v>609</v>
      </c>
      <c r="ZT155">
        <v>27.5</v>
      </c>
      <c r="ZU155" s="16">
        <v>85.4</v>
      </c>
      <c r="ZV155" s="16">
        <v>81</v>
      </c>
      <c r="ZW155" s="16">
        <v>17.8</v>
      </c>
      <c r="ZX155">
        <v>85.58</v>
      </c>
      <c r="ZY155">
        <v>0</v>
      </c>
      <c r="ZZ155">
        <v>12.16</v>
      </c>
      <c r="AAA155">
        <v>0</v>
      </c>
      <c r="AAB155">
        <v>2.2599999999999998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20.21</v>
      </c>
      <c r="AAK155">
        <v>37.159999999999997</v>
      </c>
      <c r="AAL155">
        <v>3.57</v>
      </c>
      <c r="AAM155">
        <v>0</v>
      </c>
      <c r="AAN155">
        <v>0</v>
      </c>
      <c r="AAO155">
        <v>0</v>
      </c>
      <c r="ABB155">
        <v>0</v>
      </c>
      <c r="ABC155">
        <v>0</v>
      </c>
      <c r="ABN155" s="18"/>
      <c r="ACF155">
        <v>0</v>
      </c>
      <c r="ADQ155" s="16">
        <v>3.29</v>
      </c>
      <c r="ADR155" s="16">
        <v>1</v>
      </c>
      <c r="ADS155" s="16">
        <v>1</v>
      </c>
      <c r="ADT155" s="16"/>
      <c r="ADU155" s="16">
        <f>10.5+0.19+0.83</f>
        <v>11.52</v>
      </c>
      <c r="ADV155" s="16"/>
      <c r="ADW155" s="16"/>
      <c r="ADX155" s="16"/>
      <c r="ADY155" s="16"/>
      <c r="ADZ155" s="16"/>
      <c r="AEA155" s="16"/>
      <c r="AEB155" s="16">
        <v>3.85</v>
      </c>
      <c r="AEC155" s="16">
        <v>3.86</v>
      </c>
      <c r="AED155" s="16"/>
      <c r="AEE155" s="16"/>
      <c r="AEF155" s="16">
        <v>0</v>
      </c>
      <c r="AEG155" s="16">
        <v>0</v>
      </c>
      <c r="AEH155" s="16">
        <v>0</v>
      </c>
      <c r="AEI155">
        <v>0</v>
      </c>
      <c r="AEJ155" t="s">
        <v>610</v>
      </c>
      <c r="AEK155">
        <v>28.5</v>
      </c>
      <c r="AEL155" s="16">
        <v>85.2</v>
      </c>
      <c r="AEM155" s="16">
        <v>81</v>
      </c>
      <c r="AEN155" s="16">
        <v>18.399999999999999</v>
      </c>
      <c r="AEO155">
        <v>84.66</v>
      </c>
      <c r="AEP155">
        <v>0</v>
      </c>
      <c r="AEQ155">
        <v>13.08</v>
      </c>
      <c r="AER155">
        <v>0</v>
      </c>
      <c r="AES155">
        <v>2.2599999999999998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20.21</v>
      </c>
      <c r="AFB155">
        <v>38.43</v>
      </c>
      <c r="AFC155">
        <v>2.54</v>
      </c>
      <c r="AFD155">
        <v>0</v>
      </c>
      <c r="AFE155">
        <v>0</v>
      </c>
      <c r="AFF155">
        <v>0</v>
      </c>
      <c r="AFS155">
        <v>0</v>
      </c>
      <c r="AFT155">
        <v>0</v>
      </c>
      <c r="AGE155" s="18"/>
      <c r="AGW155">
        <v>0</v>
      </c>
      <c r="AIH155" s="16">
        <v>3.39</v>
      </c>
      <c r="AII155" s="16">
        <v>1</v>
      </c>
      <c r="AIJ155" s="16">
        <v>1</v>
      </c>
      <c r="AIK155" s="16"/>
      <c r="AIL155" s="16">
        <f>10.5+0.19+0.65+1.67</f>
        <v>13.01</v>
      </c>
      <c r="AIM155" s="16"/>
      <c r="AIN155" s="16"/>
      <c r="AIO155" s="16"/>
      <c r="AIP155" s="16"/>
      <c r="AIQ155" s="16"/>
      <c r="AIR155" s="16"/>
      <c r="AIS155" s="16">
        <v>3.95</v>
      </c>
      <c r="AIT155" s="16">
        <v>3.95</v>
      </c>
      <c r="AIU155" s="16"/>
      <c r="AIV155" s="16"/>
      <c r="AIW155" s="16">
        <v>0</v>
      </c>
      <c r="AIX155" s="16">
        <v>0</v>
      </c>
      <c r="AIY155" s="16">
        <v>0</v>
      </c>
      <c r="AIZ155">
        <v>0</v>
      </c>
      <c r="AJA155" t="s">
        <v>611</v>
      </c>
      <c r="AJB155">
        <v>69.5</v>
      </c>
      <c r="AJC155" s="16">
        <v>94.1</v>
      </c>
      <c r="AJD155" s="16">
        <v>81</v>
      </c>
      <c r="AJE155" s="16">
        <v>66.2</v>
      </c>
      <c r="AJF155">
        <v>39.99</v>
      </c>
      <c r="AJG155">
        <v>0</v>
      </c>
      <c r="AJH155">
        <v>33.270000000000003</v>
      </c>
      <c r="AJI155">
        <v>26.74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9.07</v>
      </c>
      <c r="AJS155">
        <v>0</v>
      </c>
      <c r="AJT155">
        <v>2.2999999999999998</v>
      </c>
      <c r="AJU155">
        <v>0</v>
      </c>
      <c r="AJV155">
        <v>0</v>
      </c>
      <c r="AJW155">
        <v>0</v>
      </c>
      <c r="AKJ155">
        <v>0</v>
      </c>
      <c r="AKK155">
        <v>0</v>
      </c>
      <c r="AKV155" s="18"/>
      <c r="ALN155">
        <v>0</v>
      </c>
    </row>
    <row r="156" spans="1:1024" x14ac:dyDescent="0.2">
      <c r="A156" s="1" t="s">
        <v>615</v>
      </c>
      <c r="B156" s="12">
        <v>42900</v>
      </c>
      <c r="C156">
        <v>2</v>
      </c>
      <c r="D156" s="13">
        <v>40301</v>
      </c>
      <c r="E156" s="12">
        <v>29955</v>
      </c>
      <c r="F156" s="14">
        <f t="shared" si="48"/>
        <v>35.441478439425055</v>
      </c>
      <c r="G156" s="14">
        <f t="shared" si="49"/>
        <v>7.1156741957563314</v>
      </c>
      <c r="H156" s="15" t="s">
        <v>228</v>
      </c>
      <c r="I156" s="15" t="s">
        <v>602</v>
      </c>
      <c r="J156" s="15" t="s">
        <v>183</v>
      </c>
      <c r="K156" s="21">
        <v>8</v>
      </c>
      <c r="L156" s="19">
        <v>87</v>
      </c>
      <c r="M156">
        <v>1.78</v>
      </c>
      <c r="N156" s="16">
        <f t="shared" si="50"/>
        <v>27.458654210326976</v>
      </c>
      <c r="O156" s="19">
        <v>0</v>
      </c>
      <c r="P156" s="19">
        <v>0</v>
      </c>
      <c r="Q156" s="19">
        <v>0</v>
      </c>
      <c r="R156" s="19">
        <v>0</v>
      </c>
      <c r="S156" s="19">
        <v>0</v>
      </c>
      <c r="T156" s="19">
        <v>0</v>
      </c>
      <c r="U156" s="19">
        <v>0</v>
      </c>
      <c r="V156" s="19">
        <v>0</v>
      </c>
      <c r="W156" s="19">
        <v>0</v>
      </c>
      <c r="X156" s="19">
        <v>0</v>
      </c>
      <c r="Y156" s="19">
        <v>0</v>
      </c>
      <c r="Z156" s="19">
        <v>0</v>
      </c>
      <c r="AA156" s="19">
        <v>0</v>
      </c>
      <c r="AB156" s="19">
        <v>0</v>
      </c>
      <c r="AC156" s="19">
        <v>1</v>
      </c>
      <c r="AD156" s="19">
        <v>10</v>
      </c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  <c r="BK156" s="19"/>
      <c r="BL156" s="19"/>
      <c r="BM156" s="19"/>
      <c r="BN156" s="19"/>
      <c r="BO156" s="19"/>
      <c r="BP156" s="19"/>
      <c r="BQ156" s="19"/>
      <c r="BR156" s="19">
        <v>3</v>
      </c>
      <c r="BS156" s="19">
        <v>3</v>
      </c>
      <c r="BT156" s="19">
        <v>4</v>
      </c>
      <c r="BU156" s="19">
        <v>5</v>
      </c>
      <c r="BV156" s="19">
        <v>2</v>
      </c>
      <c r="BW156" s="19">
        <v>5</v>
      </c>
      <c r="BX156" s="19">
        <v>4</v>
      </c>
      <c r="BY156" s="19">
        <v>4</v>
      </c>
      <c r="BZ156" s="19">
        <v>1</v>
      </c>
      <c r="CA156" s="19">
        <v>2</v>
      </c>
      <c r="CB156" s="19">
        <v>3</v>
      </c>
      <c r="CC156" s="19">
        <v>3</v>
      </c>
      <c r="CD156" s="19">
        <v>3</v>
      </c>
      <c r="CE156" s="19">
        <v>2</v>
      </c>
      <c r="CF156" s="19">
        <v>4</v>
      </c>
      <c r="CG156" s="19">
        <v>3</v>
      </c>
      <c r="CH156" s="19">
        <v>3</v>
      </c>
      <c r="CI156" s="19">
        <v>4</v>
      </c>
      <c r="CJ156" s="19">
        <v>3</v>
      </c>
      <c r="CK156" s="19">
        <v>5</v>
      </c>
      <c r="CL156" t="s">
        <v>606</v>
      </c>
      <c r="CM156">
        <v>22</v>
      </c>
      <c r="CN156" s="16">
        <v>82.5</v>
      </c>
      <c r="CO156" s="16">
        <v>81</v>
      </c>
      <c r="CP156" s="16">
        <v>15.1</v>
      </c>
      <c r="CQ156">
        <v>0</v>
      </c>
      <c r="CR156">
        <v>0</v>
      </c>
      <c r="CS156">
        <v>0</v>
      </c>
      <c r="CT156">
        <v>2</v>
      </c>
      <c r="CU156">
        <v>8.67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5.88</v>
      </c>
      <c r="DC156">
        <v>34.729999999999997</v>
      </c>
      <c r="DD156">
        <v>6.44</v>
      </c>
      <c r="DE156">
        <v>0</v>
      </c>
      <c r="DF156">
        <v>0</v>
      </c>
      <c r="DG156">
        <v>0</v>
      </c>
      <c r="DH156">
        <v>0</v>
      </c>
      <c r="DU156">
        <v>5.8</v>
      </c>
      <c r="DV156">
        <v>1</v>
      </c>
      <c r="DW156">
        <v>68</v>
      </c>
      <c r="DX156">
        <v>6</v>
      </c>
      <c r="DY156">
        <f>0.38+1.89+0+0.33</f>
        <v>2.6</v>
      </c>
      <c r="DZ156">
        <v>2</v>
      </c>
      <c r="EA156">
        <v>23</v>
      </c>
      <c r="EB156">
        <v>1</v>
      </c>
      <c r="EC156">
        <v>2.27</v>
      </c>
      <c r="ED156">
        <v>3</v>
      </c>
      <c r="EG156" s="18"/>
      <c r="EY156">
        <v>0</v>
      </c>
      <c r="GJ156" s="16">
        <v>0</v>
      </c>
      <c r="GK156" s="16">
        <v>0</v>
      </c>
      <c r="GL156" s="16"/>
      <c r="GM156" s="16"/>
      <c r="GN156" s="16"/>
      <c r="GO156" s="16"/>
      <c r="GP156" s="16"/>
      <c r="GQ156" s="16"/>
      <c r="GR156" s="16"/>
      <c r="GS156" s="16"/>
      <c r="GT156" s="16"/>
      <c r="GU156" s="16">
        <v>0.77</v>
      </c>
      <c r="GV156" s="16">
        <v>0.77</v>
      </c>
      <c r="GW156" s="16"/>
      <c r="GX156" s="16"/>
      <c r="GY156" s="16">
        <v>0</v>
      </c>
      <c r="GZ156" s="16">
        <v>0</v>
      </c>
      <c r="HA156" s="16">
        <v>0</v>
      </c>
      <c r="HB156">
        <v>0</v>
      </c>
      <c r="HC156" t="s">
        <v>607</v>
      </c>
      <c r="HD156">
        <v>34.5</v>
      </c>
      <c r="HE156" s="16">
        <v>93.1</v>
      </c>
      <c r="HF156" s="16">
        <v>81</v>
      </c>
      <c r="HG156" s="16">
        <v>25.7</v>
      </c>
      <c r="HH156">
        <v>72.2</v>
      </c>
      <c r="HI156">
        <v>2.27</v>
      </c>
      <c r="HJ156">
        <v>10.23</v>
      </c>
      <c r="HK156">
        <v>0</v>
      </c>
      <c r="HL156">
        <v>15.3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41.42</v>
      </c>
      <c r="HV156">
        <v>39.33</v>
      </c>
      <c r="HW156">
        <v>0</v>
      </c>
      <c r="HX156">
        <v>0</v>
      </c>
      <c r="HY156">
        <v>0</v>
      </c>
      <c r="IL156">
        <v>0</v>
      </c>
      <c r="IM156">
        <v>0</v>
      </c>
      <c r="IX156" s="18"/>
      <c r="JP156">
        <v>0</v>
      </c>
      <c r="LA156" s="16">
        <v>3.45</v>
      </c>
      <c r="LB156" s="16">
        <v>1</v>
      </c>
      <c r="LC156" s="16">
        <v>1</v>
      </c>
      <c r="LD156" s="16"/>
      <c r="LE156" s="16">
        <f>2.1+6.3+6.23*2+6.3+0.65+0.74*2+0.19</f>
        <v>29.48</v>
      </c>
      <c r="LF156" s="16"/>
      <c r="LG156" s="16"/>
      <c r="LH156" s="16"/>
      <c r="LI156" s="16"/>
      <c r="LJ156" s="16"/>
      <c r="LK156" s="16"/>
      <c r="LL156" s="16">
        <v>0.65</v>
      </c>
      <c r="LM156" s="16">
        <v>0.65</v>
      </c>
      <c r="LN156" s="16"/>
      <c r="LO156" s="16"/>
      <c r="LP156" s="16">
        <v>0</v>
      </c>
      <c r="LQ156" s="16">
        <v>0</v>
      </c>
      <c r="LR156" s="16">
        <v>0</v>
      </c>
      <c r="LS156">
        <v>0</v>
      </c>
      <c r="LT156" t="s">
        <v>608</v>
      </c>
      <c r="LU156">
        <v>33.5</v>
      </c>
      <c r="LV156" s="16">
        <v>96.2</v>
      </c>
      <c r="LW156" s="16">
        <v>81</v>
      </c>
      <c r="LX156" s="16">
        <v>22.7</v>
      </c>
      <c r="LY156">
        <v>75.63</v>
      </c>
      <c r="LZ156">
        <v>0</v>
      </c>
      <c r="MA156">
        <v>8.36</v>
      </c>
      <c r="MB156">
        <v>0</v>
      </c>
      <c r="MC156">
        <v>15.71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55.49</v>
      </c>
      <c r="MM156">
        <v>29.63</v>
      </c>
      <c r="MN156">
        <v>0</v>
      </c>
      <c r="MO156">
        <v>0</v>
      </c>
      <c r="MP156">
        <v>0</v>
      </c>
      <c r="NC156">
        <v>0</v>
      </c>
      <c r="ND156">
        <v>0</v>
      </c>
      <c r="NO156" s="18"/>
      <c r="OG156">
        <v>0</v>
      </c>
      <c r="PR156" s="16">
        <v>4.96</v>
      </c>
      <c r="PS156" s="16">
        <v>1</v>
      </c>
      <c r="PT156" s="16">
        <v>1</v>
      </c>
      <c r="PU156" s="16"/>
      <c r="PV156" s="16">
        <f>2.1+6.3*2+12.47*2+0.74+0.19+1.67</f>
        <v>42.24</v>
      </c>
      <c r="PW156" s="16"/>
      <c r="PX156" s="16"/>
      <c r="PY156" s="16"/>
      <c r="PZ156" s="16"/>
      <c r="QA156" s="16"/>
      <c r="QB156" s="16"/>
      <c r="QC156" s="16">
        <v>0.32</v>
      </c>
      <c r="QD156" s="16">
        <v>0.32</v>
      </c>
      <c r="QE156" s="16"/>
      <c r="QF156" s="16"/>
      <c r="QG156" s="16">
        <v>0</v>
      </c>
      <c r="QH156" s="16">
        <v>0</v>
      </c>
      <c r="QI156" s="16">
        <v>0</v>
      </c>
      <c r="QJ156">
        <v>0</v>
      </c>
      <c r="QK156" t="s">
        <v>609</v>
      </c>
      <c r="QL156">
        <v>27.5</v>
      </c>
      <c r="QM156" s="16">
        <v>85.4</v>
      </c>
      <c r="QN156" s="16">
        <v>81</v>
      </c>
      <c r="QO156" s="16">
        <v>17.8</v>
      </c>
      <c r="QP156">
        <v>85.58</v>
      </c>
      <c r="QQ156">
        <v>0</v>
      </c>
      <c r="QR156">
        <v>12.16</v>
      </c>
      <c r="QS156">
        <v>0</v>
      </c>
      <c r="QT156">
        <v>2.2599999999999998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20.21</v>
      </c>
      <c r="RC156">
        <v>37.159999999999997</v>
      </c>
      <c r="RD156">
        <v>3.57</v>
      </c>
      <c r="RE156">
        <v>0</v>
      </c>
      <c r="RF156">
        <v>0</v>
      </c>
      <c r="RG156">
        <v>0</v>
      </c>
      <c r="RT156">
        <v>0</v>
      </c>
      <c r="RU156">
        <v>0</v>
      </c>
      <c r="SF156" s="18"/>
      <c r="SX156">
        <v>0</v>
      </c>
      <c r="UI156" s="16">
        <v>3.29</v>
      </c>
      <c r="UJ156" s="16">
        <v>1</v>
      </c>
      <c r="UK156" s="16">
        <v>1</v>
      </c>
      <c r="UL156" s="16"/>
      <c r="UM156" s="16">
        <f>10.5+0.19+0.83</f>
        <v>11.52</v>
      </c>
      <c r="UN156" s="16"/>
      <c r="UO156" s="16"/>
      <c r="UP156" s="16"/>
      <c r="UQ156" s="16"/>
      <c r="UR156" s="16"/>
      <c r="US156" s="16"/>
      <c r="UT156" s="16">
        <v>3.85</v>
      </c>
      <c r="UU156" s="16">
        <v>3.86</v>
      </c>
      <c r="UV156" s="16"/>
      <c r="UW156" s="16"/>
      <c r="UX156" s="16">
        <v>0</v>
      </c>
      <c r="UY156" s="16">
        <v>0</v>
      </c>
      <c r="UZ156" s="16">
        <v>0</v>
      </c>
      <c r="VA156">
        <v>0</v>
      </c>
      <c r="VB156" t="s">
        <v>610</v>
      </c>
      <c r="VC156">
        <v>28.5</v>
      </c>
      <c r="VD156" s="16">
        <v>85.2</v>
      </c>
      <c r="VE156" s="16">
        <v>81</v>
      </c>
      <c r="VF156" s="16">
        <v>18.399999999999999</v>
      </c>
      <c r="VG156">
        <v>84.66</v>
      </c>
      <c r="VH156">
        <v>0</v>
      </c>
      <c r="VI156">
        <v>13.08</v>
      </c>
      <c r="VJ156">
        <v>0</v>
      </c>
      <c r="VK156">
        <v>2.2599999999999998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20.21</v>
      </c>
      <c r="VT156">
        <v>38.43</v>
      </c>
      <c r="VU156">
        <v>2.54</v>
      </c>
      <c r="VV156">
        <v>0</v>
      </c>
      <c r="VW156">
        <v>0</v>
      </c>
      <c r="VX156">
        <v>0</v>
      </c>
      <c r="WK156">
        <v>0</v>
      </c>
      <c r="WL156">
        <v>0</v>
      </c>
      <c r="WW156" s="18"/>
      <c r="XO156">
        <v>0</v>
      </c>
      <c r="YZ156" s="16">
        <v>3.39</v>
      </c>
      <c r="ZA156" s="16">
        <v>1</v>
      </c>
      <c r="ZB156" s="16">
        <v>1</v>
      </c>
      <c r="ZC156" s="16"/>
      <c r="ZD156" s="16">
        <f>10.5+0.19+0.65+1.67</f>
        <v>13.01</v>
      </c>
      <c r="ZE156" s="16"/>
      <c r="ZF156" s="16"/>
      <c r="ZG156" s="16"/>
      <c r="ZH156" s="16"/>
      <c r="ZI156" s="16"/>
      <c r="ZJ156" s="16"/>
      <c r="ZK156" s="16">
        <v>3.95</v>
      </c>
      <c r="ZL156" s="16">
        <v>3.95</v>
      </c>
      <c r="ZM156" s="16"/>
      <c r="ZN156" s="16"/>
      <c r="ZO156" s="16">
        <v>0</v>
      </c>
      <c r="ZP156" s="16">
        <v>0</v>
      </c>
      <c r="ZQ156" s="16">
        <v>0</v>
      </c>
      <c r="ZR156">
        <v>0</v>
      </c>
      <c r="ZS156" t="s">
        <v>611</v>
      </c>
      <c r="ZT156">
        <v>69.5</v>
      </c>
      <c r="ZU156" s="16">
        <v>94.1</v>
      </c>
      <c r="ZV156" s="16">
        <v>81</v>
      </c>
      <c r="ZW156" s="16">
        <v>66.2</v>
      </c>
      <c r="ZX156">
        <v>39.99</v>
      </c>
      <c r="ZY156">
        <v>0</v>
      </c>
      <c r="ZZ156">
        <v>33.270000000000003</v>
      </c>
      <c r="AAA156">
        <v>26.74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9.07</v>
      </c>
      <c r="AAK156">
        <v>0</v>
      </c>
      <c r="AAL156">
        <v>2.2999999999999998</v>
      </c>
      <c r="AAM156">
        <v>0</v>
      </c>
      <c r="AAN156">
        <v>0</v>
      </c>
      <c r="AAO156">
        <v>0</v>
      </c>
      <c r="ABB156">
        <v>0</v>
      </c>
      <c r="ABC156">
        <v>0</v>
      </c>
      <c r="ABN156" s="18"/>
      <c r="ACF156">
        <v>0</v>
      </c>
      <c r="ADQ156" s="16">
        <v>0</v>
      </c>
      <c r="ADR156" s="16">
        <v>0</v>
      </c>
      <c r="ADS156" s="16"/>
      <c r="ADT156" s="16"/>
      <c r="ADU156" s="16"/>
      <c r="ADV156" s="16"/>
      <c r="ADW156" s="16"/>
      <c r="ADX156" s="16"/>
      <c r="ADY156" s="16"/>
      <c r="ADZ156" s="16"/>
      <c r="AEA156" s="16"/>
      <c r="AEB156" s="16">
        <v>2.25</v>
      </c>
      <c r="AEC156" s="16">
        <v>2.2599999999999998</v>
      </c>
      <c r="AED156" s="16"/>
      <c r="AEE156" s="16"/>
      <c r="AEF156" s="16">
        <v>0</v>
      </c>
      <c r="AEG156" s="16">
        <v>0</v>
      </c>
      <c r="AEH156" s="16">
        <v>0</v>
      </c>
      <c r="AEI156">
        <v>0</v>
      </c>
      <c r="AEJ156" t="s">
        <v>616</v>
      </c>
      <c r="AEK156">
        <v>48</v>
      </c>
      <c r="AEL156" s="16">
        <v>95.9</v>
      </c>
      <c r="AEM156" s="16">
        <v>81</v>
      </c>
      <c r="AEN156" s="16">
        <v>27.4</v>
      </c>
      <c r="AEO156">
        <v>77.319999999999993</v>
      </c>
      <c r="AEP156">
        <v>0</v>
      </c>
      <c r="AEQ156">
        <v>16.12</v>
      </c>
      <c r="AER156">
        <v>2.74</v>
      </c>
      <c r="AES156">
        <v>3.81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2.44</v>
      </c>
      <c r="AFA156">
        <v>3.21</v>
      </c>
      <c r="AFB156">
        <v>12.77</v>
      </c>
      <c r="AFC156">
        <v>10.53</v>
      </c>
      <c r="AFD156">
        <v>0</v>
      </c>
      <c r="AFE156">
        <v>17.5</v>
      </c>
      <c r="AFF156">
        <v>1</v>
      </c>
      <c r="AFG156">
        <v>7.28</v>
      </c>
      <c r="AFI156">
        <v>4</v>
      </c>
      <c r="AFJ156">
        <v>6.8</v>
      </c>
      <c r="AFL156">
        <v>4</v>
      </c>
      <c r="AFM156">
        <v>5.54</v>
      </c>
      <c r="AFO156">
        <v>7</v>
      </c>
      <c r="AFP156">
        <v>6.29</v>
      </c>
      <c r="AFR156">
        <v>4</v>
      </c>
      <c r="AFS156">
        <v>0.5</v>
      </c>
      <c r="AFT156">
        <v>1</v>
      </c>
      <c r="AFU156">
        <v>34</v>
      </c>
      <c r="AFV156">
        <v>2</v>
      </c>
      <c r="AFW156">
        <f>0.19+0.03</f>
        <v>0.22</v>
      </c>
      <c r="AFX156">
        <v>1</v>
      </c>
      <c r="AFY156">
        <v>68</v>
      </c>
      <c r="AFZ156">
        <v>2</v>
      </c>
      <c r="AGA156">
        <f>0.19+0.03</f>
        <v>0.22</v>
      </c>
      <c r="AGB156">
        <v>1</v>
      </c>
      <c r="AGE156" s="18"/>
      <c r="AGW156">
        <v>0</v>
      </c>
      <c r="AIH156" s="16">
        <v>0</v>
      </c>
      <c r="AII156" s="16">
        <v>0</v>
      </c>
      <c r="AIJ156" s="16"/>
      <c r="AIK156" s="16"/>
      <c r="AIL156" s="16"/>
      <c r="AIM156" s="16"/>
      <c r="AIN156" s="16"/>
      <c r="AIO156" s="16"/>
      <c r="AIP156" s="16"/>
      <c r="AIQ156" s="16"/>
      <c r="AIR156" s="16"/>
      <c r="AIS156" s="16">
        <v>0.44</v>
      </c>
      <c r="AIT156" s="16">
        <v>0.44</v>
      </c>
      <c r="AIU156" s="16"/>
      <c r="AIV156" s="16"/>
      <c r="AIW156" s="16">
        <v>0</v>
      </c>
      <c r="AIX156" s="16">
        <v>0</v>
      </c>
      <c r="AIY156" s="16">
        <v>0</v>
      </c>
      <c r="AIZ156">
        <v>0</v>
      </c>
      <c r="AJA156" s="15"/>
      <c r="AJB156" s="15"/>
      <c r="AJI156" s="15"/>
      <c r="AJJ156" s="15"/>
      <c r="AJQ156" s="15"/>
      <c r="AJR156" s="15"/>
      <c r="AJY156" s="15"/>
      <c r="AJZ156" s="15"/>
      <c r="AKG156" s="15"/>
      <c r="AKH156" s="15"/>
      <c r="AKO156" s="15"/>
      <c r="AKP156" s="15"/>
      <c r="AKW156" s="15"/>
      <c r="AKX156" s="15"/>
      <c r="ALE156" s="15"/>
      <c r="ALF156" s="15"/>
      <c r="ALM156" s="15"/>
      <c r="ALN156" s="15"/>
      <c r="ALU156" s="15"/>
      <c r="ALV156" s="15"/>
      <c r="AMC156" s="15"/>
      <c r="AMD156" s="15"/>
    </row>
    <row r="157" spans="1:1024" x14ac:dyDescent="0.2">
      <c r="A157" s="1" t="s">
        <v>617</v>
      </c>
      <c r="B157" s="12">
        <v>42902</v>
      </c>
      <c r="C157">
        <v>2</v>
      </c>
      <c r="D157" s="13">
        <v>40477</v>
      </c>
      <c r="E157" s="12">
        <v>33321</v>
      </c>
      <c r="F157" s="14">
        <f t="shared" si="48"/>
        <v>26.231348391512661</v>
      </c>
      <c r="G157" s="14">
        <f t="shared" si="49"/>
        <v>6.6392881587953454</v>
      </c>
      <c r="H157" s="15" t="s">
        <v>181</v>
      </c>
      <c r="I157" s="15" t="s">
        <v>496</v>
      </c>
      <c r="J157" s="15" t="s">
        <v>183</v>
      </c>
      <c r="K157" s="15">
        <v>4</v>
      </c>
      <c r="L157" s="19">
        <v>68</v>
      </c>
      <c r="M157">
        <v>1.69</v>
      </c>
      <c r="N157" s="16">
        <f t="shared" si="50"/>
        <v>23.808690171912751</v>
      </c>
      <c r="O157" s="19">
        <v>0</v>
      </c>
      <c r="P157" s="19">
        <v>0</v>
      </c>
      <c r="Q157" s="19">
        <v>0</v>
      </c>
      <c r="R157" s="19">
        <v>0</v>
      </c>
      <c r="S157" s="19">
        <v>0</v>
      </c>
      <c r="T157" s="19">
        <v>0</v>
      </c>
      <c r="U157" s="19">
        <v>0</v>
      </c>
      <c r="V157" s="19">
        <v>0</v>
      </c>
      <c r="W157" s="19">
        <v>0</v>
      </c>
      <c r="X157" s="19">
        <v>0</v>
      </c>
      <c r="Y157" s="19">
        <v>1</v>
      </c>
      <c r="Z157" s="19">
        <v>2</v>
      </c>
      <c r="AA157" s="19"/>
      <c r="AB157" s="19"/>
      <c r="AC157" s="19">
        <v>0</v>
      </c>
      <c r="AD157" s="19">
        <v>0</v>
      </c>
      <c r="AE157" s="19">
        <v>0</v>
      </c>
      <c r="AF157" s="19">
        <v>0</v>
      </c>
      <c r="AG157" s="19">
        <v>0</v>
      </c>
      <c r="AH157" s="19">
        <v>0</v>
      </c>
      <c r="AI157" s="19">
        <v>0</v>
      </c>
      <c r="AJ157" s="19">
        <v>0</v>
      </c>
      <c r="AK157" s="19">
        <v>0</v>
      </c>
      <c r="AL157" s="19">
        <v>0</v>
      </c>
      <c r="AM157" s="19">
        <v>0</v>
      </c>
      <c r="AN157" s="19">
        <v>0</v>
      </c>
      <c r="AO157" s="19">
        <v>0</v>
      </c>
      <c r="AP157" s="19">
        <v>0</v>
      </c>
      <c r="AQ157" s="19">
        <v>0</v>
      </c>
      <c r="AR157" s="19">
        <v>0</v>
      </c>
      <c r="AS157" s="19">
        <v>0</v>
      </c>
      <c r="AT157" s="19">
        <v>0</v>
      </c>
      <c r="AU157" s="19">
        <v>0</v>
      </c>
      <c r="AV157" s="19">
        <v>0</v>
      </c>
      <c r="AW157" s="19">
        <v>0</v>
      </c>
      <c r="AX157" s="19">
        <v>0</v>
      </c>
      <c r="AY157" s="19">
        <v>0</v>
      </c>
      <c r="AZ157" s="19">
        <v>0</v>
      </c>
      <c r="BA157" s="19">
        <v>0</v>
      </c>
      <c r="BB157" s="19">
        <v>0</v>
      </c>
      <c r="BC157" s="19">
        <v>0</v>
      </c>
      <c r="BD157" s="19">
        <v>0</v>
      </c>
      <c r="BE157" s="19">
        <v>0</v>
      </c>
      <c r="BF157" s="19">
        <v>0</v>
      </c>
      <c r="BG157" s="19">
        <v>0</v>
      </c>
      <c r="BH157" s="19">
        <v>0</v>
      </c>
      <c r="BI157" s="19">
        <v>0</v>
      </c>
      <c r="BJ157" s="19">
        <v>0</v>
      </c>
      <c r="BK157" s="19">
        <v>0</v>
      </c>
      <c r="BL157" s="19">
        <v>0</v>
      </c>
      <c r="BM157" s="19">
        <v>0</v>
      </c>
      <c r="BN157" s="19">
        <v>0</v>
      </c>
      <c r="BO157" s="19">
        <v>0</v>
      </c>
      <c r="BP157" s="19">
        <v>0</v>
      </c>
      <c r="BQ157" s="19">
        <v>0</v>
      </c>
      <c r="BR157" s="19">
        <v>1</v>
      </c>
      <c r="BS157" s="19">
        <v>2</v>
      </c>
      <c r="BT157" s="19">
        <v>3</v>
      </c>
      <c r="BU157" s="19">
        <v>4</v>
      </c>
      <c r="BV157" s="19">
        <v>3</v>
      </c>
      <c r="BW157" s="19">
        <v>2</v>
      </c>
      <c r="BX157" s="19">
        <v>3</v>
      </c>
      <c r="BY157" s="19">
        <v>3</v>
      </c>
      <c r="BZ157" s="19">
        <v>3</v>
      </c>
      <c r="CA157" s="19">
        <v>3</v>
      </c>
      <c r="CB157" s="19">
        <v>4</v>
      </c>
      <c r="CC157" s="19">
        <v>5</v>
      </c>
      <c r="CD157" s="19">
        <v>5</v>
      </c>
      <c r="CE157" s="19">
        <v>5</v>
      </c>
      <c r="CF157" s="19">
        <v>5</v>
      </c>
      <c r="CG157" s="19">
        <v>5</v>
      </c>
      <c r="CH157" s="19">
        <v>5</v>
      </c>
      <c r="CI157" s="19">
        <v>5</v>
      </c>
      <c r="CJ157" s="19">
        <v>5</v>
      </c>
      <c r="CK157" s="19">
        <v>10</v>
      </c>
      <c r="CL157" t="s">
        <v>498</v>
      </c>
      <c r="CM157">
        <v>33</v>
      </c>
      <c r="CN157" s="16">
        <v>71.2</v>
      </c>
      <c r="CO157" s="16">
        <v>80.400000000000006</v>
      </c>
      <c r="CP157" s="16">
        <v>16.3</v>
      </c>
      <c r="CQ157">
        <v>83.24</v>
      </c>
      <c r="CR157" s="17">
        <v>0</v>
      </c>
      <c r="CS157">
        <v>0</v>
      </c>
      <c r="CT157">
        <v>0</v>
      </c>
      <c r="CU157">
        <v>14.14</v>
      </c>
      <c r="CV157">
        <v>0</v>
      </c>
      <c r="CW157">
        <v>2.63</v>
      </c>
      <c r="CX157">
        <v>0</v>
      </c>
      <c r="CY157">
        <v>0</v>
      </c>
      <c r="CZ157">
        <v>0</v>
      </c>
      <c r="DA157">
        <v>0</v>
      </c>
      <c r="DB157">
        <v>2.63</v>
      </c>
      <c r="DC157">
        <v>10.16</v>
      </c>
      <c r="DD157">
        <v>20.83</v>
      </c>
      <c r="DE157">
        <v>24.81</v>
      </c>
      <c r="DF157">
        <v>0</v>
      </c>
      <c r="DG157">
        <v>11.2</v>
      </c>
      <c r="DH157">
        <v>1</v>
      </c>
      <c r="DI157">
        <v>5</v>
      </c>
      <c r="DK157">
        <v>1</v>
      </c>
      <c r="DO157">
        <v>5</v>
      </c>
      <c r="DQ157">
        <v>1</v>
      </c>
      <c r="DU157">
        <v>0</v>
      </c>
      <c r="DV157">
        <v>0</v>
      </c>
      <c r="EG157" s="18"/>
      <c r="EY157">
        <v>0</v>
      </c>
      <c r="GJ157" s="16">
        <v>2.71</v>
      </c>
      <c r="GK157" s="16">
        <v>1</v>
      </c>
      <c r="GL157" s="16">
        <v>1</v>
      </c>
      <c r="GM157" s="16"/>
      <c r="GN157" s="16">
        <f>2.11*4+0.52*2</f>
        <v>9.48</v>
      </c>
      <c r="GO157" s="16"/>
      <c r="GP157" s="16"/>
      <c r="GQ157" s="16"/>
      <c r="GR157" s="16"/>
      <c r="GS157" s="16"/>
      <c r="GT157" s="16"/>
      <c r="GU157" s="16">
        <v>2.63</v>
      </c>
      <c r="GV157" s="16">
        <v>2.6</v>
      </c>
      <c r="GW157" s="16">
        <v>0</v>
      </c>
      <c r="GX157" s="16">
        <v>0</v>
      </c>
      <c r="GY157" s="16">
        <v>0</v>
      </c>
      <c r="GZ157" s="16">
        <v>0</v>
      </c>
      <c r="HA157" s="16">
        <v>0</v>
      </c>
      <c r="HB157">
        <v>0</v>
      </c>
      <c r="HC157" t="s">
        <v>499</v>
      </c>
      <c r="HD157">
        <v>40</v>
      </c>
      <c r="HE157" s="16">
        <v>79.7</v>
      </c>
      <c r="HF157" s="16">
        <v>80.400000000000006</v>
      </c>
      <c r="HG157" s="16">
        <v>11.2</v>
      </c>
      <c r="HH157">
        <v>91.23</v>
      </c>
      <c r="HI157" s="17">
        <v>0</v>
      </c>
      <c r="HJ157">
        <v>0</v>
      </c>
      <c r="HK157">
        <v>0</v>
      </c>
      <c r="HL157">
        <v>8.77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18.64</v>
      </c>
      <c r="HU157">
        <v>42.82</v>
      </c>
      <c r="HV157">
        <v>4.6100000000000003</v>
      </c>
      <c r="HW157">
        <v>0</v>
      </c>
      <c r="HX157">
        <v>0</v>
      </c>
      <c r="HY157">
        <v>0</v>
      </c>
      <c r="IL157">
        <v>23.2</v>
      </c>
      <c r="IM157">
        <v>1</v>
      </c>
      <c r="IN157">
        <v>35</v>
      </c>
      <c r="IO157">
        <f>2+4+2+2+2+4+2+2+1</f>
        <v>21</v>
      </c>
      <c r="IP157">
        <f>1.52+1.49+0.78*2+0.27+0.43+0.12+0.13</f>
        <v>5.52</v>
      </c>
      <c r="IQ157">
        <v>3</v>
      </c>
      <c r="IR157">
        <v>10</v>
      </c>
      <c r="IS157">
        <v>1</v>
      </c>
      <c r="IT157">
        <v>0.1</v>
      </c>
      <c r="IU157">
        <v>5</v>
      </c>
      <c r="IV157">
        <v>25</v>
      </c>
      <c r="IW157">
        <v>8</v>
      </c>
      <c r="IX157" s="18">
        <f>0.19*2+0.1</f>
        <v>0.48</v>
      </c>
      <c r="IY157">
        <v>1</v>
      </c>
      <c r="JP157">
        <v>0</v>
      </c>
      <c r="LA157" s="16">
        <v>1.52</v>
      </c>
      <c r="LB157" s="16">
        <v>1</v>
      </c>
      <c r="LC157" s="16">
        <v>1</v>
      </c>
      <c r="LD157" s="16"/>
      <c r="LE157" s="16">
        <f>2.11*2+0.19*3+0.1</f>
        <v>4.8899999999999997</v>
      </c>
      <c r="LF157" s="16"/>
      <c r="LG157" s="16"/>
      <c r="LH157" s="16"/>
      <c r="LI157" s="16"/>
      <c r="LJ157" s="16"/>
      <c r="LK157" s="16"/>
      <c r="LL157" s="16">
        <v>0</v>
      </c>
      <c r="LM157" s="16">
        <v>0</v>
      </c>
      <c r="LN157" s="16">
        <v>0</v>
      </c>
      <c r="LO157" s="16">
        <v>0</v>
      </c>
      <c r="LP157" s="16">
        <v>0</v>
      </c>
      <c r="LQ157" s="16">
        <v>0</v>
      </c>
      <c r="LR157" s="16">
        <v>0.06</v>
      </c>
      <c r="LS157">
        <v>0</v>
      </c>
      <c r="LT157" t="s">
        <v>500</v>
      </c>
      <c r="LU157">
        <v>48</v>
      </c>
      <c r="LV157" s="16">
        <v>69.7</v>
      </c>
      <c r="LW157" s="16">
        <v>80.400000000000006</v>
      </c>
      <c r="LX157" s="16">
        <v>44.5</v>
      </c>
      <c r="LY157">
        <v>13.55</v>
      </c>
      <c r="LZ157" s="17">
        <v>0</v>
      </c>
      <c r="MA157">
        <v>0</v>
      </c>
      <c r="MB157">
        <v>0</v>
      </c>
      <c r="MC157">
        <v>0.1</v>
      </c>
      <c r="MD157">
        <v>0</v>
      </c>
      <c r="ME157">
        <v>86.34</v>
      </c>
      <c r="MF157">
        <v>13.26</v>
      </c>
      <c r="MG157">
        <v>28.53</v>
      </c>
      <c r="MH157">
        <v>0</v>
      </c>
      <c r="MI157">
        <v>0</v>
      </c>
      <c r="MJ157">
        <v>0.78</v>
      </c>
      <c r="MK157">
        <v>3.48</v>
      </c>
      <c r="ML157">
        <v>11.45</v>
      </c>
      <c r="MM157">
        <v>6.85</v>
      </c>
      <c r="MN157">
        <v>0</v>
      </c>
      <c r="MO157">
        <v>0</v>
      </c>
      <c r="MP157">
        <v>0</v>
      </c>
      <c r="NC157">
        <v>0</v>
      </c>
      <c r="ND157">
        <v>0</v>
      </c>
      <c r="NO157" s="18"/>
      <c r="OG157">
        <v>0</v>
      </c>
      <c r="PR157" s="16">
        <v>0.75</v>
      </c>
      <c r="PS157" s="16">
        <v>1</v>
      </c>
      <c r="PT157" s="16">
        <v>1</v>
      </c>
      <c r="PU157" s="16"/>
      <c r="PV157" s="16">
        <f>2.11+0.37</f>
        <v>2.48</v>
      </c>
      <c r="PW157" s="16"/>
      <c r="PX157" s="16"/>
      <c r="PY157" s="16"/>
      <c r="PZ157" s="16"/>
      <c r="QA157" s="16"/>
      <c r="QB157" s="16"/>
      <c r="QC157" s="16">
        <v>2.66</v>
      </c>
      <c r="QD157" s="16">
        <v>2.64</v>
      </c>
      <c r="QE157" s="16">
        <v>0</v>
      </c>
      <c r="QF157" s="16">
        <v>0</v>
      </c>
      <c r="QG157" s="16">
        <v>0</v>
      </c>
      <c r="QH157" s="16">
        <v>0</v>
      </c>
      <c r="QI157" s="16">
        <v>0</v>
      </c>
      <c r="QJ157">
        <v>0</v>
      </c>
      <c r="QK157" t="s">
        <v>501</v>
      </c>
      <c r="QL157">
        <v>58</v>
      </c>
      <c r="QM157" s="16">
        <v>79.900000000000006</v>
      </c>
      <c r="QN157" s="16">
        <v>80.400000000000006</v>
      </c>
      <c r="QO157" s="16">
        <v>43.6</v>
      </c>
      <c r="QP157">
        <v>26.15</v>
      </c>
      <c r="QQ157" s="17">
        <v>0</v>
      </c>
      <c r="QR157">
        <v>0</v>
      </c>
      <c r="QS157">
        <v>0</v>
      </c>
      <c r="QT157">
        <v>0</v>
      </c>
      <c r="QU157">
        <v>0</v>
      </c>
      <c r="QV157">
        <v>73.849999999999994</v>
      </c>
      <c r="QW157">
        <v>18.43</v>
      </c>
      <c r="QX157">
        <v>20.420000000000002</v>
      </c>
      <c r="QY157">
        <v>0</v>
      </c>
      <c r="QZ157">
        <v>0</v>
      </c>
      <c r="RA157">
        <v>2.44</v>
      </c>
      <c r="RB157">
        <v>0.13</v>
      </c>
      <c r="RC157">
        <v>9.7100000000000009</v>
      </c>
      <c r="RD157">
        <v>18.309999999999999</v>
      </c>
      <c r="RE157">
        <v>0</v>
      </c>
      <c r="RF157">
        <v>0</v>
      </c>
      <c r="RG157">
        <v>0</v>
      </c>
      <c r="RT157">
        <v>9.1</v>
      </c>
      <c r="RU157">
        <v>1</v>
      </c>
      <c r="RV157">
        <v>68</v>
      </c>
      <c r="RW157">
        <v>1</v>
      </c>
      <c r="RX157">
        <v>0.05</v>
      </c>
      <c r="RY157">
        <v>1</v>
      </c>
      <c r="RZ157">
        <v>35</v>
      </c>
      <c r="SA157">
        <v>3</v>
      </c>
      <c r="SB157">
        <f>0.76+0.64</f>
        <v>1.4</v>
      </c>
      <c r="SC157">
        <v>3</v>
      </c>
      <c r="SD157">
        <v>47</v>
      </c>
      <c r="SE157">
        <v>2</v>
      </c>
      <c r="SF157" s="18">
        <v>0.23</v>
      </c>
      <c r="SG157">
        <v>3</v>
      </c>
      <c r="SX157">
        <v>1</v>
      </c>
      <c r="SY157">
        <v>60</v>
      </c>
      <c r="SZ157">
        <v>2</v>
      </c>
      <c r="TA157">
        <v>0.26</v>
      </c>
      <c r="TB157">
        <v>3</v>
      </c>
      <c r="UI157" s="16">
        <v>0</v>
      </c>
      <c r="UJ157" s="16">
        <v>0</v>
      </c>
      <c r="UK157" s="16"/>
      <c r="UL157" s="16"/>
      <c r="UM157" s="16"/>
      <c r="UN157" s="16"/>
      <c r="UO157" s="16"/>
      <c r="UP157" s="16"/>
      <c r="UQ157" s="16"/>
      <c r="UR157" s="16"/>
      <c r="US157" s="16"/>
      <c r="UT157" s="16">
        <v>1.97</v>
      </c>
      <c r="UU157" s="16">
        <v>1.24</v>
      </c>
      <c r="UV157" s="16">
        <v>0</v>
      </c>
      <c r="UW157" s="16">
        <v>0</v>
      </c>
      <c r="UX157" s="16">
        <v>0</v>
      </c>
      <c r="UY157" s="16">
        <v>0</v>
      </c>
      <c r="UZ157" s="16">
        <v>3</v>
      </c>
      <c r="VA157">
        <v>0</v>
      </c>
      <c r="VB157" t="s">
        <v>502</v>
      </c>
      <c r="VC157">
        <v>34.5</v>
      </c>
      <c r="VD157" s="16">
        <v>53.2</v>
      </c>
      <c r="VE157" s="16">
        <v>80.400000000000006</v>
      </c>
      <c r="VF157" s="16">
        <v>8.3000000000000007</v>
      </c>
      <c r="VG157">
        <v>99.94</v>
      </c>
      <c r="VH157" s="1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9.15</v>
      </c>
      <c r="VT157">
        <v>18.41</v>
      </c>
      <c r="VU157">
        <v>11.73</v>
      </c>
      <c r="VV157">
        <v>0</v>
      </c>
      <c r="VW157">
        <v>0</v>
      </c>
      <c r="VX157">
        <v>0</v>
      </c>
      <c r="WK157">
        <v>11.9</v>
      </c>
      <c r="WL157">
        <v>1</v>
      </c>
      <c r="WM157">
        <v>47</v>
      </c>
      <c r="WN157">
        <v>3</v>
      </c>
      <c r="WO157">
        <v>1.52</v>
      </c>
      <c r="WP157">
        <v>2</v>
      </c>
      <c r="WW157" s="18"/>
      <c r="XO157">
        <v>0</v>
      </c>
      <c r="YZ157" s="16">
        <v>5.7</v>
      </c>
      <c r="ZA157" s="16">
        <v>1</v>
      </c>
      <c r="ZB157" s="16">
        <v>1</v>
      </c>
      <c r="ZC157" s="16"/>
      <c r="ZD157" s="16">
        <f>2.11+2.11+0.05+0.05+0.37</f>
        <v>4.6899999999999995</v>
      </c>
      <c r="ZE157" s="16">
        <v>2</v>
      </c>
      <c r="ZF157" s="16"/>
      <c r="ZG157" s="16">
        <f>3.17+3.17+0.56+0.56+0.33</f>
        <v>7.7900000000000009</v>
      </c>
      <c r="ZH157" s="16"/>
      <c r="ZI157" s="16"/>
      <c r="ZJ157" s="16"/>
      <c r="ZK157" s="16">
        <v>0</v>
      </c>
      <c r="ZL157" s="16">
        <v>0</v>
      </c>
      <c r="ZM157" s="16"/>
      <c r="ZN157" s="16"/>
      <c r="ZO157" s="16">
        <v>5.97</v>
      </c>
      <c r="ZP157" s="16">
        <v>0</v>
      </c>
      <c r="ZQ157" s="16">
        <v>0</v>
      </c>
      <c r="ZR157">
        <v>1</v>
      </c>
      <c r="ZS157" t="s">
        <v>503</v>
      </c>
      <c r="ZT157">
        <v>47</v>
      </c>
      <c r="ZU157" s="16">
        <v>54.1</v>
      </c>
      <c r="ZV157" s="16">
        <v>80.400000000000006</v>
      </c>
      <c r="ZW157" s="16">
        <v>34.5</v>
      </c>
      <c r="ZX157">
        <v>71.45</v>
      </c>
      <c r="ZY157" s="17">
        <v>0</v>
      </c>
      <c r="ZZ157">
        <v>21.93</v>
      </c>
      <c r="AAA157">
        <v>6.49</v>
      </c>
      <c r="AAB157">
        <v>0.12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1.01</v>
      </c>
      <c r="AAJ157">
        <v>0.45</v>
      </c>
      <c r="AAK157">
        <v>18.399999999999999</v>
      </c>
      <c r="AAL157">
        <v>11.28</v>
      </c>
      <c r="AAM157">
        <v>0</v>
      </c>
      <c r="AAN157">
        <v>0</v>
      </c>
      <c r="AAO157">
        <v>0</v>
      </c>
      <c r="ABB157">
        <v>6</v>
      </c>
      <c r="ABC157">
        <v>1</v>
      </c>
      <c r="ABD157">
        <v>35</v>
      </c>
      <c r="ABE157">
        <v>8</v>
      </c>
      <c r="ABF157">
        <f>0.25+0.25+0.25+0.13+0.13+0.13+0.13</f>
        <v>1.27</v>
      </c>
      <c r="ABG157">
        <v>3</v>
      </c>
      <c r="ABN157" s="18"/>
      <c r="ACF157">
        <v>1</v>
      </c>
      <c r="ACG157">
        <v>50</v>
      </c>
      <c r="ACH157">
        <v>2</v>
      </c>
      <c r="ACI157">
        <f>0.76*2</f>
        <v>1.52</v>
      </c>
      <c r="ACJ157">
        <v>1</v>
      </c>
      <c r="ADQ157" s="16">
        <v>0.42</v>
      </c>
      <c r="ADR157" s="16">
        <v>1</v>
      </c>
      <c r="ADS157" s="16">
        <v>1</v>
      </c>
      <c r="ADT157" s="16"/>
      <c r="ADU157" s="16">
        <f>0.68+0.68+0.03</f>
        <v>1.3900000000000001</v>
      </c>
      <c r="ADV157" s="16"/>
      <c r="ADW157" s="16"/>
      <c r="ADX157" s="16"/>
      <c r="ADY157" s="16"/>
      <c r="ADZ157" s="16"/>
      <c r="AEA157" s="16"/>
      <c r="AEB157" s="16">
        <v>5.21</v>
      </c>
      <c r="AEC157" s="16">
        <v>7.05</v>
      </c>
      <c r="AED157" s="16"/>
      <c r="AEE157" s="16"/>
      <c r="AEF157" s="16">
        <v>0</v>
      </c>
      <c r="AEG157" s="16">
        <v>0</v>
      </c>
      <c r="AEH157" s="16">
        <v>0</v>
      </c>
      <c r="AEI157">
        <v>0</v>
      </c>
      <c r="AEJ157" t="s">
        <v>504</v>
      </c>
      <c r="AEK157">
        <v>65.5</v>
      </c>
      <c r="AEL157" s="16">
        <v>92.2</v>
      </c>
      <c r="AEM157" s="16">
        <v>80.400000000000006</v>
      </c>
      <c r="AEN157" s="16">
        <v>61.7</v>
      </c>
      <c r="AEO157">
        <v>22.46</v>
      </c>
      <c r="AEP157" s="17">
        <v>0</v>
      </c>
      <c r="AEQ157">
        <v>0</v>
      </c>
      <c r="AER157">
        <v>0</v>
      </c>
      <c r="AES157">
        <v>0</v>
      </c>
      <c r="AET157">
        <v>0</v>
      </c>
      <c r="AEU157">
        <v>70.92</v>
      </c>
      <c r="AEV157">
        <v>9.4</v>
      </c>
      <c r="AEW157">
        <v>33.69</v>
      </c>
      <c r="AEX157">
        <v>0</v>
      </c>
      <c r="AEY157">
        <v>0</v>
      </c>
      <c r="AEZ157">
        <v>14.46</v>
      </c>
      <c r="AFA157">
        <v>11.32</v>
      </c>
      <c r="AFB157">
        <v>6.58</v>
      </c>
      <c r="AFC157">
        <v>8.8800000000000008</v>
      </c>
      <c r="AFD157">
        <v>6.62</v>
      </c>
      <c r="AFE157">
        <v>0</v>
      </c>
      <c r="AFF157">
        <v>0</v>
      </c>
      <c r="AFS157">
        <v>3.2</v>
      </c>
      <c r="AFT157">
        <v>0</v>
      </c>
      <c r="AGE157" s="18"/>
      <c r="AGW157">
        <v>1</v>
      </c>
      <c r="AGX157">
        <v>60</v>
      </c>
      <c r="AGY157">
        <v>2</v>
      </c>
      <c r="AGZ157">
        <f>0.76*2</f>
        <v>1.52</v>
      </c>
      <c r="AHA157">
        <v>3</v>
      </c>
      <c r="AIH157" s="16">
        <v>0.63</v>
      </c>
      <c r="AII157" s="16">
        <v>1</v>
      </c>
      <c r="AIJ157" s="16">
        <v>1</v>
      </c>
      <c r="AIK157" s="16"/>
      <c r="AIL157" s="16">
        <v>3.17</v>
      </c>
      <c r="AIM157" s="16"/>
      <c r="AIN157" s="16"/>
      <c r="AIO157" s="16"/>
      <c r="AIP157" s="16"/>
      <c r="AIQ157" s="16"/>
      <c r="AIR157" s="16"/>
      <c r="AIS157" s="16">
        <v>0</v>
      </c>
      <c r="AIT157" s="16">
        <v>0</v>
      </c>
      <c r="AIU157" s="16"/>
      <c r="AIV157" s="16"/>
      <c r="AIW157" s="16">
        <v>0</v>
      </c>
      <c r="AIX157" s="16">
        <v>0</v>
      </c>
      <c r="AIY157" s="16">
        <v>0</v>
      </c>
      <c r="AIZ157">
        <v>0</v>
      </c>
      <c r="AJA157" t="s">
        <v>505</v>
      </c>
      <c r="AJB157">
        <v>59</v>
      </c>
      <c r="AJC157" s="16">
        <v>90.4</v>
      </c>
      <c r="AJD157" s="16">
        <v>80.400000000000006</v>
      </c>
      <c r="AJE157" s="16">
        <v>54.7</v>
      </c>
      <c r="AJF157">
        <v>26.42</v>
      </c>
      <c r="AJG157" s="17">
        <v>0</v>
      </c>
      <c r="AJH157">
        <v>0</v>
      </c>
      <c r="AJI157">
        <v>0</v>
      </c>
      <c r="AJJ157">
        <v>0</v>
      </c>
      <c r="AJK157">
        <v>0</v>
      </c>
      <c r="AJL157">
        <v>66.959999999999994</v>
      </c>
      <c r="AJM157">
        <v>6.55</v>
      </c>
      <c r="AJN157">
        <v>30.83</v>
      </c>
      <c r="AJO157">
        <v>0</v>
      </c>
      <c r="AJP157">
        <v>0</v>
      </c>
      <c r="AJQ157">
        <v>14.46</v>
      </c>
      <c r="AJR157">
        <v>11.57</v>
      </c>
      <c r="AJS157">
        <v>6.5</v>
      </c>
      <c r="AJT157">
        <v>6.03</v>
      </c>
      <c r="AJU157">
        <v>6.62</v>
      </c>
      <c r="AJV157">
        <v>0</v>
      </c>
      <c r="AJW157">
        <v>0</v>
      </c>
      <c r="AKJ157">
        <v>3.2</v>
      </c>
      <c r="AKK157">
        <v>0</v>
      </c>
      <c r="AKV157" s="18"/>
      <c r="ALN157">
        <v>1</v>
      </c>
      <c r="ALO157">
        <v>60</v>
      </c>
      <c r="ALP157">
        <v>2</v>
      </c>
      <c r="ALQ157">
        <v>1.52</v>
      </c>
      <c r="ALR157">
        <v>3</v>
      </c>
    </row>
    <row r="158" spans="1:1024" x14ac:dyDescent="0.2">
      <c r="A158" s="1" t="s">
        <v>618</v>
      </c>
      <c r="B158" s="12">
        <v>42905</v>
      </c>
      <c r="C158">
        <v>2</v>
      </c>
      <c r="D158" s="13">
        <v>42804</v>
      </c>
      <c r="E158" s="12">
        <v>35323</v>
      </c>
      <c r="F158" s="14">
        <f t="shared" si="48"/>
        <v>20.758384668035593</v>
      </c>
      <c r="G158" s="14">
        <f t="shared" si="49"/>
        <v>0.27652292950034224</v>
      </c>
      <c r="H158" s="15" t="s">
        <v>181</v>
      </c>
      <c r="I158" s="15" t="s">
        <v>496</v>
      </c>
      <c r="J158" s="15" t="s">
        <v>183</v>
      </c>
      <c r="K158" s="15">
        <v>4</v>
      </c>
      <c r="L158" s="19">
        <v>65</v>
      </c>
      <c r="M158">
        <v>1.76</v>
      </c>
      <c r="N158" s="16">
        <f t="shared" si="50"/>
        <v>20.983987603305785</v>
      </c>
      <c r="O158" s="19">
        <v>0</v>
      </c>
      <c r="P158" s="19">
        <v>0</v>
      </c>
      <c r="Q158" s="19">
        <v>0</v>
      </c>
      <c r="R158" s="19">
        <v>0</v>
      </c>
      <c r="S158" s="19">
        <v>0</v>
      </c>
      <c r="T158" s="19">
        <v>0</v>
      </c>
      <c r="U158" s="19">
        <v>0</v>
      </c>
      <c r="V158" s="19">
        <v>0</v>
      </c>
      <c r="W158" s="19">
        <v>0</v>
      </c>
      <c r="X158" s="19">
        <v>0</v>
      </c>
      <c r="Y158" s="19">
        <v>0</v>
      </c>
      <c r="Z158" s="19">
        <v>0</v>
      </c>
      <c r="AA158" s="19">
        <v>0</v>
      </c>
      <c r="AB158" s="19">
        <v>0</v>
      </c>
      <c r="AC158" s="19">
        <v>0</v>
      </c>
      <c r="AD158" s="19">
        <v>0</v>
      </c>
      <c r="AE158" s="19">
        <v>0</v>
      </c>
      <c r="AF158" s="19">
        <v>0</v>
      </c>
      <c r="AG158" s="19">
        <v>0</v>
      </c>
      <c r="AH158" s="19">
        <v>0</v>
      </c>
      <c r="AI158" s="19">
        <v>0</v>
      </c>
      <c r="AJ158" s="19">
        <v>0</v>
      </c>
      <c r="AK158" s="19">
        <v>0</v>
      </c>
      <c r="AL158" s="19">
        <v>0</v>
      </c>
      <c r="AM158" s="19">
        <v>0</v>
      </c>
      <c r="AN158" s="19">
        <v>0</v>
      </c>
      <c r="AO158" s="19">
        <v>0</v>
      </c>
      <c r="AP158" s="19">
        <v>0</v>
      </c>
      <c r="AQ158" s="19">
        <v>0</v>
      </c>
      <c r="AR158" s="19">
        <v>0</v>
      </c>
      <c r="AS158" s="19">
        <v>0</v>
      </c>
      <c r="AT158" s="19">
        <v>0</v>
      </c>
      <c r="AU158" s="19">
        <v>0</v>
      </c>
      <c r="AV158" s="19">
        <v>0</v>
      </c>
      <c r="AW158" s="19">
        <v>0</v>
      </c>
      <c r="AX158" s="19">
        <v>0</v>
      </c>
      <c r="AY158" s="19">
        <v>0</v>
      </c>
      <c r="AZ158" s="19">
        <v>0</v>
      </c>
      <c r="BA158" s="19">
        <v>0</v>
      </c>
      <c r="BB158" s="19">
        <v>0</v>
      </c>
      <c r="BC158" s="19">
        <v>0</v>
      </c>
      <c r="BD158" s="19">
        <v>0</v>
      </c>
      <c r="BE158" s="19">
        <v>0</v>
      </c>
      <c r="BF158" s="19">
        <v>0</v>
      </c>
      <c r="BG158" s="19">
        <v>0</v>
      </c>
      <c r="BH158" s="19">
        <v>0</v>
      </c>
      <c r="BI158" s="19">
        <v>0</v>
      </c>
      <c r="BJ158" s="19">
        <v>1</v>
      </c>
      <c r="BK158" s="19">
        <v>0</v>
      </c>
      <c r="BL158" s="19">
        <v>0</v>
      </c>
      <c r="BM158" s="19">
        <v>0</v>
      </c>
      <c r="BN158" s="19">
        <v>0</v>
      </c>
      <c r="BO158" s="19">
        <v>0</v>
      </c>
      <c r="BP158" s="19">
        <v>0</v>
      </c>
      <c r="BQ158" s="19">
        <v>0</v>
      </c>
      <c r="BR158" s="19">
        <v>1</v>
      </c>
      <c r="BS158" s="19">
        <v>2</v>
      </c>
      <c r="BT158" s="19">
        <v>3</v>
      </c>
      <c r="BU158" s="19">
        <v>4</v>
      </c>
      <c r="BV158" s="19">
        <v>3</v>
      </c>
      <c r="BW158" s="19">
        <v>2</v>
      </c>
      <c r="BX158" s="19">
        <v>3</v>
      </c>
      <c r="BY158" s="19">
        <v>3</v>
      </c>
      <c r="BZ158" s="19">
        <v>4</v>
      </c>
      <c r="CA158" s="19">
        <v>4</v>
      </c>
      <c r="CB158" s="19">
        <v>4</v>
      </c>
      <c r="CC158" s="19">
        <v>4</v>
      </c>
      <c r="CD158" s="19">
        <v>4</v>
      </c>
      <c r="CE158" s="19">
        <v>4</v>
      </c>
      <c r="CF158" s="19">
        <v>4</v>
      </c>
      <c r="CG158" s="19">
        <v>5</v>
      </c>
      <c r="CH158" s="19">
        <v>4</v>
      </c>
      <c r="CI158" s="19">
        <v>4</v>
      </c>
      <c r="CJ158" s="19">
        <v>4</v>
      </c>
      <c r="CK158" s="19">
        <v>10</v>
      </c>
      <c r="CL158" t="s">
        <v>498</v>
      </c>
      <c r="CM158">
        <v>33</v>
      </c>
      <c r="CN158" s="16">
        <v>71.2</v>
      </c>
      <c r="CO158" s="16">
        <v>80.400000000000006</v>
      </c>
      <c r="CP158" s="16">
        <v>16.3</v>
      </c>
      <c r="CQ158">
        <v>83.24</v>
      </c>
      <c r="CR158" s="17">
        <v>0</v>
      </c>
      <c r="CS158">
        <v>0</v>
      </c>
      <c r="CT158">
        <v>0</v>
      </c>
      <c r="CU158">
        <v>14.14</v>
      </c>
      <c r="CV158">
        <v>0</v>
      </c>
      <c r="CW158">
        <v>2.63</v>
      </c>
      <c r="CX158">
        <v>0</v>
      </c>
      <c r="CY158">
        <v>0</v>
      </c>
      <c r="CZ158">
        <v>0</v>
      </c>
      <c r="DA158">
        <v>0</v>
      </c>
      <c r="DB158">
        <v>2.63</v>
      </c>
      <c r="DC158">
        <v>10.16</v>
      </c>
      <c r="DD158">
        <v>20.83</v>
      </c>
      <c r="DE158">
        <v>24.81</v>
      </c>
      <c r="DF158">
        <v>0</v>
      </c>
      <c r="DG158">
        <v>11.2</v>
      </c>
      <c r="DH158">
        <v>1</v>
      </c>
      <c r="DI158">
        <v>5</v>
      </c>
      <c r="DK158">
        <v>1</v>
      </c>
      <c r="DO158">
        <v>5</v>
      </c>
      <c r="DQ158">
        <v>1</v>
      </c>
      <c r="DU158">
        <v>0</v>
      </c>
      <c r="DV158">
        <v>0</v>
      </c>
      <c r="EG158" s="18"/>
      <c r="EY158">
        <v>0</v>
      </c>
      <c r="GJ158" s="16">
        <v>2.71</v>
      </c>
      <c r="GK158" s="16">
        <v>1</v>
      </c>
      <c r="GL158" s="16">
        <v>1</v>
      </c>
      <c r="GM158" s="16"/>
      <c r="GN158" s="16">
        <f>2.11*4+0.52*2</f>
        <v>9.48</v>
      </c>
      <c r="GO158" s="16"/>
      <c r="GP158" s="16"/>
      <c r="GQ158" s="16"/>
      <c r="GR158" s="16"/>
      <c r="GS158" s="16"/>
      <c r="GT158" s="16"/>
      <c r="GU158" s="16">
        <v>2.63</v>
      </c>
      <c r="GV158" s="16">
        <v>2.6</v>
      </c>
      <c r="GW158" s="16">
        <v>0</v>
      </c>
      <c r="GX158" s="16">
        <v>0</v>
      </c>
      <c r="GY158" s="16">
        <v>0</v>
      </c>
      <c r="GZ158" s="16">
        <v>0</v>
      </c>
      <c r="HA158" s="16">
        <v>0</v>
      </c>
      <c r="HB158">
        <v>0</v>
      </c>
      <c r="HC158" t="s">
        <v>499</v>
      </c>
      <c r="HD158">
        <v>40</v>
      </c>
      <c r="HE158" s="16">
        <v>79.7</v>
      </c>
      <c r="HF158" s="16">
        <v>80.400000000000006</v>
      </c>
      <c r="HG158" s="16">
        <v>11.2</v>
      </c>
      <c r="HH158">
        <v>91.23</v>
      </c>
      <c r="HI158" s="17">
        <v>0</v>
      </c>
      <c r="HJ158">
        <v>0</v>
      </c>
      <c r="HK158">
        <v>0</v>
      </c>
      <c r="HL158">
        <v>8.77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18.64</v>
      </c>
      <c r="HU158">
        <v>42.82</v>
      </c>
      <c r="HV158">
        <v>4.6100000000000003</v>
      </c>
      <c r="HW158">
        <v>0</v>
      </c>
      <c r="HX158">
        <v>0</v>
      </c>
      <c r="HY158">
        <v>0</v>
      </c>
      <c r="IL158">
        <v>23.2</v>
      </c>
      <c r="IM158">
        <v>1</v>
      </c>
      <c r="IN158">
        <v>35</v>
      </c>
      <c r="IO158">
        <f>2+4+2+2+2+4+2+2+1</f>
        <v>21</v>
      </c>
      <c r="IP158">
        <f>1.52+1.49+0.78*2+0.27+0.43+0.12+0.13</f>
        <v>5.52</v>
      </c>
      <c r="IQ158">
        <v>3</v>
      </c>
      <c r="IR158">
        <v>10</v>
      </c>
      <c r="IS158">
        <v>1</v>
      </c>
      <c r="IT158">
        <v>0.1</v>
      </c>
      <c r="IU158">
        <v>5</v>
      </c>
      <c r="IV158">
        <v>25</v>
      </c>
      <c r="IW158">
        <v>8</v>
      </c>
      <c r="IX158" s="18">
        <f>0.19*2+0.1</f>
        <v>0.48</v>
      </c>
      <c r="IY158">
        <v>1</v>
      </c>
      <c r="JP158">
        <v>0</v>
      </c>
      <c r="LA158" s="16">
        <v>1.52</v>
      </c>
      <c r="LB158" s="16">
        <v>1</v>
      </c>
      <c r="LC158" s="16">
        <v>1</v>
      </c>
      <c r="LD158" s="16"/>
      <c r="LE158" s="16">
        <f>2.11*2+0.19*3+0.1</f>
        <v>4.8899999999999997</v>
      </c>
      <c r="LF158" s="16"/>
      <c r="LG158" s="16"/>
      <c r="LH158" s="16"/>
      <c r="LI158" s="16"/>
      <c r="LJ158" s="16"/>
      <c r="LK158" s="16"/>
      <c r="LL158" s="16">
        <v>0</v>
      </c>
      <c r="LM158" s="16">
        <v>0</v>
      </c>
      <c r="LN158" s="16">
        <v>0</v>
      </c>
      <c r="LO158" s="16">
        <v>0</v>
      </c>
      <c r="LP158" s="16">
        <v>0</v>
      </c>
      <c r="LQ158" s="16">
        <v>0</v>
      </c>
      <c r="LR158" s="16">
        <v>0.06</v>
      </c>
      <c r="LS158">
        <v>0</v>
      </c>
      <c r="LT158" t="s">
        <v>501</v>
      </c>
      <c r="LU158">
        <v>58</v>
      </c>
      <c r="LV158" s="16">
        <v>79.900000000000006</v>
      </c>
      <c r="LW158" s="16">
        <v>80.400000000000006</v>
      </c>
      <c r="LX158" s="16">
        <v>43.6</v>
      </c>
      <c r="LY158">
        <v>26.15</v>
      </c>
      <c r="LZ158" s="17">
        <v>0</v>
      </c>
      <c r="MA158">
        <v>0</v>
      </c>
      <c r="MB158">
        <v>0</v>
      </c>
      <c r="MC158">
        <v>0</v>
      </c>
      <c r="MD158">
        <v>0</v>
      </c>
      <c r="ME158">
        <v>73.849999999999994</v>
      </c>
      <c r="MF158">
        <v>18.43</v>
      </c>
      <c r="MG158">
        <v>20.420000000000002</v>
      </c>
      <c r="MH158">
        <v>0</v>
      </c>
      <c r="MI158">
        <v>0</v>
      </c>
      <c r="MJ158">
        <v>2.44</v>
      </c>
      <c r="MK158">
        <v>0.13</v>
      </c>
      <c r="ML158">
        <v>9.7100000000000009</v>
      </c>
      <c r="MM158">
        <v>18.309999999999999</v>
      </c>
      <c r="MN158">
        <v>0</v>
      </c>
      <c r="MO158">
        <v>0</v>
      </c>
      <c r="MP158">
        <v>0</v>
      </c>
      <c r="NC158">
        <v>9.1</v>
      </c>
      <c r="ND158">
        <v>1</v>
      </c>
      <c r="NE158">
        <v>68</v>
      </c>
      <c r="NF158">
        <v>1</v>
      </c>
      <c r="NG158">
        <v>0.05</v>
      </c>
      <c r="NH158">
        <v>1</v>
      </c>
      <c r="NI158">
        <v>35</v>
      </c>
      <c r="NJ158">
        <v>3</v>
      </c>
      <c r="NK158">
        <f>0.76+0.64</f>
        <v>1.4</v>
      </c>
      <c r="NL158">
        <v>3</v>
      </c>
      <c r="NM158">
        <v>47</v>
      </c>
      <c r="NN158">
        <v>2</v>
      </c>
      <c r="NO158" s="18">
        <v>0.23</v>
      </c>
      <c r="NP158">
        <v>3</v>
      </c>
      <c r="OG158">
        <v>1</v>
      </c>
      <c r="OH158">
        <v>60</v>
      </c>
      <c r="OI158">
        <v>2</v>
      </c>
      <c r="OJ158">
        <v>0.26</v>
      </c>
      <c r="OK158">
        <v>3</v>
      </c>
      <c r="PR158" s="16">
        <v>0</v>
      </c>
      <c r="PS158" s="16">
        <v>0</v>
      </c>
      <c r="PT158" s="16"/>
      <c r="PU158" s="16"/>
      <c r="PV158" s="16"/>
      <c r="PW158" s="16"/>
      <c r="PX158" s="16"/>
      <c r="PY158" s="16"/>
      <c r="PZ158" s="16"/>
      <c r="QA158" s="16"/>
      <c r="QB158" s="16"/>
      <c r="QC158" s="16">
        <v>1.97</v>
      </c>
      <c r="QD158" s="16">
        <v>1.24</v>
      </c>
      <c r="QE158" s="16">
        <v>0</v>
      </c>
      <c r="QF158" s="16">
        <v>0</v>
      </c>
      <c r="QG158" s="16">
        <v>0</v>
      </c>
      <c r="QH158" s="16">
        <v>0</v>
      </c>
      <c r="QI158" s="16">
        <v>3</v>
      </c>
      <c r="QJ158">
        <v>0</v>
      </c>
      <c r="QK158" t="s">
        <v>502</v>
      </c>
      <c r="QL158">
        <v>34.5</v>
      </c>
      <c r="QM158" s="16">
        <v>53.2</v>
      </c>
      <c r="QN158" s="16">
        <v>80.400000000000006</v>
      </c>
      <c r="QO158" s="16">
        <v>8.3000000000000007</v>
      </c>
      <c r="QP158">
        <v>99.94</v>
      </c>
      <c r="QQ158" s="17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9.15</v>
      </c>
      <c r="RC158">
        <v>18.41</v>
      </c>
      <c r="RD158">
        <v>11.73</v>
      </c>
      <c r="RE158">
        <v>0</v>
      </c>
      <c r="RF158">
        <v>0</v>
      </c>
      <c r="RG158">
        <v>0</v>
      </c>
      <c r="RT158">
        <v>11.9</v>
      </c>
      <c r="RU158">
        <v>1</v>
      </c>
      <c r="RV158">
        <v>47</v>
      </c>
      <c r="RW158">
        <v>3</v>
      </c>
      <c r="RX158">
        <v>1.52</v>
      </c>
      <c r="RY158">
        <v>2</v>
      </c>
      <c r="SF158" s="18"/>
      <c r="SX158">
        <v>0</v>
      </c>
      <c r="UI158" s="16">
        <v>5.7</v>
      </c>
      <c r="UJ158" s="16">
        <v>1</v>
      </c>
      <c r="UK158" s="16">
        <v>1</v>
      </c>
      <c r="UL158" s="16"/>
      <c r="UM158" s="16">
        <f>2.11+2.11+0.05+0.05+0.37</f>
        <v>4.6899999999999995</v>
      </c>
      <c r="UN158" s="16">
        <v>2</v>
      </c>
      <c r="UO158" s="16"/>
      <c r="UP158" s="16">
        <f>3.17+3.17+0.56+0.56+0.33</f>
        <v>7.7900000000000009</v>
      </c>
      <c r="UQ158" s="16"/>
      <c r="UR158" s="16"/>
      <c r="US158" s="16"/>
      <c r="UT158" s="16">
        <v>0</v>
      </c>
      <c r="UU158" s="16">
        <v>0</v>
      </c>
      <c r="UV158" s="16"/>
      <c r="UW158" s="16"/>
      <c r="UX158" s="16">
        <v>5.97</v>
      </c>
      <c r="UY158" s="16">
        <v>0</v>
      </c>
      <c r="UZ158" s="16">
        <v>0</v>
      </c>
      <c r="VA158">
        <v>1</v>
      </c>
      <c r="VB158" t="s">
        <v>503</v>
      </c>
      <c r="VC158">
        <v>47</v>
      </c>
      <c r="VD158" s="16">
        <v>54.1</v>
      </c>
      <c r="VE158" s="16">
        <v>80.400000000000006</v>
      </c>
      <c r="VF158" s="16">
        <v>34.5</v>
      </c>
      <c r="VG158">
        <v>71.45</v>
      </c>
      <c r="VH158" s="17">
        <v>0</v>
      </c>
      <c r="VI158">
        <v>21.93</v>
      </c>
      <c r="VJ158">
        <v>6.49</v>
      </c>
      <c r="VK158">
        <v>0.12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1.01</v>
      </c>
      <c r="VS158">
        <v>0.45</v>
      </c>
      <c r="VT158">
        <v>18.399999999999999</v>
      </c>
      <c r="VU158">
        <v>11.28</v>
      </c>
      <c r="VV158">
        <v>0</v>
      </c>
      <c r="VW158">
        <v>0</v>
      </c>
      <c r="VX158">
        <v>0</v>
      </c>
      <c r="WK158">
        <v>6</v>
      </c>
      <c r="WL158">
        <v>1</v>
      </c>
      <c r="WM158">
        <v>35</v>
      </c>
      <c r="WN158">
        <v>8</v>
      </c>
      <c r="WO158">
        <f>0.25+0.25+0.25+0.13+0.13+0.13+0.13</f>
        <v>1.27</v>
      </c>
      <c r="WP158">
        <v>3</v>
      </c>
      <c r="WW158" s="18"/>
      <c r="XO158">
        <v>1</v>
      </c>
      <c r="XP158">
        <v>50</v>
      </c>
      <c r="XQ158">
        <v>2</v>
      </c>
      <c r="XR158">
        <f>0.76*2</f>
        <v>1.52</v>
      </c>
      <c r="XS158">
        <v>1</v>
      </c>
      <c r="YZ158" s="16">
        <v>0.42</v>
      </c>
      <c r="ZA158" s="16">
        <v>1</v>
      </c>
      <c r="ZB158" s="16">
        <v>1</v>
      </c>
      <c r="ZC158" s="16"/>
      <c r="ZD158" s="16">
        <f>0.68+0.68+0.03</f>
        <v>1.3900000000000001</v>
      </c>
      <c r="ZE158" s="16"/>
      <c r="ZF158" s="16"/>
      <c r="ZG158" s="16"/>
      <c r="ZH158" s="16"/>
      <c r="ZI158" s="16"/>
      <c r="ZJ158" s="16"/>
      <c r="ZK158" s="16">
        <v>5.21</v>
      </c>
      <c r="ZL158" s="16">
        <v>7.05</v>
      </c>
      <c r="ZM158" s="16"/>
      <c r="ZN158" s="16"/>
      <c r="ZO158" s="16">
        <v>0</v>
      </c>
      <c r="ZP158" s="16">
        <v>0</v>
      </c>
      <c r="ZQ158" s="16">
        <v>0</v>
      </c>
      <c r="ZR158">
        <v>0</v>
      </c>
      <c r="ZS158" t="s">
        <v>504</v>
      </c>
      <c r="ZT158">
        <v>65.5</v>
      </c>
      <c r="ZU158" s="16">
        <v>92.2</v>
      </c>
      <c r="ZV158" s="16">
        <v>80.400000000000006</v>
      </c>
      <c r="ZW158" s="16">
        <v>61.7</v>
      </c>
      <c r="ZX158">
        <v>22.46</v>
      </c>
      <c r="ZY158" s="17">
        <v>0</v>
      </c>
      <c r="ZZ158">
        <v>0</v>
      </c>
      <c r="AAA158">
        <v>0</v>
      </c>
      <c r="AAB158">
        <v>0</v>
      </c>
      <c r="AAC158">
        <v>0</v>
      </c>
      <c r="AAD158">
        <v>70.92</v>
      </c>
      <c r="AAE158">
        <v>9.4</v>
      </c>
      <c r="AAF158">
        <v>33.69</v>
      </c>
      <c r="AAG158">
        <v>0</v>
      </c>
      <c r="AAH158">
        <v>0</v>
      </c>
      <c r="AAI158">
        <v>14.46</v>
      </c>
      <c r="AAJ158">
        <v>11.32</v>
      </c>
      <c r="AAK158">
        <v>6.58</v>
      </c>
      <c r="AAL158">
        <v>8.8800000000000008</v>
      </c>
      <c r="AAM158">
        <v>6.62</v>
      </c>
      <c r="AAN158">
        <v>0</v>
      </c>
      <c r="AAO158">
        <v>0</v>
      </c>
      <c r="ABB158">
        <v>3.2</v>
      </c>
      <c r="ABC158">
        <v>0</v>
      </c>
      <c r="ABN158" s="18"/>
      <c r="ACF158">
        <v>1</v>
      </c>
      <c r="ACG158">
        <v>60</v>
      </c>
      <c r="ACH158">
        <v>2</v>
      </c>
      <c r="ACI158">
        <f>0.76*2</f>
        <v>1.52</v>
      </c>
      <c r="ACJ158">
        <v>3</v>
      </c>
      <c r="ADQ158" s="16">
        <v>0.63</v>
      </c>
      <c r="ADR158" s="16">
        <v>1</v>
      </c>
      <c r="ADS158" s="16">
        <v>1</v>
      </c>
      <c r="ADT158" s="16"/>
      <c r="ADU158" s="16">
        <v>3.17</v>
      </c>
      <c r="ADV158" s="16"/>
      <c r="ADW158" s="16"/>
      <c r="ADX158" s="16"/>
      <c r="ADY158" s="16"/>
      <c r="ADZ158" s="16"/>
      <c r="AEA158" s="16"/>
      <c r="AEB158" s="16">
        <v>0</v>
      </c>
      <c r="AEC158" s="16">
        <v>0</v>
      </c>
      <c r="AED158" s="16"/>
      <c r="AEE158" s="16"/>
      <c r="AEF158" s="16">
        <v>0</v>
      </c>
      <c r="AEG158" s="16">
        <v>0</v>
      </c>
      <c r="AEH158" s="16">
        <v>0</v>
      </c>
      <c r="AEI158">
        <v>0</v>
      </c>
      <c r="AEJ158" t="s">
        <v>619</v>
      </c>
      <c r="AEK158">
        <v>42</v>
      </c>
      <c r="AEL158" s="16">
        <v>97.3</v>
      </c>
      <c r="AEM158" s="16">
        <v>80.400000000000006</v>
      </c>
      <c r="AEN158" s="16">
        <v>14.9</v>
      </c>
      <c r="AEO158">
        <v>88.72</v>
      </c>
      <c r="AEP158" s="17">
        <v>0</v>
      </c>
      <c r="AEQ158">
        <v>0</v>
      </c>
      <c r="AER158">
        <v>0</v>
      </c>
      <c r="AES158">
        <v>11.28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1.1399999999999999</v>
      </c>
      <c r="AFB158">
        <v>50.12</v>
      </c>
      <c r="AFC158">
        <v>30.38</v>
      </c>
      <c r="AFD158">
        <v>0</v>
      </c>
      <c r="AFE158">
        <v>0</v>
      </c>
      <c r="AFF158">
        <v>1</v>
      </c>
      <c r="AFG158">
        <v>2</v>
      </c>
      <c r="AFI158">
        <v>4</v>
      </c>
      <c r="AFM158">
        <v>2</v>
      </c>
      <c r="AFO158">
        <v>4</v>
      </c>
      <c r="AFS158">
        <v>0</v>
      </c>
      <c r="AFT158">
        <v>0</v>
      </c>
      <c r="AGE158" s="18"/>
      <c r="AGW158">
        <v>0</v>
      </c>
      <c r="AIH158" s="16">
        <v>9.5299999999999994</v>
      </c>
      <c r="AII158" s="16">
        <v>1</v>
      </c>
      <c r="AIJ158" s="16">
        <v>1</v>
      </c>
      <c r="AIK158" s="16"/>
      <c r="AIL158" s="16">
        <f>3.17+6.34+4.23+0.56+1.12</f>
        <v>15.420000000000002</v>
      </c>
      <c r="AIM158" s="16">
        <v>2</v>
      </c>
      <c r="AIN158" s="16"/>
      <c r="AIO158" s="16">
        <f>8.46+1.59+1.59+1.49+0.28+1.49</f>
        <v>14.9</v>
      </c>
      <c r="AIP158" s="16"/>
      <c r="AIQ158" s="16"/>
      <c r="AIR158" s="16"/>
      <c r="AIS158" s="16">
        <v>14.15</v>
      </c>
      <c r="AIT158" s="16">
        <v>35.369999999999997</v>
      </c>
      <c r="AIU158" s="16"/>
      <c r="AIV158" s="16"/>
      <c r="AIW158" s="16">
        <v>0</v>
      </c>
      <c r="AIX158" s="16">
        <v>0</v>
      </c>
      <c r="AIY158" s="16">
        <v>0</v>
      </c>
      <c r="AIZ158">
        <v>0</v>
      </c>
      <c r="AJA158" s="15"/>
      <c r="AJB158" s="15"/>
      <c r="AJI158" s="15"/>
      <c r="AJJ158" s="15"/>
      <c r="AJQ158" s="15"/>
      <c r="AJR158" s="15"/>
      <c r="AJY158" s="15"/>
      <c r="AJZ158" s="15"/>
      <c r="AKG158" s="15"/>
      <c r="AKH158" s="15"/>
      <c r="AKO158" s="15"/>
      <c r="AKP158" s="15"/>
      <c r="AKW158" s="15"/>
      <c r="AKX158" s="15"/>
      <c r="ALE158" s="15"/>
      <c r="ALF158" s="15"/>
      <c r="ALM158" s="15"/>
      <c r="ALN158" s="15"/>
      <c r="ALU158" s="15"/>
      <c r="ALV158" s="15"/>
      <c r="AMC158" s="15"/>
      <c r="AMD158" s="15"/>
    </row>
    <row r="159" spans="1:1024" x14ac:dyDescent="0.2">
      <c r="A159" s="1" t="s">
        <v>620</v>
      </c>
      <c r="B159" s="12">
        <v>42902</v>
      </c>
      <c r="C159">
        <v>2</v>
      </c>
      <c r="D159" s="13">
        <v>40728</v>
      </c>
      <c r="E159" s="12">
        <v>31997</v>
      </c>
      <c r="F159" s="14">
        <f t="shared" si="48"/>
        <v>29.856262833675565</v>
      </c>
      <c r="G159" s="14">
        <f t="shared" si="49"/>
        <v>5.9520876112251884</v>
      </c>
      <c r="H159" s="15" t="s">
        <v>181</v>
      </c>
      <c r="I159" s="15" t="s">
        <v>496</v>
      </c>
      <c r="J159" s="15" t="s">
        <v>183</v>
      </c>
      <c r="K159" s="15">
        <v>4</v>
      </c>
      <c r="L159" s="19">
        <v>70</v>
      </c>
      <c r="M159">
        <v>1.64</v>
      </c>
      <c r="N159" s="16">
        <f t="shared" si="50"/>
        <v>26.026174895895306</v>
      </c>
      <c r="O159" s="19">
        <v>0</v>
      </c>
      <c r="P159" s="19">
        <v>0</v>
      </c>
      <c r="Q159" s="19">
        <v>0</v>
      </c>
      <c r="R159" s="19">
        <v>0</v>
      </c>
      <c r="S159" s="19">
        <v>0</v>
      </c>
      <c r="T159" s="19">
        <v>0</v>
      </c>
      <c r="U159" s="19">
        <v>1</v>
      </c>
      <c r="V159" s="19">
        <v>4</v>
      </c>
      <c r="W159" s="19">
        <v>1</v>
      </c>
      <c r="X159" s="19">
        <v>0</v>
      </c>
      <c r="Y159" s="19">
        <v>0</v>
      </c>
      <c r="Z159" s="19">
        <v>0</v>
      </c>
      <c r="AA159" s="19">
        <v>0</v>
      </c>
      <c r="AB159" s="19">
        <v>0</v>
      </c>
      <c r="AC159" s="19">
        <v>0</v>
      </c>
      <c r="AD159" s="19">
        <v>0</v>
      </c>
      <c r="AE159" s="19">
        <v>1</v>
      </c>
      <c r="AF159" s="19">
        <v>0</v>
      </c>
      <c r="AG159" s="19">
        <v>0</v>
      </c>
      <c r="AH159" s="19">
        <v>0</v>
      </c>
      <c r="AI159" s="19">
        <v>1</v>
      </c>
      <c r="AJ159" s="19">
        <v>1</v>
      </c>
      <c r="AK159" s="19">
        <v>1</v>
      </c>
      <c r="AL159" s="19">
        <v>10</v>
      </c>
      <c r="AM159" s="19">
        <v>0</v>
      </c>
      <c r="AN159" s="19">
        <v>1</v>
      </c>
      <c r="AO159" s="19">
        <v>1</v>
      </c>
      <c r="AP159" s="19">
        <v>1</v>
      </c>
      <c r="AQ159" s="19">
        <v>7</v>
      </c>
      <c r="AR159" s="19">
        <v>0</v>
      </c>
      <c r="AS159" s="19">
        <v>3</v>
      </c>
      <c r="AT159" s="19">
        <v>3</v>
      </c>
      <c r="AU159" s="19">
        <v>1</v>
      </c>
      <c r="AV159" s="19">
        <v>7</v>
      </c>
      <c r="AW159" s="19">
        <v>0</v>
      </c>
      <c r="AX159" s="19">
        <v>0</v>
      </c>
      <c r="AY159" s="19">
        <v>0</v>
      </c>
      <c r="AZ159" s="19">
        <v>0</v>
      </c>
      <c r="BA159" s="19">
        <v>0</v>
      </c>
      <c r="BB159" s="19">
        <v>1</v>
      </c>
      <c r="BC159" s="19">
        <v>1</v>
      </c>
      <c r="BD159" s="19">
        <v>0</v>
      </c>
      <c r="BE159" s="19">
        <v>0</v>
      </c>
      <c r="BF159" s="19">
        <v>0</v>
      </c>
      <c r="BG159" s="19">
        <v>0</v>
      </c>
      <c r="BH159" s="19">
        <v>0</v>
      </c>
      <c r="BI159" s="19">
        <v>0</v>
      </c>
      <c r="BJ159" s="19">
        <v>1</v>
      </c>
      <c r="BK159" s="19">
        <v>1</v>
      </c>
      <c r="BL159" s="19">
        <v>1</v>
      </c>
      <c r="BM159" s="19">
        <v>6</v>
      </c>
      <c r="BN159" s="19">
        <v>1</v>
      </c>
      <c r="BO159" s="19">
        <v>1</v>
      </c>
      <c r="BP159" s="19">
        <v>1</v>
      </c>
      <c r="BQ159" s="19">
        <v>5</v>
      </c>
      <c r="BR159" s="19">
        <v>3</v>
      </c>
      <c r="BS159" s="19">
        <v>3</v>
      </c>
      <c r="BT159" s="19">
        <v>4</v>
      </c>
      <c r="BU159" s="19">
        <v>5</v>
      </c>
      <c r="BV159" s="19">
        <v>3</v>
      </c>
      <c r="BW159" s="19">
        <v>3</v>
      </c>
      <c r="BX159" s="19">
        <v>2</v>
      </c>
      <c r="BY159" s="19">
        <v>3</v>
      </c>
      <c r="BZ159" s="19">
        <v>2</v>
      </c>
      <c r="CA159" s="19">
        <v>3</v>
      </c>
      <c r="CB159" s="19">
        <v>3</v>
      </c>
      <c r="CC159" s="19">
        <v>5</v>
      </c>
      <c r="CD159" s="19">
        <v>4</v>
      </c>
      <c r="CE159" s="19">
        <v>4</v>
      </c>
      <c r="CF159" s="19">
        <v>4</v>
      </c>
      <c r="CG159" s="19">
        <v>4</v>
      </c>
      <c r="CH159" s="19">
        <v>3</v>
      </c>
      <c r="CI159" s="19">
        <v>3</v>
      </c>
      <c r="CJ159" s="19">
        <v>3</v>
      </c>
      <c r="CK159" s="19">
        <v>6</v>
      </c>
      <c r="CL159" t="s">
        <v>498</v>
      </c>
      <c r="CM159">
        <v>33</v>
      </c>
      <c r="CN159" s="16">
        <v>71.2</v>
      </c>
      <c r="CO159" s="16">
        <v>80.400000000000006</v>
      </c>
      <c r="CP159" s="16">
        <v>16.3</v>
      </c>
      <c r="CQ159">
        <v>83.24</v>
      </c>
      <c r="CR159" s="17">
        <v>0</v>
      </c>
      <c r="CS159">
        <v>0</v>
      </c>
      <c r="CT159">
        <v>0</v>
      </c>
      <c r="CU159">
        <v>14.14</v>
      </c>
      <c r="CV159">
        <v>0</v>
      </c>
      <c r="CW159">
        <v>2.63</v>
      </c>
      <c r="CX159">
        <v>0</v>
      </c>
      <c r="CY159">
        <v>0</v>
      </c>
      <c r="CZ159">
        <v>0</v>
      </c>
      <c r="DA159">
        <v>0</v>
      </c>
      <c r="DB159">
        <v>2.63</v>
      </c>
      <c r="DC159">
        <v>10.16</v>
      </c>
      <c r="DD159">
        <v>20.83</v>
      </c>
      <c r="DE159">
        <v>24.81</v>
      </c>
      <c r="DF159">
        <v>0</v>
      </c>
      <c r="DG159">
        <v>11.2</v>
      </c>
      <c r="DH159">
        <v>1</v>
      </c>
      <c r="DI159">
        <v>5</v>
      </c>
      <c r="DK159">
        <v>1</v>
      </c>
      <c r="DO159">
        <v>5</v>
      </c>
      <c r="DQ159">
        <v>1</v>
      </c>
      <c r="DU159">
        <v>0</v>
      </c>
      <c r="DV159">
        <v>0</v>
      </c>
      <c r="EG159" s="18"/>
      <c r="EY159">
        <v>0</v>
      </c>
      <c r="GJ159" s="16">
        <v>2.71</v>
      </c>
      <c r="GK159" s="16">
        <v>1</v>
      </c>
      <c r="GL159" s="16">
        <v>1</v>
      </c>
      <c r="GM159" s="16"/>
      <c r="GN159" s="16">
        <f>2.11*4+0.52*2</f>
        <v>9.48</v>
      </c>
      <c r="GO159" s="16"/>
      <c r="GP159" s="16"/>
      <c r="GQ159" s="16"/>
      <c r="GR159" s="16"/>
      <c r="GS159" s="16"/>
      <c r="GT159" s="16"/>
      <c r="GU159" s="16">
        <v>2.63</v>
      </c>
      <c r="GV159" s="16">
        <v>2.6</v>
      </c>
      <c r="GW159" s="16">
        <v>0</v>
      </c>
      <c r="GX159" s="16">
        <v>0</v>
      </c>
      <c r="GY159" s="16">
        <v>0</v>
      </c>
      <c r="GZ159" s="16">
        <v>0</v>
      </c>
      <c r="HA159" s="16">
        <v>0</v>
      </c>
      <c r="HB159">
        <v>0</v>
      </c>
      <c r="HC159" t="s">
        <v>499</v>
      </c>
      <c r="HD159">
        <v>40</v>
      </c>
      <c r="HE159" s="16">
        <v>79.7</v>
      </c>
      <c r="HF159" s="16">
        <v>80.400000000000006</v>
      </c>
      <c r="HG159" s="16">
        <v>11.2</v>
      </c>
      <c r="HH159">
        <v>91.23</v>
      </c>
      <c r="HI159" s="17">
        <v>0</v>
      </c>
      <c r="HJ159">
        <v>0</v>
      </c>
      <c r="HK159">
        <v>0</v>
      </c>
      <c r="HL159">
        <v>8.77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18.64</v>
      </c>
      <c r="HU159">
        <v>42.82</v>
      </c>
      <c r="HV159">
        <v>4.6100000000000003</v>
      </c>
      <c r="HW159">
        <v>0</v>
      </c>
      <c r="HX159">
        <v>0</v>
      </c>
      <c r="HY159">
        <v>0</v>
      </c>
      <c r="IL159">
        <v>23.2</v>
      </c>
      <c r="IM159">
        <v>1</v>
      </c>
      <c r="IN159">
        <v>35</v>
      </c>
      <c r="IO159">
        <f>2+4+2+2+2+4+2+2+1</f>
        <v>21</v>
      </c>
      <c r="IP159">
        <f>1.52+1.49+0.78*2+0.27+0.43+0.12+0.13</f>
        <v>5.52</v>
      </c>
      <c r="IQ159">
        <v>3</v>
      </c>
      <c r="IR159">
        <v>10</v>
      </c>
      <c r="IS159">
        <v>1</v>
      </c>
      <c r="IT159">
        <v>0.1</v>
      </c>
      <c r="IU159">
        <v>5</v>
      </c>
      <c r="IV159">
        <v>25</v>
      </c>
      <c r="IW159">
        <v>8</v>
      </c>
      <c r="IX159" s="18">
        <f>0.19*2+0.1</f>
        <v>0.48</v>
      </c>
      <c r="IY159">
        <v>1</v>
      </c>
      <c r="JP159">
        <v>0</v>
      </c>
      <c r="LA159" s="16">
        <v>1.52</v>
      </c>
      <c r="LB159" s="16">
        <v>1</v>
      </c>
      <c r="LC159" s="16">
        <v>1</v>
      </c>
      <c r="LD159" s="16"/>
      <c r="LE159" s="16">
        <f>2.11*2+0.19*3+0.1</f>
        <v>4.8899999999999997</v>
      </c>
      <c r="LF159" s="16"/>
      <c r="LG159" s="16"/>
      <c r="LH159" s="16"/>
      <c r="LI159" s="16"/>
      <c r="LJ159" s="16"/>
      <c r="LK159" s="16"/>
      <c r="LL159" s="16">
        <v>0</v>
      </c>
      <c r="LM159" s="16">
        <v>0</v>
      </c>
      <c r="LN159" s="16">
        <v>0</v>
      </c>
      <c r="LO159" s="16">
        <v>0</v>
      </c>
      <c r="LP159" s="16">
        <v>0</v>
      </c>
      <c r="LQ159" s="16">
        <v>0</v>
      </c>
      <c r="LR159" s="16">
        <v>0.06</v>
      </c>
      <c r="LS159">
        <v>0</v>
      </c>
      <c r="LT159" t="s">
        <v>500</v>
      </c>
      <c r="LU159">
        <v>48</v>
      </c>
      <c r="LV159" s="16">
        <v>69.7</v>
      </c>
      <c r="LW159" s="16">
        <v>80.400000000000006</v>
      </c>
      <c r="LX159" s="16">
        <v>44.5</v>
      </c>
      <c r="LY159">
        <v>13.55</v>
      </c>
      <c r="LZ159" s="17">
        <v>0</v>
      </c>
      <c r="MA159">
        <v>0</v>
      </c>
      <c r="MB159">
        <v>0</v>
      </c>
      <c r="MC159">
        <v>0.1</v>
      </c>
      <c r="MD159">
        <v>0</v>
      </c>
      <c r="ME159">
        <v>86.34</v>
      </c>
      <c r="MF159">
        <v>13.26</v>
      </c>
      <c r="MG159">
        <v>28.53</v>
      </c>
      <c r="MH159">
        <v>0</v>
      </c>
      <c r="MI159">
        <v>0</v>
      </c>
      <c r="MJ159">
        <v>0.78</v>
      </c>
      <c r="MK159">
        <v>3.48</v>
      </c>
      <c r="ML159">
        <v>11.45</v>
      </c>
      <c r="MM159">
        <v>6.85</v>
      </c>
      <c r="MN159">
        <v>0</v>
      </c>
      <c r="MO159">
        <v>0</v>
      </c>
      <c r="MP159">
        <v>0</v>
      </c>
      <c r="NC159">
        <v>0</v>
      </c>
      <c r="ND159">
        <v>0</v>
      </c>
      <c r="NO159" s="18"/>
      <c r="OG159">
        <v>0</v>
      </c>
      <c r="PR159" s="16">
        <v>0.75</v>
      </c>
      <c r="PS159" s="16">
        <v>1</v>
      </c>
      <c r="PT159" s="16">
        <v>1</v>
      </c>
      <c r="PU159" s="16"/>
      <c r="PV159" s="16">
        <f>2.11+0.37</f>
        <v>2.48</v>
      </c>
      <c r="PW159" s="16"/>
      <c r="PX159" s="16"/>
      <c r="PY159" s="16"/>
      <c r="PZ159" s="16"/>
      <c r="QA159" s="16"/>
      <c r="QB159" s="16"/>
      <c r="QC159" s="16">
        <v>2.66</v>
      </c>
      <c r="QD159" s="16">
        <v>2.64</v>
      </c>
      <c r="QE159" s="16">
        <v>0</v>
      </c>
      <c r="QF159" s="16">
        <v>0</v>
      </c>
      <c r="QG159" s="16">
        <v>0</v>
      </c>
      <c r="QH159" s="16">
        <v>0</v>
      </c>
      <c r="QI159" s="16">
        <v>0</v>
      </c>
      <c r="QJ159">
        <v>0</v>
      </c>
      <c r="QK159" t="s">
        <v>501</v>
      </c>
      <c r="QL159">
        <v>58</v>
      </c>
      <c r="QM159" s="16">
        <v>79.900000000000006</v>
      </c>
      <c r="QN159" s="16">
        <v>80.400000000000006</v>
      </c>
      <c r="QO159" s="16">
        <v>43.6</v>
      </c>
      <c r="QP159">
        <v>26.15</v>
      </c>
      <c r="QQ159" s="17">
        <v>0</v>
      </c>
      <c r="QR159">
        <v>0</v>
      </c>
      <c r="QS159">
        <v>0</v>
      </c>
      <c r="QT159">
        <v>0</v>
      </c>
      <c r="QU159">
        <v>0</v>
      </c>
      <c r="QV159">
        <v>73.849999999999994</v>
      </c>
      <c r="QW159">
        <v>18.43</v>
      </c>
      <c r="QX159">
        <v>20.420000000000002</v>
      </c>
      <c r="QY159">
        <v>0</v>
      </c>
      <c r="QZ159">
        <v>0</v>
      </c>
      <c r="RA159">
        <v>2.44</v>
      </c>
      <c r="RB159">
        <v>0.13</v>
      </c>
      <c r="RC159">
        <v>9.7100000000000009</v>
      </c>
      <c r="RD159">
        <v>18.309999999999999</v>
      </c>
      <c r="RE159">
        <v>0</v>
      </c>
      <c r="RF159">
        <v>0</v>
      </c>
      <c r="RG159">
        <v>0</v>
      </c>
      <c r="RT159">
        <v>9.1</v>
      </c>
      <c r="RU159">
        <v>1</v>
      </c>
      <c r="RV159">
        <v>68</v>
      </c>
      <c r="RW159">
        <v>1</v>
      </c>
      <c r="RX159">
        <v>0.05</v>
      </c>
      <c r="RY159">
        <v>1</v>
      </c>
      <c r="RZ159">
        <v>35</v>
      </c>
      <c r="SA159">
        <v>3</v>
      </c>
      <c r="SB159">
        <f>0.76+0.64</f>
        <v>1.4</v>
      </c>
      <c r="SC159">
        <v>3</v>
      </c>
      <c r="SD159">
        <v>47</v>
      </c>
      <c r="SE159">
        <v>2</v>
      </c>
      <c r="SF159" s="18">
        <v>0.23</v>
      </c>
      <c r="SG159">
        <v>3</v>
      </c>
      <c r="SX159">
        <v>1</v>
      </c>
      <c r="SY159">
        <v>60</v>
      </c>
      <c r="SZ159">
        <v>2</v>
      </c>
      <c r="TA159">
        <v>0.26</v>
      </c>
      <c r="TB159">
        <v>3</v>
      </c>
      <c r="UI159" s="16">
        <v>0</v>
      </c>
      <c r="UJ159" s="16">
        <v>0</v>
      </c>
      <c r="UK159" s="16"/>
      <c r="UL159" s="16"/>
      <c r="UM159" s="16"/>
      <c r="UN159" s="16"/>
      <c r="UO159" s="16"/>
      <c r="UP159" s="16"/>
      <c r="UQ159" s="16"/>
      <c r="UR159" s="16"/>
      <c r="US159" s="16"/>
      <c r="UT159" s="16">
        <v>1.97</v>
      </c>
      <c r="UU159" s="16">
        <v>1.24</v>
      </c>
      <c r="UV159" s="16">
        <v>0</v>
      </c>
      <c r="UW159" s="16">
        <v>0</v>
      </c>
      <c r="UX159" s="16">
        <v>0</v>
      </c>
      <c r="UY159" s="16">
        <v>0</v>
      </c>
      <c r="UZ159" s="16">
        <v>3</v>
      </c>
      <c r="VA159">
        <v>0</v>
      </c>
      <c r="VB159" t="s">
        <v>502</v>
      </c>
      <c r="VC159">
        <v>34.5</v>
      </c>
      <c r="VD159" s="16">
        <v>53.2</v>
      </c>
      <c r="VE159" s="16">
        <v>80.400000000000006</v>
      </c>
      <c r="VF159" s="16">
        <v>8.3000000000000007</v>
      </c>
      <c r="VG159">
        <v>99.94</v>
      </c>
      <c r="VH159" s="17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9.15</v>
      </c>
      <c r="VT159">
        <v>18.41</v>
      </c>
      <c r="VU159">
        <v>11.73</v>
      </c>
      <c r="VV159">
        <v>0</v>
      </c>
      <c r="VW159">
        <v>0</v>
      </c>
      <c r="VX159">
        <v>0</v>
      </c>
      <c r="WK159">
        <v>11.9</v>
      </c>
      <c r="WL159">
        <v>1</v>
      </c>
      <c r="WM159">
        <v>47</v>
      </c>
      <c r="WN159">
        <v>3</v>
      </c>
      <c r="WO159">
        <v>1.52</v>
      </c>
      <c r="WP159">
        <v>2</v>
      </c>
      <c r="WW159" s="18"/>
      <c r="XO159">
        <v>0</v>
      </c>
      <c r="YZ159" s="16">
        <v>5.7</v>
      </c>
      <c r="ZA159" s="16">
        <v>1</v>
      </c>
      <c r="ZB159" s="16">
        <v>1</v>
      </c>
      <c r="ZC159" s="16"/>
      <c r="ZD159" s="16">
        <f>2.11+2.11+0.05+0.05+0.37</f>
        <v>4.6899999999999995</v>
      </c>
      <c r="ZE159" s="16">
        <v>2</v>
      </c>
      <c r="ZF159" s="16"/>
      <c r="ZG159" s="16">
        <f>3.17+3.17+0.56+0.56+0.33</f>
        <v>7.7900000000000009</v>
      </c>
      <c r="ZH159" s="16"/>
      <c r="ZI159" s="16"/>
      <c r="ZJ159" s="16"/>
      <c r="ZK159" s="16">
        <v>0</v>
      </c>
      <c r="ZL159" s="16">
        <v>0</v>
      </c>
      <c r="ZM159" s="16"/>
      <c r="ZN159" s="16"/>
      <c r="ZO159" s="16">
        <v>5.97</v>
      </c>
      <c r="ZP159" s="16">
        <v>0</v>
      </c>
      <c r="ZQ159" s="16">
        <v>0</v>
      </c>
      <c r="ZR159">
        <v>1</v>
      </c>
      <c r="ZS159" t="s">
        <v>503</v>
      </c>
      <c r="ZT159">
        <v>47</v>
      </c>
      <c r="ZU159" s="16">
        <v>54.1</v>
      </c>
      <c r="ZV159" s="16">
        <v>80.400000000000006</v>
      </c>
      <c r="ZW159" s="16">
        <v>34.5</v>
      </c>
      <c r="ZX159">
        <v>71.45</v>
      </c>
      <c r="ZY159" s="17">
        <v>0</v>
      </c>
      <c r="ZZ159">
        <v>21.93</v>
      </c>
      <c r="AAA159">
        <v>6.49</v>
      </c>
      <c r="AAB159">
        <v>0.12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1.01</v>
      </c>
      <c r="AAJ159">
        <v>0.45</v>
      </c>
      <c r="AAK159">
        <v>18.399999999999999</v>
      </c>
      <c r="AAL159">
        <v>11.28</v>
      </c>
      <c r="AAM159">
        <v>0</v>
      </c>
      <c r="AAN159">
        <v>0</v>
      </c>
      <c r="AAO159">
        <v>0</v>
      </c>
      <c r="ABB159">
        <v>6</v>
      </c>
      <c r="ABC159">
        <v>1</v>
      </c>
      <c r="ABD159">
        <v>35</v>
      </c>
      <c r="ABE159">
        <v>8</v>
      </c>
      <c r="ABF159">
        <f>0.25+0.25+0.25+0.13+0.13+0.13+0.13</f>
        <v>1.27</v>
      </c>
      <c r="ABG159">
        <v>3</v>
      </c>
      <c r="ABN159" s="18"/>
      <c r="ACF159">
        <v>1</v>
      </c>
      <c r="ACG159">
        <v>50</v>
      </c>
      <c r="ACH159">
        <v>2</v>
      </c>
      <c r="ACI159">
        <f>0.76*2</f>
        <v>1.52</v>
      </c>
      <c r="ACJ159">
        <v>1</v>
      </c>
      <c r="ADQ159" s="16">
        <v>0.42</v>
      </c>
      <c r="ADR159" s="16">
        <v>1</v>
      </c>
      <c r="ADS159" s="16">
        <v>1</v>
      </c>
      <c r="ADT159" s="16"/>
      <c r="ADU159" s="16">
        <f>0.68+0.68+0.03</f>
        <v>1.3900000000000001</v>
      </c>
      <c r="ADV159" s="16"/>
      <c r="ADW159" s="16"/>
      <c r="ADX159" s="16"/>
      <c r="ADY159" s="16"/>
      <c r="ADZ159" s="16"/>
      <c r="AEA159" s="16"/>
      <c r="AEB159" s="16">
        <v>5.21</v>
      </c>
      <c r="AEC159" s="16">
        <v>7.05</v>
      </c>
      <c r="AED159" s="16"/>
      <c r="AEE159" s="16"/>
      <c r="AEF159" s="16">
        <v>0</v>
      </c>
      <c r="AEG159" s="16">
        <v>0</v>
      </c>
      <c r="AEH159" s="16">
        <v>0</v>
      </c>
      <c r="AEI159">
        <v>0</v>
      </c>
      <c r="AEJ159" t="s">
        <v>504</v>
      </c>
      <c r="AEK159">
        <v>65.5</v>
      </c>
      <c r="AEL159" s="16">
        <v>92.2</v>
      </c>
      <c r="AEM159" s="16">
        <v>80.400000000000006</v>
      </c>
      <c r="AEN159" s="16">
        <v>61.7</v>
      </c>
      <c r="AEO159">
        <v>22.46</v>
      </c>
      <c r="AEP159" s="17">
        <v>0</v>
      </c>
      <c r="AEQ159">
        <v>0</v>
      </c>
      <c r="AER159">
        <v>0</v>
      </c>
      <c r="AES159">
        <v>0</v>
      </c>
      <c r="AET159">
        <v>0</v>
      </c>
      <c r="AEU159">
        <v>70.92</v>
      </c>
      <c r="AEV159">
        <v>9.4</v>
      </c>
      <c r="AEW159">
        <v>33.69</v>
      </c>
      <c r="AEX159">
        <v>0</v>
      </c>
      <c r="AEY159">
        <v>0</v>
      </c>
      <c r="AEZ159">
        <v>14.46</v>
      </c>
      <c r="AFA159">
        <v>11.32</v>
      </c>
      <c r="AFB159">
        <v>6.58</v>
      </c>
      <c r="AFC159">
        <v>8.8800000000000008</v>
      </c>
      <c r="AFD159">
        <v>6.62</v>
      </c>
      <c r="AFE159">
        <v>0</v>
      </c>
      <c r="AFF159">
        <v>0</v>
      </c>
      <c r="AFS159">
        <v>3.2</v>
      </c>
      <c r="AFT159">
        <v>0</v>
      </c>
      <c r="AGE159" s="18"/>
      <c r="AGW159">
        <v>1</v>
      </c>
      <c r="AGX159">
        <v>60</v>
      </c>
      <c r="AGY159">
        <v>2</v>
      </c>
      <c r="AGZ159">
        <f>0.76*2</f>
        <v>1.52</v>
      </c>
      <c r="AHA159">
        <v>3</v>
      </c>
      <c r="AIH159" s="16">
        <v>0.63</v>
      </c>
      <c r="AII159" s="16">
        <v>1</v>
      </c>
      <c r="AIJ159" s="16">
        <v>1</v>
      </c>
      <c r="AIK159" s="16"/>
      <c r="AIL159" s="16">
        <v>3.17</v>
      </c>
      <c r="AIM159" s="16"/>
      <c r="AIN159" s="16"/>
      <c r="AIO159" s="16"/>
      <c r="AIP159" s="16"/>
      <c r="AIQ159" s="16"/>
      <c r="AIR159" s="16"/>
      <c r="AIS159" s="16">
        <v>0</v>
      </c>
      <c r="AIT159" s="16">
        <v>0</v>
      </c>
      <c r="AIU159" s="16"/>
      <c r="AIV159" s="16"/>
      <c r="AIW159" s="16">
        <v>0</v>
      </c>
      <c r="AIX159" s="16">
        <v>0</v>
      </c>
      <c r="AIY159" s="16">
        <v>0</v>
      </c>
      <c r="AIZ159">
        <v>0</v>
      </c>
      <c r="AJA159" t="s">
        <v>505</v>
      </c>
      <c r="AJB159">
        <v>59</v>
      </c>
      <c r="AJC159" s="16">
        <v>90.4</v>
      </c>
      <c r="AJD159" s="16">
        <v>80.400000000000006</v>
      </c>
      <c r="AJE159" s="16">
        <v>54.7</v>
      </c>
      <c r="AJF159">
        <v>26.42</v>
      </c>
      <c r="AJG159" s="17">
        <v>0</v>
      </c>
      <c r="AJH159">
        <v>0</v>
      </c>
      <c r="AJI159">
        <v>0</v>
      </c>
      <c r="AJJ159">
        <v>0</v>
      </c>
      <c r="AJK159">
        <v>0</v>
      </c>
      <c r="AJL159">
        <v>66.959999999999994</v>
      </c>
      <c r="AJM159">
        <v>6.55</v>
      </c>
      <c r="AJN159">
        <v>30.83</v>
      </c>
      <c r="AJO159">
        <v>0</v>
      </c>
      <c r="AJP159">
        <v>0</v>
      </c>
      <c r="AJQ159">
        <v>14.46</v>
      </c>
      <c r="AJR159">
        <v>11.57</v>
      </c>
      <c r="AJS159">
        <v>6.5</v>
      </c>
      <c r="AJT159">
        <v>6.03</v>
      </c>
      <c r="AJU159">
        <v>6.62</v>
      </c>
      <c r="AJV159">
        <v>0</v>
      </c>
      <c r="AJW159">
        <v>0</v>
      </c>
      <c r="AKJ159">
        <v>3.2</v>
      </c>
      <c r="AKK159">
        <v>0</v>
      </c>
      <c r="AKV159" s="18"/>
      <c r="ALN159">
        <v>1</v>
      </c>
      <c r="ALO159">
        <v>60</v>
      </c>
      <c r="ALP159">
        <v>2</v>
      </c>
      <c r="ALQ159">
        <v>1.52</v>
      </c>
      <c r="ALR159">
        <v>3</v>
      </c>
    </row>
    <row r="160" spans="1:1024" x14ac:dyDescent="0.2">
      <c r="A160" s="1" t="s">
        <v>621</v>
      </c>
      <c r="B160" s="12">
        <v>42905</v>
      </c>
      <c r="C160">
        <v>2</v>
      </c>
      <c r="D160" s="13">
        <v>42814</v>
      </c>
      <c r="E160" s="12">
        <v>35500</v>
      </c>
      <c r="F160" s="14">
        <f t="shared" si="48"/>
        <v>20.27378507871321</v>
      </c>
      <c r="G160" s="14">
        <f t="shared" si="49"/>
        <v>0.24914442162902123</v>
      </c>
      <c r="H160" s="15" t="s">
        <v>181</v>
      </c>
      <c r="I160" s="15" t="s">
        <v>496</v>
      </c>
      <c r="J160" s="15" t="s">
        <v>183</v>
      </c>
      <c r="K160" s="15">
        <v>4</v>
      </c>
      <c r="L160" s="19">
        <v>100</v>
      </c>
      <c r="M160">
        <v>1.7</v>
      </c>
      <c r="N160" s="16">
        <f t="shared" si="50"/>
        <v>34.602076124567475</v>
      </c>
      <c r="O160" s="19">
        <v>0</v>
      </c>
      <c r="P160" s="19">
        <v>0</v>
      </c>
      <c r="Q160" s="19">
        <v>0</v>
      </c>
      <c r="R160" s="19">
        <v>0</v>
      </c>
      <c r="S160" s="19">
        <v>0</v>
      </c>
      <c r="T160" s="19">
        <v>0</v>
      </c>
      <c r="U160" s="19">
        <v>0</v>
      </c>
      <c r="V160" s="19">
        <v>0</v>
      </c>
      <c r="W160" s="19">
        <v>0</v>
      </c>
      <c r="X160" s="19">
        <v>0</v>
      </c>
      <c r="Y160" s="19">
        <v>1</v>
      </c>
      <c r="Z160" s="19">
        <v>2</v>
      </c>
      <c r="AA160" s="19">
        <v>90</v>
      </c>
      <c r="AB160" s="19" t="s">
        <v>308</v>
      </c>
      <c r="AC160" s="19">
        <v>0</v>
      </c>
      <c r="AD160" s="19">
        <v>0</v>
      </c>
      <c r="AE160" s="19">
        <v>0</v>
      </c>
      <c r="AF160" s="19">
        <v>0</v>
      </c>
      <c r="AG160" s="19">
        <v>0</v>
      </c>
      <c r="AH160" s="19">
        <v>0</v>
      </c>
      <c r="AI160" s="19">
        <v>1</v>
      </c>
      <c r="AJ160" s="19">
        <v>0</v>
      </c>
      <c r="AK160" s="19">
        <v>0</v>
      </c>
      <c r="AL160" s="19">
        <v>0</v>
      </c>
      <c r="AM160" s="19">
        <v>0</v>
      </c>
      <c r="AN160" s="19">
        <v>0</v>
      </c>
      <c r="AO160" s="19">
        <v>0</v>
      </c>
      <c r="AP160" s="19">
        <v>0</v>
      </c>
      <c r="AQ160" s="19">
        <v>0</v>
      </c>
      <c r="AR160" s="19">
        <v>0</v>
      </c>
      <c r="AS160" s="19">
        <v>1</v>
      </c>
      <c r="AT160" s="19">
        <v>0</v>
      </c>
      <c r="AU160" s="19">
        <v>0</v>
      </c>
      <c r="AV160" s="19">
        <v>0</v>
      </c>
      <c r="AW160" s="19">
        <v>0</v>
      </c>
      <c r="AX160" s="19">
        <v>0</v>
      </c>
      <c r="AY160" s="19">
        <v>0</v>
      </c>
      <c r="AZ160" s="19">
        <v>0</v>
      </c>
      <c r="BA160" s="19">
        <v>0</v>
      </c>
      <c r="BB160" s="19">
        <v>1</v>
      </c>
      <c r="BC160" s="19">
        <v>0</v>
      </c>
      <c r="BD160" s="19">
        <v>0</v>
      </c>
      <c r="BE160" s="19">
        <v>0</v>
      </c>
      <c r="BF160" s="19">
        <v>0</v>
      </c>
      <c r="BG160" s="19">
        <v>0</v>
      </c>
      <c r="BH160" s="19">
        <v>0</v>
      </c>
      <c r="BI160" s="19">
        <v>0</v>
      </c>
      <c r="BJ160" s="19">
        <v>0</v>
      </c>
      <c r="BK160" s="19">
        <v>0</v>
      </c>
      <c r="BL160" s="19">
        <v>0</v>
      </c>
      <c r="BM160" s="19">
        <v>0</v>
      </c>
      <c r="BN160" s="19">
        <v>0</v>
      </c>
      <c r="BO160" s="19">
        <v>0</v>
      </c>
      <c r="BP160" s="19">
        <v>0</v>
      </c>
      <c r="BQ160" s="19">
        <v>0</v>
      </c>
      <c r="BR160" s="19">
        <v>3</v>
      </c>
      <c r="BS160" s="19">
        <v>3</v>
      </c>
      <c r="BT160" s="19">
        <v>5</v>
      </c>
      <c r="BU160" s="19">
        <v>5</v>
      </c>
      <c r="BV160" s="19"/>
      <c r="BW160" s="19">
        <v>3</v>
      </c>
      <c r="BX160" s="19">
        <v>1</v>
      </c>
      <c r="BY160" s="19">
        <v>4</v>
      </c>
      <c r="BZ160" s="19">
        <v>5</v>
      </c>
      <c r="CA160" s="19">
        <v>2</v>
      </c>
      <c r="CB160" s="19">
        <v>5</v>
      </c>
      <c r="CC160" s="19">
        <v>5</v>
      </c>
      <c r="CD160" s="19">
        <v>3</v>
      </c>
      <c r="CE160" s="19">
        <v>5</v>
      </c>
      <c r="CF160" s="19">
        <v>5</v>
      </c>
      <c r="CG160" s="19">
        <v>5</v>
      </c>
      <c r="CH160" s="19">
        <v>5</v>
      </c>
      <c r="CI160" s="19">
        <v>5</v>
      </c>
      <c r="CJ160" s="19">
        <v>4</v>
      </c>
      <c r="CK160" s="19">
        <v>10</v>
      </c>
      <c r="CL160" t="s">
        <v>498</v>
      </c>
      <c r="CM160">
        <v>33</v>
      </c>
      <c r="CN160" s="16">
        <v>71.2</v>
      </c>
      <c r="CO160" s="16">
        <v>80.400000000000006</v>
      </c>
      <c r="CP160" s="16">
        <v>16.3</v>
      </c>
      <c r="CQ160">
        <v>83.24</v>
      </c>
      <c r="CR160" s="17">
        <v>0</v>
      </c>
      <c r="CS160">
        <v>0</v>
      </c>
      <c r="CT160">
        <v>0</v>
      </c>
      <c r="CU160">
        <v>14.14</v>
      </c>
      <c r="CV160">
        <v>0</v>
      </c>
      <c r="CW160">
        <v>2.63</v>
      </c>
      <c r="CX160">
        <v>0</v>
      </c>
      <c r="CY160">
        <v>0</v>
      </c>
      <c r="CZ160">
        <v>0</v>
      </c>
      <c r="DA160">
        <v>0</v>
      </c>
      <c r="DB160">
        <v>2.63</v>
      </c>
      <c r="DC160">
        <v>10.16</v>
      </c>
      <c r="DD160">
        <v>20.83</v>
      </c>
      <c r="DE160">
        <v>24.81</v>
      </c>
      <c r="DF160">
        <v>0</v>
      </c>
      <c r="DG160">
        <v>11.2</v>
      </c>
      <c r="DH160">
        <v>1</v>
      </c>
      <c r="DI160">
        <v>5</v>
      </c>
      <c r="DK160">
        <v>1</v>
      </c>
      <c r="DO160">
        <v>5</v>
      </c>
      <c r="DQ160">
        <v>1</v>
      </c>
      <c r="DU160">
        <v>0</v>
      </c>
      <c r="DV160">
        <v>0</v>
      </c>
      <c r="EG160" s="18"/>
      <c r="EY160">
        <v>0</v>
      </c>
      <c r="GJ160" s="16">
        <v>2.71</v>
      </c>
      <c r="GK160" s="16">
        <v>1</v>
      </c>
      <c r="GL160" s="16">
        <v>1</v>
      </c>
      <c r="GM160" s="16"/>
      <c r="GN160" s="16">
        <f>2.11*4+0.52*2</f>
        <v>9.48</v>
      </c>
      <c r="GO160" s="16"/>
      <c r="GP160" s="16"/>
      <c r="GQ160" s="16"/>
      <c r="GR160" s="16"/>
      <c r="GS160" s="16"/>
      <c r="GT160" s="16"/>
      <c r="GU160" s="16">
        <v>2.63</v>
      </c>
      <c r="GV160" s="16">
        <v>2.6</v>
      </c>
      <c r="GW160" s="16">
        <v>0</v>
      </c>
      <c r="GX160" s="16">
        <v>0</v>
      </c>
      <c r="GY160" s="16">
        <v>0</v>
      </c>
      <c r="GZ160" s="16">
        <v>0</v>
      </c>
      <c r="HA160" s="16">
        <v>0</v>
      </c>
      <c r="HB160">
        <v>0</v>
      </c>
      <c r="HC160" t="s">
        <v>499</v>
      </c>
      <c r="HD160">
        <v>40</v>
      </c>
      <c r="HE160" s="16">
        <v>79.7</v>
      </c>
      <c r="HF160" s="16">
        <v>80.400000000000006</v>
      </c>
      <c r="HG160" s="16">
        <v>11.2</v>
      </c>
      <c r="HH160">
        <v>91.23</v>
      </c>
      <c r="HI160" s="17">
        <v>0</v>
      </c>
      <c r="HJ160">
        <v>0</v>
      </c>
      <c r="HK160">
        <v>0</v>
      </c>
      <c r="HL160">
        <v>8.77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18.64</v>
      </c>
      <c r="HU160">
        <v>42.82</v>
      </c>
      <c r="HV160">
        <v>4.6100000000000003</v>
      </c>
      <c r="HW160">
        <v>0</v>
      </c>
      <c r="HX160">
        <v>0</v>
      </c>
      <c r="HY160">
        <v>0</v>
      </c>
      <c r="IL160">
        <v>23.2</v>
      </c>
      <c r="IM160">
        <v>1</v>
      </c>
      <c r="IN160">
        <v>35</v>
      </c>
      <c r="IO160">
        <f>2+4+2+2+2+4+2+2+1</f>
        <v>21</v>
      </c>
      <c r="IP160">
        <f>1.52+1.49+0.78*2+0.27+0.43+0.12+0.13</f>
        <v>5.52</v>
      </c>
      <c r="IQ160">
        <v>3</v>
      </c>
      <c r="IR160">
        <v>10</v>
      </c>
      <c r="IS160">
        <v>1</v>
      </c>
      <c r="IT160">
        <v>0.1</v>
      </c>
      <c r="IU160">
        <v>5</v>
      </c>
      <c r="IV160">
        <v>25</v>
      </c>
      <c r="IW160">
        <v>8</v>
      </c>
      <c r="IX160" s="18">
        <f>0.19*2+0.1</f>
        <v>0.48</v>
      </c>
      <c r="IY160">
        <v>1</v>
      </c>
      <c r="JP160">
        <v>0</v>
      </c>
      <c r="LA160" s="16">
        <v>1.52</v>
      </c>
      <c r="LB160" s="16">
        <v>1</v>
      </c>
      <c r="LC160" s="16">
        <v>1</v>
      </c>
      <c r="LD160" s="16"/>
      <c r="LE160" s="16">
        <f>2.11*2+0.19*3+0.1</f>
        <v>4.8899999999999997</v>
      </c>
      <c r="LF160" s="16"/>
      <c r="LG160" s="16"/>
      <c r="LH160" s="16"/>
      <c r="LI160" s="16"/>
      <c r="LJ160" s="16"/>
      <c r="LK160" s="16"/>
      <c r="LL160" s="16">
        <v>0</v>
      </c>
      <c r="LM160" s="16">
        <v>0</v>
      </c>
      <c r="LN160" s="16">
        <v>0</v>
      </c>
      <c r="LO160" s="16">
        <v>0</v>
      </c>
      <c r="LP160" s="16">
        <v>0</v>
      </c>
      <c r="LQ160" s="16">
        <v>0</v>
      </c>
      <c r="LR160" s="16">
        <v>0.06</v>
      </c>
      <c r="LS160">
        <v>0</v>
      </c>
      <c r="LT160" t="s">
        <v>500</v>
      </c>
      <c r="LU160">
        <v>48</v>
      </c>
      <c r="LV160" s="16">
        <v>69.7</v>
      </c>
      <c r="LW160" s="16">
        <v>80.400000000000006</v>
      </c>
      <c r="LX160" s="16">
        <v>44.5</v>
      </c>
      <c r="LY160">
        <v>13.55</v>
      </c>
      <c r="LZ160" s="17">
        <v>0</v>
      </c>
      <c r="MA160">
        <v>0</v>
      </c>
      <c r="MB160">
        <v>0</v>
      </c>
      <c r="MC160">
        <v>0.1</v>
      </c>
      <c r="MD160">
        <v>0</v>
      </c>
      <c r="ME160">
        <v>86.34</v>
      </c>
      <c r="MF160">
        <v>13.26</v>
      </c>
      <c r="MG160">
        <v>28.53</v>
      </c>
      <c r="MH160">
        <v>0</v>
      </c>
      <c r="MI160">
        <v>0</v>
      </c>
      <c r="MJ160">
        <v>0.78</v>
      </c>
      <c r="MK160">
        <v>3.48</v>
      </c>
      <c r="ML160">
        <v>11.45</v>
      </c>
      <c r="MM160">
        <v>6.85</v>
      </c>
      <c r="MN160">
        <v>0</v>
      </c>
      <c r="MO160">
        <v>0</v>
      </c>
      <c r="MP160">
        <v>0</v>
      </c>
      <c r="NC160">
        <v>0</v>
      </c>
      <c r="ND160">
        <v>0</v>
      </c>
      <c r="NO160" s="18"/>
      <c r="OG160">
        <v>0</v>
      </c>
      <c r="PR160" s="16">
        <v>0.75</v>
      </c>
      <c r="PS160" s="16">
        <v>1</v>
      </c>
      <c r="PT160" s="16">
        <v>1</v>
      </c>
      <c r="PU160" s="16"/>
      <c r="PV160" s="16">
        <f>2.11+0.37</f>
        <v>2.48</v>
      </c>
      <c r="PW160" s="16"/>
      <c r="PX160" s="16"/>
      <c r="PY160" s="16"/>
      <c r="PZ160" s="16"/>
      <c r="QA160" s="16"/>
      <c r="QB160" s="16"/>
      <c r="QC160" s="16">
        <v>2.66</v>
      </c>
      <c r="QD160" s="16">
        <v>2.64</v>
      </c>
      <c r="QE160" s="16">
        <v>0</v>
      </c>
      <c r="QF160" s="16">
        <v>0</v>
      </c>
      <c r="QG160" s="16">
        <v>0</v>
      </c>
      <c r="QH160" s="16">
        <v>0</v>
      </c>
      <c r="QI160" s="16">
        <v>0</v>
      </c>
      <c r="QJ160">
        <v>0</v>
      </c>
      <c r="QK160" t="s">
        <v>501</v>
      </c>
      <c r="QL160">
        <v>58</v>
      </c>
      <c r="QM160" s="16">
        <v>79.900000000000006</v>
      </c>
      <c r="QN160" s="16">
        <v>80.400000000000006</v>
      </c>
      <c r="QO160" s="16">
        <v>43.6</v>
      </c>
      <c r="QP160">
        <v>26.15</v>
      </c>
      <c r="QQ160" s="17">
        <v>0</v>
      </c>
      <c r="QR160">
        <v>0</v>
      </c>
      <c r="QS160">
        <v>0</v>
      </c>
      <c r="QT160">
        <v>0</v>
      </c>
      <c r="QU160">
        <v>0</v>
      </c>
      <c r="QV160">
        <v>73.849999999999994</v>
      </c>
      <c r="QW160">
        <v>18.43</v>
      </c>
      <c r="QX160">
        <v>20.420000000000002</v>
      </c>
      <c r="QY160">
        <v>0</v>
      </c>
      <c r="QZ160">
        <v>0</v>
      </c>
      <c r="RA160">
        <v>2.44</v>
      </c>
      <c r="RB160">
        <v>0.13</v>
      </c>
      <c r="RC160">
        <v>9.7100000000000009</v>
      </c>
      <c r="RD160">
        <v>18.309999999999999</v>
      </c>
      <c r="RE160">
        <v>0</v>
      </c>
      <c r="RF160">
        <v>0</v>
      </c>
      <c r="RG160">
        <v>0</v>
      </c>
      <c r="RT160">
        <v>9.1</v>
      </c>
      <c r="RU160">
        <v>1</v>
      </c>
      <c r="RV160">
        <v>68</v>
      </c>
      <c r="RW160">
        <v>1</v>
      </c>
      <c r="RX160">
        <v>0.05</v>
      </c>
      <c r="RY160">
        <v>1</v>
      </c>
      <c r="RZ160">
        <v>35</v>
      </c>
      <c r="SA160">
        <v>3</v>
      </c>
      <c r="SB160">
        <f>0.76+0.64</f>
        <v>1.4</v>
      </c>
      <c r="SC160">
        <v>3</v>
      </c>
      <c r="SD160">
        <v>47</v>
      </c>
      <c r="SE160">
        <v>2</v>
      </c>
      <c r="SF160" s="18">
        <v>0.23</v>
      </c>
      <c r="SG160">
        <v>3</v>
      </c>
      <c r="SX160">
        <v>1</v>
      </c>
      <c r="SY160">
        <v>60</v>
      </c>
      <c r="SZ160">
        <v>2</v>
      </c>
      <c r="TA160">
        <v>0.26</v>
      </c>
      <c r="TB160">
        <v>3</v>
      </c>
      <c r="UI160" s="16">
        <v>0</v>
      </c>
      <c r="UJ160" s="16">
        <v>0</v>
      </c>
      <c r="UK160" s="16"/>
      <c r="UL160" s="16"/>
      <c r="UM160" s="16"/>
      <c r="UN160" s="16"/>
      <c r="UO160" s="16"/>
      <c r="UP160" s="16"/>
      <c r="UQ160" s="16"/>
      <c r="UR160" s="16"/>
      <c r="US160" s="16"/>
      <c r="UT160" s="16">
        <v>1.97</v>
      </c>
      <c r="UU160" s="16">
        <v>1.24</v>
      </c>
      <c r="UV160" s="16">
        <v>0</v>
      </c>
      <c r="UW160" s="16">
        <v>0</v>
      </c>
      <c r="UX160" s="16">
        <v>0</v>
      </c>
      <c r="UY160" s="16">
        <v>0</v>
      </c>
      <c r="UZ160" s="16">
        <v>3</v>
      </c>
      <c r="VA160">
        <v>0</v>
      </c>
      <c r="VB160" t="s">
        <v>502</v>
      </c>
      <c r="VC160">
        <v>34.5</v>
      </c>
      <c r="VD160" s="16">
        <v>53.2</v>
      </c>
      <c r="VE160" s="16">
        <v>80.400000000000006</v>
      </c>
      <c r="VF160" s="16">
        <v>8.3000000000000007</v>
      </c>
      <c r="VG160">
        <v>99.94</v>
      </c>
      <c r="VH160" s="17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9.15</v>
      </c>
      <c r="VT160">
        <v>18.41</v>
      </c>
      <c r="VU160">
        <v>11.73</v>
      </c>
      <c r="VV160">
        <v>0</v>
      </c>
      <c r="VW160">
        <v>0</v>
      </c>
      <c r="VX160">
        <v>0</v>
      </c>
      <c r="WK160">
        <v>11.9</v>
      </c>
      <c r="WL160">
        <v>1</v>
      </c>
      <c r="WM160">
        <v>47</v>
      </c>
      <c r="WN160">
        <v>3</v>
      </c>
      <c r="WO160">
        <v>1.52</v>
      </c>
      <c r="WP160">
        <v>2</v>
      </c>
      <c r="WW160" s="18"/>
      <c r="XO160">
        <v>0</v>
      </c>
      <c r="YZ160" s="16">
        <v>5.7</v>
      </c>
      <c r="ZA160" s="16">
        <v>1</v>
      </c>
      <c r="ZB160" s="16">
        <v>1</v>
      </c>
      <c r="ZC160" s="16"/>
      <c r="ZD160" s="16">
        <f>2.11+2.11+0.05+0.05+0.37</f>
        <v>4.6899999999999995</v>
      </c>
      <c r="ZE160" s="16">
        <v>2</v>
      </c>
      <c r="ZF160" s="16"/>
      <c r="ZG160" s="16">
        <f>3.17+3.17+0.56+0.56+0.33</f>
        <v>7.7900000000000009</v>
      </c>
      <c r="ZH160" s="16"/>
      <c r="ZI160" s="16"/>
      <c r="ZJ160" s="16"/>
      <c r="ZK160" s="16">
        <v>0</v>
      </c>
      <c r="ZL160" s="16">
        <v>0</v>
      </c>
      <c r="ZM160" s="16"/>
      <c r="ZN160" s="16"/>
      <c r="ZO160" s="16">
        <v>5.97</v>
      </c>
      <c r="ZP160" s="16">
        <v>0</v>
      </c>
      <c r="ZQ160" s="16">
        <v>0</v>
      </c>
      <c r="ZR160">
        <v>1</v>
      </c>
      <c r="ZS160" t="s">
        <v>503</v>
      </c>
      <c r="ZT160">
        <v>47</v>
      </c>
      <c r="ZU160" s="16">
        <v>54.1</v>
      </c>
      <c r="ZV160" s="16">
        <v>80.400000000000006</v>
      </c>
      <c r="ZW160" s="16">
        <v>34.5</v>
      </c>
      <c r="ZX160">
        <v>71.45</v>
      </c>
      <c r="ZY160" s="17">
        <v>0</v>
      </c>
      <c r="ZZ160">
        <v>21.93</v>
      </c>
      <c r="AAA160">
        <v>6.49</v>
      </c>
      <c r="AAB160">
        <v>0.12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1.01</v>
      </c>
      <c r="AAJ160">
        <v>0.45</v>
      </c>
      <c r="AAK160">
        <v>18.399999999999999</v>
      </c>
      <c r="AAL160">
        <v>11.28</v>
      </c>
      <c r="AAM160">
        <v>0</v>
      </c>
      <c r="AAN160">
        <v>0</v>
      </c>
      <c r="AAO160">
        <v>0</v>
      </c>
      <c r="ABB160">
        <v>6</v>
      </c>
      <c r="ABC160">
        <v>1</v>
      </c>
      <c r="ABD160">
        <v>35</v>
      </c>
      <c r="ABE160">
        <v>8</v>
      </c>
      <c r="ABF160">
        <f>0.25+0.25+0.25+0.13+0.13+0.13+0.13</f>
        <v>1.27</v>
      </c>
      <c r="ABG160">
        <v>3</v>
      </c>
      <c r="ABN160" s="18"/>
      <c r="ACF160">
        <v>1</v>
      </c>
      <c r="ACG160">
        <v>50</v>
      </c>
      <c r="ACH160">
        <v>2</v>
      </c>
      <c r="ACI160">
        <f>0.76*2</f>
        <v>1.52</v>
      </c>
      <c r="ACJ160">
        <v>1</v>
      </c>
      <c r="ADQ160" s="16">
        <v>0.42</v>
      </c>
      <c r="ADR160" s="16">
        <v>1</v>
      </c>
      <c r="ADS160" s="16">
        <v>1</v>
      </c>
      <c r="ADT160" s="16"/>
      <c r="ADU160" s="16">
        <f>0.68+0.68+0.03</f>
        <v>1.3900000000000001</v>
      </c>
      <c r="ADV160" s="16"/>
      <c r="ADW160" s="16"/>
      <c r="ADX160" s="16"/>
      <c r="ADY160" s="16"/>
      <c r="ADZ160" s="16"/>
      <c r="AEA160" s="16"/>
      <c r="AEB160" s="16">
        <v>5.21</v>
      </c>
      <c r="AEC160" s="16">
        <v>7.05</v>
      </c>
      <c r="AED160" s="16"/>
      <c r="AEE160" s="16"/>
      <c r="AEF160" s="16">
        <v>0</v>
      </c>
      <c r="AEG160" s="16">
        <v>0</v>
      </c>
      <c r="AEH160" s="16">
        <v>0</v>
      </c>
      <c r="AEI160">
        <v>0</v>
      </c>
      <c r="AEJ160" t="s">
        <v>504</v>
      </c>
      <c r="AEK160">
        <v>65.5</v>
      </c>
      <c r="AEL160" s="16">
        <v>92.2</v>
      </c>
      <c r="AEM160" s="16">
        <v>80.400000000000006</v>
      </c>
      <c r="AEN160" s="16">
        <v>61.7</v>
      </c>
      <c r="AEO160">
        <v>22.46</v>
      </c>
      <c r="AEP160" s="17">
        <v>0</v>
      </c>
      <c r="AEQ160">
        <v>0</v>
      </c>
      <c r="AER160">
        <v>0</v>
      </c>
      <c r="AES160">
        <v>0</v>
      </c>
      <c r="AET160">
        <v>0</v>
      </c>
      <c r="AEU160">
        <v>70.92</v>
      </c>
      <c r="AEV160">
        <v>9.4</v>
      </c>
      <c r="AEW160">
        <v>33.69</v>
      </c>
      <c r="AEX160">
        <v>0</v>
      </c>
      <c r="AEY160">
        <v>0</v>
      </c>
      <c r="AEZ160">
        <v>14.46</v>
      </c>
      <c r="AFA160">
        <v>11.32</v>
      </c>
      <c r="AFB160">
        <v>6.58</v>
      </c>
      <c r="AFC160">
        <v>8.8800000000000008</v>
      </c>
      <c r="AFD160">
        <v>6.62</v>
      </c>
      <c r="AFE160">
        <v>0</v>
      </c>
      <c r="AFF160">
        <v>0</v>
      </c>
      <c r="AFS160">
        <v>3.2</v>
      </c>
      <c r="AFT160">
        <v>0</v>
      </c>
      <c r="AGE160" s="18"/>
      <c r="AGW160">
        <v>1</v>
      </c>
      <c r="AGX160">
        <v>60</v>
      </c>
      <c r="AGY160">
        <v>2</v>
      </c>
      <c r="AGZ160">
        <f>0.76*2</f>
        <v>1.52</v>
      </c>
      <c r="AHA160">
        <v>3</v>
      </c>
      <c r="AIH160" s="16">
        <v>0.63</v>
      </c>
      <c r="AII160" s="16">
        <v>1</v>
      </c>
      <c r="AIJ160" s="16">
        <v>1</v>
      </c>
      <c r="AIK160" s="16"/>
      <c r="AIL160" s="16">
        <v>3.17</v>
      </c>
      <c r="AIM160" s="16"/>
      <c r="AIN160" s="16"/>
      <c r="AIO160" s="16"/>
      <c r="AIP160" s="16"/>
      <c r="AIQ160" s="16"/>
      <c r="AIR160" s="16"/>
      <c r="AIS160" s="16">
        <v>0</v>
      </c>
      <c r="AIT160" s="16">
        <v>0</v>
      </c>
      <c r="AIU160" s="16"/>
      <c r="AIV160" s="16"/>
      <c r="AIW160" s="16">
        <v>0</v>
      </c>
      <c r="AIX160" s="16">
        <v>0</v>
      </c>
      <c r="AIY160" s="16">
        <v>0</v>
      </c>
      <c r="AIZ160">
        <v>0</v>
      </c>
      <c r="AJA160" t="s">
        <v>505</v>
      </c>
      <c r="AJB160">
        <v>59</v>
      </c>
      <c r="AJC160" s="16">
        <v>90.4</v>
      </c>
      <c r="AJD160" s="16">
        <v>80.400000000000006</v>
      </c>
      <c r="AJE160" s="16">
        <v>54.7</v>
      </c>
      <c r="AJF160">
        <v>26.42</v>
      </c>
      <c r="AJG160" s="17">
        <v>0</v>
      </c>
      <c r="AJH160">
        <v>0</v>
      </c>
      <c r="AJI160">
        <v>0</v>
      </c>
      <c r="AJJ160">
        <v>0</v>
      </c>
      <c r="AJK160">
        <v>0</v>
      </c>
      <c r="AJL160">
        <v>66.959999999999994</v>
      </c>
      <c r="AJM160">
        <v>6.55</v>
      </c>
      <c r="AJN160">
        <v>30.83</v>
      </c>
      <c r="AJO160">
        <v>0</v>
      </c>
      <c r="AJP160">
        <v>0</v>
      </c>
      <c r="AJQ160">
        <v>14.46</v>
      </c>
      <c r="AJR160">
        <v>11.57</v>
      </c>
      <c r="AJS160">
        <v>6.5</v>
      </c>
      <c r="AJT160">
        <v>6.03</v>
      </c>
      <c r="AJU160">
        <v>6.62</v>
      </c>
      <c r="AJV160">
        <v>0</v>
      </c>
      <c r="AJW160">
        <v>0</v>
      </c>
      <c r="AKJ160">
        <v>3.2</v>
      </c>
      <c r="AKK160">
        <v>0</v>
      </c>
      <c r="AKV160" s="18"/>
      <c r="ALN160">
        <v>1</v>
      </c>
      <c r="ALO160">
        <v>60</v>
      </c>
      <c r="ALP160">
        <v>2</v>
      </c>
      <c r="ALQ160">
        <v>1.52</v>
      </c>
      <c r="ALR160">
        <v>3</v>
      </c>
    </row>
    <row r="161" spans="1:1024" ht="14.25" customHeight="1" x14ac:dyDescent="0.2">
      <c r="A161" s="1" t="s">
        <v>622</v>
      </c>
      <c r="B161" s="12">
        <v>42902</v>
      </c>
      <c r="C161">
        <v>2</v>
      </c>
      <c r="D161" s="13">
        <v>42821</v>
      </c>
      <c r="E161" s="12">
        <v>33434</v>
      </c>
      <c r="F161" s="14">
        <f t="shared" si="48"/>
        <v>25.921971252566735</v>
      </c>
      <c r="G161" s="14">
        <f t="shared" si="49"/>
        <v>0.22176591375770022</v>
      </c>
      <c r="H161" s="15" t="s">
        <v>181</v>
      </c>
      <c r="I161" s="15" t="s">
        <v>496</v>
      </c>
      <c r="J161" s="15" t="s">
        <v>183</v>
      </c>
      <c r="K161" s="15">
        <v>4</v>
      </c>
      <c r="L161" s="19">
        <v>70</v>
      </c>
      <c r="M161">
        <v>1.76</v>
      </c>
      <c r="N161" s="16">
        <f t="shared" si="50"/>
        <v>22.598140495867771</v>
      </c>
      <c r="O161" s="19">
        <v>0</v>
      </c>
      <c r="P161" s="19">
        <v>0</v>
      </c>
      <c r="Q161" s="19">
        <v>0</v>
      </c>
      <c r="R161" s="19">
        <v>0</v>
      </c>
      <c r="S161" s="19">
        <v>0</v>
      </c>
      <c r="T161" s="19">
        <v>0</v>
      </c>
      <c r="U161" s="19">
        <v>0</v>
      </c>
      <c r="V161" s="19">
        <v>0</v>
      </c>
      <c r="W161" s="19">
        <v>0</v>
      </c>
      <c r="X161" s="19">
        <v>0</v>
      </c>
      <c r="Y161" s="19">
        <v>0</v>
      </c>
      <c r="Z161" s="19">
        <v>0</v>
      </c>
      <c r="AA161" s="19">
        <v>0</v>
      </c>
      <c r="AB161" s="19">
        <v>0</v>
      </c>
      <c r="AC161" s="19">
        <v>0</v>
      </c>
      <c r="AD161" s="19">
        <v>0</v>
      </c>
      <c r="AE161" s="19">
        <v>0</v>
      </c>
      <c r="AF161" s="19">
        <v>0</v>
      </c>
      <c r="AG161" s="19">
        <v>0</v>
      </c>
      <c r="AH161" s="19">
        <v>0</v>
      </c>
      <c r="AI161" s="19">
        <v>3</v>
      </c>
      <c r="AJ161" s="19">
        <v>0</v>
      </c>
      <c r="AK161" s="19">
        <v>0</v>
      </c>
      <c r="AL161" s="19">
        <v>0</v>
      </c>
      <c r="AM161" s="19">
        <v>0</v>
      </c>
      <c r="AN161" s="19">
        <v>0</v>
      </c>
      <c r="AO161" s="19">
        <v>0</v>
      </c>
      <c r="AP161" s="19">
        <v>0</v>
      </c>
      <c r="AQ161" s="19">
        <v>0</v>
      </c>
      <c r="AR161" s="19">
        <v>0</v>
      </c>
      <c r="AS161" s="19">
        <v>0</v>
      </c>
      <c r="AT161" s="19">
        <v>0</v>
      </c>
      <c r="AU161" s="19">
        <v>0</v>
      </c>
      <c r="AV161" s="19">
        <v>0</v>
      </c>
      <c r="AW161" s="19">
        <v>0</v>
      </c>
      <c r="AX161" s="19">
        <v>0</v>
      </c>
      <c r="AY161" s="19">
        <v>0</v>
      </c>
      <c r="AZ161" s="19">
        <v>0</v>
      </c>
      <c r="BA161" s="19">
        <v>0</v>
      </c>
      <c r="BB161" s="19">
        <v>1</v>
      </c>
      <c r="BC161" s="19">
        <v>0</v>
      </c>
      <c r="BD161" s="19">
        <v>0</v>
      </c>
      <c r="BE161" s="19">
        <v>0</v>
      </c>
      <c r="BF161" s="19">
        <v>0</v>
      </c>
      <c r="BG161" s="19">
        <v>0</v>
      </c>
      <c r="BH161" s="19">
        <v>0</v>
      </c>
      <c r="BI161" s="19">
        <v>0</v>
      </c>
      <c r="BJ161" s="19">
        <v>0</v>
      </c>
      <c r="BK161" s="19">
        <v>0</v>
      </c>
      <c r="BL161" s="19">
        <v>0</v>
      </c>
      <c r="BM161" s="19">
        <v>0</v>
      </c>
      <c r="BN161" s="19">
        <v>0</v>
      </c>
      <c r="BO161" s="19">
        <v>0</v>
      </c>
      <c r="BP161" s="19">
        <v>0</v>
      </c>
      <c r="BQ161" s="19">
        <v>0</v>
      </c>
      <c r="BR161" s="19">
        <v>2</v>
      </c>
      <c r="BS161" s="19">
        <v>2</v>
      </c>
      <c r="BT161" s="19">
        <v>3</v>
      </c>
      <c r="BU161" s="19">
        <v>4</v>
      </c>
      <c r="BV161" s="19">
        <v>2</v>
      </c>
      <c r="BW161" s="19">
        <v>2</v>
      </c>
      <c r="BX161" s="19">
        <v>2</v>
      </c>
      <c r="BY161" s="19">
        <v>3</v>
      </c>
      <c r="BZ161" s="19">
        <v>3</v>
      </c>
      <c r="CA161" s="19">
        <v>4</v>
      </c>
      <c r="CB161" s="19">
        <v>4</v>
      </c>
      <c r="CC161" s="19">
        <v>4</v>
      </c>
      <c r="CD161" s="19">
        <v>4</v>
      </c>
      <c r="CE161" s="19">
        <v>4</v>
      </c>
      <c r="CF161" s="19">
        <v>5</v>
      </c>
      <c r="CG161" s="19">
        <v>5</v>
      </c>
      <c r="CH161" s="19">
        <v>5</v>
      </c>
      <c r="CI161" s="19">
        <v>5</v>
      </c>
      <c r="CJ161" s="19">
        <v>4</v>
      </c>
      <c r="CK161" s="19">
        <v>10</v>
      </c>
      <c r="CL161" t="s">
        <v>498</v>
      </c>
      <c r="CM161">
        <v>33</v>
      </c>
      <c r="CN161" s="16">
        <v>71.2</v>
      </c>
      <c r="CO161" s="16">
        <v>80.400000000000006</v>
      </c>
      <c r="CP161" s="16">
        <v>16.3</v>
      </c>
      <c r="CQ161">
        <v>83.24</v>
      </c>
      <c r="CR161" s="17">
        <v>0</v>
      </c>
      <c r="CS161">
        <v>0</v>
      </c>
      <c r="CT161">
        <v>0</v>
      </c>
      <c r="CU161">
        <v>14.14</v>
      </c>
      <c r="CV161">
        <v>0</v>
      </c>
      <c r="CW161">
        <v>2.63</v>
      </c>
      <c r="CX161">
        <v>0</v>
      </c>
      <c r="CY161">
        <v>0</v>
      </c>
      <c r="CZ161">
        <v>0</v>
      </c>
      <c r="DA161">
        <v>0</v>
      </c>
      <c r="DB161">
        <v>2.63</v>
      </c>
      <c r="DC161">
        <v>10.16</v>
      </c>
      <c r="DD161">
        <v>20.83</v>
      </c>
      <c r="DE161">
        <v>24.81</v>
      </c>
      <c r="DF161">
        <v>0</v>
      </c>
      <c r="DG161">
        <v>11.2</v>
      </c>
      <c r="DH161">
        <v>1</v>
      </c>
      <c r="DI161">
        <v>5</v>
      </c>
      <c r="DK161">
        <v>1</v>
      </c>
      <c r="DO161">
        <v>5</v>
      </c>
      <c r="DQ161">
        <v>1</v>
      </c>
      <c r="DU161">
        <v>0</v>
      </c>
      <c r="DV161">
        <v>0</v>
      </c>
      <c r="EG161" s="18"/>
      <c r="EY161">
        <v>0</v>
      </c>
      <c r="GJ161" s="16">
        <v>2.71</v>
      </c>
      <c r="GK161" s="16">
        <v>1</v>
      </c>
      <c r="GL161" s="16">
        <v>1</v>
      </c>
      <c r="GM161" s="16"/>
      <c r="GN161" s="16">
        <f>2.11*4+0.52*2</f>
        <v>9.48</v>
      </c>
      <c r="GO161" s="16"/>
      <c r="GP161" s="16"/>
      <c r="GQ161" s="16"/>
      <c r="GR161" s="16"/>
      <c r="GS161" s="16"/>
      <c r="GT161" s="16"/>
      <c r="GU161" s="16">
        <v>2.63</v>
      </c>
      <c r="GV161" s="16">
        <v>2.6</v>
      </c>
      <c r="GW161" s="16">
        <v>0</v>
      </c>
      <c r="GX161" s="16">
        <v>0</v>
      </c>
      <c r="GY161" s="16">
        <v>0</v>
      </c>
      <c r="GZ161" s="16">
        <v>0</v>
      </c>
      <c r="HA161" s="16">
        <v>0</v>
      </c>
      <c r="HB161">
        <v>0</v>
      </c>
      <c r="HC161" t="s">
        <v>499</v>
      </c>
      <c r="HD161">
        <v>40</v>
      </c>
      <c r="HE161" s="16">
        <v>79.7</v>
      </c>
      <c r="HF161" s="16">
        <v>80.400000000000006</v>
      </c>
      <c r="HG161" s="16">
        <v>11.2</v>
      </c>
      <c r="HH161">
        <v>91.23</v>
      </c>
      <c r="HI161" s="17">
        <v>0</v>
      </c>
      <c r="HJ161">
        <v>0</v>
      </c>
      <c r="HK161">
        <v>0</v>
      </c>
      <c r="HL161">
        <v>8.77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18.64</v>
      </c>
      <c r="HU161">
        <v>42.82</v>
      </c>
      <c r="HV161">
        <v>4.6100000000000003</v>
      </c>
      <c r="HW161">
        <v>0</v>
      </c>
      <c r="HX161">
        <v>0</v>
      </c>
      <c r="HY161">
        <v>0</v>
      </c>
      <c r="IL161">
        <v>23.2</v>
      </c>
      <c r="IM161">
        <v>1</v>
      </c>
      <c r="IN161">
        <v>35</v>
      </c>
      <c r="IO161">
        <f>2+4+2+2+2+4+2+2+1</f>
        <v>21</v>
      </c>
      <c r="IP161">
        <f>1.52+1.49+0.78*2+0.27+0.43+0.12+0.13</f>
        <v>5.52</v>
      </c>
      <c r="IQ161">
        <v>3</v>
      </c>
      <c r="IR161">
        <v>10</v>
      </c>
      <c r="IS161">
        <v>1</v>
      </c>
      <c r="IT161">
        <v>0.1</v>
      </c>
      <c r="IU161">
        <v>5</v>
      </c>
      <c r="IV161">
        <v>25</v>
      </c>
      <c r="IW161">
        <v>8</v>
      </c>
      <c r="IX161" s="18">
        <f>0.19*2+0.1</f>
        <v>0.48</v>
      </c>
      <c r="IY161">
        <v>1</v>
      </c>
      <c r="JP161">
        <v>0</v>
      </c>
      <c r="LA161" s="16">
        <v>1.52</v>
      </c>
      <c r="LB161" s="16">
        <v>1</v>
      </c>
      <c r="LC161" s="16">
        <v>1</v>
      </c>
      <c r="LD161" s="16"/>
      <c r="LE161" s="16">
        <f>2.11*2+0.19*3+0.1</f>
        <v>4.8899999999999997</v>
      </c>
      <c r="LF161" s="16"/>
      <c r="LG161" s="16"/>
      <c r="LH161" s="16"/>
      <c r="LI161" s="16"/>
      <c r="LJ161" s="16"/>
      <c r="LK161" s="16"/>
      <c r="LL161" s="16">
        <v>0</v>
      </c>
      <c r="LM161" s="16">
        <v>0</v>
      </c>
      <c r="LN161" s="16">
        <v>0</v>
      </c>
      <c r="LO161" s="16">
        <v>0</v>
      </c>
      <c r="LP161" s="16">
        <v>0</v>
      </c>
      <c r="LQ161" s="16">
        <v>0</v>
      </c>
      <c r="LR161" s="16">
        <v>0.06</v>
      </c>
      <c r="LS161">
        <v>0</v>
      </c>
      <c r="LT161" t="s">
        <v>500</v>
      </c>
      <c r="LU161">
        <v>48</v>
      </c>
      <c r="LV161" s="16">
        <v>69.7</v>
      </c>
      <c r="LW161" s="16">
        <v>80.400000000000006</v>
      </c>
      <c r="LX161" s="16">
        <v>44.5</v>
      </c>
      <c r="LY161">
        <v>13.55</v>
      </c>
      <c r="LZ161" s="17">
        <v>0</v>
      </c>
      <c r="MA161">
        <v>0</v>
      </c>
      <c r="MB161">
        <v>0</v>
      </c>
      <c r="MC161">
        <v>0.1</v>
      </c>
      <c r="MD161">
        <v>0</v>
      </c>
      <c r="ME161">
        <v>86.34</v>
      </c>
      <c r="MF161">
        <v>13.26</v>
      </c>
      <c r="MG161">
        <v>28.53</v>
      </c>
      <c r="MH161">
        <v>0</v>
      </c>
      <c r="MI161">
        <v>0</v>
      </c>
      <c r="MJ161">
        <v>0.78</v>
      </c>
      <c r="MK161">
        <v>3.48</v>
      </c>
      <c r="ML161">
        <v>11.45</v>
      </c>
      <c r="MM161">
        <v>6.85</v>
      </c>
      <c r="MN161">
        <v>0</v>
      </c>
      <c r="MO161">
        <v>0</v>
      </c>
      <c r="MP161">
        <v>0</v>
      </c>
      <c r="NC161">
        <v>0</v>
      </c>
      <c r="ND161">
        <v>0</v>
      </c>
      <c r="NO161" s="18"/>
      <c r="OG161">
        <v>0</v>
      </c>
      <c r="PR161" s="16">
        <v>0.75</v>
      </c>
      <c r="PS161" s="16">
        <v>1</v>
      </c>
      <c r="PT161" s="16">
        <v>1</v>
      </c>
      <c r="PU161" s="16"/>
      <c r="PV161" s="16">
        <f>2.11+0.37</f>
        <v>2.48</v>
      </c>
      <c r="PW161" s="16"/>
      <c r="PX161" s="16"/>
      <c r="PY161" s="16"/>
      <c r="PZ161" s="16"/>
      <c r="QA161" s="16"/>
      <c r="QB161" s="16"/>
      <c r="QC161" s="16">
        <v>2.66</v>
      </c>
      <c r="QD161" s="16">
        <v>2.64</v>
      </c>
      <c r="QE161" s="16">
        <v>0</v>
      </c>
      <c r="QF161" s="16">
        <v>0</v>
      </c>
      <c r="QG161" s="16">
        <v>0</v>
      </c>
      <c r="QH161" s="16">
        <v>0</v>
      </c>
      <c r="QI161" s="16">
        <v>0</v>
      </c>
      <c r="QJ161">
        <v>0</v>
      </c>
      <c r="QK161" t="s">
        <v>501</v>
      </c>
      <c r="QL161">
        <v>58</v>
      </c>
      <c r="QM161" s="16">
        <v>79.900000000000006</v>
      </c>
      <c r="QN161" s="16">
        <v>80.400000000000006</v>
      </c>
      <c r="QO161" s="16">
        <v>43.6</v>
      </c>
      <c r="QP161">
        <v>26.15</v>
      </c>
      <c r="QQ161" s="17">
        <v>0</v>
      </c>
      <c r="QR161">
        <v>0</v>
      </c>
      <c r="QS161">
        <v>0</v>
      </c>
      <c r="QT161">
        <v>0</v>
      </c>
      <c r="QU161">
        <v>0</v>
      </c>
      <c r="QV161">
        <v>73.849999999999994</v>
      </c>
      <c r="QW161">
        <v>18.43</v>
      </c>
      <c r="QX161">
        <v>20.420000000000002</v>
      </c>
      <c r="QY161">
        <v>0</v>
      </c>
      <c r="QZ161">
        <v>0</v>
      </c>
      <c r="RA161">
        <v>2.44</v>
      </c>
      <c r="RB161">
        <v>0.13</v>
      </c>
      <c r="RC161">
        <v>9.7100000000000009</v>
      </c>
      <c r="RD161">
        <v>18.309999999999999</v>
      </c>
      <c r="RE161">
        <v>0</v>
      </c>
      <c r="RF161">
        <v>0</v>
      </c>
      <c r="RG161">
        <v>0</v>
      </c>
      <c r="RT161">
        <v>9.1</v>
      </c>
      <c r="RU161">
        <v>1</v>
      </c>
      <c r="RV161">
        <v>68</v>
      </c>
      <c r="RW161">
        <v>1</v>
      </c>
      <c r="RX161">
        <v>0.05</v>
      </c>
      <c r="RY161">
        <v>1</v>
      </c>
      <c r="RZ161">
        <v>35</v>
      </c>
      <c r="SA161">
        <v>3</v>
      </c>
      <c r="SB161">
        <f>0.76+0.64</f>
        <v>1.4</v>
      </c>
      <c r="SC161">
        <v>3</v>
      </c>
      <c r="SD161">
        <v>47</v>
      </c>
      <c r="SE161">
        <v>2</v>
      </c>
      <c r="SF161" s="18">
        <v>0.23</v>
      </c>
      <c r="SG161">
        <v>3</v>
      </c>
      <c r="SX161">
        <v>1</v>
      </c>
      <c r="SY161">
        <v>60</v>
      </c>
      <c r="SZ161">
        <v>2</v>
      </c>
      <c r="TA161">
        <v>0.26</v>
      </c>
      <c r="TB161">
        <v>3</v>
      </c>
      <c r="UI161" s="16">
        <v>0</v>
      </c>
      <c r="UJ161" s="16">
        <v>0</v>
      </c>
      <c r="UK161" s="16"/>
      <c r="UL161" s="16"/>
      <c r="UM161" s="16"/>
      <c r="UN161" s="16"/>
      <c r="UO161" s="16"/>
      <c r="UP161" s="16"/>
      <c r="UQ161" s="16"/>
      <c r="UR161" s="16"/>
      <c r="US161" s="16"/>
      <c r="UT161" s="16">
        <v>1.97</v>
      </c>
      <c r="UU161" s="16">
        <v>1.24</v>
      </c>
      <c r="UV161" s="16">
        <v>0</v>
      </c>
      <c r="UW161" s="16">
        <v>0</v>
      </c>
      <c r="UX161" s="16">
        <v>0</v>
      </c>
      <c r="UY161" s="16">
        <v>0</v>
      </c>
      <c r="UZ161" s="16">
        <v>3</v>
      </c>
      <c r="VA161">
        <v>0</v>
      </c>
      <c r="VB161" t="s">
        <v>502</v>
      </c>
      <c r="VC161">
        <v>34.5</v>
      </c>
      <c r="VD161" s="16">
        <v>53.2</v>
      </c>
      <c r="VE161" s="16">
        <v>80.400000000000006</v>
      </c>
      <c r="VF161" s="16">
        <v>8.3000000000000007</v>
      </c>
      <c r="VG161">
        <v>99.94</v>
      </c>
      <c r="VH161" s="17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9.15</v>
      </c>
      <c r="VT161">
        <v>18.41</v>
      </c>
      <c r="VU161">
        <v>11.73</v>
      </c>
      <c r="VV161">
        <v>0</v>
      </c>
      <c r="VW161">
        <v>0</v>
      </c>
      <c r="VX161">
        <v>0</v>
      </c>
      <c r="WK161">
        <v>11.9</v>
      </c>
      <c r="WL161">
        <v>1</v>
      </c>
      <c r="WM161">
        <v>47</v>
      </c>
      <c r="WN161">
        <v>3</v>
      </c>
      <c r="WO161">
        <v>1.52</v>
      </c>
      <c r="WP161">
        <v>2</v>
      </c>
      <c r="WW161" s="18"/>
      <c r="XO161">
        <v>0</v>
      </c>
      <c r="YZ161" s="16">
        <v>5.7</v>
      </c>
      <c r="ZA161" s="16">
        <v>1</v>
      </c>
      <c r="ZB161" s="16">
        <v>1</v>
      </c>
      <c r="ZC161" s="16"/>
      <c r="ZD161" s="16">
        <f>2.11+2.11+0.05+0.05+0.37</f>
        <v>4.6899999999999995</v>
      </c>
      <c r="ZE161" s="16">
        <v>2</v>
      </c>
      <c r="ZF161" s="16"/>
      <c r="ZG161" s="16">
        <f>3.17+3.17+0.56+0.56+0.33</f>
        <v>7.7900000000000009</v>
      </c>
      <c r="ZH161" s="16"/>
      <c r="ZI161" s="16"/>
      <c r="ZJ161" s="16"/>
      <c r="ZK161" s="16">
        <v>0</v>
      </c>
      <c r="ZL161" s="16">
        <v>0</v>
      </c>
      <c r="ZM161" s="16"/>
      <c r="ZN161" s="16"/>
      <c r="ZO161" s="16">
        <v>5.97</v>
      </c>
      <c r="ZP161" s="16">
        <v>0</v>
      </c>
      <c r="ZQ161" s="16">
        <v>0</v>
      </c>
      <c r="ZR161">
        <v>1</v>
      </c>
      <c r="ZS161" t="s">
        <v>503</v>
      </c>
      <c r="ZT161">
        <v>47</v>
      </c>
      <c r="ZU161" s="16">
        <v>54.1</v>
      </c>
      <c r="ZV161" s="16">
        <v>80.400000000000006</v>
      </c>
      <c r="ZW161" s="16">
        <v>34.5</v>
      </c>
      <c r="ZX161">
        <v>71.45</v>
      </c>
      <c r="ZY161" s="17">
        <v>0</v>
      </c>
      <c r="ZZ161">
        <v>21.93</v>
      </c>
      <c r="AAA161">
        <v>6.49</v>
      </c>
      <c r="AAB161">
        <v>0.12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1.01</v>
      </c>
      <c r="AAJ161">
        <v>0.45</v>
      </c>
      <c r="AAK161">
        <v>18.399999999999999</v>
      </c>
      <c r="AAL161">
        <v>11.28</v>
      </c>
      <c r="AAM161">
        <v>0</v>
      </c>
      <c r="AAN161">
        <v>0</v>
      </c>
      <c r="AAO161">
        <v>0</v>
      </c>
      <c r="ABB161">
        <v>6</v>
      </c>
      <c r="ABC161">
        <v>1</v>
      </c>
      <c r="ABD161">
        <v>35</v>
      </c>
      <c r="ABE161">
        <v>8</v>
      </c>
      <c r="ABF161">
        <f>0.25+0.25+0.25+0.13+0.13+0.13+0.13</f>
        <v>1.27</v>
      </c>
      <c r="ABG161">
        <v>3</v>
      </c>
      <c r="ABN161" s="18"/>
      <c r="ACF161">
        <v>1</v>
      </c>
      <c r="ACG161">
        <v>50</v>
      </c>
      <c r="ACH161">
        <v>2</v>
      </c>
      <c r="ACI161">
        <f>0.76*2</f>
        <v>1.52</v>
      </c>
      <c r="ACJ161">
        <v>1</v>
      </c>
      <c r="ADQ161" s="16">
        <v>0.42</v>
      </c>
      <c r="ADR161" s="16">
        <v>1</v>
      </c>
      <c r="ADS161" s="16">
        <v>1</v>
      </c>
      <c r="ADT161" s="16"/>
      <c r="ADU161" s="16">
        <f>0.68+0.68+0.03</f>
        <v>1.3900000000000001</v>
      </c>
      <c r="ADV161" s="16"/>
      <c r="ADW161" s="16"/>
      <c r="ADX161" s="16"/>
      <c r="ADY161" s="16"/>
      <c r="ADZ161" s="16"/>
      <c r="AEA161" s="16"/>
      <c r="AEB161" s="16">
        <v>5.21</v>
      </c>
      <c r="AEC161" s="16">
        <v>7.05</v>
      </c>
      <c r="AED161" s="16"/>
      <c r="AEE161" s="16"/>
      <c r="AEF161" s="16">
        <v>0</v>
      </c>
      <c r="AEG161" s="16">
        <v>0</v>
      </c>
      <c r="AEH161" s="16">
        <v>0</v>
      </c>
      <c r="AEI161">
        <v>0</v>
      </c>
      <c r="AEJ161" t="s">
        <v>504</v>
      </c>
      <c r="AEK161">
        <v>65.5</v>
      </c>
      <c r="AEL161" s="16">
        <v>92.2</v>
      </c>
      <c r="AEM161" s="16">
        <v>80.400000000000006</v>
      </c>
      <c r="AEN161" s="16">
        <v>61.7</v>
      </c>
      <c r="AEO161">
        <v>22.46</v>
      </c>
      <c r="AEP161" s="17">
        <v>0</v>
      </c>
      <c r="AEQ161">
        <v>0</v>
      </c>
      <c r="AER161">
        <v>0</v>
      </c>
      <c r="AES161">
        <v>0</v>
      </c>
      <c r="AET161">
        <v>0</v>
      </c>
      <c r="AEU161">
        <v>70.92</v>
      </c>
      <c r="AEV161">
        <v>9.4</v>
      </c>
      <c r="AEW161">
        <v>33.69</v>
      </c>
      <c r="AEX161">
        <v>0</v>
      </c>
      <c r="AEY161">
        <v>0</v>
      </c>
      <c r="AEZ161">
        <v>14.46</v>
      </c>
      <c r="AFA161">
        <v>11.32</v>
      </c>
      <c r="AFB161">
        <v>6.58</v>
      </c>
      <c r="AFC161">
        <v>8.8800000000000008</v>
      </c>
      <c r="AFD161">
        <v>6.62</v>
      </c>
      <c r="AFE161">
        <v>0</v>
      </c>
      <c r="AFF161">
        <v>0</v>
      </c>
      <c r="AFS161">
        <v>3.2</v>
      </c>
      <c r="AFT161">
        <v>0</v>
      </c>
      <c r="AGE161" s="18"/>
      <c r="AGW161">
        <v>1</v>
      </c>
      <c r="AGX161">
        <v>60</v>
      </c>
      <c r="AGY161">
        <v>2</v>
      </c>
      <c r="AGZ161">
        <f>0.76*2</f>
        <v>1.52</v>
      </c>
      <c r="AHA161">
        <v>3</v>
      </c>
      <c r="AIH161" s="16">
        <v>0.63</v>
      </c>
      <c r="AII161" s="16">
        <v>1</v>
      </c>
      <c r="AIJ161" s="16">
        <v>1</v>
      </c>
      <c r="AIK161" s="16"/>
      <c r="AIL161" s="16">
        <v>3.17</v>
      </c>
      <c r="AIM161" s="16"/>
      <c r="AIN161" s="16"/>
      <c r="AIO161" s="16"/>
      <c r="AIP161" s="16"/>
      <c r="AIQ161" s="16"/>
      <c r="AIR161" s="16"/>
      <c r="AIS161" s="16">
        <v>0</v>
      </c>
      <c r="AIT161" s="16">
        <v>0</v>
      </c>
      <c r="AIU161" s="16"/>
      <c r="AIV161" s="16"/>
      <c r="AIW161" s="16">
        <v>0</v>
      </c>
      <c r="AIX161" s="16">
        <v>0</v>
      </c>
      <c r="AIY161" s="16">
        <v>0</v>
      </c>
      <c r="AIZ161">
        <v>0</v>
      </c>
      <c r="AJA161" t="s">
        <v>505</v>
      </c>
      <c r="AJB161">
        <v>59</v>
      </c>
      <c r="AJC161" s="16">
        <v>90.4</v>
      </c>
      <c r="AJD161" s="16">
        <v>80.400000000000006</v>
      </c>
      <c r="AJE161" s="16">
        <v>54.7</v>
      </c>
      <c r="AJF161">
        <v>26.42</v>
      </c>
      <c r="AJG161" s="17">
        <v>0</v>
      </c>
      <c r="AJH161">
        <v>0</v>
      </c>
      <c r="AJI161">
        <v>0</v>
      </c>
      <c r="AJJ161">
        <v>0</v>
      </c>
      <c r="AJK161">
        <v>0</v>
      </c>
      <c r="AJL161">
        <v>66.959999999999994</v>
      </c>
      <c r="AJM161">
        <v>6.55</v>
      </c>
      <c r="AJN161">
        <v>30.83</v>
      </c>
      <c r="AJO161">
        <v>0</v>
      </c>
      <c r="AJP161">
        <v>0</v>
      </c>
      <c r="AJQ161">
        <v>14.46</v>
      </c>
      <c r="AJR161">
        <v>11.57</v>
      </c>
      <c r="AJS161">
        <v>6.5</v>
      </c>
      <c r="AJT161">
        <v>6.03</v>
      </c>
      <c r="AJU161">
        <v>6.62</v>
      </c>
      <c r="AJV161">
        <v>0</v>
      </c>
      <c r="AJW161">
        <v>0</v>
      </c>
      <c r="AKJ161">
        <v>3.2</v>
      </c>
      <c r="AKK161">
        <v>0</v>
      </c>
      <c r="AKV161" s="18"/>
      <c r="ALN161">
        <v>1</v>
      </c>
      <c r="ALO161">
        <v>60</v>
      </c>
      <c r="ALP161">
        <v>2</v>
      </c>
      <c r="ALQ161">
        <v>1.52</v>
      </c>
      <c r="ALR161">
        <v>3</v>
      </c>
    </row>
    <row r="162" spans="1:1024" x14ac:dyDescent="0.2">
      <c r="A162" s="1" t="s">
        <v>623</v>
      </c>
      <c r="B162" s="12">
        <v>42905</v>
      </c>
      <c r="C162">
        <v>2</v>
      </c>
      <c r="D162" s="13">
        <v>42870</v>
      </c>
      <c r="E162" s="12">
        <v>31537</v>
      </c>
      <c r="F162" s="14">
        <f t="shared" si="48"/>
        <v>31.123887748117728</v>
      </c>
      <c r="G162" s="14">
        <f t="shared" si="49"/>
        <v>9.5824777549623541E-2</v>
      </c>
      <c r="H162" s="15" t="s">
        <v>181</v>
      </c>
      <c r="I162" s="15" t="s">
        <v>496</v>
      </c>
      <c r="J162" s="15" t="s">
        <v>183</v>
      </c>
      <c r="K162" s="15">
        <v>4</v>
      </c>
      <c r="L162" s="19">
        <v>74</v>
      </c>
      <c r="M162">
        <v>1.77</v>
      </c>
      <c r="N162" s="16">
        <f t="shared" si="50"/>
        <v>23.620287912158062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1</v>
      </c>
      <c r="Z162" s="19">
        <v>1</v>
      </c>
      <c r="AA162" s="19">
        <v>90</v>
      </c>
      <c r="AB162" s="19" t="s">
        <v>349</v>
      </c>
      <c r="AC162" s="19">
        <v>0</v>
      </c>
      <c r="AD162" s="19">
        <v>0</v>
      </c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>
        <v>3</v>
      </c>
      <c r="AT162" s="19">
        <v>3</v>
      </c>
      <c r="AU162" s="19">
        <v>3</v>
      </c>
      <c r="AV162" s="19">
        <v>7</v>
      </c>
      <c r="AW162" s="19">
        <v>3</v>
      </c>
      <c r="AX162" s="19"/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  <c r="BK162" s="19"/>
      <c r="BL162" s="19"/>
      <c r="BM162" s="19"/>
      <c r="BN162" s="19"/>
      <c r="BO162" s="19"/>
      <c r="BP162" s="19"/>
      <c r="BQ162" s="19"/>
      <c r="BR162" s="19">
        <v>2</v>
      </c>
      <c r="BS162" s="19">
        <v>3</v>
      </c>
      <c r="BT162" s="19">
        <v>5</v>
      </c>
      <c r="BU162" s="19">
        <v>5</v>
      </c>
      <c r="BV162" s="19">
        <v>3</v>
      </c>
      <c r="BW162" s="19">
        <v>5</v>
      </c>
      <c r="BX162" s="19">
        <v>5</v>
      </c>
      <c r="BY162" s="19">
        <v>4</v>
      </c>
      <c r="BZ162" s="19">
        <v>3</v>
      </c>
      <c r="CA162" s="19">
        <v>3</v>
      </c>
      <c r="CB162" s="19">
        <v>3</v>
      </c>
      <c r="CC162" s="19">
        <v>5</v>
      </c>
      <c r="CD162" s="19">
        <v>3</v>
      </c>
      <c r="CE162" s="19">
        <v>5</v>
      </c>
      <c r="CF162" s="19">
        <v>5</v>
      </c>
      <c r="CG162" s="19">
        <v>5</v>
      </c>
      <c r="CH162" s="19">
        <v>5</v>
      </c>
      <c r="CI162" s="19">
        <v>5</v>
      </c>
      <c r="CJ162" s="19">
        <v>4</v>
      </c>
      <c r="CK162" s="19">
        <v>7</v>
      </c>
      <c r="CL162" t="s">
        <v>501</v>
      </c>
      <c r="CM162">
        <v>58</v>
      </c>
      <c r="CN162" s="16">
        <v>79.900000000000006</v>
      </c>
      <c r="CO162" s="16">
        <v>80.400000000000006</v>
      </c>
      <c r="CP162" s="16">
        <v>43.6</v>
      </c>
      <c r="CQ162">
        <v>26.15</v>
      </c>
      <c r="CR162" s="17">
        <v>0</v>
      </c>
      <c r="CS162">
        <v>0</v>
      </c>
      <c r="CT162">
        <v>0</v>
      </c>
      <c r="CU162">
        <v>0</v>
      </c>
      <c r="CV162">
        <v>0</v>
      </c>
      <c r="CW162">
        <v>73.849999999999994</v>
      </c>
      <c r="CX162">
        <v>18.43</v>
      </c>
      <c r="CY162">
        <v>20.420000000000002</v>
      </c>
      <c r="CZ162">
        <v>0</v>
      </c>
      <c r="DA162">
        <v>0</v>
      </c>
      <c r="DB162">
        <v>2.44</v>
      </c>
      <c r="DC162">
        <v>0.13</v>
      </c>
      <c r="DD162">
        <v>9.7100000000000009</v>
      </c>
      <c r="DE162">
        <v>18.309999999999999</v>
      </c>
      <c r="DF162">
        <v>0</v>
      </c>
      <c r="DG162">
        <v>0</v>
      </c>
      <c r="DH162">
        <v>0</v>
      </c>
      <c r="DU162">
        <v>9.1</v>
      </c>
      <c r="DV162">
        <v>1</v>
      </c>
      <c r="DW162">
        <v>68</v>
      </c>
      <c r="DX162">
        <v>1</v>
      </c>
      <c r="DY162">
        <v>0.05</v>
      </c>
      <c r="DZ162">
        <v>1</v>
      </c>
      <c r="EA162">
        <v>35</v>
      </c>
      <c r="EB162">
        <v>3</v>
      </c>
      <c r="EC162">
        <f>0.76+0.64</f>
        <v>1.4</v>
      </c>
      <c r="ED162">
        <v>3</v>
      </c>
      <c r="EE162">
        <v>47</v>
      </c>
      <c r="EF162">
        <v>2</v>
      </c>
      <c r="EG162" s="18">
        <v>0.23</v>
      </c>
      <c r="EH162">
        <v>3</v>
      </c>
      <c r="EY162">
        <v>1</v>
      </c>
      <c r="EZ162">
        <v>60</v>
      </c>
      <c r="FA162">
        <v>2</v>
      </c>
      <c r="FB162">
        <v>0.26</v>
      </c>
      <c r="FC162">
        <v>3</v>
      </c>
      <c r="GJ162" s="16">
        <v>0</v>
      </c>
      <c r="GK162" s="16">
        <v>0</v>
      </c>
      <c r="GL162" s="16"/>
      <c r="GM162" s="16"/>
      <c r="GN162" s="16"/>
      <c r="GO162" s="16"/>
      <c r="GP162" s="16"/>
      <c r="GQ162" s="16"/>
      <c r="GR162" s="16"/>
      <c r="GS162" s="16"/>
      <c r="GT162" s="16"/>
      <c r="GU162" s="16">
        <v>1.97</v>
      </c>
      <c r="GV162" s="16">
        <v>1.24</v>
      </c>
      <c r="GW162" s="16">
        <v>0</v>
      </c>
      <c r="GX162" s="16">
        <v>0</v>
      </c>
      <c r="GY162" s="16">
        <v>0</v>
      </c>
      <c r="GZ162" s="16">
        <v>0</v>
      </c>
      <c r="HA162" s="16">
        <v>3</v>
      </c>
      <c r="HB162">
        <v>0</v>
      </c>
      <c r="HC162" t="s">
        <v>498</v>
      </c>
      <c r="HD162">
        <v>33</v>
      </c>
      <c r="HE162" s="16">
        <v>71.2</v>
      </c>
      <c r="HF162" s="16">
        <v>80.400000000000006</v>
      </c>
      <c r="HG162" s="16">
        <v>16.3</v>
      </c>
      <c r="HH162">
        <v>83.24</v>
      </c>
      <c r="HI162" s="17">
        <v>0</v>
      </c>
      <c r="HJ162">
        <v>0</v>
      </c>
      <c r="HK162">
        <v>0</v>
      </c>
      <c r="HL162">
        <v>14.14</v>
      </c>
      <c r="HM162">
        <v>0</v>
      </c>
      <c r="HN162">
        <v>2.63</v>
      </c>
      <c r="HO162">
        <v>0</v>
      </c>
      <c r="HP162">
        <v>0</v>
      </c>
      <c r="HQ162">
        <v>0</v>
      </c>
      <c r="HR162">
        <v>0</v>
      </c>
      <c r="HS162">
        <v>2.63</v>
      </c>
      <c r="HT162">
        <v>10.16</v>
      </c>
      <c r="HU162">
        <v>20.83</v>
      </c>
      <c r="HV162">
        <v>24.81</v>
      </c>
      <c r="HW162">
        <v>0</v>
      </c>
      <c r="HX162">
        <v>11.2</v>
      </c>
      <c r="HY162">
        <v>1</v>
      </c>
      <c r="HZ162">
        <v>5</v>
      </c>
      <c r="IB162">
        <v>1</v>
      </c>
      <c r="IF162">
        <v>5</v>
      </c>
      <c r="IH162">
        <v>1</v>
      </c>
      <c r="IL162">
        <v>0</v>
      </c>
      <c r="IM162">
        <v>0</v>
      </c>
      <c r="IX162" s="18"/>
      <c r="JP162">
        <v>0</v>
      </c>
      <c r="LA162" s="16">
        <v>2.71</v>
      </c>
      <c r="LB162" s="16">
        <v>1</v>
      </c>
      <c r="LC162" s="16">
        <v>1</v>
      </c>
      <c r="LD162" s="16"/>
      <c r="LE162" s="16">
        <f>2.11*4+0.52*2</f>
        <v>9.48</v>
      </c>
      <c r="LF162" s="16"/>
      <c r="LG162" s="16"/>
      <c r="LH162" s="16"/>
      <c r="LI162" s="16"/>
      <c r="LJ162" s="16"/>
      <c r="LK162" s="16"/>
      <c r="LL162" s="16">
        <v>2.63</v>
      </c>
      <c r="LM162" s="16">
        <v>2.6</v>
      </c>
      <c r="LN162" s="16">
        <v>0</v>
      </c>
      <c r="LO162" s="16">
        <v>0</v>
      </c>
      <c r="LP162" s="16">
        <v>0</v>
      </c>
      <c r="LQ162" s="16">
        <v>0</v>
      </c>
      <c r="LR162" s="16">
        <v>0</v>
      </c>
      <c r="LS162">
        <v>0</v>
      </c>
      <c r="LT162" t="s">
        <v>503</v>
      </c>
      <c r="LU162">
        <v>47</v>
      </c>
      <c r="LV162" s="16">
        <v>54.1</v>
      </c>
      <c r="LW162" s="16">
        <v>80.400000000000006</v>
      </c>
      <c r="LX162" s="16">
        <v>34.5</v>
      </c>
      <c r="LY162">
        <v>71.45</v>
      </c>
      <c r="LZ162" s="17">
        <v>0</v>
      </c>
      <c r="MA162">
        <v>21.93</v>
      </c>
      <c r="MB162">
        <v>6.49</v>
      </c>
      <c r="MC162">
        <v>0.12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1.01</v>
      </c>
      <c r="MK162">
        <v>0.45</v>
      </c>
      <c r="ML162">
        <v>18.399999999999999</v>
      </c>
      <c r="MM162">
        <v>11.28</v>
      </c>
      <c r="MN162">
        <v>0</v>
      </c>
      <c r="MO162">
        <v>0</v>
      </c>
      <c r="MP162">
        <v>0</v>
      </c>
      <c r="NC162">
        <v>6</v>
      </c>
      <c r="ND162">
        <v>1</v>
      </c>
      <c r="NE162">
        <v>35</v>
      </c>
      <c r="NF162">
        <v>8</v>
      </c>
      <c r="NG162">
        <f>0.25+0.25+0.25+0.13+0.13+0.13+0.13</f>
        <v>1.27</v>
      </c>
      <c r="NH162">
        <v>3</v>
      </c>
      <c r="NO162" s="18"/>
      <c r="OG162">
        <v>1</v>
      </c>
      <c r="OH162">
        <v>50</v>
      </c>
      <c r="OI162">
        <v>2</v>
      </c>
      <c r="OJ162">
        <f>0.76*2</f>
        <v>1.52</v>
      </c>
      <c r="OK162">
        <v>1</v>
      </c>
      <c r="PR162" s="16">
        <v>0.42</v>
      </c>
      <c r="PS162" s="16">
        <v>1</v>
      </c>
      <c r="PT162" s="16">
        <v>1</v>
      </c>
      <c r="PU162" s="16"/>
      <c r="PV162" s="16">
        <f>0.68+0.68+0.03</f>
        <v>1.3900000000000001</v>
      </c>
      <c r="PW162" s="16"/>
      <c r="PX162" s="16"/>
      <c r="PY162" s="16"/>
      <c r="PZ162" s="16"/>
      <c r="QA162" s="16"/>
      <c r="QB162" s="16"/>
      <c r="QC162" s="16">
        <v>5.21</v>
      </c>
      <c r="QD162" s="16">
        <v>7.05</v>
      </c>
      <c r="QE162" s="16"/>
      <c r="QF162" s="16"/>
      <c r="QG162" s="16">
        <v>0</v>
      </c>
      <c r="QH162" s="16">
        <v>0</v>
      </c>
      <c r="QI162" s="16">
        <v>0</v>
      </c>
      <c r="QJ162">
        <v>0</v>
      </c>
      <c r="QK162" t="s">
        <v>505</v>
      </c>
      <c r="QL162">
        <v>59</v>
      </c>
      <c r="QM162" s="16">
        <v>90.4</v>
      </c>
      <c r="QN162" s="16">
        <v>80.400000000000006</v>
      </c>
      <c r="QO162" s="16">
        <v>54.7</v>
      </c>
      <c r="QP162">
        <v>26.42</v>
      </c>
      <c r="QQ162" s="17">
        <v>0</v>
      </c>
      <c r="QR162">
        <v>0</v>
      </c>
      <c r="QS162">
        <v>0</v>
      </c>
      <c r="QT162">
        <v>0</v>
      </c>
      <c r="QU162">
        <v>0</v>
      </c>
      <c r="QV162">
        <v>66.959999999999994</v>
      </c>
      <c r="QW162">
        <v>6.55</v>
      </c>
      <c r="QX162">
        <v>30.83</v>
      </c>
      <c r="QY162">
        <v>0</v>
      </c>
      <c r="QZ162">
        <v>0</v>
      </c>
      <c r="RA162">
        <v>14.46</v>
      </c>
      <c r="RB162">
        <v>11.57</v>
      </c>
      <c r="RC162">
        <v>6.5</v>
      </c>
      <c r="RD162">
        <v>6.03</v>
      </c>
      <c r="RE162">
        <v>6.62</v>
      </c>
      <c r="RF162">
        <v>0</v>
      </c>
      <c r="RG162">
        <v>0</v>
      </c>
      <c r="RT162">
        <v>3.2</v>
      </c>
      <c r="RU162">
        <v>0</v>
      </c>
      <c r="SF162" s="18"/>
      <c r="SX162">
        <v>1</v>
      </c>
      <c r="SY162">
        <v>60</v>
      </c>
      <c r="SZ162">
        <v>2</v>
      </c>
      <c r="TA162">
        <v>1.52</v>
      </c>
      <c r="TB162">
        <v>3</v>
      </c>
      <c r="UI162" s="16">
        <v>0.63</v>
      </c>
      <c r="UJ162" s="16">
        <v>1</v>
      </c>
      <c r="UK162" s="16">
        <v>1</v>
      </c>
      <c r="UL162" s="16"/>
      <c r="UM162" s="16">
        <v>3.17</v>
      </c>
      <c r="UN162" s="16"/>
      <c r="UO162" s="16"/>
      <c r="UP162" s="16"/>
      <c r="UQ162" s="16"/>
      <c r="UR162" s="16"/>
      <c r="US162" s="16"/>
      <c r="UT162" s="16">
        <v>0</v>
      </c>
      <c r="UU162" s="16">
        <v>0</v>
      </c>
      <c r="UV162" s="16"/>
      <c r="UW162" s="16"/>
      <c r="UX162" s="16">
        <v>0</v>
      </c>
      <c r="UY162" s="16">
        <v>0</v>
      </c>
      <c r="UZ162" s="16">
        <v>0</v>
      </c>
      <c r="VA162">
        <v>0</v>
      </c>
      <c r="VE162" s="15"/>
      <c r="VF162" s="15"/>
      <c r="VM162" s="15"/>
      <c r="VN162" s="15"/>
      <c r="VU162" s="15"/>
      <c r="VV162" s="15"/>
      <c r="WC162" s="15"/>
      <c r="WD162" s="15"/>
      <c r="WK162" s="15"/>
      <c r="WL162" s="15"/>
      <c r="WS162" s="15"/>
      <c r="WT162" s="15"/>
      <c r="XA162" s="15"/>
      <c r="XB162" s="15"/>
      <c r="XI162" s="15"/>
      <c r="XJ162" s="15"/>
      <c r="XQ162" s="15"/>
      <c r="XR162" s="15"/>
      <c r="XY162" s="15"/>
      <c r="XZ162" s="15"/>
      <c r="YG162" s="15"/>
      <c r="YH162" s="15"/>
      <c r="YO162" s="15"/>
      <c r="YP162" s="15"/>
      <c r="YW162" s="15"/>
      <c r="YX162" s="15"/>
      <c r="ZE162" s="15"/>
      <c r="ZF162" s="15"/>
      <c r="ZM162" s="15"/>
      <c r="ZN162" s="15"/>
      <c r="ZU162" s="15"/>
      <c r="ZV162" s="15"/>
      <c r="AAC162" s="15"/>
      <c r="AAD162" s="15"/>
      <c r="AAK162" s="15"/>
      <c r="AAL162" s="15"/>
      <c r="AAS162" s="15"/>
      <c r="AAT162" s="15"/>
      <c r="ABA162" s="15"/>
      <c r="ABB162" s="15"/>
      <c r="ABI162" s="15"/>
      <c r="ABJ162" s="15"/>
      <c r="ABQ162" s="15"/>
      <c r="ABR162" s="15"/>
      <c r="ABY162" s="15"/>
      <c r="ABZ162" s="15"/>
      <c r="ACG162" s="15"/>
      <c r="ACH162" s="15"/>
      <c r="ACO162" s="15"/>
      <c r="ACP162" s="15"/>
      <c r="ACW162" s="15"/>
      <c r="ACX162" s="15"/>
      <c r="ADE162" s="15"/>
      <c r="ADF162" s="15"/>
      <c r="ADM162" s="15"/>
      <c r="ADN162" s="15"/>
      <c r="ADU162" s="15"/>
      <c r="ADV162" s="15"/>
      <c r="AEC162" s="15"/>
      <c r="AED162" s="15"/>
      <c r="AEK162" s="15"/>
      <c r="AEL162" s="15"/>
      <c r="AES162" s="15"/>
      <c r="AET162" s="15"/>
      <c r="AFA162" s="15"/>
      <c r="AFB162" s="15"/>
      <c r="AFI162" s="15"/>
      <c r="AFJ162" s="15"/>
      <c r="AFQ162" s="15"/>
      <c r="AFR162" s="15"/>
      <c r="AFY162" s="15"/>
      <c r="AFZ162" s="15"/>
      <c r="AGG162" s="15"/>
      <c r="AGH162" s="15"/>
      <c r="AGO162" s="15"/>
      <c r="AGP162" s="15"/>
      <c r="AGW162" s="15"/>
      <c r="AGX162" s="15"/>
      <c r="AHE162" s="15"/>
      <c r="AHF162" s="15"/>
      <c r="AHM162" s="15"/>
      <c r="AHN162" s="15"/>
      <c r="AHU162" s="15"/>
      <c r="AHV162" s="15"/>
      <c r="AIC162" s="15"/>
      <c r="AID162" s="15"/>
      <c r="AIK162" s="15"/>
      <c r="AIL162" s="15"/>
      <c r="AIS162" s="15"/>
      <c r="AIT162" s="15"/>
      <c r="AJA162" s="15"/>
      <c r="AJB162" s="15"/>
      <c r="AJI162" s="15"/>
      <c r="AJJ162" s="15"/>
      <c r="AJQ162" s="15"/>
      <c r="AJR162" s="15"/>
      <c r="AJY162" s="15"/>
      <c r="AJZ162" s="15"/>
      <c r="AKG162" s="15"/>
      <c r="AKH162" s="15"/>
      <c r="AKO162" s="15"/>
      <c r="AKP162" s="15"/>
      <c r="AKW162" s="15"/>
      <c r="AKX162" s="15"/>
      <c r="ALE162" s="15"/>
      <c r="ALF162" s="15"/>
      <c r="ALM162" s="15"/>
      <c r="ALN162" s="15"/>
      <c r="ALU162" s="15"/>
      <c r="ALV162" s="15"/>
      <c r="AMC162" s="15"/>
      <c r="AMD162" s="15"/>
    </row>
    <row r="163" spans="1:1024" ht="14.25" customHeight="1" x14ac:dyDescent="0.2">
      <c r="A163" s="1" t="s">
        <v>624</v>
      </c>
      <c r="B163" s="12">
        <v>42905</v>
      </c>
      <c r="C163">
        <v>2</v>
      </c>
      <c r="D163" s="13">
        <v>42807</v>
      </c>
      <c r="E163" s="12">
        <v>31543</v>
      </c>
      <c r="F163" s="14">
        <f t="shared" si="48"/>
        <v>31.107460643394933</v>
      </c>
      <c r="G163" s="14">
        <f t="shared" si="49"/>
        <v>0.26830937713894593</v>
      </c>
      <c r="H163" s="15" t="s">
        <v>181</v>
      </c>
      <c r="I163" s="15" t="s">
        <v>496</v>
      </c>
      <c r="J163" s="15" t="s">
        <v>183</v>
      </c>
      <c r="K163" s="15">
        <v>4</v>
      </c>
      <c r="L163" s="19">
        <v>72</v>
      </c>
      <c r="M163">
        <v>1.78</v>
      </c>
      <c r="N163" s="16">
        <f t="shared" si="50"/>
        <v>22.724403484408533</v>
      </c>
      <c r="O163" s="19">
        <v>0</v>
      </c>
      <c r="P163" s="19">
        <v>0</v>
      </c>
      <c r="Q163" s="19">
        <v>0</v>
      </c>
      <c r="R163" s="19">
        <v>0</v>
      </c>
      <c r="S163" s="19">
        <v>0</v>
      </c>
      <c r="T163" s="19">
        <v>0</v>
      </c>
      <c r="U163" s="19">
        <v>1</v>
      </c>
      <c r="V163" s="19">
        <v>7.5</v>
      </c>
      <c r="W163" s="19">
        <v>1</v>
      </c>
      <c r="X163" s="19">
        <v>0</v>
      </c>
      <c r="Y163" s="19">
        <v>1</v>
      </c>
      <c r="Z163" s="19">
        <v>1</v>
      </c>
      <c r="AA163" s="19">
        <v>120</v>
      </c>
      <c r="AB163" s="19" t="s">
        <v>625</v>
      </c>
      <c r="AC163" s="19">
        <v>1</v>
      </c>
      <c r="AD163" s="19">
        <v>10</v>
      </c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>
        <v>3</v>
      </c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  <c r="BK163" s="19"/>
      <c r="BL163" s="19"/>
      <c r="BM163" s="19"/>
      <c r="BN163" s="19"/>
      <c r="BO163" s="19"/>
      <c r="BP163" s="19"/>
      <c r="BQ163" s="19"/>
      <c r="BR163" s="19">
        <v>2</v>
      </c>
      <c r="BS163" s="19">
        <v>3</v>
      </c>
      <c r="BT163" s="19">
        <v>3</v>
      </c>
      <c r="BU163" s="19">
        <v>3</v>
      </c>
      <c r="BV163" s="19">
        <v>2</v>
      </c>
      <c r="BW163" s="19">
        <v>3</v>
      </c>
      <c r="BX163" s="19">
        <v>4</v>
      </c>
      <c r="BY163" s="19">
        <v>3</v>
      </c>
      <c r="BZ163" s="19">
        <v>3</v>
      </c>
      <c r="CA163" s="19">
        <v>3</v>
      </c>
      <c r="CB163" s="19">
        <v>3</v>
      </c>
      <c r="CC163" s="19">
        <v>3</v>
      </c>
      <c r="CD163" s="19">
        <v>3</v>
      </c>
      <c r="CE163" s="19">
        <v>3</v>
      </c>
      <c r="CF163" s="19">
        <v>3</v>
      </c>
      <c r="CG163" s="19">
        <v>3</v>
      </c>
      <c r="CH163" s="19">
        <v>5</v>
      </c>
      <c r="CI163" s="19">
        <v>5</v>
      </c>
      <c r="CJ163" s="19">
        <v>3</v>
      </c>
      <c r="CK163" s="19">
        <v>7</v>
      </c>
      <c r="CL163" t="s">
        <v>498</v>
      </c>
      <c r="CM163">
        <v>33</v>
      </c>
      <c r="CN163" s="16">
        <v>71.2</v>
      </c>
      <c r="CO163" s="16">
        <v>80.400000000000006</v>
      </c>
      <c r="CP163" s="16">
        <v>16.3</v>
      </c>
      <c r="CQ163">
        <v>83.24</v>
      </c>
      <c r="CR163" s="17">
        <v>0</v>
      </c>
      <c r="CS163">
        <v>0</v>
      </c>
      <c r="CT163">
        <v>0</v>
      </c>
      <c r="CU163">
        <v>14.14</v>
      </c>
      <c r="CV163">
        <v>0</v>
      </c>
      <c r="CW163">
        <v>2.63</v>
      </c>
      <c r="CX163">
        <v>0</v>
      </c>
      <c r="CY163">
        <v>0</v>
      </c>
      <c r="CZ163">
        <v>0</v>
      </c>
      <c r="DA163">
        <v>0</v>
      </c>
      <c r="DB163">
        <v>2.63</v>
      </c>
      <c r="DC163">
        <v>10.16</v>
      </c>
      <c r="DD163">
        <v>20.83</v>
      </c>
      <c r="DE163">
        <v>24.81</v>
      </c>
      <c r="DF163">
        <v>0</v>
      </c>
      <c r="DG163">
        <v>11.2</v>
      </c>
      <c r="DH163">
        <v>1</v>
      </c>
      <c r="DI163">
        <v>5</v>
      </c>
      <c r="DK163">
        <v>1</v>
      </c>
      <c r="DO163">
        <v>5</v>
      </c>
      <c r="DQ163">
        <v>1</v>
      </c>
      <c r="DU163">
        <v>0</v>
      </c>
      <c r="DV163">
        <v>0</v>
      </c>
      <c r="EG163" s="18"/>
      <c r="EY163">
        <v>0</v>
      </c>
      <c r="GJ163" s="16">
        <v>2.71</v>
      </c>
      <c r="GK163" s="16">
        <v>1</v>
      </c>
      <c r="GL163" s="16">
        <v>1</v>
      </c>
      <c r="GM163" s="16"/>
      <c r="GN163" s="16">
        <f>2.11*4+0.52*2</f>
        <v>9.48</v>
      </c>
      <c r="GO163" s="16"/>
      <c r="GP163" s="16"/>
      <c r="GQ163" s="16"/>
      <c r="GR163" s="16"/>
      <c r="GS163" s="16"/>
      <c r="GT163" s="16"/>
      <c r="GU163" s="16">
        <v>2.63</v>
      </c>
      <c r="GV163" s="16">
        <v>2.6</v>
      </c>
      <c r="GW163" s="16">
        <v>0</v>
      </c>
      <c r="GX163" s="16">
        <v>0</v>
      </c>
      <c r="GY163" s="16">
        <v>0</v>
      </c>
      <c r="GZ163" s="16">
        <v>0</v>
      </c>
      <c r="HA163" s="16">
        <v>0</v>
      </c>
      <c r="HB163">
        <v>0</v>
      </c>
      <c r="HC163" t="s">
        <v>500</v>
      </c>
      <c r="HD163">
        <v>48</v>
      </c>
      <c r="HE163" s="16">
        <v>69.7</v>
      </c>
      <c r="HF163" s="16">
        <v>80.400000000000006</v>
      </c>
      <c r="HG163" s="16">
        <v>44.5</v>
      </c>
      <c r="HH163">
        <v>13.55</v>
      </c>
      <c r="HI163" s="17">
        <v>0</v>
      </c>
      <c r="HJ163">
        <v>0</v>
      </c>
      <c r="HK163">
        <v>0</v>
      </c>
      <c r="HL163">
        <v>0.1</v>
      </c>
      <c r="HM163">
        <v>0</v>
      </c>
      <c r="HN163">
        <v>86.34</v>
      </c>
      <c r="HO163">
        <v>13.26</v>
      </c>
      <c r="HP163">
        <v>28.53</v>
      </c>
      <c r="HQ163">
        <v>0</v>
      </c>
      <c r="HR163">
        <v>0</v>
      </c>
      <c r="HS163">
        <v>0.78</v>
      </c>
      <c r="HT163">
        <v>3.48</v>
      </c>
      <c r="HU163">
        <v>11.45</v>
      </c>
      <c r="HV163">
        <v>6.85</v>
      </c>
      <c r="HW163">
        <v>0</v>
      </c>
      <c r="HX163">
        <v>0</v>
      </c>
      <c r="HY163">
        <v>0</v>
      </c>
      <c r="IL163">
        <v>0</v>
      </c>
      <c r="IM163">
        <v>0</v>
      </c>
      <c r="IX163" s="18"/>
      <c r="JP163">
        <v>0</v>
      </c>
      <c r="LA163" s="16">
        <v>0.75</v>
      </c>
      <c r="LB163" s="16">
        <v>1</v>
      </c>
      <c r="LC163" s="16">
        <v>1</v>
      </c>
      <c r="LD163" s="16"/>
      <c r="LE163" s="16">
        <f>2.11+0.37</f>
        <v>2.48</v>
      </c>
      <c r="LF163" s="16"/>
      <c r="LG163" s="16"/>
      <c r="LH163" s="16"/>
      <c r="LI163" s="16"/>
      <c r="LJ163" s="16"/>
      <c r="LK163" s="16"/>
      <c r="LL163" s="16">
        <v>2.66</v>
      </c>
      <c r="LM163" s="16">
        <v>2.64</v>
      </c>
      <c r="LN163" s="16">
        <v>0</v>
      </c>
      <c r="LO163" s="16">
        <v>0</v>
      </c>
      <c r="LP163" s="16">
        <v>0</v>
      </c>
      <c r="LQ163" s="16">
        <v>0</v>
      </c>
      <c r="LR163" s="16">
        <v>0</v>
      </c>
      <c r="LS163">
        <v>0</v>
      </c>
      <c r="LT163" t="s">
        <v>503</v>
      </c>
      <c r="LU163">
        <v>47</v>
      </c>
      <c r="LV163" s="16">
        <v>54.1</v>
      </c>
      <c r="LW163" s="16">
        <v>80.400000000000006</v>
      </c>
      <c r="LX163" s="16">
        <v>34.5</v>
      </c>
      <c r="LY163">
        <v>71.45</v>
      </c>
      <c r="LZ163" s="17">
        <v>0</v>
      </c>
      <c r="MA163">
        <v>21.93</v>
      </c>
      <c r="MB163">
        <v>6.49</v>
      </c>
      <c r="MC163">
        <v>0.12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1.01</v>
      </c>
      <c r="MK163">
        <v>0.45</v>
      </c>
      <c r="ML163">
        <v>18.399999999999999</v>
      </c>
      <c r="MM163">
        <v>11.28</v>
      </c>
      <c r="MN163">
        <v>0</v>
      </c>
      <c r="MO163">
        <v>0</v>
      </c>
      <c r="MP163">
        <v>0</v>
      </c>
      <c r="NC163">
        <v>6</v>
      </c>
      <c r="ND163">
        <v>1</v>
      </c>
      <c r="NE163">
        <v>35</v>
      </c>
      <c r="NF163">
        <v>8</v>
      </c>
      <c r="NG163">
        <f>0.25+0.25+0.25+0.13+0.13+0.13+0.13</f>
        <v>1.27</v>
      </c>
      <c r="NH163">
        <v>3</v>
      </c>
      <c r="NO163" s="18"/>
      <c r="OG163">
        <v>1</v>
      </c>
      <c r="OH163">
        <v>50</v>
      </c>
      <c r="OI163">
        <v>2</v>
      </c>
      <c r="OJ163">
        <f>0.76*2</f>
        <v>1.52</v>
      </c>
      <c r="OK163">
        <v>1</v>
      </c>
      <c r="PR163" s="16">
        <v>0.42</v>
      </c>
      <c r="PS163" s="16">
        <v>1</v>
      </c>
      <c r="PT163" s="16">
        <v>1</v>
      </c>
      <c r="PU163" s="16"/>
      <c r="PV163" s="16">
        <f>0.68+0.68+0.03</f>
        <v>1.3900000000000001</v>
      </c>
      <c r="PW163" s="16"/>
      <c r="PX163" s="16"/>
      <c r="PY163" s="16"/>
      <c r="PZ163" s="16"/>
      <c r="QA163" s="16"/>
      <c r="QB163" s="16"/>
      <c r="QC163" s="16">
        <v>5.21</v>
      </c>
      <c r="QD163" s="16">
        <v>7.05</v>
      </c>
      <c r="QE163" s="16"/>
      <c r="QF163" s="16"/>
      <c r="QG163" s="16">
        <v>0</v>
      </c>
      <c r="QH163" s="16">
        <v>0</v>
      </c>
      <c r="QI163" s="16">
        <v>0</v>
      </c>
      <c r="QJ163">
        <v>0</v>
      </c>
      <c r="QK163" t="s">
        <v>504</v>
      </c>
      <c r="QL163">
        <v>65.5</v>
      </c>
      <c r="QM163" s="16">
        <v>92.2</v>
      </c>
      <c r="QN163" s="16">
        <v>80.400000000000006</v>
      </c>
      <c r="QO163" s="16">
        <v>61.7</v>
      </c>
      <c r="QP163">
        <v>22.46</v>
      </c>
      <c r="QQ163" s="17">
        <v>0</v>
      </c>
      <c r="QR163">
        <v>0</v>
      </c>
      <c r="QS163">
        <v>0</v>
      </c>
      <c r="QT163">
        <v>0</v>
      </c>
      <c r="QU163">
        <v>0</v>
      </c>
      <c r="QV163">
        <v>70.92</v>
      </c>
      <c r="QW163">
        <v>9.4</v>
      </c>
      <c r="QX163">
        <v>33.69</v>
      </c>
      <c r="QY163">
        <v>0</v>
      </c>
      <c r="QZ163">
        <v>0</v>
      </c>
      <c r="RA163">
        <v>14.46</v>
      </c>
      <c r="RB163">
        <v>11.32</v>
      </c>
      <c r="RC163">
        <v>6.58</v>
      </c>
      <c r="RD163">
        <v>8.8800000000000008</v>
      </c>
      <c r="RE163">
        <v>6.62</v>
      </c>
      <c r="RF163">
        <v>0</v>
      </c>
      <c r="RG163">
        <v>0</v>
      </c>
      <c r="RT163">
        <v>3.2</v>
      </c>
      <c r="RU163">
        <v>0</v>
      </c>
      <c r="SF163" s="18"/>
      <c r="SX163">
        <v>1</v>
      </c>
      <c r="SY163">
        <v>60</v>
      </c>
      <c r="SZ163">
        <v>2</v>
      </c>
      <c r="TA163">
        <f>0.76*2</f>
        <v>1.52</v>
      </c>
      <c r="TB163">
        <v>3</v>
      </c>
      <c r="UI163" s="16">
        <v>0.63</v>
      </c>
      <c r="UJ163" s="16">
        <v>1</v>
      </c>
      <c r="UK163" s="16">
        <v>1</v>
      </c>
      <c r="UL163" s="16"/>
      <c r="UM163" s="16">
        <v>3.17</v>
      </c>
      <c r="UN163" s="16"/>
      <c r="UO163" s="16"/>
      <c r="UP163" s="16"/>
      <c r="UQ163" s="16"/>
      <c r="UR163" s="16"/>
      <c r="US163" s="16"/>
      <c r="UT163" s="16">
        <v>0</v>
      </c>
      <c r="UU163" s="16">
        <v>0</v>
      </c>
      <c r="UV163" s="16"/>
      <c r="UW163" s="16"/>
      <c r="UX163" s="16">
        <v>0</v>
      </c>
      <c r="UY163" s="16">
        <v>0</v>
      </c>
      <c r="UZ163" s="16">
        <v>0</v>
      </c>
      <c r="VA163">
        <v>0</v>
      </c>
      <c r="VB163" t="s">
        <v>619</v>
      </c>
      <c r="VC163">
        <v>42</v>
      </c>
      <c r="VD163" s="16">
        <v>97.3</v>
      </c>
      <c r="VE163" s="16">
        <v>80.400000000000006</v>
      </c>
      <c r="VF163" s="16">
        <v>14.9</v>
      </c>
      <c r="VG163">
        <v>88.72</v>
      </c>
      <c r="VH163" s="17">
        <v>0</v>
      </c>
      <c r="VI163">
        <v>0</v>
      </c>
      <c r="VJ163">
        <v>0</v>
      </c>
      <c r="VK163">
        <v>11.28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1.1399999999999999</v>
      </c>
      <c r="VT163">
        <v>50.12</v>
      </c>
      <c r="VU163">
        <v>30.38</v>
      </c>
      <c r="VV163">
        <v>0</v>
      </c>
      <c r="VW163">
        <v>0</v>
      </c>
      <c r="VX163">
        <v>1</v>
      </c>
      <c r="VY163">
        <v>2</v>
      </c>
      <c r="WA163">
        <v>4</v>
      </c>
      <c r="WE163">
        <v>2</v>
      </c>
      <c r="WG163">
        <v>4</v>
      </c>
      <c r="WK163">
        <v>0</v>
      </c>
      <c r="WL163">
        <v>0</v>
      </c>
      <c r="WW163" s="18"/>
      <c r="XO163">
        <v>0</v>
      </c>
      <c r="YZ163" s="16">
        <v>9.5299999999999994</v>
      </c>
      <c r="ZA163" s="16">
        <v>1</v>
      </c>
      <c r="ZB163" s="16">
        <v>1</v>
      </c>
      <c r="ZC163" s="16"/>
      <c r="ZD163" s="16">
        <f>3.17+6.34+4.23+0.56+1.12</f>
        <v>15.420000000000002</v>
      </c>
      <c r="ZE163" s="16">
        <v>2</v>
      </c>
      <c r="ZF163" s="16"/>
      <c r="ZG163" s="16">
        <f>8.46+1.59+1.59+1.49+0.28+1.49</f>
        <v>14.9</v>
      </c>
      <c r="ZH163" s="16"/>
      <c r="ZI163" s="16"/>
      <c r="ZJ163" s="16"/>
      <c r="ZK163" s="16">
        <v>14.15</v>
      </c>
      <c r="ZL163" s="16">
        <v>35.369999999999997</v>
      </c>
      <c r="ZM163" s="16"/>
      <c r="ZN163" s="16"/>
      <c r="ZO163" s="16">
        <v>0</v>
      </c>
      <c r="ZP163" s="16">
        <v>0</v>
      </c>
      <c r="ZQ163" s="16">
        <v>0</v>
      </c>
      <c r="ZR163">
        <v>0</v>
      </c>
      <c r="ZU163" s="15"/>
      <c r="ZV163" s="15"/>
      <c r="AAC163" s="15"/>
      <c r="AAD163" s="15"/>
      <c r="AAK163" s="15"/>
      <c r="AAL163" s="15"/>
      <c r="AAS163" s="15"/>
      <c r="AAT163" s="15"/>
      <c r="ABA163" s="15"/>
      <c r="ABB163" s="15"/>
      <c r="ABI163" s="15"/>
      <c r="ABJ163" s="15"/>
      <c r="ABQ163" s="15"/>
      <c r="ABR163" s="15"/>
      <c r="ABY163" s="15"/>
      <c r="ABZ163" s="15"/>
      <c r="ACG163" s="15"/>
      <c r="ACH163" s="15"/>
      <c r="ACO163" s="15"/>
      <c r="ACP163" s="15"/>
      <c r="ACW163" s="15"/>
      <c r="ACX163" s="15"/>
      <c r="ADE163" s="15"/>
      <c r="ADF163" s="15"/>
      <c r="ADM163" s="15"/>
      <c r="ADN163" s="15"/>
      <c r="ADU163" s="15"/>
      <c r="ADV163" s="15"/>
      <c r="AEC163" s="15"/>
      <c r="AED163" s="15"/>
      <c r="AEK163" s="15"/>
      <c r="AEL163" s="15"/>
      <c r="AES163" s="15"/>
      <c r="AET163" s="15"/>
      <c r="AFA163" s="15"/>
      <c r="AFB163" s="15"/>
      <c r="AFI163" s="15"/>
      <c r="AFJ163" s="15"/>
      <c r="AFQ163" s="15"/>
      <c r="AFR163" s="15"/>
      <c r="AFY163" s="15"/>
      <c r="AFZ163" s="15"/>
      <c r="AGG163" s="15"/>
      <c r="AGH163" s="15"/>
      <c r="AGO163" s="15"/>
      <c r="AGP163" s="15"/>
      <c r="AGW163" s="15"/>
      <c r="AGX163" s="15"/>
      <c r="AHE163" s="15"/>
      <c r="AHF163" s="15"/>
      <c r="AHM163" s="15"/>
      <c r="AHN163" s="15"/>
      <c r="AHU163" s="15"/>
      <c r="AHV163" s="15"/>
      <c r="AIC163" s="15"/>
      <c r="AID163" s="15"/>
      <c r="AIK163" s="15"/>
      <c r="AIL163" s="15"/>
      <c r="AIS163" s="15"/>
      <c r="AIT163" s="15"/>
      <c r="AJA163" s="15"/>
      <c r="AJB163" s="15"/>
      <c r="AJI163" s="15"/>
      <c r="AJJ163" s="15"/>
      <c r="AJQ163" s="15"/>
      <c r="AJR163" s="15"/>
      <c r="AJY163" s="15"/>
      <c r="AJZ163" s="15"/>
      <c r="AKG163" s="15"/>
      <c r="AKH163" s="15"/>
      <c r="AKO163" s="15"/>
      <c r="AKP163" s="15"/>
      <c r="AKW163" s="15"/>
      <c r="AKX163" s="15"/>
      <c r="ALE163" s="15"/>
      <c r="ALF163" s="15"/>
      <c r="ALM163" s="15"/>
      <c r="ALN163" s="15"/>
      <c r="ALU163" s="15"/>
      <c r="ALV163" s="15"/>
      <c r="AMC163" s="15"/>
      <c r="AMD163" s="15"/>
    </row>
    <row r="164" spans="1:1024" x14ac:dyDescent="0.2">
      <c r="A164" s="1" t="s">
        <v>626</v>
      </c>
      <c r="B164" s="12">
        <v>42904</v>
      </c>
      <c r="C164">
        <v>1</v>
      </c>
      <c r="D164" s="13">
        <v>40513</v>
      </c>
      <c r="E164" s="12">
        <v>29822</v>
      </c>
      <c r="F164" s="14">
        <f t="shared" si="48"/>
        <v>35.816563997262151</v>
      </c>
      <c r="G164" s="14">
        <f t="shared" si="49"/>
        <v>6.5462012320328542</v>
      </c>
      <c r="H164" s="15" t="s">
        <v>181</v>
      </c>
      <c r="I164" s="15" t="s">
        <v>496</v>
      </c>
      <c r="J164" s="15" t="s">
        <v>183</v>
      </c>
      <c r="K164" s="15">
        <v>4</v>
      </c>
      <c r="L164" s="19">
        <v>71</v>
      </c>
      <c r="M164">
        <v>1.73</v>
      </c>
      <c r="N164" s="16">
        <f t="shared" si="50"/>
        <v>23.722810651876106</v>
      </c>
      <c r="O164" s="19">
        <v>0</v>
      </c>
      <c r="P164" s="19">
        <v>0</v>
      </c>
      <c r="Q164" s="19">
        <v>0</v>
      </c>
      <c r="R164" s="19">
        <v>0</v>
      </c>
      <c r="S164" s="19">
        <v>0</v>
      </c>
      <c r="T164" s="19">
        <v>0</v>
      </c>
      <c r="U164" s="19">
        <v>0</v>
      </c>
      <c r="V164" s="19">
        <v>0</v>
      </c>
      <c r="W164" s="19">
        <v>1</v>
      </c>
      <c r="X164" s="19">
        <v>0</v>
      </c>
      <c r="Y164" s="19">
        <v>1</v>
      </c>
      <c r="Z164" s="19">
        <v>2</v>
      </c>
      <c r="AA164" s="19">
        <v>40</v>
      </c>
      <c r="AB164" s="19" t="s">
        <v>215</v>
      </c>
      <c r="AC164" s="19">
        <v>1</v>
      </c>
      <c r="AD164" s="19">
        <v>10</v>
      </c>
      <c r="AE164" s="19">
        <v>1</v>
      </c>
      <c r="AF164" s="19"/>
      <c r="AG164" s="19">
        <v>0</v>
      </c>
      <c r="AH164" s="19">
        <v>0</v>
      </c>
      <c r="AI164" s="19">
        <v>3</v>
      </c>
      <c r="AJ164" s="19">
        <v>3</v>
      </c>
      <c r="AK164" s="19">
        <v>3</v>
      </c>
      <c r="AL164" s="19"/>
      <c r="AM164" s="19"/>
      <c r="AN164" s="19">
        <v>1</v>
      </c>
      <c r="AO164" s="19">
        <v>1</v>
      </c>
      <c r="AP164" s="19">
        <v>0</v>
      </c>
      <c r="AQ164" s="19">
        <v>0</v>
      </c>
      <c r="AR164" s="19">
        <v>0</v>
      </c>
      <c r="AS164" s="19">
        <v>1</v>
      </c>
      <c r="AT164" s="19">
        <v>1</v>
      </c>
      <c r="AU164" s="19">
        <v>0</v>
      </c>
      <c r="AV164" s="19">
        <v>0</v>
      </c>
      <c r="AW164" s="19">
        <v>0</v>
      </c>
      <c r="AX164" s="19">
        <v>0</v>
      </c>
      <c r="AY164" s="19">
        <v>0</v>
      </c>
      <c r="AZ164" s="19">
        <v>0</v>
      </c>
      <c r="BA164" s="19">
        <v>0</v>
      </c>
      <c r="BB164" s="19">
        <v>1</v>
      </c>
      <c r="BC164" s="19">
        <v>1</v>
      </c>
      <c r="BD164" s="19">
        <v>0</v>
      </c>
      <c r="BE164" s="19">
        <v>0</v>
      </c>
      <c r="BF164" s="19">
        <v>0</v>
      </c>
      <c r="BG164" s="19">
        <v>0</v>
      </c>
      <c r="BH164" s="19">
        <v>0</v>
      </c>
      <c r="BI164" s="19">
        <v>0</v>
      </c>
      <c r="BJ164" s="19">
        <v>1</v>
      </c>
      <c r="BK164" s="19">
        <v>1</v>
      </c>
      <c r="BL164" s="19">
        <v>0</v>
      </c>
      <c r="BM164" s="19">
        <v>0</v>
      </c>
      <c r="BN164" s="19">
        <v>1</v>
      </c>
      <c r="BO164" s="19">
        <v>1</v>
      </c>
      <c r="BP164" s="19">
        <v>0</v>
      </c>
      <c r="BQ164" s="19">
        <v>0</v>
      </c>
      <c r="BR164" s="19">
        <v>3</v>
      </c>
      <c r="BS164" s="19">
        <v>3</v>
      </c>
      <c r="BT164" s="19">
        <v>3</v>
      </c>
      <c r="BU164" s="19">
        <v>5</v>
      </c>
      <c r="BV164" s="19">
        <v>3</v>
      </c>
      <c r="BW164" s="19">
        <v>5</v>
      </c>
      <c r="BX164" s="19">
        <v>1</v>
      </c>
      <c r="BY164" s="19">
        <v>5</v>
      </c>
      <c r="BZ164" s="19">
        <v>3</v>
      </c>
      <c r="CA164" s="19">
        <v>4</v>
      </c>
      <c r="CB164" s="19">
        <v>4</v>
      </c>
      <c r="CC164" s="19">
        <v>5</v>
      </c>
      <c r="CD164" s="19">
        <v>2</v>
      </c>
      <c r="CE164" s="19">
        <v>5</v>
      </c>
      <c r="CF164" s="19">
        <v>2</v>
      </c>
      <c r="CG164" s="19">
        <v>5</v>
      </c>
      <c r="CH164" s="19">
        <v>5</v>
      </c>
      <c r="CI164" s="19">
        <v>5</v>
      </c>
      <c r="CJ164" s="19">
        <v>3</v>
      </c>
      <c r="CK164" s="19">
        <v>10</v>
      </c>
      <c r="CL164" t="s">
        <v>498</v>
      </c>
      <c r="CM164">
        <v>33</v>
      </c>
      <c r="CN164" s="16">
        <v>71.2</v>
      </c>
      <c r="CO164" s="16">
        <v>80.400000000000006</v>
      </c>
      <c r="CP164" s="16">
        <v>16.3</v>
      </c>
      <c r="CQ164">
        <v>83.24</v>
      </c>
      <c r="CR164" s="17">
        <v>0</v>
      </c>
      <c r="CS164">
        <v>0</v>
      </c>
      <c r="CT164">
        <v>0</v>
      </c>
      <c r="CU164">
        <v>14.14</v>
      </c>
      <c r="CV164">
        <v>0</v>
      </c>
      <c r="CW164">
        <v>2.63</v>
      </c>
      <c r="CX164">
        <v>0</v>
      </c>
      <c r="CY164">
        <v>0</v>
      </c>
      <c r="CZ164">
        <v>0</v>
      </c>
      <c r="DA164">
        <v>0</v>
      </c>
      <c r="DB164">
        <v>2.63</v>
      </c>
      <c r="DC164">
        <v>10.16</v>
      </c>
      <c r="DD164">
        <v>20.83</v>
      </c>
      <c r="DE164">
        <v>24.81</v>
      </c>
      <c r="DF164">
        <v>0</v>
      </c>
      <c r="DG164">
        <v>11.2</v>
      </c>
      <c r="DH164">
        <v>1</v>
      </c>
      <c r="DI164">
        <v>5</v>
      </c>
      <c r="DK164">
        <v>1</v>
      </c>
      <c r="DO164">
        <v>5</v>
      </c>
      <c r="DQ164">
        <v>1</v>
      </c>
      <c r="DU164">
        <v>0</v>
      </c>
      <c r="DV164">
        <v>0</v>
      </c>
      <c r="EG164" s="18"/>
      <c r="EY164">
        <v>0</v>
      </c>
      <c r="GJ164" s="16">
        <v>2.71</v>
      </c>
      <c r="GK164" s="16">
        <v>1</v>
      </c>
      <c r="GL164" s="16">
        <v>1</v>
      </c>
      <c r="GM164" s="16"/>
      <c r="GN164" s="16">
        <f>2.11*4+0.52*2</f>
        <v>9.48</v>
      </c>
      <c r="GO164" s="16"/>
      <c r="GP164" s="16"/>
      <c r="GQ164" s="16"/>
      <c r="GR164" s="16"/>
      <c r="GS164" s="16"/>
      <c r="GT164" s="16"/>
      <c r="GU164" s="16">
        <v>2.63</v>
      </c>
      <c r="GV164" s="16">
        <v>2.6</v>
      </c>
      <c r="GW164" s="16">
        <v>0</v>
      </c>
      <c r="GX164" s="16">
        <v>0</v>
      </c>
      <c r="GY164" s="16">
        <v>0</v>
      </c>
      <c r="GZ164" s="16">
        <v>0</v>
      </c>
      <c r="HA164" s="16">
        <v>0</v>
      </c>
      <c r="HB164">
        <v>0</v>
      </c>
      <c r="HC164" t="s">
        <v>499</v>
      </c>
      <c r="HD164">
        <v>40</v>
      </c>
      <c r="HE164" s="16">
        <v>79.7</v>
      </c>
      <c r="HF164" s="16">
        <v>80.400000000000006</v>
      </c>
      <c r="HG164" s="16">
        <v>11.2</v>
      </c>
      <c r="HH164">
        <v>91.23</v>
      </c>
      <c r="HI164" s="17">
        <v>0</v>
      </c>
      <c r="HJ164">
        <v>0</v>
      </c>
      <c r="HK164">
        <v>0</v>
      </c>
      <c r="HL164">
        <v>8.77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18.64</v>
      </c>
      <c r="HU164">
        <v>42.82</v>
      </c>
      <c r="HV164">
        <v>4.6100000000000003</v>
      </c>
      <c r="HW164">
        <v>0</v>
      </c>
      <c r="HX164">
        <v>0</v>
      </c>
      <c r="HY164">
        <v>0</v>
      </c>
      <c r="IL164">
        <v>23.2</v>
      </c>
      <c r="IM164">
        <v>1</v>
      </c>
      <c r="IN164">
        <v>35</v>
      </c>
      <c r="IO164">
        <f>2+4+2+2+2+4+2+2+1</f>
        <v>21</v>
      </c>
      <c r="IP164">
        <f>1.52+1.49+0.78*2+0.27+0.43+0.12+0.13</f>
        <v>5.52</v>
      </c>
      <c r="IQ164">
        <v>3</v>
      </c>
      <c r="IR164">
        <v>10</v>
      </c>
      <c r="IS164">
        <v>1</v>
      </c>
      <c r="IT164">
        <v>0.1</v>
      </c>
      <c r="IU164">
        <v>5</v>
      </c>
      <c r="IV164">
        <v>25</v>
      </c>
      <c r="IW164">
        <v>8</v>
      </c>
      <c r="IX164" s="18">
        <f>0.19*2+0.1</f>
        <v>0.48</v>
      </c>
      <c r="IY164">
        <v>1</v>
      </c>
      <c r="JP164">
        <v>0</v>
      </c>
      <c r="LA164" s="16">
        <v>1.52</v>
      </c>
      <c r="LB164" s="16">
        <v>1</v>
      </c>
      <c r="LC164" s="16">
        <v>1</v>
      </c>
      <c r="LD164" s="16"/>
      <c r="LE164" s="16">
        <f>2.11*2+0.19*3+0.1</f>
        <v>4.8899999999999997</v>
      </c>
      <c r="LF164" s="16"/>
      <c r="LG164" s="16"/>
      <c r="LH164" s="16"/>
      <c r="LI164" s="16"/>
      <c r="LJ164" s="16"/>
      <c r="LK164" s="16"/>
      <c r="LL164" s="16">
        <v>0</v>
      </c>
      <c r="LM164" s="16">
        <v>0</v>
      </c>
      <c r="LN164" s="16">
        <v>0</v>
      </c>
      <c r="LO164" s="16">
        <v>0</v>
      </c>
      <c r="LP164" s="16">
        <v>0</v>
      </c>
      <c r="LQ164" s="16">
        <v>0</v>
      </c>
      <c r="LR164" s="16">
        <v>0.06</v>
      </c>
      <c r="LS164">
        <v>0</v>
      </c>
      <c r="LT164" t="s">
        <v>500</v>
      </c>
      <c r="LU164">
        <v>48</v>
      </c>
      <c r="LV164" s="16">
        <v>69.7</v>
      </c>
      <c r="LW164" s="16">
        <v>80.400000000000006</v>
      </c>
      <c r="LX164" s="16">
        <v>44.5</v>
      </c>
      <c r="LY164">
        <v>13.55</v>
      </c>
      <c r="LZ164" s="17">
        <v>0</v>
      </c>
      <c r="MA164">
        <v>0</v>
      </c>
      <c r="MB164">
        <v>0</v>
      </c>
      <c r="MC164">
        <v>0.1</v>
      </c>
      <c r="MD164">
        <v>0</v>
      </c>
      <c r="ME164">
        <v>86.34</v>
      </c>
      <c r="MF164">
        <v>13.26</v>
      </c>
      <c r="MG164">
        <v>28.53</v>
      </c>
      <c r="MH164">
        <v>0</v>
      </c>
      <c r="MI164">
        <v>0</v>
      </c>
      <c r="MJ164">
        <v>0.78</v>
      </c>
      <c r="MK164">
        <v>3.48</v>
      </c>
      <c r="ML164">
        <v>11.45</v>
      </c>
      <c r="MM164">
        <v>6.85</v>
      </c>
      <c r="MN164">
        <v>0</v>
      </c>
      <c r="MO164">
        <v>0</v>
      </c>
      <c r="MP164">
        <v>0</v>
      </c>
      <c r="NC164">
        <v>0</v>
      </c>
      <c r="ND164">
        <v>0</v>
      </c>
      <c r="NO164" s="18"/>
      <c r="OG164">
        <v>0</v>
      </c>
      <c r="PR164" s="16">
        <v>0.75</v>
      </c>
      <c r="PS164" s="16">
        <v>1</v>
      </c>
      <c r="PT164" s="16">
        <v>1</v>
      </c>
      <c r="PU164" s="16"/>
      <c r="PV164" s="16">
        <f>2.11+0.37</f>
        <v>2.48</v>
      </c>
      <c r="PW164" s="16"/>
      <c r="PX164" s="16"/>
      <c r="PY164" s="16"/>
      <c r="PZ164" s="16"/>
      <c r="QA164" s="16"/>
      <c r="QB164" s="16"/>
      <c r="QC164" s="16">
        <v>2.66</v>
      </c>
      <c r="QD164" s="16">
        <v>2.64</v>
      </c>
      <c r="QE164" s="16">
        <v>0</v>
      </c>
      <c r="QF164" s="16">
        <v>0</v>
      </c>
      <c r="QG164" s="16">
        <v>0</v>
      </c>
      <c r="QH164" s="16">
        <v>0</v>
      </c>
      <c r="QI164" s="16">
        <v>0</v>
      </c>
      <c r="QJ164">
        <v>0</v>
      </c>
      <c r="QK164" t="s">
        <v>501</v>
      </c>
      <c r="QL164">
        <v>58</v>
      </c>
      <c r="QM164" s="16">
        <v>79.900000000000006</v>
      </c>
      <c r="QN164" s="16">
        <v>80.400000000000006</v>
      </c>
      <c r="QO164" s="16">
        <v>43.6</v>
      </c>
      <c r="QP164">
        <v>26.15</v>
      </c>
      <c r="QQ164" s="17">
        <v>0</v>
      </c>
      <c r="QR164">
        <v>0</v>
      </c>
      <c r="QS164">
        <v>0</v>
      </c>
      <c r="QT164">
        <v>0</v>
      </c>
      <c r="QU164">
        <v>0</v>
      </c>
      <c r="QV164">
        <v>73.849999999999994</v>
      </c>
      <c r="QW164">
        <v>18.43</v>
      </c>
      <c r="QX164">
        <v>20.420000000000002</v>
      </c>
      <c r="QY164">
        <v>0</v>
      </c>
      <c r="QZ164">
        <v>0</v>
      </c>
      <c r="RA164">
        <v>2.44</v>
      </c>
      <c r="RB164">
        <v>0.13</v>
      </c>
      <c r="RC164">
        <v>9.7100000000000009</v>
      </c>
      <c r="RD164">
        <v>18.309999999999999</v>
      </c>
      <c r="RE164">
        <v>0</v>
      </c>
      <c r="RF164">
        <v>0</v>
      </c>
      <c r="RG164">
        <v>0</v>
      </c>
      <c r="RT164">
        <v>9.1</v>
      </c>
      <c r="RU164">
        <v>1</v>
      </c>
      <c r="RV164">
        <v>68</v>
      </c>
      <c r="RW164">
        <v>1</v>
      </c>
      <c r="RX164">
        <v>0.05</v>
      </c>
      <c r="RY164">
        <v>1</v>
      </c>
      <c r="RZ164">
        <v>35</v>
      </c>
      <c r="SA164">
        <v>3</v>
      </c>
      <c r="SB164">
        <f>0.76+0.64</f>
        <v>1.4</v>
      </c>
      <c r="SC164">
        <v>3</v>
      </c>
      <c r="SD164">
        <v>47</v>
      </c>
      <c r="SE164">
        <v>2</v>
      </c>
      <c r="SF164" s="18">
        <v>0.23</v>
      </c>
      <c r="SG164">
        <v>3</v>
      </c>
      <c r="SX164">
        <v>1</v>
      </c>
      <c r="SY164">
        <v>60</v>
      </c>
      <c r="SZ164">
        <v>2</v>
      </c>
      <c r="TA164">
        <v>0.26</v>
      </c>
      <c r="TB164">
        <v>3</v>
      </c>
      <c r="UI164" s="16">
        <v>0</v>
      </c>
      <c r="UJ164" s="16">
        <v>0</v>
      </c>
      <c r="UK164" s="16"/>
      <c r="UL164" s="16"/>
      <c r="UM164" s="16"/>
      <c r="UN164" s="16"/>
      <c r="UO164" s="16"/>
      <c r="UP164" s="16"/>
      <c r="UQ164" s="16"/>
      <c r="UR164" s="16"/>
      <c r="US164" s="16"/>
      <c r="UT164" s="16">
        <v>1.97</v>
      </c>
      <c r="UU164" s="16">
        <v>1.24</v>
      </c>
      <c r="UV164" s="16">
        <v>0</v>
      </c>
      <c r="UW164" s="16">
        <v>0</v>
      </c>
      <c r="UX164" s="16">
        <v>0</v>
      </c>
      <c r="UY164" s="16">
        <v>0</v>
      </c>
      <c r="UZ164" s="16">
        <v>3</v>
      </c>
      <c r="VA164">
        <v>0</v>
      </c>
      <c r="VB164" t="s">
        <v>502</v>
      </c>
      <c r="VC164">
        <v>34.5</v>
      </c>
      <c r="VD164" s="16">
        <v>53.2</v>
      </c>
      <c r="VE164" s="16">
        <v>80.400000000000006</v>
      </c>
      <c r="VF164" s="16">
        <v>8.3000000000000007</v>
      </c>
      <c r="VG164">
        <v>99.94</v>
      </c>
      <c r="VH164" s="17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9.15</v>
      </c>
      <c r="VT164">
        <v>18.41</v>
      </c>
      <c r="VU164">
        <v>11.73</v>
      </c>
      <c r="VV164">
        <v>0</v>
      </c>
      <c r="VW164">
        <v>0</v>
      </c>
      <c r="VX164">
        <v>0</v>
      </c>
      <c r="WK164">
        <v>11.9</v>
      </c>
      <c r="WL164">
        <v>1</v>
      </c>
      <c r="WM164">
        <v>47</v>
      </c>
      <c r="WN164">
        <v>3</v>
      </c>
      <c r="WO164">
        <v>1.52</v>
      </c>
      <c r="WP164">
        <v>2</v>
      </c>
      <c r="WW164" s="18"/>
      <c r="XO164">
        <v>0</v>
      </c>
      <c r="YZ164" s="16">
        <v>5.7</v>
      </c>
      <c r="ZA164" s="16">
        <v>1</v>
      </c>
      <c r="ZB164" s="16">
        <v>1</v>
      </c>
      <c r="ZC164" s="16"/>
      <c r="ZD164" s="16">
        <f>2.11+2.11+0.05+0.05+0.37</f>
        <v>4.6899999999999995</v>
      </c>
      <c r="ZE164" s="16">
        <v>2</v>
      </c>
      <c r="ZF164" s="16"/>
      <c r="ZG164" s="16">
        <f>3.17+3.17+0.56+0.56+0.33</f>
        <v>7.7900000000000009</v>
      </c>
      <c r="ZH164" s="16"/>
      <c r="ZI164" s="16"/>
      <c r="ZJ164" s="16"/>
      <c r="ZK164" s="16">
        <v>0</v>
      </c>
      <c r="ZL164" s="16">
        <v>0</v>
      </c>
      <c r="ZM164" s="16"/>
      <c r="ZN164" s="16"/>
      <c r="ZO164" s="16">
        <v>5.97</v>
      </c>
      <c r="ZP164" s="16">
        <v>0</v>
      </c>
      <c r="ZQ164" s="16">
        <v>0</v>
      </c>
      <c r="ZR164">
        <v>1</v>
      </c>
      <c r="ZS164" t="s">
        <v>503</v>
      </c>
      <c r="ZT164">
        <v>47</v>
      </c>
      <c r="ZU164" s="16">
        <v>54.1</v>
      </c>
      <c r="ZV164" s="16">
        <v>80.400000000000006</v>
      </c>
      <c r="ZW164" s="16">
        <v>34.5</v>
      </c>
      <c r="ZX164">
        <v>71.45</v>
      </c>
      <c r="ZY164" s="17">
        <v>0</v>
      </c>
      <c r="ZZ164">
        <v>21.93</v>
      </c>
      <c r="AAA164">
        <v>6.49</v>
      </c>
      <c r="AAB164">
        <v>0.12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1.01</v>
      </c>
      <c r="AAJ164">
        <v>0.45</v>
      </c>
      <c r="AAK164">
        <v>18.399999999999999</v>
      </c>
      <c r="AAL164">
        <v>11.28</v>
      </c>
      <c r="AAM164">
        <v>0</v>
      </c>
      <c r="AAN164">
        <v>0</v>
      </c>
      <c r="AAO164">
        <v>0</v>
      </c>
      <c r="ABB164">
        <v>6</v>
      </c>
      <c r="ABC164">
        <v>1</v>
      </c>
      <c r="ABD164">
        <v>35</v>
      </c>
      <c r="ABE164">
        <v>8</v>
      </c>
      <c r="ABF164">
        <f>0.25+0.25+0.25+0.13+0.13+0.13+0.13</f>
        <v>1.27</v>
      </c>
      <c r="ABG164">
        <v>3</v>
      </c>
      <c r="ABN164" s="18"/>
      <c r="ACF164">
        <v>1</v>
      </c>
      <c r="ACG164">
        <v>50</v>
      </c>
      <c r="ACH164">
        <v>2</v>
      </c>
      <c r="ACI164">
        <f>0.76*2</f>
        <v>1.52</v>
      </c>
      <c r="ACJ164">
        <v>1</v>
      </c>
      <c r="ADQ164" s="16">
        <v>0.42</v>
      </c>
      <c r="ADR164" s="16">
        <v>1</v>
      </c>
      <c r="ADS164" s="16">
        <v>1</v>
      </c>
      <c r="ADT164" s="16"/>
      <c r="ADU164" s="16">
        <f>0.68+0.68+0.03</f>
        <v>1.3900000000000001</v>
      </c>
      <c r="ADV164" s="16"/>
      <c r="ADW164" s="16"/>
      <c r="ADX164" s="16"/>
      <c r="ADY164" s="16"/>
      <c r="ADZ164" s="16"/>
      <c r="AEA164" s="16"/>
      <c r="AEB164" s="16">
        <v>5.21</v>
      </c>
      <c r="AEC164" s="16">
        <v>7.05</v>
      </c>
      <c r="AED164" s="16"/>
      <c r="AEE164" s="16"/>
      <c r="AEF164" s="16">
        <v>0</v>
      </c>
      <c r="AEG164" s="16">
        <v>0</v>
      </c>
      <c r="AEH164" s="16">
        <v>0</v>
      </c>
      <c r="AEI164">
        <v>0</v>
      </c>
      <c r="AEJ164" t="s">
        <v>504</v>
      </c>
      <c r="AEK164">
        <v>65.5</v>
      </c>
      <c r="AEL164" s="16">
        <v>92.2</v>
      </c>
      <c r="AEM164" s="16">
        <v>80.400000000000006</v>
      </c>
      <c r="AEN164" s="16">
        <v>61.7</v>
      </c>
      <c r="AEO164">
        <v>22.46</v>
      </c>
      <c r="AEP164" s="17">
        <v>0</v>
      </c>
      <c r="AEQ164">
        <v>0</v>
      </c>
      <c r="AER164">
        <v>0</v>
      </c>
      <c r="AES164">
        <v>0</v>
      </c>
      <c r="AET164">
        <v>0</v>
      </c>
      <c r="AEU164">
        <v>70.92</v>
      </c>
      <c r="AEV164">
        <v>9.4</v>
      </c>
      <c r="AEW164">
        <v>33.69</v>
      </c>
      <c r="AEX164">
        <v>0</v>
      </c>
      <c r="AEY164">
        <v>0</v>
      </c>
      <c r="AEZ164">
        <v>14.46</v>
      </c>
      <c r="AFA164">
        <v>11.32</v>
      </c>
      <c r="AFB164">
        <v>6.58</v>
      </c>
      <c r="AFC164">
        <v>8.8800000000000008</v>
      </c>
      <c r="AFD164">
        <v>6.62</v>
      </c>
      <c r="AFE164">
        <v>0</v>
      </c>
      <c r="AFF164">
        <v>0</v>
      </c>
      <c r="AFS164">
        <v>3.2</v>
      </c>
      <c r="AFT164">
        <v>0</v>
      </c>
      <c r="AGE164" s="18"/>
      <c r="AGW164">
        <v>1</v>
      </c>
      <c r="AGX164">
        <v>60</v>
      </c>
      <c r="AGY164">
        <v>2</v>
      </c>
      <c r="AGZ164">
        <f>0.76*2</f>
        <v>1.52</v>
      </c>
      <c r="AHA164">
        <v>3</v>
      </c>
      <c r="AIH164" s="16">
        <v>0.63</v>
      </c>
      <c r="AII164" s="16">
        <v>1</v>
      </c>
      <c r="AIJ164" s="16">
        <v>1</v>
      </c>
      <c r="AIK164" s="16"/>
      <c r="AIL164" s="16">
        <v>3.17</v>
      </c>
      <c r="AIM164" s="16"/>
      <c r="AIN164" s="16"/>
      <c r="AIO164" s="16"/>
      <c r="AIP164" s="16"/>
      <c r="AIQ164" s="16"/>
      <c r="AIR164" s="16"/>
      <c r="AIS164" s="16">
        <v>0</v>
      </c>
      <c r="AIT164" s="16">
        <v>0</v>
      </c>
      <c r="AIU164" s="16"/>
      <c r="AIV164" s="16"/>
      <c r="AIW164" s="16">
        <v>0</v>
      </c>
      <c r="AIX164" s="16">
        <v>0</v>
      </c>
      <c r="AIY164" s="16">
        <v>0</v>
      </c>
      <c r="AIZ164">
        <v>0</v>
      </c>
      <c r="AJA164" t="s">
        <v>505</v>
      </c>
      <c r="AJB164">
        <v>59</v>
      </c>
      <c r="AJC164" s="16">
        <v>90.4</v>
      </c>
      <c r="AJD164" s="16">
        <v>80.400000000000006</v>
      </c>
      <c r="AJE164" s="16">
        <v>54.7</v>
      </c>
      <c r="AJF164">
        <v>26.42</v>
      </c>
      <c r="AJG164" s="17">
        <v>0</v>
      </c>
      <c r="AJH164">
        <v>0</v>
      </c>
      <c r="AJI164">
        <v>0</v>
      </c>
      <c r="AJJ164">
        <v>0</v>
      </c>
      <c r="AJK164">
        <v>0</v>
      </c>
      <c r="AJL164">
        <v>66.959999999999994</v>
      </c>
      <c r="AJM164">
        <v>6.55</v>
      </c>
      <c r="AJN164">
        <v>30.83</v>
      </c>
      <c r="AJO164">
        <v>0</v>
      </c>
      <c r="AJP164">
        <v>0</v>
      </c>
      <c r="AJQ164">
        <v>14.46</v>
      </c>
      <c r="AJR164">
        <v>11.57</v>
      </c>
      <c r="AJS164">
        <v>6.5</v>
      </c>
      <c r="AJT164">
        <v>6.03</v>
      </c>
      <c r="AJU164">
        <v>6.62</v>
      </c>
      <c r="AJV164">
        <v>0</v>
      </c>
      <c r="AJW164">
        <v>0</v>
      </c>
      <c r="AKJ164">
        <v>3.2</v>
      </c>
      <c r="AKK164">
        <v>0</v>
      </c>
      <c r="AKV164" s="18"/>
      <c r="ALN164">
        <v>1</v>
      </c>
      <c r="ALO164">
        <v>60</v>
      </c>
      <c r="ALP164">
        <v>2</v>
      </c>
      <c r="ALQ164">
        <v>1.52</v>
      </c>
      <c r="ALR164">
        <v>3</v>
      </c>
    </row>
    <row r="165" spans="1:1024" x14ac:dyDescent="0.2">
      <c r="A165" s="36" t="s">
        <v>627</v>
      </c>
      <c r="B165" s="12">
        <v>42899</v>
      </c>
      <c r="C165">
        <v>2</v>
      </c>
      <c r="D165" s="13">
        <v>42837</v>
      </c>
      <c r="E165" s="12">
        <v>27642</v>
      </c>
      <c r="F165" s="14">
        <f t="shared" si="48"/>
        <v>41.771389459274467</v>
      </c>
      <c r="G165" s="14">
        <f t="shared" si="49"/>
        <v>0.16974674880219029</v>
      </c>
      <c r="H165" s="15" t="s">
        <v>228</v>
      </c>
      <c r="I165" s="15" t="s">
        <v>447</v>
      </c>
      <c r="J165" s="15" t="s">
        <v>183</v>
      </c>
      <c r="K165" s="15">
        <v>8</v>
      </c>
      <c r="L165" s="19">
        <v>85</v>
      </c>
      <c r="M165">
        <v>1.7</v>
      </c>
      <c r="N165" s="16">
        <f t="shared" si="50"/>
        <v>29.411764705882355</v>
      </c>
      <c r="O165" s="19">
        <v>0</v>
      </c>
      <c r="P165" s="19">
        <v>0</v>
      </c>
      <c r="Q165" s="19">
        <v>0</v>
      </c>
      <c r="R165" s="19">
        <v>0</v>
      </c>
      <c r="S165" s="19">
        <v>0</v>
      </c>
      <c r="T165" s="19">
        <v>0</v>
      </c>
      <c r="U165" s="19">
        <v>0</v>
      </c>
      <c r="V165" s="19">
        <v>0</v>
      </c>
      <c r="W165" s="19">
        <v>0</v>
      </c>
      <c r="X165" s="19">
        <v>0</v>
      </c>
      <c r="Y165" s="19">
        <v>0</v>
      </c>
      <c r="Z165" s="19">
        <v>0</v>
      </c>
      <c r="AA165" s="19">
        <v>0</v>
      </c>
      <c r="AB165" s="19">
        <v>0</v>
      </c>
      <c r="AC165" s="19">
        <v>0</v>
      </c>
      <c r="AD165" s="19">
        <v>0</v>
      </c>
      <c r="AE165" s="19">
        <v>0</v>
      </c>
      <c r="AF165" s="19"/>
      <c r="AG165" s="19"/>
      <c r="AH165" s="19"/>
      <c r="AI165" s="19">
        <v>1</v>
      </c>
      <c r="AJ165" s="19">
        <v>0</v>
      </c>
      <c r="AK165" s="19">
        <v>0</v>
      </c>
      <c r="AL165" s="19">
        <v>0</v>
      </c>
      <c r="AM165" s="19">
        <v>0</v>
      </c>
      <c r="AN165" s="19">
        <v>0</v>
      </c>
      <c r="AO165" s="19">
        <v>0</v>
      </c>
      <c r="AP165" s="19">
        <v>0</v>
      </c>
      <c r="AQ165" s="19">
        <v>0</v>
      </c>
      <c r="AR165" s="19">
        <v>0</v>
      </c>
      <c r="AS165" s="19">
        <v>3</v>
      </c>
      <c r="AT165" s="19">
        <v>0</v>
      </c>
      <c r="AU165" s="19">
        <v>3</v>
      </c>
      <c r="AV165" s="19">
        <v>2</v>
      </c>
      <c r="AW165" s="19">
        <v>2</v>
      </c>
      <c r="AX165" s="19">
        <v>0</v>
      </c>
      <c r="AY165" s="19">
        <v>0</v>
      </c>
      <c r="AZ165" s="19">
        <v>0</v>
      </c>
      <c r="BA165" s="19">
        <v>0</v>
      </c>
      <c r="BB165" s="19">
        <v>0</v>
      </c>
      <c r="BC165" s="19">
        <v>0</v>
      </c>
      <c r="BD165" s="19">
        <v>0</v>
      </c>
      <c r="BE165" s="19">
        <v>0</v>
      </c>
      <c r="BF165" s="19">
        <v>0</v>
      </c>
      <c r="BG165" s="19">
        <v>0</v>
      </c>
      <c r="BH165" s="19">
        <v>0</v>
      </c>
      <c r="BI165" s="19">
        <v>0</v>
      </c>
      <c r="BJ165" s="19">
        <v>0</v>
      </c>
      <c r="BK165" s="19">
        <v>0</v>
      </c>
      <c r="BL165" s="19">
        <v>0</v>
      </c>
      <c r="BM165" s="19">
        <v>0</v>
      </c>
      <c r="BN165" s="19">
        <v>0</v>
      </c>
      <c r="BO165" s="19">
        <v>0</v>
      </c>
      <c r="BP165" s="19">
        <v>0</v>
      </c>
      <c r="BQ165" s="19">
        <v>0</v>
      </c>
      <c r="BR165" s="19">
        <v>2</v>
      </c>
      <c r="BS165" s="19">
        <v>1</v>
      </c>
      <c r="BT165" s="19">
        <v>2</v>
      </c>
      <c r="BU165" s="19">
        <v>4</v>
      </c>
      <c r="BV165" s="19">
        <v>3</v>
      </c>
      <c r="BW165" s="19">
        <v>1</v>
      </c>
      <c r="BX165" s="19">
        <v>5</v>
      </c>
      <c r="BY165" s="19">
        <v>5</v>
      </c>
      <c r="BZ165" s="19">
        <v>5</v>
      </c>
      <c r="CA165" s="19">
        <v>4</v>
      </c>
      <c r="CB165" s="19">
        <v>5</v>
      </c>
      <c r="CC165" s="19">
        <v>5</v>
      </c>
      <c r="CD165" s="19">
        <v>4</v>
      </c>
      <c r="CE165" s="19">
        <v>5</v>
      </c>
      <c r="CF165" s="19">
        <v>5</v>
      </c>
      <c r="CG165" s="19">
        <v>5</v>
      </c>
      <c r="CH165" s="19">
        <v>5</v>
      </c>
      <c r="CI165" s="19">
        <v>5</v>
      </c>
      <c r="CJ165" s="19">
        <v>4</v>
      </c>
      <c r="CK165" s="19">
        <v>10</v>
      </c>
      <c r="CL165" t="s">
        <v>455</v>
      </c>
      <c r="CM165">
        <v>48.5</v>
      </c>
      <c r="CN165" s="16">
        <v>90.8</v>
      </c>
      <c r="CO165" s="16">
        <v>80.400000000000006</v>
      </c>
      <c r="CP165" s="16">
        <v>27.5</v>
      </c>
      <c r="CQ165">
        <v>74.34</v>
      </c>
      <c r="CR165">
        <v>0</v>
      </c>
      <c r="CS165">
        <v>12.29</v>
      </c>
      <c r="CT165">
        <v>0</v>
      </c>
      <c r="CU165">
        <v>13.37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14.01</v>
      </c>
      <c r="DE165">
        <v>63.09</v>
      </c>
      <c r="DF165">
        <v>0</v>
      </c>
      <c r="DG165">
        <v>0</v>
      </c>
      <c r="DH165">
        <v>0</v>
      </c>
      <c r="DU165">
        <v>13</v>
      </c>
      <c r="DV165">
        <v>1</v>
      </c>
      <c r="DW165">
        <v>34</v>
      </c>
      <c r="DX165">
        <v>11</v>
      </c>
      <c r="DY165">
        <f>11.42+1.34</f>
        <v>12.76</v>
      </c>
      <c r="DZ165">
        <v>1</v>
      </c>
      <c r="EA165">
        <v>68</v>
      </c>
      <c r="EB165">
        <v>15</v>
      </c>
      <c r="EC165">
        <v>2.8</v>
      </c>
      <c r="ED165">
        <v>1</v>
      </c>
      <c r="EG165" s="18"/>
      <c r="EY165">
        <v>1</v>
      </c>
      <c r="EZ165">
        <v>60</v>
      </c>
      <c r="FA165">
        <v>20</v>
      </c>
      <c r="FB165">
        <v>15.23</v>
      </c>
      <c r="FC165">
        <v>3</v>
      </c>
      <c r="GJ165" s="16">
        <v>0</v>
      </c>
      <c r="GK165" s="16">
        <v>0</v>
      </c>
      <c r="GL165" s="16"/>
      <c r="GM165" s="16"/>
      <c r="GN165" s="16"/>
      <c r="GO165" s="16"/>
      <c r="GP165" s="16"/>
      <c r="GQ165" s="16"/>
      <c r="GR165" s="16"/>
      <c r="GS165" s="16"/>
      <c r="GT165" s="16"/>
      <c r="GU165" s="16">
        <v>0</v>
      </c>
      <c r="GV165" s="16">
        <v>0</v>
      </c>
      <c r="GW165" s="16"/>
      <c r="GX165" s="16"/>
      <c r="GY165" s="16">
        <v>7.46</v>
      </c>
      <c r="GZ165" s="16">
        <v>0</v>
      </c>
      <c r="HA165" s="16">
        <v>0</v>
      </c>
      <c r="HB165">
        <v>1</v>
      </c>
      <c r="HC165" t="s">
        <v>448</v>
      </c>
      <c r="HD165">
        <v>47</v>
      </c>
      <c r="HE165" s="16">
        <v>90.2</v>
      </c>
      <c r="HF165" s="16">
        <v>80.400000000000006</v>
      </c>
      <c r="HG165" s="16">
        <v>15.2</v>
      </c>
      <c r="HH165">
        <v>86.39</v>
      </c>
      <c r="HI165">
        <v>0</v>
      </c>
      <c r="HJ165">
        <v>0</v>
      </c>
      <c r="HK165">
        <v>0</v>
      </c>
      <c r="HL165">
        <v>13.61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16.36</v>
      </c>
      <c r="HU165">
        <v>23.57</v>
      </c>
      <c r="HV165">
        <v>29.14</v>
      </c>
      <c r="HW165">
        <v>0</v>
      </c>
      <c r="HX165">
        <v>0</v>
      </c>
      <c r="HY165">
        <v>0</v>
      </c>
      <c r="IL165">
        <v>23.6</v>
      </c>
      <c r="IM165">
        <v>1</v>
      </c>
      <c r="IN165">
        <v>68</v>
      </c>
      <c r="IO165">
        <v>8</v>
      </c>
      <c r="IP165">
        <f>0.76+0.03+0.27+0.05+0.03</f>
        <v>1.1400000000000001</v>
      </c>
      <c r="IQ165">
        <v>1</v>
      </c>
      <c r="IR165">
        <v>35</v>
      </c>
      <c r="IS165">
        <v>4</v>
      </c>
      <c r="IT165">
        <f>1.52+0.27</f>
        <v>1.79</v>
      </c>
      <c r="IU165">
        <v>3</v>
      </c>
      <c r="IV165">
        <v>103</v>
      </c>
      <c r="IW165">
        <v>3</v>
      </c>
      <c r="IX165" s="18">
        <v>2.02</v>
      </c>
      <c r="IY165">
        <v>3</v>
      </c>
      <c r="JP165">
        <v>1</v>
      </c>
      <c r="JQ165">
        <v>80</v>
      </c>
      <c r="JR165">
        <v>3</v>
      </c>
      <c r="JS165">
        <f>0.04*2+0.45</f>
        <v>0.53</v>
      </c>
      <c r="JT165">
        <v>3</v>
      </c>
      <c r="LA165" s="16">
        <v>0.4</v>
      </c>
      <c r="LB165" s="16">
        <v>1</v>
      </c>
      <c r="LC165" s="16">
        <v>1</v>
      </c>
      <c r="LD165" s="16"/>
      <c r="LE165" s="16">
        <f>1.25+0.1</f>
        <v>1.35</v>
      </c>
      <c r="LF165" s="16"/>
      <c r="LG165" s="16"/>
      <c r="LH165" s="16"/>
      <c r="LI165" s="16"/>
      <c r="LJ165" s="16"/>
      <c r="LK165" s="16"/>
      <c r="LL165" s="16">
        <v>4.96</v>
      </c>
      <c r="LM165" s="16">
        <v>2.6</v>
      </c>
      <c r="LN165" s="16"/>
      <c r="LO165" s="16"/>
      <c r="LP165" s="16">
        <v>0</v>
      </c>
      <c r="LQ165" s="16">
        <v>0</v>
      </c>
      <c r="LR165" s="16">
        <v>0</v>
      </c>
      <c r="LS165">
        <v>0</v>
      </c>
      <c r="LT165" t="s">
        <v>449</v>
      </c>
      <c r="LU165">
        <v>46.5</v>
      </c>
      <c r="LV165" s="16">
        <v>82.8</v>
      </c>
      <c r="LW165" s="16">
        <v>80.400000000000006</v>
      </c>
      <c r="LX165" s="16">
        <v>14.9</v>
      </c>
      <c r="LY165">
        <v>82.52</v>
      </c>
      <c r="LZ165">
        <v>0</v>
      </c>
      <c r="MA165">
        <v>0</v>
      </c>
      <c r="MB165">
        <v>0</v>
      </c>
      <c r="MC165">
        <v>17.48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37.299999999999997</v>
      </c>
      <c r="ML165">
        <v>16.79</v>
      </c>
      <c r="MM165">
        <v>15.04</v>
      </c>
      <c r="MN165">
        <v>0</v>
      </c>
      <c r="MO165">
        <v>0</v>
      </c>
      <c r="MP165">
        <v>0</v>
      </c>
      <c r="NC165">
        <v>18.899999999999999</v>
      </c>
      <c r="ND165">
        <v>1</v>
      </c>
      <c r="NE165">
        <v>68</v>
      </c>
      <c r="NF165">
        <v>1</v>
      </c>
      <c r="NG165">
        <v>0.13</v>
      </c>
      <c r="NH165">
        <v>1</v>
      </c>
      <c r="NI165">
        <v>35</v>
      </c>
      <c r="NJ165">
        <v>3</v>
      </c>
      <c r="NK165">
        <v>2.25</v>
      </c>
      <c r="NL165">
        <v>3</v>
      </c>
      <c r="NM165">
        <v>47</v>
      </c>
      <c r="NN165">
        <v>10</v>
      </c>
      <c r="NO165" s="18">
        <f>0.27+0.08+0.08+0.11+0.61+0.04</f>
        <v>1.19</v>
      </c>
      <c r="NP165">
        <v>3</v>
      </c>
      <c r="OG165">
        <v>1</v>
      </c>
      <c r="OH165">
        <v>80</v>
      </c>
      <c r="OI165">
        <v>1</v>
      </c>
      <c r="OJ165">
        <v>0.13</v>
      </c>
      <c r="OK165">
        <v>3</v>
      </c>
      <c r="PR165" s="16">
        <v>1.1499999999999999</v>
      </c>
      <c r="PS165" s="16">
        <v>1</v>
      </c>
      <c r="PT165" s="16">
        <v>3</v>
      </c>
      <c r="PU165" s="16"/>
      <c r="PV165" s="16">
        <f>1.06+0.37*2</f>
        <v>1.8</v>
      </c>
      <c r="PW165" s="16"/>
      <c r="PX165" s="16"/>
      <c r="PY165" s="16"/>
      <c r="PZ165" s="16"/>
      <c r="QA165" s="16"/>
      <c r="QB165" s="16"/>
      <c r="QC165" s="16">
        <v>9.75</v>
      </c>
      <c r="QD165" s="16">
        <v>11.26</v>
      </c>
      <c r="QE165" s="16"/>
      <c r="QF165" s="16"/>
      <c r="QG165" s="16">
        <v>0</v>
      </c>
      <c r="QH165" s="16">
        <v>0</v>
      </c>
      <c r="QI165" s="16">
        <v>0</v>
      </c>
      <c r="QJ165">
        <v>0</v>
      </c>
      <c r="QK165" t="s">
        <v>456</v>
      </c>
      <c r="QL165">
        <v>79.5</v>
      </c>
      <c r="QM165" s="16">
        <v>92.6</v>
      </c>
      <c r="QN165" s="16">
        <v>80.400000000000006</v>
      </c>
      <c r="QO165" s="16">
        <v>25.3</v>
      </c>
      <c r="QP165">
        <v>77.91</v>
      </c>
      <c r="QQ165">
        <v>0</v>
      </c>
      <c r="QR165">
        <v>0.76</v>
      </c>
      <c r="QS165">
        <v>0</v>
      </c>
      <c r="QT165">
        <v>21.33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4.99</v>
      </c>
      <c r="RB165">
        <v>0</v>
      </c>
      <c r="RC165">
        <v>5.93</v>
      </c>
      <c r="RD165">
        <v>41.31</v>
      </c>
      <c r="RE165">
        <v>0</v>
      </c>
      <c r="RF165">
        <v>10.6</v>
      </c>
      <c r="RG165">
        <v>2</v>
      </c>
      <c r="RH165">
        <v>3</v>
      </c>
      <c r="RI165">
        <v>6.39</v>
      </c>
      <c r="RN165">
        <v>3</v>
      </c>
      <c r="RO165">
        <v>6.39</v>
      </c>
      <c r="RT165">
        <v>19.899999999999999</v>
      </c>
      <c r="RU165">
        <v>1</v>
      </c>
      <c r="RV165">
        <v>52</v>
      </c>
      <c r="RW165">
        <v>2</v>
      </c>
      <c r="RX165">
        <f>0.05+0.08</f>
        <v>0.13</v>
      </c>
      <c r="RY165">
        <v>2</v>
      </c>
      <c r="RZ165">
        <v>47</v>
      </c>
      <c r="SA165">
        <v>12</v>
      </c>
      <c r="SB165">
        <f>1.52+0.11+0.27+0.07+0.1+0.16+0.13+0.13</f>
        <v>2.4900000000000002</v>
      </c>
      <c r="SC165">
        <v>3</v>
      </c>
      <c r="SF165" s="18"/>
      <c r="SX165">
        <v>0</v>
      </c>
      <c r="UI165" s="16">
        <v>6.39</v>
      </c>
      <c r="UJ165" s="16">
        <v>1</v>
      </c>
      <c r="UK165" s="16">
        <v>2</v>
      </c>
      <c r="UL165" s="16"/>
      <c r="UM165" s="16">
        <f>2.11+1.52+2.11+0.3+0.22*2</f>
        <v>6.48</v>
      </c>
      <c r="UN165" s="16"/>
      <c r="UO165" s="16"/>
      <c r="UP165" s="16"/>
      <c r="UQ165" s="16"/>
      <c r="UR165" s="16"/>
      <c r="US165" s="16"/>
      <c r="UT165" s="16">
        <v>14.55</v>
      </c>
      <c r="UU165" s="16">
        <v>28.78</v>
      </c>
      <c r="UV165" s="16"/>
      <c r="UW165" s="16"/>
      <c r="UX165" s="16">
        <v>0</v>
      </c>
      <c r="UY165" s="16">
        <v>0</v>
      </c>
      <c r="UZ165" s="16">
        <v>0</v>
      </c>
      <c r="VA165">
        <v>0</v>
      </c>
      <c r="VB165" t="s">
        <v>450</v>
      </c>
      <c r="VC165">
        <v>33.5</v>
      </c>
      <c r="VD165" s="16">
        <v>82.2</v>
      </c>
      <c r="VE165" s="16">
        <v>80.400000000000006</v>
      </c>
      <c r="VF165" s="16">
        <v>19.5</v>
      </c>
      <c r="VG165">
        <v>80.12</v>
      </c>
      <c r="VH165">
        <v>0</v>
      </c>
      <c r="VI165">
        <v>0</v>
      </c>
      <c r="VJ165">
        <v>0</v>
      </c>
      <c r="VK165">
        <v>19.88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16.82</v>
      </c>
      <c r="VU165">
        <v>20.29</v>
      </c>
      <c r="VV165">
        <v>0</v>
      </c>
      <c r="VW165">
        <v>0</v>
      </c>
      <c r="VX165">
        <v>0</v>
      </c>
      <c r="WK165">
        <v>0</v>
      </c>
      <c r="WL165">
        <v>0</v>
      </c>
      <c r="WW165" s="18"/>
      <c r="XO165">
        <v>0</v>
      </c>
      <c r="YZ165" s="16">
        <v>2.4300000000000002</v>
      </c>
      <c r="ZA165" s="16">
        <v>1</v>
      </c>
      <c r="ZB165" s="16">
        <v>2</v>
      </c>
      <c r="ZC165" s="16"/>
      <c r="ZD165" s="16">
        <f>8.46+0.21+0.37</f>
        <v>9.0400000000000009</v>
      </c>
      <c r="ZE165" s="16"/>
      <c r="ZF165" s="16"/>
      <c r="ZG165" s="16"/>
      <c r="ZH165" s="16"/>
      <c r="ZI165" s="16"/>
      <c r="ZJ165" s="16"/>
      <c r="ZK165" s="16">
        <v>9.41</v>
      </c>
      <c r="ZL165" s="16">
        <v>22.76</v>
      </c>
      <c r="ZM165" s="16"/>
      <c r="ZN165" s="16"/>
      <c r="ZO165" s="16">
        <v>0</v>
      </c>
      <c r="ZP165" s="16">
        <v>0</v>
      </c>
      <c r="ZQ165" s="16">
        <v>0</v>
      </c>
      <c r="ZR165">
        <v>0</v>
      </c>
      <c r="ZS165" t="s">
        <v>457</v>
      </c>
      <c r="ZT165">
        <v>21</v>
      </c>
      <c r="ZU165" s="16">
        <v>68.8</v>
      </c>
      <c r="ZV165" s="16">
        <v>80.400000000000006</v>
      </c>
      <c r="ZW165" s="16">
        <v>11.1</v>
      </c>
      <c r="ZX165">
        <v>92.71</v>
      </c>
      <c r="ZY165">
        <v>0</v>
      </c>
      <c r="ZZ165">
        <v>0</v>
      </c>
      <c r="AAA165">
        <v>0</v>
      </c>
      <c r="AAB165">
        <v>7.29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2.4300000000000002</v>
      </c>
      <c r="AAL165">
        <v>9.89</v>
      </c>
      <c r="AAM165">
        <v>0</v>
      </c>
      <c r="AAN165">
        <v>0</v>
      </c>
      <c r="AAO165">
        <v>0</v>
      </c>
      <c r="ABB165">
        <v>1</v>
      </c>
      <c r="ABC165">
        <v>1</v>
      </c>
      <c r="ABD165">
        <v>68</v>
      </c>
      <c r="ABE165">
        <v>7</v>
      </c>
      <c r="ABF165">
        <f>0.05+0.03+0.27+0.03</f>
        <v>0.38</v>
      </c>
      <c r="ABG165">
        <v>1</v>
      </c>
      <c r="ABN165" s="18"/>
      <c r="ACF165">
        <v>0</v>
      </c>
      <c r="ADQ165" s="16">
        <v>0.67</v>
      </c>
      <c r="ADR165" s="16">
        <v>1</v>
      </c>
      <c r="ADS165" s="16">
        <v>2</v>
      </c>
      <c r="ADT165" s="16"/>
      <c r="ADU165" s="16">
        <f>0.28*2</f>
        <v>0.56000000000000005</v>
      </c>
      <c r="ADV165" s="16"/>
      <c r="ADW165" s="16"/>
      <c r="ADX165" s="16"/>
      <c r="ADY165" s="16"/>
      <c r="ADZ165" s="16"/>
      <c r="AEA165" s="16"/>
      <c r="AEB165" s="16">
        <v>7.38</v>
      </c>
      <c r="AEC165" s="16">
        <v>10.32</v>
      </c>
      <c r="AED165" s="16"/>
      <c r="AEE165" s="16"/>
      <c r="AEF165" s="16">
        <v>0</v>
      </c>
      <c r="AEG165" s="16">
        <v>0</v>
      </c>
      <c r="AEH165" s="16">
        <v>0</v>
      </c>
      <c r="AEI165">
        <v>0</v>
      </c>
      <c r="AEJ165" t="s">
        <v>451</v>
      </c>
      <c r="AEK165">
        <v>48.5</v>
      </c>
      <c r="AEL165" s="16">
        <v>83.8</v>
      </c>
      <c r="AEM165" s="16">
        <v>80.400000000000006</v>
      </c>
      <c r="AEN165" s="16">
        <v>34.299999999999997</v>
      </c>
      <c r="AEO165">
        <v>70.08</v>
      </c>
      <c r="AEP165">
        <v>0</v>
      </c>
      <c r="AEQ165">
        <v>18.239999999999998</v>
      </c>
      <c r="AER165">
        <v>1.05</v>
      </c>
      <c r="AES165">
        <v>1.1399999999999999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19.39</v>
      </c>
      <c r="AFA165">
        <v>3.64</v>
      </c>
      <c r="AFB165">
        <v>13.61</v>
      </c>
      <c r="AFC165">
        <v>5.23</v>
      </c>
      <c r="AFD165">
        <v>9.49</v>
      </c>
      <c r="AFE165">
        <v>2.6</v>
      </c>
      <c r="AFF165">
        <v>2</v>
      </c>
      <c r="AFG165">
        <v>3</v>
      </c>
      <c r="AFH165">
        <v>1.01</v>
      </c>
      <c r="AFM165">
        <v>3</v>
      </c>
      <c r="AFN165">
        <v>1.01</v>
      </c>
      <c r="AFS165">
        <v>1.7</v>
      </c>
      <c r="AFT165">
        <v>0</v>
      </c>
      <c r="AGE165" s="18"/>
      <c r="AGW165">
        <v>1</v>
      </c>
      <c r="AGX165">
        <v>60</v>
      </c>
      <c r="AGY165">
        <v>1</v>
      </c>
      <c r="AGZ165">
        <v>1.05</v>
      </c>
      <c r="AHA165">
        <v>1</v>
      </c>
      <c r="AIH165" s="16">
        <v>3.52</v>
      </c>
      <c r="AII165" s="16">
        <v>1</v>
      </c>
      <c r="AIJ165" s="16">
        <v>2</v>
      </c>
      <c r="AIK165" s="16"/>
      <c r="AIL165" s="16">
        <f>4.23+0.13</f>
        <v>4.3600000000000003</v>
      </c>
      <c r="AIM165" s="16"/>
      <c r="AIN165" s="16"/>
      <c r="AIO165" s="16"/>
      <c r="AIP165" s="16"/>
      <c r="AIQ165" s="16"/>
      <c r="AIR165" s="16"/>
      <c r="AIS165" s="16">
        <v>0</v>
      </c>
      <c r="AIT165" s="16">
        <v>0</v>
      </c>
      <c r="AIU165" s="16"/>
      <c r="AIV165" s="16"/>
      <c r="AIW165" s="16">
        <v>5.97</v>
      </c>
      <c r="AIX165" s="16">
        <v>0</v>
      </c>
      <c r="AIY165" s="16">
        <v>0</v>
      </c>
      <c r="AIZ165">
        <v>1</v>
      </c>
      <c r="AJA165" t="s">
        <v>452</v>
      </c>
      <c r="AJB165">
        <v>48</v>
      </c>
      <c r="AJC165" s="16">
        <v>86.2</v>
      </c>
      <c r="AJD165" s="16">
        <v>80.400000000000006</v>
      </c>
      <c r="AJE165" s="16">
        <v>34.299999999999997</v>
      </c>
      <c r="AJF165">
        <v>70.08</v>
      </c>
      <c r="AJG165">
        <v>0</v>
      </c>
      <c r="AJH165">
        <v>18.239999999999998</v>
      </c>
      <c r="AJI165">
        <v>1.05</v>
      </c>
      <c r="AJJ165">
        <v>1.1399999999999999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19.39</v>
      </c>
      <c r="AJR165">
        <v>3.64</v>
      </c>
      <c r="AJS165">
        <v>13.61</v>
      </c>
      <c r="AJT165">
        <v>5.23</v>
      </c>
      <c r="AJU165">
        <v>9.49</v>
      </c>
      <c r="AJV165">
        <v>2.6</v>
      </c>
      <c r="AJW165">
        <v>2</v>
      </c>
      <c r="AJX165">
        <v>3</v>
      </c>
      <c r="AJY165">
        <v>1.01</v>
      </c>
      <c r="AKD165">
        <v>3</v>
      </c>
      <c r="AKE165">
        <v>1.01</v>
      </c>
      <c r="AKJ165">
        <v>1.7</v>
      </c>
      <c r="AKK165">
        <v>0</v>
      </c>
      <c r="AKV165" s="18"/>
      <c r="ALN165">
        <v>1</v>
      </c>
      <c r="ALO165">
        <v>60</v>
      </c>
      <c r="ALP165">
        <v>1</v>
      </c>
      <c r="ALQ165">
        <v>1.05</v>
      </c>
      <c r="ALR165">
        <v>1</v>
      </c>
    </row>
    <row r="166" spans="1:1024" s="24" customFormat="1" ht="14.25" customHeight="1" x14ac:dyDescent="0.2">
      <c r="A166" s="37" t="s">
        <v>628</v>
      </c>
      <c r="B166" s="23">
        <v>42900</v>
      </c>
      <c r="C166" s="24">
        <v>2</v>
      </c>
      <c r="D166" s="25">
        <v>42857</v>
      </c>
      <c r="E166" s="23">
        <v>33395</v>
      </c>
      <c r="F166" s="14">
        <f t="shared" si="48"/>
        <v>26.023271731690624</v>
      </c>
      <c r="G166" s="14">
        <f t="shared" si="49"/>
        <v>0.11772758384668036</v>
      </c>
      <c r="H166" s="21" t="s">
        <v>228</v>
      </c>
      <c r="I166" s="21" t="s">
        <v>240</v>
      </c>
      <c r="J166" s="21" t="s">
        <v>183</v>
      </c>
      <c r="K166" s="21">
        <v>8</v>
      </c>
      <c r="L166" s="26">
        <v>85</v>
      </c>
      <c r="M166" s="24">
        <v>1.68</v>
      </c>
      <c r="N166" s="27">
        <f t="shared" si="50"/>
        <v>30.116213151927443</v>
      </c>
      <c r="O166" s="26">
        <v>0</v>
      </c>
      <c r="P166" s="26">
        <v>0</v>
      </c>
      <c r="Q166" s="26">
        <v>0</v>
      </c>
      <c r="R166" s="26">
        <v>0</v>
      </c>
      <c r="S166" s="26">
        <v>0</v>
      </c>
      <c r="T166" s="26">
        <v>0</v>
      </c>
      <c r="U166" s="19">
        <v>0</v>
      </c>
      <c r="V166" s="19">
        <v>0</v>
      </c>
      <c r="W166" s="26">
        <v>0</v>
      </c>
      <c r="X166" s="26">
        <v>0</v>
      </c>
      <c r="Y166" s="26">
        <v>1</v>
      </c>
      <c r="Z166" s="26">
        <v>2</v>
      </c>
      <c r="AA166" s="26">
        <v>90</v>
      </c>
      <c r="AB166" s="26" t="s">
        <v>308</v>
      </c>
      <c r="AC166" s="26">
        <v>1</v>
      </c>
      <c r="AD166" s="26">
        <v>10</v>
      </c>
      <c r="AE166" s="26">
        <v>1</v>
      </c>
      <c r="AF166" s="26">
        <v>0</v>
      </c>
      <c r="AG166" s="26">
        <v>1</v>
      </c>
      <c r="AH166" s="26">
        <v>4</v>
      </c>
      <c r="AI166" s="26">
        <v>0</v>
      </c>
      <c r="AJ166" s="26">
        <v>0</v>
      </c>
      <c r="AK166" s="26">
        <v>0</v>
      </c>
      <c r="AL166" s="26">
        <v>0</v>
      </c>
      <c r="AM166" s="26">
        <v>0</v>
      </c>
      <c r="AN166" s="26">
        <v>0</v>
      </c>
      <c r="AO166" s="26">
        <v>0</v>
      </c>
      <c r="AP166" s="26">
        <v>0</v>
      </c>
      <c r="AQ166" s="26">
        <v>0</v>
      </c>
      <c r="AR166" s="26">
        <v>0</v>
      </c>
      <c r="AS166" s="26">
        <v>0</v>
      </c>
      <c r="AT166" s="26">
        <v>0</v>
      </c>
      <c r="AU166" s="26">
        <v>0</v>
      </c>
      <c r="AV166" s="26">
        <v>0</v>
      </c>
      <c r="AW166" s="26">
        <v>0</v>
      </c>
      <c r="AX166" s="26">
        <v>0</v>
      </c>
      <c r="AY166" s="26">
        <v>0</v>
      </c>
      <c r="AZ166" s="26">
        <v>0</v>
      </c>
      <c r="BA166" s="26">
        <v>0</v>
      </c>
      <c r="BB166" s="26">
        <v>1</v>
      </c>
      <c r="BC166" s="26">
        <v>0</v>
      </c>
      <c r="BD166" s="26">
        <v>1</v>
      </c>
      <c r="BE166" s="26">
        <v>4</v>
      </c>
      <c r="BF166" s="26">
        <v>0</v>
      </c>
      <c r="BG166" s="26">
        <v>0</v>
      </c>
      <c r="BH166" s="26">
        <v>0</v>
      </c>
      <c r="BI166" s="26">
        <v>0</v>
      </c>
      <c r="BJ166" s="26">
        <v>1</v>
      </c>
      <c r="BK166" s="26">
        <v>0</v>
      </c>
      <c r="BL166" s="26">
        <v>1</v>
      </c>
      <c r="BM166" s="26">
        <v>5</v>
      </c>
      <c r="BN166" s="26">
        <v>1</v>
      </c>
      <c r="BO166" s="26">
        <v>0</v>
      </c>
      <c r="BP166" s="26">
        <v>1</v>
      </c>
      <c r="BQ166" s="26">
        <v>3</v>
      </c>
      <c r="BR166" s="26">
        <v>1</v>
      </c>
      <c r="BS166" s="26">
        <v>2</v>
      </c>
      <c r="BT166" s="26">
        <v>3</v>
      </c>
      <c r="BU166" s="26">
        <v>3</v>
      </c>
      <c r="BV166" s="26">
        <v>1</v>
      </c>
      <c r="BW166" s="26">
        <v>1</v>
      </c>
      <c r="BX166" s="26">
        <v>3</v>
      </c>
      <c r="BY166" s="26">
        <v>3</v>
      </c>
      <c r="BZ166" s="26">
        <v>3</v>
      </c>
      <c r="CA166" s="26">
        <v>4</v>
      </c>
      <c r="CB166" s="26">
        <v>5</v>
      </c>
      <c r="CC166" s="26">
        <v>5</v>
      </c>
      <c r="CD166" s="26">
        <v>5</v>
      </c>
      <c r="CE166" s="26">
        <v>5</v>
      </c>
      <c r="CF166" s="26">
        <v>5</v>
      </c>
      <c r="CG166" s="26">
        <v>5</v>
      </c>
      <c r="CH166" s="26">
        <v>5</v>
      </c>
      <c r="CI166" s="26">
        <v>5</v>
      </c>
      <c r="CJ166" s="26">
        <v>5</v>
      </c>
      <c r="CK166" s="26">
        <v>10</v>
      </c>
      <c r="CL166" s="24" t="s">
        <v>242</v>
      </c>
      <c r="CM166" s="24">
        <v>36.5</v>
      </c>
      <c r="CN166" s="27">
        <v>88.3</v>
      </c>
      <c r="CO166" s="27">
        <v>80.400000000000006</v>
      </c>
      <c r="CP166" s="27">
        <v>28.2</v>
      </c>
      <c r="CQ166" s="24">
        <v>73.819999999999993</v>
      </c>
      <c r="CR166" s="24">
        <v>0</v>
      </c>
      <c r="CS166" s="24">
        <v>25.61</v>
      </c>
      <c r="CT166" s="24">
        <v>0</v>
      </c>
      <c r="CU166" s="24">
        <v>0.56999999999999995</v>
      </c>
      <c r="CV166" s="24">
        <v>0</v>
      </c>
      <c r="CW166" s="24">
        <v>0</v>
      </c>
      <c r="CX166" s="24">
        <v>0</v>
      </c>
      <c r="CY166" s="24">
        <v>0</v>
      </c>
      <c r="CZ166" s="24">
        <v>0</v>
      </c>
      <c r="DA166" s="24">
        <v>0</v>
      </c>
      <c r="DB166" s="24">
        <v>1.17</v>
      </c>
      <c r="DC166" s="24">
        <v>31.76</v>
      </c>
      <c r="DD166" s="24">
        <v>23.3</v>
      </c>
      <c r="DE166" s="24">
        <v>26.08</v>
      </c>
      <c r="DF166" s="24">
        <v>0</v>
      </c>
      <c r="DG166" s="24">
        <v>0</v>
      </c>
      <c r="DH166" s="24">
        <v>0</v>
      </c>
      <c r="DU166" s="24">
        <v>2.1</v>
      </c>
      <c r="DV166" s="24">
        <v>1</v>
      </c>
      <c r="DW166" s="24">
        <v>47</v>
      </c>
      <c r="DX166" s="24">
        <v>2</v>
      </c>
      <c r="DY166" s="24">
        <v>0.27</v>
      </c>
      <c r="DZ166" s="24">
        <v>3</v>
      </c>
      <c r="EG166" s="28"/>
      <c r="EY166" s="24">
        <v>0</v>
      </c>
      <c r="GJ166" s="27">
        <v>1.9</v>
      </c>
      <c r="GK166" s="27">
        <v>1</v>
      </c>
      <c r="GL166" s="27">
        <v>1</v>
      </c>
      <c r="GM166" s="27"/>
      <c r="GN166" s="27">
        <f>5.29*3</f>
        <v>15.870000000000001</v>
      </c>
      <c r="GO166" s="27"/>
      <c r="GP166" s="27"/>
      <c r="GQ166" s="27"/>
      <c r="GR166" s="27"/>
      <c r="GS166" s="27"/>
      <c r="GT166" s="27"/>
      <c r="GU166" s="27">
        <v>0.56999999999999995</v>
      </c>
      <c r="GV166" s="27">
        <v>0.56000000000000005</v>
      </c>
      <c r="GW166" s="27"/>
      <c r="GX166" s="27"/>
      <c r="GY166" s="27">
        <v>0</v>
      </c>
      <c r="GZ166" s="27">
        <v>0</v>
      </c>
      <c r="HA166" s="27">
        <v>0</v>
      </c>
      <c r="HB166" s="24">
        <v>0</v>
      </c>
      <c r="HC166" s="24" t="s">
        <v>243</v>
      </c>
      <c r="HD166" s="24">
        <v>38</v>
      </c>
      <c r="HE166" s="27">
        <v>87.8</v>
      </c>
      <c r="HF166" s="27">
        <v>80.400000000000006</v>
      </c>
      <c r="HG166" s="27">
        <v>29.1</v>
      </c>
      <c r="HH166" s="24">
        <v>71.17</v>
      </c>
      <c r="HI166" s="24">
        <v>0</v>
      </c>
      <c r="HJ166" s="24">
        <v>25.61</v>
      </c>
      <c r="HK166" s="24">
        <v>0</v>
      </c>
      <c r="HL166" s="24">
        <v>3.22</v>
      </c>
      <c r="HM166" s="24">
        <v>0</v>
      </c>
      <c r="HN166" s="24">
        <v>0</v>
      </c>
      <c r="HO166" s="24">
        <v>0</v>
      </c>
      <c r="HP166" s="24">
        <v>0</v>
      </c>
      <c r="HQ166" s="24">
        <v>0</v>
      </c>
      <c r="HR166" s="24">
        <v>0</v>
      </c>
      <c r="HS166" s="24">
        <v>1.08</v>
      </c>
      <c r="HT166" s="24">
        <v>31.76</v>
      </c>
      <c r="HU166" s="24">
        <v>22.19</v>
      </c>
      <c r="HV166" s="24">
        <v>26.38</v>
      </c>
      <c r="HW166" s="24">
        <v>0</v>
      </c>
      <c r="HX166" s="24">
        <v>0</v>
      </c>
      <c r="HY166" s="24">
        <v>0</v>
      </c>
      <c r="IL166" s="24">
        <v>2.1</v>
      </c>
      <c r="IM166" s="24">
        <v>1</v>
      </c>
      <c r="IN166" s="24">
        <v>47</v>
      </c>
      <c r="IO166" s="24">
        <v>2</v>
      </c>
      <c r="IP166" s="24">
        <v>0.27</v>
      </c>
      <c r="IQ166" s="24">
        <v>3</v>
      </c>
      <c r="IX166" s="28"/>
      <c r="JP166" s="24">
        <v>0</v>
      </c>
      <c r="LA166" s="27">
        <v>1.9</v>
      </c>
      <c r="LB166" s="27">
        <v>1</v>
      </c>
      <c r="LC166" s="27">
        <v>1</v>
      </c>
      <c r="LD166" s="27"/>
      <c r="LE166" s="27">
        <f>5.29*3</f>
        <v>15.870000000000001</v>
      </c>
      <c r="LF166" s="27"/>
      <c r="LG166" s="27"/>
      <c r="LH166" s="27"/>
      <c r="LI166" s="27"/>
      <c r="LJ166" s="27"/>
      <c r="LK166" s="27"/>
      <c r="LL166" s="27">
        <v>1.1200000000000001</v>
      </c>
      <c r="LM166" s="27">
        <v>0.27</v>
      </c>
      <c r="LN166" s="27"/>
      <c r="LO166" s="27"/>
      <c r="LP166" s="27">
        <v>0</v>
      </c>
      <c r="LQ166" s="27">
        <v>0</v>
      </c>
      <c r="LR166" s="27">
        <v>0</v>
      </c>
      <c r="LS166" s="24">
        <v>0</v>
      </c>
      <c r="LT166" s="24" t="s">
        <v>244</v>
      </c>
      <c r="LU166" s="24">
        <v>24.5</v>
      </c>
      <c r="LV166" s="27">
        <v>84.2</v>
      </c>
      <c r="LW166" s="27">
        <v>80.400000000000006</v>
      </c>
      <c r="LX166" s="27">
        <v>11.9</v>
      </c>
      <c r="LY166" s="24">
        <v>97.51</v>
      </c>
      <c r="LZ166" s="24">
        <v>0</v>
      </c>
      <c r="MA166" s="24">
        <v>2.4900000000000002</v>
      </c>
      <c r="MB166" s="24">
        <v>0</v>
      </c>
      <c r="MC166" s="24">
        <v>0</v>
      </c>
      <c r="MD166" s="24">
        <v>0</v>
      </c>
      <c r="ME166" s="24">
        <v>0</v>
      </c>
      <c r="MF166" s="24">
        <v>0</v>
      </c>
      <c r="MG166" s="24">
        <v>0</v>
      </c>
      <c r="MH166" s="24">
        <v>0</v>
      </c>
      <c r="MI166" s="24">
        <v>0</v>
      </c>
      <c r="MJ166" s="24">
        <v>0</v>
      </c>
      <c r="MK166" s="24">
        <v>3.13</v>
      </c>
      <c r="ML166" s="24">
        <v>26.34</v>
      </c>
      <c r="MM166" s="24">
        <v>45.74</v>
      </c>
      <c r="MN166" s="24">
        <v>0</v>
      </c>
      <c r="MO166" s="24">
        <v>0</v>
      </c>
      <c r="MP166" s="24">
        <v>0</v>
      </c>
      <c r="NC166" s="24">
        <v>0</v>
      </c>
      <c r="ND166" s="24">
        <v>0</v>
      </c>
      <c r="NO166" s="28"/>
      <c r="OG166" s="24">
        <v>0</v>
      </c>
      <c r="PR166" s="27">
        <v>6.4</v>
      </c>
      <c r="PS166" s="27">
        <v>1</v>
      </c>
      <c r="PT166" s="27">
        <v>2</v>
      </c>
      <c r="PU166" s="27"/>
      <c r="PV166" s="27">
        <f>1.24*2</f>
        <v>2.48</v>
      </c>
      <c r="PW166" s="27">
        <v>1</v>
      </c>
      <c r="PX166" s="27"/>
      <c r="PY166" s="27">
        <f>1.24*3+0.62+0.93+3.18+1.59+3.73+7.46</f>
        <v>21.23</v>
      </c>
      <c r="PZ166" s="27"/>
      <c r="QA166" s="27"/>
      <c r="QB166" s="27"/>
      <c r="QC166" s="27">
        <v>1.61</v>
      </c>
      <c r="QD166" s="27">
        <v>1.46</v>
      </c>
      <c r="QE166" s="27"/>
      <c r="QF166" s="27"/>
      <c r="QG166" s="27">
        <v>0</v>
      </c>
      <c r="QH166" s="27">
        <v>0</v>
      </c>
      <c r="QI166" s="27">
        <v>0</v>
      </c>
      <c r="QJ166" s="24">
        <v>0</v>
      </c>
      <c r="QK166" s="24" t="s">
        <v>245</v>
      </c>
      <c r="QL166" s="24">
        <v>19.5</v>
      </c>
      <c r="QM166" s="27">
        <v>76</v>
      </c>
      <c r="QN166" s="27">
        <v>80.400000000000006</v>
      </c>
      <c r="QO166" s="27">
        <v>10.9</v>
      </c>
      <c r="QP166" s="24">
        <v>99.87</v>
      </c>
      <c r="QQ166" s="24">
        <v>0</v>
      </c>
      <c r="QR166" s="24">
        <v>0</v>
      </c>
      <c r="QS166" s="24">
        <v>0</v>
      </c>
      <c r="QT166" s="24">
        <v>0.13</v>
      </c>
      <c r="QU166" s="24">
        <v>0</v>
      </c>
      <c r="QV166" s="24">
        <v>0</v>
      </c>
      <c r="QW166" s="24">
        <v>0</v>
      </c>
      <c r="QX166" s="24">
        <v>0</v>
      </c>
      <c r="QY166" s="24">
        <v>0</v>
      </c>
      <c r="QZ166" s="24">
        <v>0</v>
      </c>
      <c r="RA166" s="24">
        <v>0.1</v>
      </c>
      <c r="RB166" s="24">
        <v>0</v>
      </c>
      <c r="RC166" s="24">
        <v>17.25</v>
      </c>
      <c r="RD166" s="24">
        <v>40.01</v>
      </c>
      <c r="RE166" s="24">
        <v>0</v>
      </c>
      <c r="RF166" s="24">
        <v>0</v>
      </c>
      <c r="RG166" s="24">
        <v>0</v>
      </c>
      <c r="RT166" s="24">
        <v>4.5</v>
      </c>
      <c r="RU166" s="24">
        <v>1</v>
      </c>
      <c r="RV166" s="24">
        <v>34</v>
      </c>
      <c r="RW166" s="24">
        <v>2</v>
      </c>
      <c r="RX166" s="24">
        <v>0.13</v>
      </c>
      <c r="RY166" s="24">
        <v>1</v>
      </c>
      <c r="RZ166" s="24">
        <v>52</v>
      </c>
      <c r="SA166" s="24">
        <v>2</v>
      </c>
      <c r="SB166" s="24">
        <v>1.52</v>
      </c>
      <c r="SC166" s="24">
        <v>2</v>
      </c>
      <c r="SF166" s="28"/>
      <c r="SX166" s="24">
        <v>1</v>
      </c>
      <c r="SY166" s="24">
        <v>70</v>
      </c>
      <c r="SZ166" s="24">
        <v>7</v>
      </c>
      <c r="TA166" s="24">
        <v>0.7</v>
      </c>
      <c r="TB166" s="24">
        <v>3</v>
      </c>
      <c r="UI166" s="27">
        <v>0.72</v>
      </c>
      <c r="UJ166" s="27">
        <v>1</v>
      </c>
      <c r="UK166" s="27">
        <v>1</v>
      </c>
      <c r="UL166" s="27"/>
      <c r="UM166" s="27">
        <f>1.15+0.56+0.29</f>
        <v>2</v>
      </c>
      <c r="UN166" s="27"/>
      <c r="UO166" s="27"/>
      <c r="UP166" s="27"/>
      <c r="UQ166" s="27"/>
      <c r="UR166" s="27"/>
      <c r="US166" s="27"/>
      <c r="UT166" s="27">
        <v>0.17</v>
      </c>
      <c r="UU166" s="27">
        <v>0.17</v>
      </c>
      <c r="UV166" s="27"/>
      <c r="UW166" s="27"/>
      <c r="UX166" s="27">
        <v>0</v>
      </c>
      <c r="UY166" s="27">
        <v>0</v>
      </c>
      <c r="UZ166" s="27">
        <v>0</v>
      </c>
      <c r="VA166" s="24">
        <v>0</v>
      </c>
      <c r="VB166" s="24" t="s">
        <v>246</v>
      </c>
      <c r="VC166" s="24">
        <v>27</v>
      </c>
      <c r="VD166" s="27">
        <v>72</v>
      </c>
      <c r="VE166" s="27">
        <v>80.400000000000006</v>
      </c>
      <c r="VF166" s="27">
        <v>19.2</v>
      </c>
      <c r="VG166" s="24">
        <v>86.83</v>
      </c>
      <c r="VH166" s="24">
        <v>0</v>
      </c>
      <c r="VI166" s="24">
        <v>0</v>
      </c>
      <c r="VJ166" s="24">
        <v>0</v>
      </c>
      <c r="VK166" s="24">
        <v>13.17</v>
      </c>
      <c r="VL166" s="24">
        <v>0</v>
      </c>
      <c r="VM166" s="24">
        <v>0</v>
      </c>
      <c r="VN166" s="24">
        <v>0</v>
      </c>
      <c r="VO166" s="24">
        <v>0</v>
      </c>
      <c r="VP166" s="24">
        <v>0</v>
      </c>
      <c r="VQ166" s="24">
        <v>0</v>
      </c>
      <c r="VR166" s="24">
        <v>18.28</v>
      </c>
      <c r="VS166" s="24">
        <v>16.809999999999999</v>
      </c>
      <c r="VT166" s="24">
        <v>9.64</v>
      </c>
      <c r="VU166" s="24">
        <v>19.739999999999998</v>
      </c>
      <c r="VV166" s="24">
        <v>0</v>
      </c>
      <c r="VW166" s="24">
        <v>0</v>
      </c>
      <c r="VX166" s="24">
        <v>0</v>
      </c>
      <c r="WK166" s="24">
        <v>0</v>
      </c>
      <c r="WL166" s="24">
        <v>0</v>
      </c>
      <c r="WW166" s="28"/>
      <c r="XO166" s="24">
        <v>0</v>
      </c>
      <c r="YZ166" s="27">
        <v>1.43</v>
      </c>
      <c r="ZA166" s="27">
        <v>1</v>
      </c>
      <c r="ZB166" s="27">
        <v>1</v>
      </c>
      <c r="ZC166" s="27"/>
      <c r="ZD166" s="27">
        <f>6.34+2.11+0.08+0.37</f>
        <v>8.8999999999999986</v>
      </c>
      <c r="ZE166" s="27"/>
      <c r="ZF166" s="27"/>
      <c r="ZG166" s="27"/>
      <c r="ZH166" s="27"/>
      <c r="ZI166" s="27"/>
      <c r="ZJ166" s="27"/>
      <c r="ZK166" s="27">
        <v>3.5</v>
      </c>
      <c r="ZL166" s="27">
        <v>3.5</v>
      </c>
      <c r="ZM166" s="27"/>
      <c r="ZN166" s="27"/>
      <c r="ZO166" s="27">
        <v>0</v>
      </c>
      <c r="ZP166" s="27">
        <v>0</v>
      </c>
      <c r="ZQ166" s="27">
        <v>0</v>
      </c>
      <c r="ZR166" s="24">
        <v>0</v>
      </c>
      <c r="ZS166" s="24" t="s">
        <v>247</v>
      </c>
      <c r="ZT166" s="24">
        <v>37</v>
      </c>
      <c r="ZU166" s="27">
        <v>79.2</v>
      </c>
      <c r="ZV166" s="27">
        <v>80.400000000000006</v>
      </c>
      <c r="ZW166" s="27">
        <v>12.1</v>
      </c>
      <c r="ZX166" s="24">
        <v>96.75</v>
      </c>
      <c r="ZY166" s="24">
        <v>0</v>
      </c>
      <c r="ZZ166" s="24">
        <v>0</v>
      </c>
      <c r="AAA166" s="24">
        <v>0</v>
      </c>
      <c r="AAB166" s="24">
        <v>3.25</v>
      </c>
      <c r="AAC166" s="24">
        <v>0</v>
      </c>
      <c r="AAD166" s="24">
        <v>0</v>
      </c>
      <c r="AAE166" s="24">
        <v>0</v>
      </c>
      <c r="AAF166" s="24">
        <v>0</v>
      </c>
      <c r="AAG166" s="24">
        <v>0</v>
      </c>
      <c r="AAH166" s="24">
        <v>0</v>
      </c>
      <c r="AAI166" s="24">
        <v>9.06</v>
      </c>
      <c r="AAJ166" s="24">
        <v>18.149999999999999</v>
      </c>
      <c r="AAK166" s="24">
        <v>25.66</v>
      </c>
      <c r="AAL166" s="24">
        <v>15.61</v>
      </c>
      <c r="AAM166" s="24">
        <v>0</v>
      </c>
      <c r="AAN166" s="24">
        <v>0</v>
      </c>
      <c r="AAO166" s="24">
        <v>0</v>
      </c>
      <c r="ABB166" s="24">
        <v>17.8</v>
      </c>
      <c r="ABC166" s="24">
        <v>1</v>
      </c>
      <c r="ABD166" s="24">
        <v>47</v>
      </c>
      <c r="ABE166" s="24">
        <v>3</v>
      </c>
      <c r="ABF166" s="24">
        <v>2.2799999999999998</v>
      </c>
      <c r="ABG166" s="24">
        <v>3</v>
      </c>
      <c r="ABH166" s="24">
        <v>26</v>
      </c>
      <c r="ABI166" s="24">
        <v>1</v>
      </c>
      <c r="ABJ166" s="24">
        <v>0.76</v>
      </c>
      <c r="ABK166" s="24">
        <v>2</v>
      </c>
      <c r="ABN166" s="28"/>
      <c r="ACF166" s="24">
        <v>0</v>
      </c>
      <c r="ADQ166" s="27">
        <v>1.27</v>
      </c>
      <c r="ADR166" s="27">
        <v>1</v>
      </c>
      <c r="ADS166" s="27">
        <v>1</v>
      </c>
      <c r="ADT166" s="27"/>
      <c r="ADU166" s="27">
        <f>6.34+1.06</f>
        <v>7.4</v>
      </c>
      <c r="ADV166" s="27"/>
      <c r="ADW166" s="27"/>
      <c r="ADX166" s="27"/>
      <c r="ADY166" s="27"/>
      <c r="ADZ166" s="27"/>
      <c r="AEA166" s="27"/>
      <c r="AEB166" s="27">
        <v>2.86</v>
      </c>
      <c r="AEC166" s="27">
        <v>2.86</v>
      </c>
      <c r="AED166" s="27"/>
      <c r="AEE166" s="27"/>
      <c r="AEF166" s="27">
        <v>0</v>
      </c>
      <c r="AEG166" s="27">
        <v>0</v>
      </c>
      <c r="AEH166" s="27">
        <v>0</v>
      </c>
      <c r="AEI166" s="24">
        <v>0</v>
      </c>
      <c r="AEJ166" s="24" t="s">
        <v>248</v>
      </c>
      <c r="AEK166" s="24">
        <v>33</v>
      </c>
      <c r="AEL166" s="27">
        <v>122.1</v>
      </c>
      <c r="AEM166" s="27">
        <v>80.400000000000006</v>
      </c>
      <c r="AEN166" s="27">
        <v>14.1</v>
      </c>
      <c r="AEO166" s="24">
        <v>91.87</v>
      </c>
      <c r="AEP166" s="24">
        <v>0</v>
      </c>
      <c r="AEQ166" s="24">
        <v>5.85</v>
      </c>
      <c r="AER166" s="24">
        <v>0</v>
      </c>
      <c r="AES166" s="24">
        <v>2.2799999999999998</v>
      </c>
      <c r="AET166" s="24">
        <v>0</v>
      </c>
      <c r="AEU166" s="24">
        <v>0</v>
      </c>
      <c r="AEV166" s="24">
        <v>0</v>
      </c>
      <c r="AEW166" s="24">
        <v>0</v>
      </c>
      <c r="AEX166" s="24">
        <v>0</v>
      </c>
      <c r="AEY166" s="24">
        <v>0</v>
      </c>
      <c r="AEZ166" s="24">
        <v>0</v>
      </c>
      <c r="AFA166" s="24">
        <v>23.39</v>
      </c>
      <c r="AFB166" s="24">
        <v>10.3</v>
      </c>
      <c r="AFC166" s="24">
        <v>49.9</v>
      </c>
      <c r="AFD166" s="24">
        <v>0</v>
      </c>
      <c r="AFE166" s="24">
        <v>0</v>
      </c>
      <c r="AFF166" s="24">
        <v>0</v>
      </c>
      <c r="AFS166" s="24">
        <v>0</v>
      </c>
      <c r="AFT166" s="24">
        <v>1</v>
      </c>
      <c r="AFU166" s="24">
        <v>34</v>
      </c>
      <c r="AFV166" s="24">
        <v>1</v>
      </c>
      <c r="AFW166" s="24">
        <v>1.1399999999999999</v>
      </c>
      <c r="AFX166" s="24">
        <v>1</v>
      </c>
      <c r="AGE166" s="28"/>
      <c r="AGW166" s="24">
        <v>0</v>
      </c>
      <c r="AIH166" s="27">
        <v>4.78</v>
      </c>
      <c r="AII166" s="27">
        <v>1</v>
      </c>
      <c r="AIJ166" s="27">
        <v>1</v>
      </c>
      <c r="AIK166" s="27"/>
      <c r="AIL166" s="27">
        <v>4.2300000000000004</v>
      </c>
      <c r="AIM166" s="27">
        <v>2</v>
      </c>
      <c r="AIN166" s="27"/>
      <c r="AIO166" s="27">
        <f>1.14+9.52+1.68</f>
        <v>12.34</v>
      </c>
      <c r="AIP166" s="27"/>
      <c r="AIQ166" s="27"/>
      <c r="AIR166" s="27"/>
      <c r="AIS166" s="27">
        <v>10.43</v>
      </c>
      <c r="AIT166" s="27">
        <v>22.43</v>
      </c>
      <c r="AIU166" s="27"/>
      <c r="AIV166" s="27"/>
      <c r="AIW166" s="27">
        <v>0</v>
      </c>
      <c r="AIX166" s="27">
        <v>0</v>
      </c>
      <c r="AIY166" s="27">
        <v>0</v>
      </c>
      <c r="AIZ166" s="24">
        <v>0</v>
      </c>
      <c r="AJA166" s="24" t="s">
        <v>249</v>
      </c>
      <c r="AJB166" s="24">
        <v>25</v>
      </c>
      <c r="AJC166" s="27">
        <v>87.3</v>
      </c>
      <c r="AJD166" s="27">
        <v>80.400000000000006</v>
      </c>
      <c r="AJE166" s="27">
        <v>8.8000000000000007</v>
      </c>
      <c r="AJF166" s="24">
        <v>100</v>
      </c>
      <c r="AJG166" s="24">
        <v>0</v>
      </c>
      <c r="AJH166" s="24">
        <v>0</v>
      </c>
      <c r="AJI166" s="24">
        <v>0</v>
      </c>
      <c r="AJJ166" s="24">
        <v>0</v>
      </c>
      <c r="AJK166" s="24">
        <v>0</v>
      </c>
      <c r="AJL166" s="24">
        <v>0</v>
      </c>
      <c r="AJM166" s="24">
        <v>0</v>
      </c>
      <c r="AJN166" s="24">
        <v>0</v>
      </c>
      <c r="AJO166" s="24">
        <v>0</v>
      </c>
      <c r="AJP166" s="24">
        <v>0</v>
      </c>
      <c r="AJQ166" s="24">
        <v>0</v>
      </c>
      <c r="AJR166" s="24">
        <v>11.94</v>
      </c>
      <c r="AJS166" s="24">
        <v>34.17</v>
      </c>
      <c r="AJT166" s="24">
        <v>24.72</v>
      </c>
      <c r="AJU166" s="24">
        <v>0</v>
      </c>
      <c r="AJV166" s="24">
        <v>6.9</v>
      </c>
      <c r="AJW166" s="24">
        <v>3</v>
      </c>
      <c r="AJX166" s="24">
        <v>50</v>
      </c>
      <c r="AJZ166" s="24">
        <v>2</v>
      </c>
      <c r="AKD166" s="24">
        <v>50</v>
      </c>
      <c r="AKF166" s="24">
        <v>2</v>
      </c>
      <c r="AKJ166" s="24">
        <v>0</v>
      </c>
      <c r="AKK166" s="24">
        <v>0</v>
      </c>
      <c r="AKV166" s="28"/>
      <c r="ALN166" s="24">
        <v>1</v>
      </c>
      <c r="ALO166" s="24">
        <v>50</v>
      </c>
      <c r="ALP166" s="24">
        <v>1</v>
      </c>
      <c r="ALQ166" s="24">
        <v>1.86</v>
      </c>
      <c r="ALR166" s="24">
        <v>3</v>
      </c>
    </row>
    <row r="167" spans="1:1024" x14ac:dyDescent="0.2">
      <c r="A167" s="36" t="s">
        <v>629</v>
      </c>
      <c r="B167" s="12">
        <v>42904</v>
      </c>
      <c r="C167">
        <v>1</v>
      </c>
      <c r="D167" s="13">
        <v>42849</v>
      </c>
      <c r="E167" s="12">
        <v>31551</v>
      </c>
      <c r="F167" s="14">
        <f t="shared" si="48"/>
        <v>31.082819986310746</v>
      </c>
      <c r="G167" s="14">
        <f t="shared" si="49"/>
        <v>0.15058179329226556</v>
      </c>
      <c r="H167" s="15" t="s">
        <v>183</v>
      </c>
      <c r="I167" s="15" t="s">
        <v>523</v>
      </c>
      <c r="J167" s="15" t="s">
        <v>181</v>
      </c>
      <c r="K167" s="15">
        <v>8</v>
      </c>
      <c r="L167" s="19">
        <v>56</v>
      </c>
      <c r="M167">
        <v>1.61</v>
      </c>
      <c r="N167" s="16">
        <f t="shared" si="50"/>
        <v>21.60410477990818</v>
      </c>
      <c r="O167" s="19">
        <v>0</v>
      </c>
      <c r="P167" s="19">
        <v>0</v>
      </c>
      <c r="Q167" s="19">
        <v>0</v>
      </c>
      <c r="R167" s="19">
        <v>0</v>
      </c>
      <c r="S167" s="19">
        <v>0</v>
      </c>
      <c r="T167" s="19">
        <v>0</v>
      </c>
      <c r="U167" s="19">
        <v>0</v>
      </c>
      <c r="V167" s="19">
        <v>0</v>
      </c>
      <c r="W167" s="19">
        <v>0</v>
      </c>
      <c r="X167" s="19">
        <v>0</v>
      </c>
      <c r="Y167" s="19">
        <v>0</v>
      </c>
      <c r="Z167" s="19">
        <v>0</v>
      </c>
      <c r="AA167" s="19">
        <v>0</v>
      </c>
      <c r="AB167" s="19">
        <v>0</v>
      </c>
      <c r="AC167" s="19">
        <v>0</v>
      </c>
      <c r="AD167" s="19">
        <v>0</v>
      </c>
      <c r="AE167" s="19">
        <v>1</v>
      </c>
      <c r="AF167" s="19">
        <v>0</v>
      </c>
      <c r="AG167" s="19">
        <v>1</v>
      </c>
      <c r="AH167" s="19">
        <v>10</v>
      </c>
      <c r="AI167" s="19">
        <v>1</v>
      </c>
      <c r="AJ167" s="19">
        <v>0</v>
      </c>
      <c r="AK167" s="19">
        <v>1</v>
      </c>
      <c r="AL167" s="19">
        <v>10</v>
      </c>
      <c r="AM167" s="19">
        <v>0</v>
      </c>
      <c r="AN167" s="19">
        <v>0</v>
      </c>
      <c r="AO167" s="19">
        <v>0</v>
      </c>
      <c r="AP167" s="19">
        <v>0</v>
      </c>
      <c r="AQ167" s="19">
        <v>0</v>
      </c>
      <c r="AR167" s="19">
        <v>0</v>
      </c>
      <c r="AS167" s="19">
        <v>0</v>
      </c>
      <c r="AT167" s="19">
        <v>0</v>
      </c>
      <c r="AU167" s="19">
        <v>0</v>
      </c>
      <c r="AV167" s="19">
        <v>0</v>
      </c>
      <c r="AW167" s="19">
        <v>0</v>
      </c>
      <c r="AX167" s="19">
        <v>0</v>
      </c>
      <c r="AY167" s="19">
        <v>0</v>
      </c>
      <c r="AZ167" s="19">
        <v>0</v>
      </c>
      <c r="BA167" s="19">
        <v>0</v>
      </c>
      <c r="BB167" s="19">
        <v>0</v>
      </c>
      <c r="BC167" s="19">
        <v>0</v>
      </c>
      <c r="BD167" s="19">
        <v>0</v>
      </c>
      <c r="BE167" s="19">
        <v>0</v>
      </c>
      <c r="BF167" s="19">
        <v>0</v>
      </c>
      <c r="BG167" s="19">
        <v>0</v>
      </c>
      <c r="BH167" s="19">
        <v>0</v>
      </c>
      <c r="BI167" s="19">
        <v>0</v>
      </c>
      <c r="BJ167" s="19">
        <v>0</v>
      </c>
      <c r="BK167" s="19">
        <v>0</v>
      </c>
      <c r="BL167" s="19">
        <v>0</v>
      </c>
      <c r="BM167" s="19">
        <v>0</v>
      </c>
      <c r="BN167" s="19">
        <v>0</v>
      </c>
      <c r="BO167" s="19">
        <v>0</v>
      </c>
      <c r="BP167" s="19">
        <v>0</v>
      </c>
      <c r="BQ167" s="19">
        <v>0</v>
      </c>
      <c r="BR167" s="19">
        <v>3</v>
      </c>
      <c r="BS167" s="19">
        <v>2</v>
      </c>
      <c r="BT167" s="19">
        <v>5</v>
      </c>
      <c r="BU167" s="19">
        <v>5</v>
      </c>
      <c r="BV167" s="19">
        <v>2</v>
      </c>
      <c r="BW167" s="19">
        <v>2</v>
      </c>
      <c r="BX167" s="19">
        <v>1</v>
      </c>
      <c r="BY167" s="19">
        <v>1</v>
      </c>
      <c r="BZ167" s="19">
        <v>2</v>
      </c>
      <c r="CA167" s="19">
        <v>2</v>
      </c>
      <c r="CB167" s="19">
        <v>5</v>
      </c>
      <c r="CC167" s="19">
        <v>5</v>
      </c>
      <c r="CD167" s="19">
        <v>3</v>
      </c>
      <c r="CE167" s="19">
        <v>3</v>
      </c>
      <c r="CF167" s="19">
        <v>5</v>
      </c>
      <c r="CG167" s="19">
        <v>5</v>
      </c>
      <c r="CH167" s="19">
        <v>3</v>
      </c>
      <c r="CI167" s="19">
        <v>4</v>
      </c>
      <c r="CJ167" s="19">
        <v>2</v>
      </c>
      <c r="CK167" s="19">
        <v>8</v>
      </c>
      <c r="CL167" t="s">
        <v>299</v>
      </c>
      <c r="CM167">
        <v>17.5</v>
      </c>
      <c r="CN167" s="16">
        <v>81.900000000000006</v>
      </c>
      <c r="CO167" s="16">
        <v>80.400000000000006</v>
      </c>
      <c r="CP167" s="16">
        <v>12.5</v>
      </c>
      <c r="CQ167">
        <v>85.79</v>
      </c>
      <c r="CR167" s="17">
        <v>0</v>
      </c>
      <c r="CS167">
        <v>10.02</v>
      </c>
      <c r="CT167">
        <v>0</v>
      </c>
      <c r="CU167">
        <v>0</v>
      </c>
      <c r="CV167">
        <v>0</v>
      </c>
      <c r="CW167">
        <v>4.1900000000000004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53.51</v>
      </c>
      <c r="DD167">
        <v>0</v>
      </c>
      <c r="DE167">
        <v>0</v>
      </c>
      <c r="DF167">
        <v>0</v>
      </c>
      <c r="DG167">
        <v>0</v>
      </c>
      <c r="DH167">
        <v>0</v>
      </c>
      <c r="DU167">
        <v>0</v>
      </c>
      <c r="DV167">
        <v>0</v>
      </c>
      <c r="EG167" s="20"/>
      <c r="EY167">
        <v>0</v>
      </c>
      <c r="GJ167" s="16">
        <v>3.38</v>
      </c>
      <c r="GK167" s="16">
        <v>1</v>
      </c>
      <c r="GL167" s="16">
        <v>1</v>
      </c>
      <c r="GM167" s="16"/>
      <c r="GN167" s="16">
        <v>12.64</v>
      </c>
      <c r="GO167" s="16"/>
      <c r="GP167" s="16"/>
      <c r="GQ167" s="16"/>
      <c r="GR167" s="16"/>
      <c r="GS167" s="16"/>
      <c r="GT167" s="16"/>
      <c r="GU167" s="16">
        <v>0</v>
      </c>
      <c r="GV167" s="16">
        <v>0</v>
      </c>
      <c r="GW167" s="16">
        <v>0</v>
      </c>
      <c r="GX167" s="16">
        <v>0</v>
      </c>
      <c r="GY167" s="16">
        <v>0</v>
      </c>
      <c r="GZ167" s="16">
        <v>0</v>
      </c>
      <c r="HA167" s="16">
        <v>0</v>
      </c>
      <c r="HB167">
        <v>0</v>
      </c>
      <c r="HC167" t="s">
        <v>300</v>
      </c>
      <c r="HD167">
        <v>31</v>
      </c>
      <c r="HE167" s="16">
        <v>86.2</v>
      </c>
      <c r="HF167" s="16">
        <v>80.400000000000006</v>
      </c>
      <c r="HG167" s="16">
        <v>19.399999999999999</v>
      </c>
      <c r="HH167">
        <v>23.44</v>
      </c>
      <c r="HI167" s="17">
        <v>0</v>
      </c>
      <c r="HJ167">
        <v>0</v>
      </c>
      <c r="HK167">
        <v>0</v>
      </c>
      <c r="HL167">
        <v>0.94</v>
      </c>
      <c r="HM167">
        <v>0</v>
      </c>
      <c r="HN167">
        <v>75.62</v>
      </c>
      <c r="HO167">
        <v>16.829999999999998</v>
      </c>
      <c r="HP167">
        <v>0</v>
      </c>
      <c r="HQ167">
        <v>0</v>
      </c>
      <c r="HR167">
        <v>0</v>
      </c>
      <c r="HS167">
        <v>0</v>
      </c>
      <c r="HT167">
        <v>6.9</v>
      </c>
      <c r="HU167">
        <v>42.32</v>
      </c>
      <c r="HV167">
        <v>0</v>
      </c>
      <c r="HW167">
        <v>0</v>
      </c>
      <c r="HX167">
        <v>0</v>
      </c>
      <c r="HY167">
        <v>0</v>
      </c>
      <c r="IL167">
        <v>0</v>
      </c>
      <c r="IM167">
        <v>0</v>
      </c>
      <c r="IX167" s="20"/>
      <c r="JP167">
        <v>0</v>
      </c>
      <c r="LA167" s="16">
        <v>5.0599999999999996</v>
      </c>
      <c r="LB167" s="16">
        <v>1</v>
      </c>
      <c r="LC167" s="16">
        <v>1</v>
      </c>
      <c r="LD167" s="16"/>
      <c r="LE167" s="16">
        <v>6.74</v>
      </c>
      <c r="LF167" s="16">
        <v>2</v>
      </c>
      <c r="LG167" s="16"/>
      <c r="LH167" s="16">
        <v>10.7</v>
      </c>
      <c r="LI167" s="16"/>
      <c r="LJ167" s="16"/>
      <c r="LK167" s="16"/>
      <c r="LL167" s="16">
        <v>0</v>
      </c>
      <c r="LM167" s="16">
        <v>0</v>
      </c>
      <c r="LN167" s="16">
        <v>0</v>
      </c>
      <c r="LO167" s="16">
        <v>0</v>
      </c>
      <c r="LP167" s="16">
        <v>5.97</v>
      </c>
      <c r="LQ167" s="16">
        <v>0</v>
      </c>
      <c r="LR167" s="16">
        <v>0</v>
      </c>
      <c r="LS167">
        <v>1</v>
      </c>
      <c r="LT167" t="s">
        <v>301</v>
      </c>
      <c r="LU167">
        <v>44</v>
      </c>
      <c r="LV167" s="16">
        <v>88.4</v>
      </c>
      <c r="LW167" s="16">
        <v>80.400000000000006</v>
      </c>
      <c r="LX167" s="16">
        <v>40</v>
      </c>
      <c r="LY167">
        <v>11.38</v>
      </c>
      <c r="LZ167" s="17">
        <v>0</v>
      </c>
      <c r="MA167">
        <v>0</v>
      </c>
      <c r="MB167">
        <v>0</v>
      </c>
      <c r="MC167">
        <v>0</v>
      </c>
      <c r="MD167">
        <v>0</v>
      </c>
      <c r="ME167">
        <v>88.62</v>
      </c>
      <c r="MF167">
        <v>22.58</v>
      </c>
      <c r="MG167">
        <v>24.22</v>
      </c>
      <c r="MH167">
        <v>0</v>
      </c>
      <c r="MI167">
        <v>0</v>
      </c>
      <c r="MJ167">
        <v>0</v>
      </c>
      <c r="MK167">
        <v>26.59</v>
      </c>
      <c r="ML167">
        <v>0.54</v>
      </c>
      <c r="MM167">
        <v>0</v>
      </c>
      <c r="MN167">
        <v>0</v>
      </c>
      <c r="MO167">
        <v>0</v>
      </c>
      <c r="MP167">
        <v>0</v>
      </c>
      <c r="NC167">
        <v>0</v>
      </c>
      <c r="ND167">
        <v>0</v>
      </c>
      <c r="NO167" s="20"/>
      <c r="OG167">
        <v>1</v>
      </c>
      <c r="OH167">
        <v>40</v>
      </c>
      <c r="OI167">
        <v>2</v>
      </c>
      <c r="OJ167">
        <v>0.26</v>
      </c>
      <c r="OK167">
        <v>3</v>
      </c>
      <c r="PR167" s="16">
        <v>3.77</v>
      </c>
      <c r="PS167" s="16">
        <v>1</v>
      </c>
      <c r="PT167" s="16">
        <v>1</v>
      </c>
      <c r="PU167" s="16"/>
      <c r="PV167" s="16">
        <v>25.78</v>
      </c>
      <c r="PW167" s="16"/>
      <c r="PX167" s="16"/>
      <c r="PY167" s="16"/>
      <c r="PZ167" s="16"/>
      <c r="QA167" s="16"/>
      <c r="QB167" s="16"/>
      <c r="QC167" s="16">
        <v>0</v>
      </c>
      <c r="QD167" s="16">
        <v>0</v>
      </c>
      <c r="QE167" s="16">
        <v>0</v>
      </c>
      <c r="QF167" s="16">
        <v>0</v>
      </c>
      <c r="QG167" s="16">
        <v>0</v>
      </c>
      <c r="QH167" s="16">
        <v>0</v>
      </c>
      <c r="QI167" s="16">
        <v>0</v>
      </c>
      <c r="QJ167">
        <v>0</v>
      </c>
      <c r="QK167" t="s">
        <v>207</v>
      </c>
      <c r="QL167">
        <v>20.5</v>
      </c>
      <c r="QM167" s="16">
        <v>85.6</v>
      </c>
      <c r="QN167" s="16">
        <v>80.400000000000006</v>
      </c>
      <c r="QO167" s="16">
        <v>17.7</v>
      </c>
      <c r="QP167">
        <v>63.65</v>
      </c>
      <c r="QQ167" s="17">
        <v>0</v>
      </c>
      <c r="QR167">
        <v>0</v>
      </c>
      <c r="QS167">
        <v>0</v>
      </c>
      <c r="QT167">
        <v>47.03</v>
      </c>
      <c r="QU167">
        <v>0</v>
      </c>
      <c r="QV167">
        <v>11.64</v>
      </c>
      <c r="QW167">
        <v>0</v>
      </c>
      <c r="QX167">
        <v>0</v>
      </c>
      <c r="QY167">
        <v>5.03</v>
      </c>
      <c r="QZ167">
        <v>0</v>
      </c>
      <c r="RA167">
        <v>2.93</v>
      </c>
      <c r="RB167">
        <v>24.27</v>
      </c>
      <c r="RC167">
        <v>17.25</v>
      </c>
      <c r="RD167">
        <v>0</v>
      </c>
      <c r="RE167">
        <v>0</v>
      </c>
      <c r="RF167">
        <v>0</v>
      </c>
      <c r="RG167">
        <v>0</v>
      </c>
      <c r="RT167">
        <v>0</v>
      </c>
      <c r="RU167">
        <v>0</v>
      </c>
      <c r="SF167" s="20"/>
      <c r="SX167">
        <v>0</v>
      </c>
      <c r="UI167" s="16">
        <v>1.47</v>
      </c>
      <c r="UJ167" s="16">
        <v>1</v>
      </c>
      <c r="UK167" s="16">
        <v>1</v>
      </c>
      <c r="UL167" s="16"/>
      <c r="UM167" s="16">
        <v>2.94</v>
      </c>
      <c r="UN167" s="16"/>
      <c r="UO167" s="16"/>
      <c r="UP167" s="16"/>
      <c r="UQ167" s="16"/>
      <c r="UR167" s="16"/>
      <c r="US167" s="16"/>
      <c r="UT167" s="16">
        <v>0</v>
      </c>
      <c r="UU167" s="16">
        <v>0</v>
      </c>
      <c r="UV167" s="16">
        <v>0</v>
      </c>
      <c r="UW167" s="16">
        <v>0</v>
      </c>
      <c r="UX167" s="16">
        <v>0</v>
      </c>
      <c r="UY167" s="16">
        <v>0</v>
      </c>
      <c r="UZ167" s="16">
        <v>0</v>
      </c>
      <c r="VA167">
        <v>0</v>
      </c>
      <c r="VB167" t="s">
        <v>208</v>
      </c>
      <c r="VC167">
        <v>35</v>
      </c>
      <c r="VD167" s="16">
        <v>69.2</v>
      </c>
      <c r="VE167" s="16">
        <v>80.400000000000006</v>
      </c>
      <c r="VF167" s="16">
        <v>24</v>
      </c>
      <c r="VG167">
        <v>71.73</v>
      </c>
      <c r="VH167" s="17">
        <v>0</v>
      </c>
      <c r="VI167">
        <v>0</v>
      </c>
      <c r="VJ167">
        <v>6.09</v>
      </c>
      <c r="VK167">
        <v>19.28</v>
      </c>
      <c r="VL167">
        <v>0</v>
      </c>
      <c r="VM167">
        <v>2.83</v>
      </c>
      <c r="VN167">
        <v>0</v>
      </c>
      <c r="VO167">
        <v>0</v>
      </c>
      <c r="VP167">
        <v>0</v>
      </c>
      <c r="VQ167">
        <v>0</v>
      </c>
      <c r="VR167">
        <v>14.46</v>
      </c>
      <c r="VS167">
        <v>19.89</v>
      </c>
      <c r="VT167">
        <v>24.43</v>
      </c>
      <c r="VU167">
        <v>0</v>
      </c>
      <c r="VV167">
        <v>7.0000000000000007E-2</v>
      </c>
      <c r="VW167">
        <v>0</v>
      </c>
      <c r="VX167">
        <v>0</v>
      </c>
      <c r="WK167">
        <v>2</v>
      </c>
      <c r="WL167">
        <v>0</v>
      </c>
      <c r="WW167" s="20"/>
      <c r="XO167">
        <v>1</v>
      </c>
      <c r="XP167">
        <v>40</v>
      </c>
      <c r="XQ167">
        <v>2</v>
      </c>
      <c r="XR167">
        <v>1.52</v>
      </c>
      <c r="XS167">
        <v>3</v>
      </c>
      <c r="XT167">
        <v>50</v>
      </c>
      <c r="XU167">
        <v>4</v>
      </c>
      <c r="XV167">
        <v>0.54</v>
      </c>
      <c r="XW167">
        <v>1</v>
      </c>
      <c r="YZ167" s="16">
        <v>1.6</v>
      </c>
      <c r="ZA167" s="16">
        <v>1</v>
      </c>
      <c r="ZB167" s="16">
        <v>1</v>
      </c>
      <c r="ZC167" s="16"/>
      <c r="ZD167" s="16">
        <v>7.09</v>
      </c>
      <c r="ZE167" s="16"/>
      <c r="ZF167" s="16"/>
      <c r="ZG167" s="16"/>
      <c r="ZH167" s="16"/>
      <c r="ZI167" s="16"/>
      <c r="ZJ167" s="16"/>
      <c r="ZK167" s="16">
        <v>1.1200000000000001</v>
      </c>
      <c r="ZL167" s="16">
        <v>0.27</v>
      </c>
      <c r="ZM167" s="16">
        <v>0</v>
      </c>
      <c r="ZN167" s="16">
        <v>0</v>
      </c>
      <c r="ZO167" s="16">
        <v>0</v>
      </c>
      <c r="ZP167" s="16">
        <v>0</v>
      </c>
      <c r="ZQ167" s="16">
        <v>3</v>
      </c>
      <c r="ZR167">
        <v>0</v>
      </c>
      <c r="ZS167" t="s">
        <v>302</v>
      </c>
      <c r="ZT167">
        <v>22</v>
      </c>
      <c r="ZU167" s="16">
        <v>87.6</v>
      </c>
      <c r="ZV167" s="16">
        <v>80.400000000000006</v>
      </c>
      <c r="ZW167" s="16">
        <v>4.5</v>
      </c>
      <c r="ZX167">
        <v>100</v>
      </c>
      <c r="ZY167" s="1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1.1399999999999999</v>
      </c>
      <c r="AAJ167">
        <v>27.07</v>
      </c>
      <c r="AAK167">
        <v>1.9</v>
      </c>
      <c r="AAL167">
        <v>0</v>
      </c>
      <c r="AAM167">
        <v>0</v>
      </c>
      <c r="AAN167">
        <v>0</v>
      </c>
      <c r="AAO167">
        <v>0</v>
      </c>
      <c r="ABB167">
        <v>8</v>
      </c>
      <c r="ABC167">
        <v>1</v>
      </c>
      <c r="ABD167">
        <v>35</v>
      </c>
      <c r="ABE167">
        <v>2</v>
      </c>
      <c r="ABF167">
        <v>1.52</v>
      </c>
      <c r="ABG167">
        <v>3</v>
      </c>
      <c r="ABN167" s="20"/>
      <c r="ACF167">
        <v>1</v>
      </c>
      <c r="ACG167">
        <v>40</v>
      </c>
      <c r="ACH167">
        <v>3</v>
      </c>
      <c r="ACI167">
        <v>2.2799999999999998</v>
      </c>
      <c r="ACJ167">
        <v>3</v>
      </c>
      <c r="ADQ167" s="16">
        <v>1.1200000000000001</v>
      </c>
      <c r="ADR167" s="16">
        <v>1</v>
      </c>
      <c r="ADS167" s="16">
        <v>1</v>
      </c>
      <c r="ADT167" s="16"/>
      <c r="ADU167" s="16">
        <v>2.2400000000000002</v>
      </c>
      <c r="ADV167" s="16"/>
      <c r="ADW167" s="16"/>
      <c r="ADX167" s="16"/>
      <c r="ADY167" s="16"/>
      <c r="ADZ167" s="16"/>
      <c r="AEA167" s="16"/>
      <c r="AEB167" s="16">
        <v>6.72</v>
      </c>
      <c r="AEC167" s="16">
        <v>0</v>
      </c>
      <c r="AED167" s="16">
        <v>0</v>
      </c>
      <c r="AEE167" s="16">
        <v>0</v>
      </c>
      <c r="AEF167" s="16">
        <v>0</v>
      </c>
      <c r="AEG167" s="16">
        <v>0</v>
      </c>
      <c r="AEH167" s="16">
        <v>0</v>
      </c>
      <c r="AEI167">
        <v>1</v>
      </c>
      <c r="AEJ167" t="s">
        <v>303</v>
      </c>
      <c r="AEK167">
        <v>18</v>
      </c>
      <c r="AEL167" s="16">
        <v>84.7</v>
      </c>
      <c r="AEM167" s="16">
        <v>80.400000000000006</v>
      </c>
      <c r="AEN167" s="16">
        <v>6.7</v>
      </c>
      <c r="AEO167">
        <v>100</v>
      </c>
      <c r="AEP167" s="1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14.84</v>
      </c>
      <c r="AFA167">
        <v>28.79</v>
      </c>
      <c r="AFB167">
        <v>1.9</v>
      </c>
      <c r="AFC167">
        <v>0</v>
      </c>
      <c r="AFD167">
        <v>0</v>
      </c>
      <c r="AFE167">
        <v>0</v>
      </c>
      <c r="AFF167">
        <v>0</v>
      </c>
      <c r="AFS167">
        <v>1.9</v>
      </c>
      <c r="AFT167">
        <v>0</v>
      </c>
      <c r="AGE167" s="20"/>
      <c r="AGW167">
        <v>1</v>
      </c>
      <c r="AGX167">
        <v>50</v>
      </c>
      <c r="AGY167">
        <v>3</v>
      </c>
      <c r="AGZ167">
        <v>2.2799999999999998</v>
      </c>
      <c r="AHA167">
        <v>3</v>
      </c>
      <c r="AIH167" s="16">
        <v>1.1200000000000001</v>
      </c>
      <c r="AII167" s="16">
        <v>1</v>
      </c>
      <c r="AIJ167" s="16">
        <v>1</v>
      </c>
      <c r="AIK167" s="16"/>
      <c r="AIL167" s="16">
        <v>2.2400000000000002</v>
      </c>
      <c r="AIM167" s="16"/>
      <c r="AIN167" s="16"/>
      <c r="AIO167" s="16"/>
      <c r="AIP167" s="16"/>
      <c r="AIQ167" s="16"/>
      <c r="AIR167" s="16"/>
      <c r="AIS167" s="16">
        <v>0</v>
      </c>
      <c r="AIT167" s="16">
        <v>0</v>
      </c>
      <c r="AIU167" s="16">
        <v>0</v>
      </c>
      <c r="AIV167" s="16">
        <v>0</v>
      </c>
      <c r="AIW167" s="16">
        <v>6.72</v>
      </c>
      <c r="AIX167" s="16">
        <v>0</v>
      </c>
      <c r="AIY167" s="16">
        <v>0</v>
      </c>
      <c r="AIZ167">
        <v>1</v>
      </c>
      <c r="AJA167" t="s">
        <v>304</v>
      </c>
      <c r="AJB167">
        <v>29</v>
      </c>
      <c r="AJC167" s="16">
        <v>84.9</v>
      </c>
      <c r="AJD167" s="16">
        <v>80.400000000000006</v>
      </c>
      <c r="AJE167" s="16">
        <v>22.7</v>
      </c>
      <c r="AJF167">
        <v>47.69</v>
      </c>
      <c r="AJG167" s="17">
        <v>0</v>
      </c>
      <c r="AJH167">
        <v>0</v>
      </c>
      <c r="AJI167">
        <v>0</v>
      </c>
      <c r="AJJ167">
        <v>22.69</v>
      </c>
      <c r="AJK167">
        <v>0</v>
      </c>
      <c r="AJL167">
        <v>28.56</v>
      </c>
      <c r="AJM167">
        <v>0</v>
      </c>
      <c r="AJN167">
        <v>0</v>
      </c>
      <c r="AJO167">
        <v>0</v>
      </c>
      <c r="AJP167">
        <v>0</v>
      </c>
      <c r="AJQ167">
        <v>30.64</v>
      </c>
      <c r="AJR167">
        <v>8.3800000000000008</v>
      </c>
      <c r="AJS167">
        <v>43.35</v>
      </c>
      <c r="AJT167">
        <v>6.09</v>
      </c>
      <c r="AJU167">
        <v>0</v>
      </c>
      <c r="AJV167">
        <v>0</v>
      </c>
      <c r="AJW167">
        <v>0</v>
      </c>
      <c r="AKJ167">
        <v>2.5</v>
      </c>
      <c r="AKK167">
        <v>1</v>
      </c>
      <c r="AKL167">
        <v>35</v>
      </c>
      <c r="AKM167">
        <v>4</v>
      </c>
      <c r="AKN167">
        <v>0.54</v>
      </c>
      <c r="AKO167">
        <v>3</v>
      </c>
      <c r="AKV167" s="20"/>
      <c r="ALN167">
        <v>1</v>
      </c>
      <c r="ALO167">
        <v>40</v>
      </c>
      <c r="ALP167">
        <v>2</v>
      </c>
      <c r="ALQ167">
        <v>0.26</v>
      </c>
      <c r="ALR167">
        <v>3</v>
      </c>
    </row>
    <row r="168" spans="1:1024" ht="14.25" customHeight="1" x14ac:dyDescent="0.2">
      <c r="A168" s="36" t="s">
        <v>630</v>
      </c>
      <c r="B168" s="12">
        <v>42894</v>
      </c>
      <c r="C168">
        <v>2</v>
      </c>
      <c r="D168" s="13">
        <v>42856</v>
      </c>
      <c r="E168" s="12">
        <v>32620</v>
      </c>
      <c r="F168" s="14">
        <f t="shared" si="48"/>
        <v>28.128678986995208</v>
      </c>
      <c r="G168" s="14">
        <f t="shared" si="49"/>
        <v>0.10403832991101986</v>
      </c>
      <c r="H168" s="15" t="s">
        <v>183</v>
      </c>
      <c r="I168" s="15" t="s">
        <v>347</v>
      </c>
      <c r="J168" s="15" t="s">
        <v>183</v>
      </c>
      <c r="K168" s="15">
        <v>8</v>
      </c>
      <c r="L168" s="19">
        <v>65</v>
      </c>
      <c r="M168">
        <v>1.68</v>
      </c>
      <c r="N168" s="16">
        <f t="shared" si="50"/>
        <v>23.030045351473927</v>
      </c>
      <c r="O168" s="19">
        <v>0</v>
      </c>
      <c r="P168" s="19">
        <v>0</v>
      </c>
      <c r="Q168" s="19">
        <v>0</v>
      </c>
      <c r="R168" s="19">
        <v>0</v>
      </c>
      <c r="S168" s="19">
        <v>0</v>
      </c>
      <c r="T168" s="19">
        <v>0</v>
      </c>
      <c r="U168" s="19">
        <v>0</v>
      </c>
      <c r="V168" s="19">
        <v>0</v>
      </c>
      <c r="W168" s="19">
        <v>1</v>
      </c>
      <c r="X168" s="19">
        <v>1</v>
      </c>
      <c r="Y168" s="19">
        <v>0</v>
      </c>
      <c r="Z168" s="19">
        <v>0</v>
      </c>
      <c r="AA168" s="19">
        <v>0</v>
      </c>
      <c r="AB168" s="19">
        <v>0</v>
      </c>
      <c r="AC168" s="19">
        <v>1</v>
      </c>
      <c r="AD168" s="19">
        <v>5</v>
      </c>
      <c r="AE168" s="19">
        <v>0</v>
      </c>
      <c r="AF168" s="19"/>
      <c r="AG168" s="19"/>
      <c r="AH168" s="19"/>
      <c r="AI168" s="19">
        <v>0</v>
      </c>
      <c r="AJ168" s="19">
        <v>0</v>
      </c>
      <c r="AK168" s="19">
        <v>0</v>
      </c>
      <c r="AL168" s="19">
        <v>0</v>
      </c>
      <c r="AM168" s="19">
        <v>0</v>
      </c>
      <c r="AN168" s="19"/>
      <c r="AO168" s="19"/>
      <c r="AP168" s="19"/>
      <c r="AQ168" s="19"/>
      <c r="AR168" s="19"/>
      <c r="AS168" s="19">
        <v>1</v>
      </c>
      <c r="AT168" s="19">
        <v>0</v>
      </c>
      <c r="AU168" s="19">
        <v>1</v>
      </c>
      <c r="AV168" s="19">
        <v>4</v>
      </c>
      <c r="AW168" s="19">
        <v>0</v>
      </c>
      <c r="AX168" s="19">
        <v>0</v>
      </c>
      <c r="AY168" s="19">
        <v>0</v>
      </c>
      <c r="AZ168" s="19">
        <v>0</v>
      </c>
      <c r="BA168" s="19">
        <v>0</v>
      </c>
      <c r="BB168" s="19">
        <v>0</v>
      </c>
      <c r="BC168" s="19">
        <v>0</v>
      </c>
      <c r="BD168" s="19">
        <v>0</v>
      </c>
      <c r="BE168" s="19">
        <v>0</v>
      </c>
      <c r="BF168" s="19">
        <v>0</v>
      </c>
      <c r="BG168" s="19">
        <v>0</v>
      </c>
      <c r="BH168" s="19">
        <v>0</v>
      </c>
      <c r="BI168" s="19">
        <v>0</v>
      </c>
      <c r="BJ168" s="19">
        <v>0</v>
      </c>
      <c r="BK168" s="19">
        <v>0</v>
      </c>
      <c r="BL168" s="19">
        <v>0</v>
      </c>
      <c r="BM168" s="19">
        <v>0</v>
      </c>
      <c r="BN168" s="19">
        <v>0</v>
      </c>
      <c r="BO168" s="19">
        <v>0</v>
      </c>
      <c r="BP168" s="19">
        <v>0</v>
      </c>
      <c r="BQ168" s="19">
        <v>0</v>
      </c>
      <c r="BR168" s="19">
        <v>2</v>
      </c>
      <c r="BS168" s="19">
        <v>3</v>
      </c>
      <c r="BT168" s="19">
        <v>4</v>
      </c>
      <c r="BU168" s="19">
        <v>5</v>
      </c>
      <c r="BV168" s="19">
        <v>2</v>
      </c>
      <c r="BW168" s="19">
        <v>1</v>
      </c>
      <c r="BX168" s="19">
        <v>3</v>
      </c>
      <c r="BY168" s="19">
        <v>4</v>
      </c>
      <c r="BZ168" s="19">
        <v>4</v>
      </c>
      <c r="CA168" s="19">
        <v>5</v>
      </c>
      <c r="CB168" s="19">
        <v>5</v>
      </c>
      <c r="CC168" s="19">
        <v>4</v>
      </c>
      <c r="CD168" s="19">
        <v>4</v>
      </c>
      <c r="CE168" s="19">
        <v>5</v>
      </c>
      <c r="CF168" s="19">
        <v>4</v>
      </c>
      <c r="CG168" s="19">
        <v>4</v>
      </c>
      <c r="CH168" s="19">
        <v>4</v>
      </c>
      <c r="CI168" s="19">
        <v>4</v>
      </c>
      <c r="CJ168" s="19">
        <v>4</v>
      </c>
      <c r="CK168" s="19">
        <v>7</v>
      </c>
      <c r="CL168" t="s">
        <v>355</v>
      </c>
      <c r="CM168">
        <v>37</v>
      </c>
      <c r="CN168" s="16">
        <v>95.1</v>
      </c>
      <c r="CO168" s="16">
        <v>80.400000000000006</v>
      </c>
      <c r="CP168" s="16">
        <v>15.9</v>
      </c>
      <c r="CQ168">
        <v>82.71</v>
      </c>
      <c r="CR168" s="17">
        <v>0</v>
      </c>
      <c r="CS168">
        <v>10.32</v>
      </c>
      <c r="CT168">
        <v>0.39</v>
      </c>
      <c r="CU168">
        <v>10.32</v>
      </c>
      <c r="CV168">
        <v>0</v>
      </c>
      <c r="CW168">
        <v>0</v>
      </c>
      <c r="CY168">
        <v>0</v>
      </c>
      <c r="CZ168">
        <v>0</v>
      </c>
      <c r="DA168">
        <v>0</v>
      </c>
      <c r="DB168">
        <v>1.9</v>
      </c>
      <c r="DC168">
        <v>26.26</v>
      </c>
      <c r="DD168">
        <v>6.04</v>
      </c>
      <c r="DE168">
        <v>2.19</v>
      </c>
      <c r="DF168">
        <v>0</v>
      </c>
      <c r="DG168">
        <v>0</v>
      </c>
      <c r="DH168">
        <v>0</v>
      </c>
      <c r="DU168">
        <v>14.7</v>
      </c>
      <c r="DV168">
        <v>1</v>
      </c>
      <c r="DW168">
        <v>35</v>
      </c>
      <c r="DX168">
        <v>2</v>
      </c>
      <c r="DY168">
        <v>1.8</v>
      </c>
      <c r="DZ168">
        <v>3</v>
      </c>
      <c r="EG168" s="20"/>
      <c r="EY168">
        <v>1</v>
      </c>
      <c r="EZ168">
        <v>50</v>
      </c>
      <c r="FA168">
        <v>1</v>
      </c>
      <c r="FB168">
        <v>1.34</v>
      </c>
      <c r="FC168">
        <v>2</v>
      </c>
      <c r="FD168">
        <v>40</v>
      </c>
      <c r="FE168">
        <v>1</v>
      </c>
      <c r="FF168">
        <v>0.9</v>
      </c>
      <c r="FG168">
        <v>3</v>
      </c>
      <c r="FH168">
        <v>50</v>
      </c>
      <c r="FI168">
        <v>1</v>
      </c>
      <c r="FJ168">
        <v>0.9</v>
      </c>
      <c r="FK168">
        <v>3</v>
      </c>
      <c r="FL168">
        <v>80</v>
      </c>
      <c r="FM168">
        <v>2</v>
      </c>
      <c r="FN168">
        <v>2.68</v>
      </c>
      <c r="FO168">
        <v>2</v>
      </c>
      <c r="FP168">
        <v>100</v>
      </c>
      <c r="FQ168">
        <v>1</v>
      </c>
      <c r="FR168">
        <v>2.57</v>
      </c>
      <c r="FS168">
        <v>2</v>
      </c>
      <c r="GJ168">
        <v>0</v>
      </c>
      <c r="GK168" s="19">
        <v>0</v>
      </c>
      <c r="GL168" s="19"/>
      <c r="GM168" s="13"/>
      <c r="GN168" s="13"/>
      <c r="GO168" s="19"/>
      <c r="GP168" s="13"/>
      <c r="GQ168" s="13"/>
      <c r="GR168" s="13"/>
      <c r="GS168" s="13"/>
      <c r="GT168" s="13"/>
      <c r="GU168" s="16">
        <v>5.1100000000000003</v>
      </c>
      <c r="GV168">
        <v>4.8099999999999996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 t="s">
        <v>363</v>
      </c>
      <c r="HD168">
        <v>34.5</v>
      </c>
      <c r="HE168" s="16">
        <v>88.3</v>
      </c>
      <c r="HF168" s="16">
        <v>80.400000000000006</v>
      </c>
      <c r="HG168" s="16">
        <v>22.8</v>
      </c>
      <c r="HH168">
        <v>73.89</v>
      </c>
      <c r="HI168" s="17">
        <v>0</v>
      </c>
      <c r="HJ168">
        <v>14.94</v>
      </c>
      <c r="HK168">
        <v>0.5</v>
      </c>
      <c r="HL168">
        <v>10.66</v>
      </c>
      <c r="HM168">
        <v>0</v>
      </c>
      <c r="HN168">
        <v>0</v>
      </c>
      <c r="HP168">
        <v>0</v>
      </c>
      <c r="HQ168">
        <v>0</v>
      </c>
      <c r="HR168">
        <v>0</v>
      </c>
      <c r="HS168">
        <v>0</v>
      </c>
      <c r="HT168">
        <v>46.29</v>
      </c>
      <c r="HU168">
        <v>23.15</v>
      </c>
      <c r="HV168">
        <v>0</v>
      </c>
      <c r="HW168">
        <v>0</v>
      </c>
      <c r="HX168">
        <v>0</v>
      </c>
      <c r="HY168">
        <v>0</v>
      </c>
      <c r="IL168">
        <v>2.8</v>
      </c>
      <c r="IM168">
        <v>1</v>
      </c>
      <c r="IN168">
        <v>35</v>
      </c>
      <c r="IO168">
        <v>1</v>
      </c>
      <c r="IP168">
        <v>0.5</v>
      </c>
      <c r="IQ168">
        <v>3</v>
      </c>
      <c r="IX168" s="20"/>
      <c r="JP168">
        <v>1</v>
      </c>
      <c r="JQ168">
        <v>60</v>
      </c>
      <c r="JR168">
        <v>4</v>
      </c>
      <c r="JS168">
        <v>0.54</v>
      </c>
      <c r="JT168">
        <v>3</v>
      </c>
      <c r="LA168" s="16">
        <v>3.05</v>
      </c>
      <c r="LB168" s="16">
        <v>1</v>
      </c>
      <c r="LC168" s="16">
        <v>1</v>
      </c>
      <c r="LD168" s="16">
        <v>5</v>
      </c>
      <c r="LE168" s="16">
        <v>8.7100000000000009</v>
      </c>
      <c r="LF168" s="16">
        <v>2</v>
      </c>
      <c r="LG168" s="16">
        <v>25</v>
      </c>
      <c r="LH168" s="16">
        <v>12.44</v>
      </c>
      <c r="LI168" s="16"/>
      <c r="LJ168" s="16"/>
      <c r="LK168" s="16"/>
      <c r="LL168" s="16">
        <v>4.5</v>
      </c>
      <c r="LM168" s="16">
        <v>1.2</v>
      </c>
      <c r="LN168" s="16">
        <v>0</v>
      </c>
      <c r="LO168" s="16">
        <v>0</v>
      </c>
      <c r="LP168" s="16">
        <v>0</v>
      </c>
      <c r="LQ168" s="16">
        <v>0</v>
      </c>
      <c r="LR168" s="16">
        <v>0</v>
      </c>
      <c r="LS168">
        <v>0</v>
      </c>
      <c r="LT168" t="s">
        <v>364</v>
      </c>
      <c r="LU168">
        <v>32</v>
      </c>
      <c r="LV168" s="16">
        <v>75</v>
      </c>
      <c r="LW168" s="16">
        <v>80.400000000000006</v>
      </c>
      <c r="LX168" s="16">
        <v>22.6</v>
      </c>
      <c r="LY168">
        <v>76.239999999999995</v>
      </c>
      <c r="LZ168" s="17">
        <v>0</v>
      </c>
      <c r="MA168">
        <v>15.36</v>
      </c>
      <c r="MB168">
        <v>1.93</v>
      </c>
      <c r="MC168">
        <v>6.47</v>
      </c>
      <c r="MD168">
        <v>0</v>
      </c>
      <c r="ME168">
        <v>0</v>
      </c>
      <c r="MG168">
        <v>0</v>
      </c>
      <c r="MH168">
        <v>0</v>
      </c>
      <c r="MI168">
        <v>0</v>
      </c>
      <c r="MJ168">
        <v>0</v>
      </c>
      <c r="MK168">
        <v>32.86</v>
      </c>
      <c r="ML168">
        <v>26.39</v>
      </c>
      <c r="MM168">
        <v>0</v>
      </c>
      <c r="MN168">
        <v>0</v>
      </c>
      <c r="MO168">
        <v>0</v>
      </c>
      <c r="MP168">
        <v>0</v>
      </c>
      <c r="NC168">
        <v>5.6</v>
      </c>
      <c r="ND168">
        <v>1</v>
      </c>
      <c r="NE168">
        <v>35</v>
      </c>
      <c r="NF168">
        <v>1</v>
      </c>
      <c r="NG168">
        <v>0.5</v>
      </c>
      <c r="NH168">
        <v>3</v>
      </c>
      <c r="NO168" s="20"/>
      <c r="OG168">
        <v>1</v>
      </c>
      <c r="OH168">
        <v>60</v>
      </c>
      <c r="OI168">
        <v>5</v>
      </c>
      <c r="OJ168">
        <v>3.13</v>
      </c>
      <c r="OK168">
        <v>2</v>
      </c>
      <c r="OL168">
        <v>50</v>
      </c>
      <c r="OM168">
        <v>2</v>
      </c>
      <c r="ON168">
        <v>0.67</v>
      </c>
      <c r="OO168">
        <v>2</v>
      </c>
      <c r="PR168" s="16">
        <v>1.43</v>
      </c>
      <c r="PS168" s="16">
        <v>1</v>
      </c>
      <c r="PT168" s="16">
        <v>1</v>
      </c>
      <c r="PU168" s="16">
        <v>4</v>
      </c>
      <c r="PV168" s="16">
        <v>17.43</v>
      </c>
      <c r="PW168" s="16"/>
      <c r="PX168" s="16"/>
      <c r="PY168" s="16"/>
      <c r="PZ168" s="16"/>
      <c r="QA168" s="16"/>
      <c r="QB168" s="16"/>
      <c r="QC168" s="16">
        <v>1.7</v>
      </c>
      <c r="QD168" s="16">
        <v>1.7</v>
      </c>
      <c r="QE168" s="16">
        <v>0</v>
      </c>
      <c r="QF168" s="16">
        <v>0</v>
      </c>
      <c r="QG168" s="16">
        <v>0</v>
      </c>
      <c r="QH168" s="16">
        <v>0</v>
      </c>
      <c r="QI168" s="16">
        <v>0</v>
      </c>
      <c r="QJ168">
        <v>0</v>
      </c>
      <c r="QK168" t="s">
        <v>350</v>
      </c>
      <c r="QL168">
        <v>75</v>
      </c>
      <c r="QM168" s="16">
        <v>87.9</v>
      </c>
      <c r="QN168" s="16">
        <v>80.400000000000006</v>
      </c>
      <c r="QO168" s="16">
        <v>45.2</v>
      </c>
      <c r="QP168">
        <v>50.83</v>
      </c>
      <c r="QQ168">
        <v>0.05</v>
      </c>
      <c r="QR168">
        <v>46.44</v>
      </c>
      <c r="QS168">
        <v>2.67</v>
      </c>
      <c r="QT168">
        <v>0</v>
      </c>
      <c r="QU168">
        <v>0</v>
      </c>
      <c r="QV168">
        <v>0</v>
      </c>
      <c r="QX168">
        <v>0</v>
      </c>
      <c r="QY168">
        <v>0</v>
      </c>
      <c r="QZ168">
        <v>0</v>
      </c>
      <c r="RA168">
        <v>0</v>
      </c>
      <c r="RB168">
        <v>25.21</v>
      </c>
      <c r="RC168">
        <v>43.57</v>
      </c>
      <c r="RD168">
        <v>6.27</v>
      </c>
      <c r="RE168">
        <v>0</v>
      </c>
      <c r="RF168">
        <v>0</v>
      </c>
      <c r="RG168">
        <v>0</v>
      </c>
      <c r="RT168">
        <v>17.8</v>
      </c>
      <c r="RU168">
        <v>1</v>
      </c>
      <c r="RV168">
        <v>35</v>
      </c>
      <c r="RW168">
        <v>9</v>
      </c>
      <c r="RX168">
        <v>2.5499999999999998</v>
      </c>
      <c r="RY168">
        <v>3</v>
      </c>
      <c r="SF168" s="20"/>
      <c r="SX168">
        <v>1</v>
      </c>
      <c r="SY168">
        <v>50</v>
      </c>
      <c r="SZ168">
        <v>8</v>
      </c>
      <c r="TA168">
        <v>2.12</v>
      </c>
      <c r="TB168">
        <v>3</v>
      </c>
      <c r="UI168" s="16">
        <v>3.43</v>
      </c>
      <c r="UJ168" s="16">
        <v>1</v>
      </c>
      <c r="UK168" s="16">
        <v>1</v>
      </c>
      <c r="UL168" s="16"/>
      <c r="UM168" s="16">
        <v>26.11</v>
      </c>
      <c r="UN168" s="16">
        <v>2</v>
      </c>
      <c r="UO168" s="16"/>
      <c r="UP168" s="16">
        <v>11.19</v>
      </c>
      <c r="UQ168" s="16"/>
      <c r="UR168" s="16"/>
      <c r="US168" s="16"/>
      <c r="UT168" s="16">
        <v>6.39</v>
      </c>
      <c r="UU168" s="16">
        <v>3.31</v>
      </c>
      <c r="UV168" s="16">
        <v>0</v>
      </c>
      <c r="UW168" s="16">
        <v>0</v>
      </c>
      <c r="UX168" s="16">
        <v>0</v>
      </c>
      <c r="UY168" s="16">
        <v>0</v>
      </c>
      <c r="UZ168" s="16">
        <v>0</v>
      </c>
      <c r="VA168">
        <v>0</v>
      </c>
      <c r="VB168" t="s">
        <v>361</v>
      </c>
      <c r="VC168">
        <v>74.5</v>
      </c>
      <c r="VD168" s="16">
        <v>76.2</v>
      </c>
      <c r="VE168" s="16">
        <v>80.400000000000006</v>
      </c>
      <c r="VF168" s="16">
        <v>42.8</v>
      </c>
      <c r="VG168">
        <v>57.15</v>
      </c>
      <c r="VH168">
        <v>0.45</v>
      </c>
      <c r="VI168">
        <v>39.090000000000003</v>
      </c>
      <c r="VJ168">
        <v>3.3</v>
      </c>
      <c r="VK168">
        <v>0</v>
      </c>
      <c r="VL168">
        <v>0</v>
      </c>
      <c r="VM168">
        <v>0</v>
      </c>
      <c r="VO168">
        <v>0</v>
      </c>
      <c r="VP168">
        <v>0</v>
      </c>
      <c r="VQ168">
        <v>0</v>
      </c>
      <c r="VR168">
        <v>0</v>
      </c>
      <c r="VS168">
        <v>18.260000000000002</v>
      </c>
      <c r="VT168">
        <v>34.4</v>
      </c>
      <c r="VU168">
        <v>6.27</v>
      </c>
      <c r="VV168">
        <v>0</v>
      </c>
      <c r="VW168">
        <v>0</v>
      </c>
      <c r="VX168">
        <v>0</v>
      </c>
      <c r="WK168">
        <v>18.2</v>
      </c>
      <c r="WL168">
        <v>1</v>
      </c>
      <c r="WM168">
        <v>35</v>
      </c>
      <c r="WN168">
        <v>9</v>
      </c>
      <c r="WO168">
        <v>2.5499999999999998</v>
      </c>
      <c r="WP168">
        <v>3</v>
      </c>
      <c r="WW168" s="20"/>
      <c r="XO168">
        <v>1</v>
      </c>
      <c r="XP168">
        <v>50</v>
      </c>
      <c r="XQ168">
        <v>8</v>
      </c>
      <c r="XR168">
        <v>2.54</v>
      </c>
      <c r="XS168">
        <v>3</v>
      </c>
      <c r="YZ168" s="16">
        <v>7.59</v>
      </c>
      <c r="ZA168" s="16">
        <v>1</v>
      </c>
      <c r="ZB168" s="16">
        <v>1</v>
      </c>
      <c r="ZC168" s="16"/>
      <c r="ZD168" s="16">
        <v>22.38</v>
      </c>
      <c r="ZE168" s="16">
        <v>2</v>
      </c>
      <c r="ZF168" s="16"/>
      <c r="ZG168" s="16">
        <v>14.92</v>
      </c>
      <c r="ZH168" s="16"/>
      <c r="ZI168" s="16"/>
      <c r="ZJ168" s="16"/>
      <c r="ZK168" s="16">
        <v>5.05</v>
      </c>
      <c r="ZL168" s="16">
        <v>1.54</v>
      </c>
      <c r="ZM168" s="16">
        <v>0</v>
      </c>
      <c r="ZN168" s="16">
        <v>0</v>
      </c>
      <c r="ZO168" s="16">
        <v>0</v>
      </c>
      <c r="ZP168" s="16">
        <v>0</v>
      </c>
      <c r="ZQ168" s="16">
        <v>0</v>
      </c>
      <c r="ZR168">
        <v>0</v>
      </c>
      <c r="ZS168" t="s">
        <v>365</v>
      </c>
      <c r="ZT168">
        <v>75</v>
      </c>
      <c r="ZU168" s="16">
        <v>76.8</v>
      </c>
      <c r="ZV168" s="16">
        <v>80.400000000000006</v>
      </c>
      <c r="ZW168" s="16">
        <v>30.8</v>
      </c>
      <c r="ZX168">
        <v>74.739999999999995</v>
      </c>
      <c r="ZY168" s="17">
        <v>0</v>
      </c>
      <c r="ZZ168">
        <v>4.24</v>
      </c>
      <c r="AAA168">
        <v>16.45</v>
      </c>
      <c r="AAB168">
        <v>4.57</v>
      </c>
      <c r="AAC168">
        <v>0</v>
      </c>
      <c r="AAD168">
        <v>0</v>
      </c>
      <c r="AAF168">
        <v>0</v>
      </c>
      <c r="AAG168">
        <v>0</v>
      </c>
      <c r="AAH168">
        <v>0</v>
      </c>
      <c r="AAI168">
        <v>0</v>
      </c>
      <c r="AAJ168">
        <v>35.229999999999997</v>
      </c>
      <c r="AAK168">
        <v>6.53</v>
      </c>
      <c r="AAL168">
        <v>4.97</v>
      </c>
      <c r="AAM168">
        <v>0</v>
      </c>
      <c r="AAN168">
        <v>0</v>
      </c>
      <c r="AAO168">
        <v>0</v>
      </c>
      <c r="ABB168">
        <v>38.4</v>
      </c>
      <c r="ABC168">
        <v>1</v>
      </c>
      <c r="ABD168">
        <v>47</v>
      </c>
      <c r="ABE168">
        <v>7</v>
      </c>
      <c r="ABF168">
        <v>5.33</v>
      </c>
      <c r="ABG168">
        <v>3</v>
      </c>
      <c r="ABN168" s="20"/>
      <c r="ACF168">
        <v>0</v>
      </c>
      <c r="ADQ168" s="16">
        <v>2.02</v>
      </c>
      <c r="ADR168" s="16">
        <v>1</v>
      </c>
      <c r="ADS168" s="16">
        <v>1</v>
      </c>
      <c r="ADT168" s="16"/>
      <c r="ADU168" s="16">
        <v>9.9499999999999993</v>
      </c>
      <c r="ADV168" s="16">
        <v>2</v>
      </c>
      <c r="ADW168" s="16"/>
      <c r="ADX168" s="16">
        <v>9.9499999999999993</v>
      </c>
      <c r="ADY168" s="16"/>
      <c r="ADZ168" s="16"/>
      <c r="AEA168" s="16"/>
      <c r="AEB168" s="16">
        <v>0</v>
      </c>
      <c r="AEC168" s="16">
        <v>0</v>
      </c>
      <c r="AED168" s="16">
        <v>0</v>
      </c>
      <c r="AEE168" s="16">
        <v>0</v>
      </c>
      <c r="AEF168" s="16">
        <v>0</v>
      </c>
      <c r="AEG168" s="16">
        <v>0</v>
      </c>
      <c r="AEH168" s="16">
        <v>0</v>
      </c>
      <c r="AEI168">
        <v>0</v>
      </c>
      <c r="AEJ168" t="s">
        <v>351</v>
      </c>
      <c r="AEK168">
        <v>30.5</v>
      </c>
      <c r="AEL168" s="16">
        <v>68.400000000000006</v>
      </c>
      <c r="AEM168" s="16">
        <v>80.400000000000006</v>
      </c>
      <c r="AEN168" s="16">
        <v>19.8</v>
      </c>
      <c r="AEO168">
        <v>72.42</v>
      </c>
      <c r="AEP168" s="17">
        <v>0</v>
      </c>
      <c r="AEQ168">
        <v>0.94</v>
      </c>
      <c r="AER168">
        <v>0.94</v>
      </c>
      <c r="AES168">
        <v>25.7</v>
      </c>
      <c r="AET168">
        <v>0</v>
      </c>
      <c r="AEU168">
        <v>0</v>
      </c>
      <c r="AEW168">
        <v>0</v>
      </c>
      <c r="AEX168">
        <v>0</v>
      </c>
      <c r="AEY168">
        <v>0</v>
      </c>
      <c r="AEZ168">
        <v>0</v>
      </c>
      <c r="AFA168">
        <v>28.26</v>
      </c>
      <c r="AFB168">
        <v>10.55</v>
      </c>
      <c r="AFC168">
        <v>14.21</v>
      </c>
      <c r="AFD168">
        <v>0</v>
      </c>
      <c r="AFE168">
        <v>0</v>
      </c>
      <c r="AFF168">
        <v>0</v>
      </c>
      <c r="AFS168">
        <v>3.3</v>
      </c>
      <c r="AFT168">
        <v>1</v>
      </c>
      <c r="AFU168">
        <v>68</v>
      </c>
      <c r="AFV168">
        <v>2</v>
      </c>
      <c r="AFW168">
        <v>1.52</v>
      </c>
      <c r="AFX168">
        <v>1</v>
      </c>
      <c r="AGE168" s="20"/>
      <c r="AGW168">
        <v>0</v>
      </c>
      <c r="AIH168" s="16">
        <v>0</v>
      </c>
      <c r="AII168" s="16">
        <v>0</v>
      </c>
      <c r="AIJ168" s="16"/>
      <c r="AIK168" s="16"/>
      <c r="AIL168" s="16"/>
      <c r="AIM168" s="16"/>
      <c r="AIN168" s="16"/>
      <c r="AIO168" s="16"/>
      <c r="AIP168" s="16"/>
      <c r="AIQ168" s="16"/>
      <c r="AIR168" s="16"/>
      <c r="AIS168" s="16">
        <v>0.81</v>
      </c>
      <c r="AIT168" s="16">
        <v>0.8</v>
      </c>
      <c r="AIU168" s="16">
        <v>0</v>
      </c>
      <c r="AIV168" s="16">
        <v>0</v>
      </c>
      <c r="AIW168" s="16">
        <v>2.99</v>
      </c>
      <c r="AIX168" s="16">
        <v>5.71</v>
      </c>
      <c r="AIY168" s="16">
        <v>0</v>
      </c>
      <c r="AIZ168">
        <v>0</v>
      </c>
      <c r="AJA168" t="s">
        <v>356</v>
      </c>
      <c r="AJB168">
        <v>39.5</v>
      </c>
      <c r="AJC168" s="16">
        <v>85.1</v>
      </c>
      <c r="AJD168" s="16">
        <v>80.400000000000006</v>
      </c>
      <c r="AJE168" s="16">
        <v>13.6</v>
      </c>
      <c r="AJF168">
        <v>87.38</v>
      </c>
      <c r="AJG168" s="17">
        <v>0</v>
      </c>
      <c r="AJH168">
        <v>8.0500000000000007</v>
      </c>
      <c r="AJI168">
        <v>0</v>
      </c>
      <c r="AJJ168">
        <v>4.57</v>
      </c>
      <c r="AJK168">
        <v>0</v>
      </c>
      <c r="AJL168">
        <v>0</v>
      </c>
      <c r="AJN168">
        <v>0</v>
      </c>
      <c r="AJO168">
        <v>0</v>
      </c>
      <c r="AJP168">
        <v>0</v>
      </c>
      <c r="AJQ168">
        <v>0</v>
      </c>
      <c r="AJR168">
        <v>45</v>
      </c>
      <c r="AJS168">
        <v>10.1</v>
      </c>
      <c r="AJT168">
        <v>11.8</v>
      </c>
      <c r="AJU168">
        <v>0</v>
      </c>
      <c r="AJV168">
        <v>0</v>
      </c>
      <c r="AJW168">
        <v>0</v>
      </c>
      <c r="AKJ168">
        <v>17.8</v>
      </c>
      <c r="AKK168">
        <v>1</v>
      </c>
      <c r="AKL168">
        <v>30</v>
      </c>
      <c r="AKM168">
        <v>7</v>
      </c>
      <c r="AKN168">
        <v>5.33</v>
      </c>
      <c r="AKO168">
        <v>3</v>
      </c>
      <c r="AKV168" s="20"/>
      <c r="ALN168">
        <v>1</v>
      </c>
      <c r="ALO168">
        <v>50</v>
      </c>
      <c r="ALP168">
        <v>1</v>
      </c>
      <c r="ALQ168">
        <v>0.03</v>
      </c>
      <c r="ALR168">
        <v>1</v>
      </c>
    </row>
    <row r="169" spans="1:1024" x14ac:dyDescent="0.2">
      <c r="A169" s="36" t="s">
        <v>631</v>
      </c>
      <c r="B169" s="12">
        <v>42900</v>
      </c>
      <c r="C169">
        <v>2</v>
      </c>
      <c r="D169" s="13">
        <v>42849</v>
      </c>
      <c r="E169" s="12">
        <v>31473</v>
      </c>
      <c r="F169" s="14">
        <f t="shared" si="48"/>
        <v>31.285420944558521</v>
      </c>
      <c r="G169" s="14">
        <f t="shared" si="49"/>
        <v>0.13963039014373715</v>
      </c>
      <c r="H169" s="15" t="s">
        <v>228</v>
      </c>
      <c r="I169" s="15" t="s">
        <v>447</v>
      </c>
      <c r="J169" s="15" t="s">
        <v>181</v>
      </c>
      <c r="K169" s="15">
        <v>4</v>
      </c>
      <c r="L169" s="19">
        <v>79</v>
      </c>
      <c r="M169">
        <v>1.84</v>
      </c>
      <c r="N169" s="16">
        <f t="shared" si="50"/>
        <v>23.334120982986768</v>
      </c>
      <c r="O169" s="19">
        <v>0</v>
      </c>
      <c r="P169" s="19">
        <v>0</v>
      </c>
      <c r="Q169" s="19">
        <v>0</v>
      </c>
      <c r="R169" s="19">
        <v>0</v>
      </c>
      <c r="S169" s="19">
        <v>0</v>
      </c>
      <c r="T169" s="19">
        <v>0</v>
      </c>
      <c r="U169" s="19">
        <v>1</v>
      </c>
      <c r="V169" s="19">
        <v>1</v>
      </c>
      <c r="W169" s="19">
        <v>1</v>
      </c>
      <c r="X169" s="19">
        <v>0</v>
      </c>
      <c r="Y169" s="19">
        <v>1</v>
      </c>
      <c r="Z169" s="19">
        <v>2</v>
      </c>
      <c r="AA169" s="19">
        <v>90</v>
      </c>
      <c r="AB169" s="19" t="s">
        <v>184</v>
      </c>
      <c r="AC169" s="19">
        <v>0</v>
      </c>
      <c r="AD169" s="19">
        <v>0</v>
      </c>
      <c r="AE169" s="19">
        <v>1</v>
      </c>
      <c r="AF169" s="19">
        <v>1</v>
      </c>
      <c r="AG169" s="19">
        <v>1</v>
      </c>
      <c r="AH169" s="19">
        <v>2</v>
      </c>
      <c r="AI169" s="19">
        <v>1</v>
      </c>
      <c r="AJ169" s="19">
        <v>1</v>
      </c>
      <c r="AK169" s="19">
        <v>1</v>
      </c>
      <c r="AL169" s="19">
        <v>4</v>
      </c>
      <c r="AM169" s="19">
        <v>0</v>
      </c>
      <c r="AN169" s="19">
        <v>0</v>
      </c>
      <c r="AO169" s="19">
        <v>0</v>
      </c>
      <c r="AP169" s="19">
        <v>0</v>
      </c>
      <c r="AQ169" s="19">
        <v>0</v>
      </c>
      <c r="AR169" s="19">
        <v>0</v>
      </c>
      <c r="AS169" s="19">
        <v>1</v>
      </c>
      <c r="AT169" s="19">
        <v>0</v>
      </c>
      <c r="AU169" s="19">
        <v>1</v>
      </c>
      <c r="AV169" s="19">
        <v>5</v>
      </c>
      <c r="AW169" s="19">
        <v>0</v>
      </c>
      <c r="AX169" s="19">
        <v>0</v>
      </c>
      <c r="AY169" s="19">
        <v>0</v>
      </c>
      <c r="AZ169" s="19">
        <v>0</v>
      </c>
      <c r="BA169" s="19">
        <v>0</v>
      </c>
      <c r="BB169" s="19">
        <v>1</v>
      </c>
      <c r="BC169" s="19">
        <v>0</v>
      </c>
      <c r="BD169" s="19">
        <v>1</v>
      </c>
      <c r="BE169" s="19">
        <v>4</v>
      </c>
      <c r="BF169" s="19">
        <v>1</v>
      </c>
      <c r="BG169" s="19">
        <v>0</v>
      </c>
      <c r="BH169" s="19">
        <v>1</v>
      </c>
      <c r="BI169" s="19">
        <v>3</v>
      </c>
      <c r="BJ169" s="19">
        <v>0</v>
      </c>
      <c r="BK169" s="19">
        <v>0</v>
      </c>
      <c r="BL169" s="19">
        <v>0</v>
      </c>
      <c r="BM169" s="19">
        <v>0</v>
      </c>
      <c r="BN169" s="19">
        <v>1</v>
      </c>
      <c r="BO169" s="19">
        <v>0</v>
      </c>
      <c r="BP169" s="19">
        <v>1</v>
      </c>
      <c r="BQ169" s="19">
        <v>4</v>
      </c>
      <c r="BR169" s="19">
        <v>1</v>
      </c>
      <c r="BS169" s="19">
        <v>1</v>
      </c>
      <c r="BT169" s="19">
        <v>2</v>
      </c>
      <c r="BU169" s="19">
        <v>1</v>
      </c>
      <c r="BV169" s="19">
        <v>1</v>
      </c>
      <c r="BW169" s="19">
        <v>3</v>
      </c>
      <c r="BX169" s="19">
        <v>1</v>
      </c>
      <c r="BY169" s="19">
        <v>2</v>
      </c>
      <c r="BZ169" s="19">
        <v>2</v>
      </c>
      <c r="CA169" s="19">
        <v>2</v>
      </c>
      <c r="CB169" s="19">
        <v>4</v>
      </c>
      <c r="CC169" s="19">
        <v>3</v>
      </c>
      <c r="CD169" s="19">
        <v>3</v>
      </c>
      <c r="CE169" s="19">
        <v>4</v>
      </c>
      <c r="CF169" s="19">
        <v>3</v>
      </c>
      <c r="CG169" s="19">
        <v>4</v>
      </c>
      <c r="CH169" s="19">
        <v>3</v>
      </c>
      <c r="CI169" s="19">
        <v>3</v>
      </c>
      <c r="CJ169" s="19">
        <v>3</v>
      </c>
      <c r="CK169" s="19">
        <v>10</v>
      </c>
      <c r="CL169" t="s">
        <v>451</v>
      </c>
      <c r="CM169">
        <v>48.5</v>
      </c>
      <c r="CN169" s="16">
        <v>83.8</v>
      </c>
      <c r="CO169" s="16">
        <v>80.400000000000006</v>
      </c>
      <c r="CP169" s="16">
        <v>34.299999999999997</v>
      </c>
      <c r="CQ169">
        <v>70.08</v>
      </c>
      <c r="CR169">
        <v>0</v>
      </c>
      <c r="CS169">
        <v>18.239999999999998</v>
      </c>
      <c r="CT169">
        <v>1.05</v>
      </c>
      <c r="CU169">
        <v>1.1399999999999999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19.39</v>
      </c>
      <c r="DC169">
        <v>3.64</v>
      </c>
      <c r="DD169">
        <v>13.61</v>
      </c>
      <c r="DE169">
        <v>5.23</v>
      </c>
      <c r="DF169">
        <v>9.49</v>
      </c>
      <c r="DG169">
        <v>2.6</v>
      </c>
      <c r="DH169">
        <v>2</v>
      </c>
      <c r="DI169">
        <v>3</v>
      </c>
      <c r="DJ169">
        <v>1.01</v>
      </c>
      <c r="DO169">
        <v>3</v>
      </c>
      <c r="DP169">
        <v>1.01</v>
      </c>
      <c r="DU169">
        <v>1.7</v>
      </c>
      <c r="DV169">
        <v>0</v>
      </c>
      <c r="EG169" s="18"/>
      <c r="EY169">
        <v>1</v>
      </c>
      <c r="EZ169">
        <v>60</v>
      </c>
      <c r="FA169">
        <v>1</v>
      </c>
      <c r="FB169">
        <v>1.05</v>
      </c>
      <c r="FC169">
        <v>1</v>
      </c>
      <c r="GJ169" s="16">
        <v>3.52</v>
      </c>
      <c r="GK169" s="16">
        <v>1</v>
      </c>
      <c r="GL169" s="16">
        <v>2</v>
      </c>
      <c r="GM169" s="16"/>
      <c r="GN169" s="16">
        <f>4.23+0.13</f>
        <v>4.3600000000000003</v>
      </c>
      <c r="GO169" s="16"/>
      <c r="GP169" s="16"/>
      <c r="GQ169" s="16"/>
      <c r="GR169" s="16"/>
      <c r="GS169" s="16"/>
      <c r="GT169" s="16"/>
      <c r="GU169" s="16">
        <v>0</v>
      </c>
      <c r="GV169" s="16">
        <v>0</v>
      </c>
      <c r="GW169" s="16"/>
      <c r="GX169" s="16"/>
      <c r="GY169" s="16">
        <v>5.97</v>
      </c>
      <c r="GZ169" s="16">
        <v>0</v>
      </c>
      <c r="HA169" s="16">
        <v>0</v>
      </c>
      <c r="HB169">
        <v>1</v>
      </c>
      <c r="HC169" t="s">
        <v>452</v>
      </c>
      <c r="HD169">
        <v>48</v>
      </c>
      <c r="HE169" s="16">
        <v>86.2</v>
      </c>
      <c r="HF169" s="16">
        <v>80.400000000000006</v>
      </c>
      <c r="HG169" s="16">
        <v>34.299999999999997</v>
      </c>
      <c r="HH169">
        <v>70.08</v>
      </c>
      <c r="HI169">
        <v>0</v>
      </c>
      <c r="HJ169">
        <v>18.239999999999998</v>
      </c>
      <c r="HK169">
        <v>1.05</v>
      </c>
      <c r="HL169">
        <v>1.1399999999999999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19.39</v>
      </c>
      <c r="HT169">
        <v>3.64</v>
      </c>
      <c r="HU169">
        <v>13.61</v>
      </c>
      <c r="HV169">
        <v>5.23</v>
      </c>
      <c r="HW169">
        <v>9.49</v>
      </c>
      <c r="HX169">
        <v>2.6</v>
      </c>
      <c r="HY169">
        <v>2</v>
      </c>
      <c r="HZ169">
        <v>3</v>
      </c>
      <c r="IA169">
        <v>1.01</v>
      </c>
      <c r="IF169">
        <v>3</v>
      </c>
      <c r="IG169">
        <v>1.01</v>
      </c>
      <c r="IL169">
        <v>1.7</v>
      </c>
      <c r="IM169">
        <v>0</v>
      </c>
      <c r="IX169" s="18"/>
      <c r="JP169">
        <v>1</v>
      </c>
      <c r="JQ169">
        <v>60</v>
      </c>
      <c r="JR169">
        <v>1</v>
      </c>
      <c r="JS169">
        <v>1.05</v>
      </c>
      <c r="JT169">
        <v>1</v>
      </c>
      <c r="LA169" s="16">
        <v>3.52</v>
      </c>
      <c r="LB169" s="16">
        <v>1</v>
      </c>
      <c r="LC169" s="16">
        <v>2</v>
      </c>
      <c r="LD169" s="16"/>
      <c r="LE169" s="16">
        <f>4.23+0.13</f>
        <v>4.3600000000000003</v>
      </c>
      <c r="LF169" s="16"/>
      <c r="LG169" s="16"/>
      <c r="LH169" s="16"/>
      <c r="LI169" s="16"/>
      <c r="LJ169" s="16"/>
      <c r="LK169" s="16"/>
      <c r="LL169" s="16">
        <v>0</v>
      </c>
      <c r="LM169" s="16">
        <v>0</v>
      </c>
      <c r="LN169" s="16"/>
      <c r="LO169" s="16"/>
      <c r="LP169" s="16">
        <v>5.97</v>
      </c>
      <c r="LQ169" s="16">
        <v>0</v>
      </c>
      <c r="LR169" s="16">
        <v>0</v>
      </c>
      <c r="LS169">
        <v>0</v>
      </c>
      <c r="LT169">
        <v>57</v>
      </c>
      <c r="LU169">
        <v>24.5</v>
      </c>
      <c r="LV169" s="16">
        <v>70</v>
      </c>
      <c r="LW169" s="16">
        <v>80.400000000000006</v>
      </c>
      <c r="LX169" s="16">
        <v>15.5</v>
      </c>
      <c r="LY169">
        <v>85.6</v>
      </c>
      <c r="LZ169">
        <v>0</v>
      </c>
      <c r="MA169">
        <v>0</v>
      </c>
      <c r="MB169">
        <v>0</v>
      </c>
      <c r="MC169">
        <v>14.4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6.46</v>
      </c>
      <c r="ML169">
        <v>24.97</v>
      </c>
      <c r="MM169">
        <v>15</v>
      </c>
      <c r="MN169">
        <v>0</v>
      </c>
      <c r="MO169">
        <v>0</v>
      </c>
      <c r="MP169">
        <v>0</v>
      </c>
      <c r="NC169">
        <v>3.6</v>
      </c>
      <c r="ND169">
        <v>1</v>
      </c>
      <c r="NE169">
        <v>35</v>
      </c>
      <c r="NF169">
        <v>1</v>
      </c>
      <c r="NG169">
        <v>0.76</v>
      </c>
      <c r="NH169">
        <v>3</v>
      </c>
      <c r="NO169" s="18"/>
      <c r="OG169">
        <v>1</v>
      </c>
      <c r="OH169">
        <v>60</v>
      </c>
      <c r="OI169">
        <v>5</v>
      </c>
      <c r="OJ169">
        <f>2.04+0.14</f>
        <v>2.1800000000000002</v>
      </c>
      <c r="OK169">
        <v>3</v>
      </c>
      <c r="PR169" s="16">
        <v>0.63</v>
      </c>
      <c r="PS169" s="16">
        <v>1</v>
      </c>
      <c r="PT169" s="16">
        <v>1</v>
      </c>
      <c r="PU169" s="16"/>
      <c r="PV169" s="16">
        <v>4.2300000000000004</v>
      </c>
      <c r="PW169" s="16"/>
      <c r="PX169" s="16"/>
      <c r="PY169" s="16"/>
      <c r="PZ169" s="16"/>
      <c r="QA169" s="16"/>
      <c r="QB169" s="16"/>
      <c r="QC169" s="16">
        <v>3.25</v>
      </c>
      <c r="QD169" s="16">
        <v>3.26</v>
      </c>
      <c r="QE169" s="16"/>
      <c r="QF169" s="16"/>
      <c r="QG169" s="16">
        <v>0</v>
      </c>
      <c r="QH169" s="16">
        <v>0</v>
      </c>
      <c r="QI169" s="16">
        <v>0</v>
      </c>
      <c r="QJ169">
        <v>0</v>
      </c>
      <c r="QO169" s="15"/>
      <c r="QP169" s="15"/>
      <c r="QW169" s="15"/>
      <c r="QX169" s="15"/>
      <c r="RE169" s="15"/>
      <c r="RF169" s="15"/>
      <c r="RM169" s="15"/>
      <c r="RN169" s="15"/>
      <c r="RU169" s="15"/>
      <c r="RV169" s="15"/>
      <c r="SC169" s="15"/>
      <c r="SD169" s="15"/>
      <c r="SK169" s="15"/>
      <c r="SL169" s="15"/>
      <c r="SS169" s="15"/>
      <c r="ST169" s="15"/>
      <c r="TA169" s="15"/>
      <c r="TB169" s="15"/>
      <c r="TI169" s="15"/>
      <c r="TJ169" s="15"/>
      <c r="TQ169" s="15"/>
      <c r="TR169" s="15"/>
      <c r="TY169" s="15"/>
      <c r="TZ169" s="15"/>
      <c r="UG169" s="15"/>
      <c r="UH169" s="15"/>
      <c r="UO169" s="15"/>
      <c r="UP169" s="15"/>
      <c r="UW169" s="15"/>
      <c r="UX169" s="15"/>
      <c r="VE169" s="15"/>
      <c r="VF169" s="15"/>
      <c r="VM169" s="15"/>
      <c r="VN169" s="15"/>
      <c r="VU169" s="15"/>
      <c r="VV169" s="15"/>
      <c r="WC169" s="15"/>
      <c r="WD169" s="15"/>
      <c r="WK169" s="15"/>
      <c r="WL169" s="15"/>
      <c r="WS169" s="15"/>
      <c r="WT169" s="15"/>
      <c r="XA169" s="15"/>
      <c r="XB169" s="15"/>
      <c r="XI169" s="15"/>
      <c r="XJ169" s="15"/>
      <c r="XQ169" s="15"/>
      <c r="XR169" s="15"/>
      <c r="XY169" s="15"/>
      <c r="XZ169" s="15"/>
      <c r="YG169" s="15"/>
      <c r="YH169" s="15"/>
      <c r="YO169" s="15"/>
      <c r="YP169" s="15"/>
      <c r="YW169" s="15"/>
      <c r="YX169" s="15"/>
      <c r="ZE169" s="15"/>
      <c r="ZF169" s="15"/>
      <c r="ZM169" s="15"/>
      <c r="ZN169" s="15"/>
      <c r="ZU169" s="15"/>
      <c r="ZV169" s="15"/>
      <c r="AAC169" s="15"/>
      <c r="AAD169" s="15"/>
      <c r="AAK169" s="15"/>
      <c r="AAL169" s="15"/>
      <c r="AAS169" s="15"/>
      <c r="AAT169" s="15"/>
      <c r="ABA169" s="15"/>
      <c r="ABB169" s="15"/>
      <c r="ABI169" s="15"/>
      <c r="ABJ169" s="15"/>
      <c r="ABQ169" s="15"/>
      <c r="ABR169" s="15"/>
      <c r="ABY169" s="15"/>
      <c r="ABZ169" s="15"/>
      <c r="ACG169" s="15"/>
      <c r="ACH169" s="15"/>
      <c r="ACO169" s="15"/>
      <c r="ACP169" s="15"/>
      <c r="ACW169" s="15"/>
      <c r="ACX169" s="15"/>
      <c r="ADE169" s="15"/>
      <c r="ADF169" s="15"/>
      <c r="ADM169" s="15"/>
      <c r="ADN169" s="15"/>
      <c r="ADU169" s="15"/>
      <c r="ADV169" s="15"/>
      <c r="AEC169" s="15"/>
      <c r="AED169" s="15"/>
      <c r="AEK169" s="15"/>
      <c r="AEL169" s="15"/>
      <c r="AES169" s="15"/>
      <c r="AET169" s="15"/>
      <c r="AFA169" s="15"/>
      <c r="AFB169" s="15"/>
      <c r="AFI169" s="15"/>
      <c r="AFJ169" s="15"/>
      <c r="AFQ169" s="15"/>
      <c r="AFR169" s="15"/>
      <c r="AFY169" s="15"/>
      <c r="AFZ169" s="15"/>
      <c r="AGG169" s="15"/>
      <c r="AGH169" s="15"/>
      <c r="AGO169" s="15"/>
      <c r="AGP169" s="15"/>
      <c r="AGW169" s="15"/>
      <c r="AGX169" s="15"/>
      <c r="AHE169" s="15"/>
      <c r="AHF169" s="15"/>
      <c r="AHM169" s="15"/>
      <c r="AHN169" s="15"/>
      <c r="AHU169" s="15"/>
      <c r="AHV169" s="15"/>
      <c r="AIC169" s="15"/>
      <c r="AID169" s="15"/>
      <c r="AIK169" s="15"/>
      <c r="AIL169" s="15"/>
      <c r="AIS169" s="15"/>
      <c r="AIT169" s="15"/>
      <c r="AJA169" s="15"/>
      <c r="AJB169" s="15"/>
      <c r="AJI169" s="15"/>
      <c r="AJJ169" s="15"/>
      <c r="AJQ169" s="15"/>
      <c r="AJR169" s="15"/>
      <c r="AJY169" s="15"/>
      <c r="AJZ169" s="15"/>
      <c r="AKG169" s="15"/>
      <c r="AKH169" s="15"/>
      <c r="AKO169" s="15"/>
      <c r="AKP169" s="15"/>
      <c r="AKW169" s="15"/>
      <c r="AKX169" s="15"/>
      <c r="ALE169" s="15"/>
      <c r="ALF169" s="15"/>
      <c r="ALM169" s="15"/>
      <c r="ALN169" s="15"/>
      <c r="ALU169" s="15"/>
      <c r="ALV169" s="15"/>
      <c r="AMC169" s="15"/>
      <c r="AMD169" s="15"/>
    </row>
    <row r="170" spans="1:1024" ht="14.25" customHeight="1" x14ac:dyDescent="0.2">
      <c r="A170" s="36" t="s">
        <v>632</v>
      </c>
      <c r="B170" s="12">
        <v>42899</v>
      </c>
      <c r="C170">
        <v>2</v>
      </c>
      <c r="D170" s="13">
        <v>42837</v>
      </c>
      <c r="E170" s="12">
        <v>31905</v>
      </c>
      <c r="F170" s="14">
        <f t="shared" si="48"/>
        <v>30.099931553730322</v>
      </c>
      <c r="G170" s="14">
        <f t="shared" si="49"/>
        <v>0.16974674880219029</v>
      </c>
      <c r="H170" s="15" t="s">
        <v>228</v>
      </c>
      <c r="I170" s="15" t="s">
        <v>447</v>
      </c>
      <c r="J170" s="15" t="s">
        <v>183</v>
      </c>
      <c r="K170" s="15">
        <v>8</v>
      </c>
      <c r="L170" s="19">
        <v>120</v>
      </c>
      <c r="M170">
        <v>1.83</v>
      </c>
      <c r="N170" s="16">
        <f t="shared" si="50"/>
        <v>35.832661470930752</v>
      </c>
      <c r="O170" s="19">
        <v>0</v>
      </c>
      <c r="P170" s="19">
        <v>0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0</v>
      </c>
      <c r="X170" s="19">
        <v>0</v>
      </c>
      <c r="Y170" s="19">
        <v>0</v>
      </c>
      <c r="Z170" s="19">
        <v>0</v>
      </c>
      <c r="AA170" s="19">
        <v>0</v>
      </c>
      <c r="AB170" s="19">
        <v>0</v>
      </c>
      <c r="AC170" s="19">
        <v>1</v>
      </c>
      <c r="AD170" s="19">
        <v>20</v>
      </c>
      <c r="AE170" s="19">
        <v>0</v>
      </c>
      <c r="AF170" s="19">
        <v>0</v>
      </c>
      <c r="AG170" s="19">
        <v>0</v>
      </c>
      <c r="AH170" s="19">
        <v>0</v>
      </c>
      <c r="AI170" s="19">
        <v>1</v>
      </c>
      <c r="AJ170" s="19">
        <v>0</v>
      </c>
      <c r="AK170" s="19">
        <v>0</v>
      </c>
      <c r="AL170" s="19">
        <v>0</v>
      </c>
      <c r="AM170" s="19"/>
      <c r="AN170" s="19">
        <v>0</v>
      </c>
      <c r="AO170" s="19">
        <v>0</v>
      </c>
      <c r="AP170" s="19">
        <v>0</v>
      </c>
      <c r="AQ170" s="19">
        <v>0</v>
      </c>
      <c r="AR170" s="19">
        <v>0</v>
      </c>
      <c r="AS170" s="19">
        <v>0</v>
      </c>
      <c r="AT170" s="19">
        <v>0</v>
      </c>
      <c r="AU170" s="19">
        <v>0</v>
      </c>
      <c r="AV170" s="19">
        <v>0</v>
      </c>
      <c r="AW170" s="19">
        <v>0</v>
      </c>
      <c r="AX170" s="19">
        <v>0</v>
      </c>
      <c r="AY170" s="19">
        <v>0</v>
      </c>
      <c r="AZ170" s="19">
        <v>0</v>
      </c>
      <c r="BA170" s="19">
        <v>0</v>
      </c>
      <c r="BB170" s="19">
        <v>0</v>
      </c>
      <c r="BC170" s="19">
        <v>0</v>
      </c>
      <c r="BD170" s="19">
        <v>0</v>
      </c>
      <c r="BE170" s="19">
        <v>0</v>
      </c>
      <c r="BF170" s="19">
        <v>0</v>
      </c>
      <c r="BG170" s="19">
        <v>0</v>
      </c>
      <c r="BH170" s="19">
        <v>0</v>
      </c>
      <c r="BI170" s="19">
        <v>0</v>
      </c>
      <c r="BJ170" s="19">
        <v>0</v>
      </c>
      <c r="BK170" s="19">
        <v>0</v>
      </c>
      <c r="BL170" s="19">
        <v>0</v>
      </c>
      <c r="BM170" s="19">
        <v>0</v>
      </c>
      <c r="BN170" s="19">
        <v>0</v>
      </c>
      <c r="BO170" s="19">
        <v>0</v>
      </c>
      <c r="BP170" s="19">
        <v>0</v>
      </c>
      <c r="BQ170" s="19">
        <v>0</v>
      </c>
      <c r="BR170" s="19">
        <v>1</v>
      </c>
      <c r="BS170" s="19">
        <v>1</v>
      </c>
      <c r="BT170" s="19">
        <v>2</v>
      </c>
      <c r="BU170" s="19">
        <v>5</v>
      </c>
      <c r="BV170" s="19">
        <v>1</v>
      </c>
      <c r="BW170" s="19">
        <v>2</v>
      </c>
      <c r="BX170" s="19"/>
      <c r="BY170" s="19">
        <v>5</v>
      </c>
      <c r="BZ170" s="19">
        <v>5</v>
      </c>
      <c r="CA170" s="19">
        <v>5</v>
      </c>
      <c r="CB170" s="19">
        <v>5</v>
      </c>
      <c r="CC170" s="19">
        <v>5</v>
      </c>
      <c r="CD170" s="19">
        <v>5</v>
      </c>
      <c r="CE170" s="19">
        <v>5</v>
      </c>
      <c r="CF170" s="19">
        <v>4</v>
      </c>
      <c r="CG170" s="19">
        <v>5</v>
      </c>
      <c r="CH170" s="19">
        <v>5</v>
      </c>
      <c r="CI170" s="19">
        <v>5</v>
      </c>
      <c r="CJ170" s="19">
        <v>5</v>
      </c>
      <c r="CK170" s="19">
        <v>10</v>
      </c>
      <c r="CL170">
        <v>57</v>
      </c>
      <c r="CM170">
        <v>24.5</v>
      </c>
      <c r="CN170" s="16">
        <v>70</v>
      </c>
      <c r="CO170" s="16">
        <v>80.400000000000006</v>
      </c>
      <c r="CP170" s="16">
        <v>15.5</v>
      </c>
      <c r="CQ170">
        <v>85.6</v>
      </c>
      <c r="CR170">
        <v>0</v>
      </c>
      <c r="CS170">
        <v>0</v>
      </c>
      <c r="CT170">
        <v>0</v>
      </c>
      <c r="CU170">
        <v>14.4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6.46</v>
      </c>
      <c r="DD170">
        <v>24.97</v>
      </c>
      <c r="DE170">
        <v>15</v>
      </c>
      <c r="DF170">
        <v>0</v>
      </c>
      <c r="DG170">
        <v>0</v>
      </c>
      <c r="DH170">
        <v>0</v>
      </c>
      <c r="DU170">
        <v>3.6</v>
      </c>
      <c r="DV170">
        <v>1</v>
      </c>
      <c r="DW170">
        <v>35</v>
      </c>
      <c r="DX170">
        <v>1</v>
      </c>
      <c r="DY170">
        <v>0.76</v>
      </c>
      <c r="DZ170">
        <v>3</v>
      </c>
      <c r="EG170" s="18"/>
      <c r="EY170">
        <v>1</v>
      </c>
      <c r="EZ170">
        <v>60</v>
      </c>
      <c r="FA170">
        <v>5</v>
      </c>
      <c r="FB170">
        <f>2.04+0.14</f>
        <v>2.1800000000000002</v>
      </c>
      <c r="FC170">
        <v>3</v>
      </c>
      <c r="GJ170" s="16">
        <v>0.63</v>
      </c>
      <c r="GK170" s="16">
        <v>1</v>
      </c>
      <c r="GL170" s="16">
        <v>1</v>
      </c>
      <c r="GM170" s="16"/>
      <c r="GN170" s="16">
        <v>4.2300000000000004</v>
      </c>
      <c r="GO170" s="16"/>
      <c r="GP170" s="16"/>
      <c r="GQ170" s="16"/>
      <c r="GR170" s="16"/>
      <c r="GS170" s="16"/>
      <c r="GT170" s="16"/>
      <c r="GU170" s="16">
        <v>3.25</v>
      </c>
      <c r="GV170" s="16">
        <v>3.26</v>
      </c>
      <c r="GW170" s="16"/>
      <c r="GX170" s="16"/>
      <c r="GY170" s="16">
        <v>0</v>
      </c>
      <c r="GZ170" s="16">
        <v>0</v>
      </c>
      <c r="HA170" s="16">
        <v>0</v>
      </c>
      <c r="HB170">
        <v>0</v>
      </c>
      <c r="HC170" t="s">
        <v>455</v>
      </c>
      <c r="HD170">
        <v>48.5</v>
      </c>
      <c r="HE170" s="16">
        <v>90.8</v>
      </c>
      <c r="HF170" s="16">
        <v>80.400000000000006</v>
      </c>
      <c r="HG170" s="16">
        <v>27.5</v>
      </c>
      <c r="HH170">
        <v>74.34</v>
      </c>
      <c r="HI170">
        <v>0</v>
      </c>
      <c r="HJ170">
        <v>12.29</v>
      </c>
      <c r="HK170">
        <v>0</v>
      </c>
      <c r="HL170">
        <v>13.37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14.01</v>
      </c>
      <c r="HV170">
        <v>63.09</v>
      </c>
      <c r="HW170">
        <v>0</v>
      </c>
      <c r="HX170">
        <v>0</v>
      </c>
      <c r="HY170">
        <v>0</v>
      </c>
      <c r="IL170">
        <v>13</v>
      </c>
      <c r="IM170">
        <v>1</v>
      </c>
      <c r="IN170">
        <v>34</v>
      </c>
      <c r="IO170">
        <v>11</v>
      </c>
      <c r="IP170">
        <f>11.42+1.34</f>
        <v>12.76</v>
      </c>
      <c r="IQ170">
        <v>1</v>
      </c>
      <c r="IR170">
        <v>68</v>
      </c>
      <c r="IS170">
        <v>15</v>
      </c>
      <c r="IT170">
        <v>2.8</v>
      </c>
      <c r="IU170">
        <v>1</v>
      </c>
      <c r="IX170" s="18"/>
      <c r="JP170">
        <v>1</v>
      </c>
      <c r="JQ170">
        <v>60</v>
      </c>
      <c r="JR170">
        <v>20</v>
      </c>
      <c r="JS170">
        <v>15.23</v>
      </c>
      <c r="JT170">
        <v>3</v>
      </c>
      <c r="LA170" s="16">
        <v>0</v>
      </c>
      <c r="LB170" s="16">
        <v>0</v>
      </c>
      <c r="LC170" s="16"/>
      <c r="LD170" s="16"/>
      <c r="LE170" s="16"/>
      <c r="LF170" s="16"/>
      <c r="LG170" s="16"/>
      <c r="LH170" s="16"/>
      <c r="LI170" s="16"/>
      <c r="LJ170" s="16"/>
      <c r="LK170" s="16"/>
      <c r="LL170" s="16">
        <v>0</v>
      </c>
      <c r="LM170" s="16">
        <v>0</v>
      </c>
      <c r="LN170" s="16"/>
      <c r="LO170" s="16"/>
      <c r="LP170" s="16">
        <v>7.46</v>
      </c>
      <c r="LQ170" s="16">
        <v>0</v>
      </c>
      <c r="LR170" s="16">
        <v>0</v>
      </c>
      <c r="LS170">
        <v>1</v>
      </c>
      <c r="LT170" t="s">
        <v>448</v>
      </c>
      <c r="LU170">
        <v>47</v>
      </c>
      <c r="LV170" s="16">
        <v>90.2</v>
      </c>
      <c r="LW170" s="16">
        <v>80.400000000000006</v>
      </c>
      <c r="LX170" s="16">
        <v>15.2</v>
      </c>
      <c r="LY170">
        <v>86.39</v>
      </c>
      <c r="LZ170">
        <v>0</v>
      </c>
      <c r="MA170">
        <v>0</v>
      </c>
      <c r="MB170">
        <v>0</v>
      </c>
      <c r="MC170">
        <v>13.61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16.36</v>
      </c>
      <c r="ML170">
        <v>23.57</v>
      </c>
      <c r="MM170">
        <v>29.14</v>
      </c>
      <c r="MN170">
        <v>0</v>
      </c>
      <c r="MO170">
        <v>0</v>
      </c>
      <c r="MP170">
        <v>0</v>
      </c>
      <c r="NC170">
        <v>23.6</v>
      </c>
      <c r="ND170">
        <v>1</v>
      </c>
      <c r="NE170">
        <v>68</v>
      </c>
      <c r="NF170">
        <v>8</v>
      </c>
      <c r="NG170">
        <f>0.76+0.03+0.27+0.05+0.03</f>
        <v>1.1400000000000001</v>
      </c>
      <c r="NH170">
        <v>1</v>
      </c>
      <c r="NI170">
        <v>35</v>
      </c>
      <c r="NJ170">
        <v>4</v>
      </c>
      <c r="NK170">
        <f>1.52+0.27</f>
        <v>1.79</v>
      </c>
      <c r="NL170">
        <v>3</v>
      </c>
      <c r="NM170">
        <v>103</v>
      </c>
      <c r="NN170">
        <v>3</v>
      </c>
      <c r="NO170" s="18">
        <v>2.02</v>
      </c>
      <c r="NP170">
        <v>3</v>
      </c>
      <c r="OG170">
        <v>1</v>
      </c>
      <c r="OH170">
        <v>80</v>
      </c>
      <c r="OI170">
        <v>3</v>
      </c>
      <c r="OJ170">
        <f>0.04*2+0.45</f>
        <v>0.53</v>
      </c>
      <c r="OK170">
        <v>3</v>
      </c>
      <c r="PR170" s="16">
        <v>0.4</v>
      </c>
      <c r="PS170" s="16">
        <v>1</v>
      </c>
      <c r="PT170" s="16">
        <v>1</v>
      </c>
      <c r="PU170" s="16"/>
      <c r="PV170" s="16">
        <f>1.25+0.1</f>
        <v>1.35</v>
      </c>
      <c r="PW170" s="16"/>
      <c r="PX170" s="16"/>
      <c r="PY170" s="16"/>
      <c r="PZ170" s="16"/>
      <c r="QA170" s="16"/>
      <c r="QB170" s="16"/>
      <c r="QC170" s="16">
        <v>4.96</v>
      </c>
      <c r="QD170" s="16">
        <v>2.6</v>
      </c>
      <c r="QE170" s="16"/>
      <c r="QF170" s="16"/>
      <c r="QG170" s="16">
        <v>0</v>
      </c>
      <c r="QH170" s="16">
        <v>0</v>
      </c>
      <c r="QI170" s="16">
        <v>0</v>
      </c>
      <c r="QJ170">
        <v>0</v>
      </c>
      <c r="QK170" t="s">
        <v>449</v>
      </c>
      <c r="QL170">
        <v>46.5</v>
      </c>
      <c r="QM170" s="16">
        <v>82.8</v>
      </c>
      <c r="QN170" s="16">
        <v>80.400000000000006</v>
      </c>
      <c r="QO170" s="16">
        <v>14.9</v>
      </c>
      <c r="QP170">
        <v>82.52</v>
      </c>
      <c r="QQ170">
        <v>0</v>
      </c>
      <c r="QR170">
        <v>0</v>
      </c>
      <c r="QS170">
        <v>0</v>
      </c>
      <c r="QT170">
        <v>17.48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37.299999999999997</v>
      </c>
      <c r="RC170">
        <v>16.79</v>
      </c>
      <c r="RD170">
        <v>15.04</v>
      </c>
      <c r="RE170">
        <v>0</v>
      </c>
      <c r="RF170">
        <v>0</v>
      </c>
      <c r="RG170">
        <v>0</v>
      </c>
      <c r="RT170">
        <v>18.899999999999999</v>
      </c>
      <c r="RU170">
        <v>1</v>
      </c>
      <c r="RV170">
        <v>68</v>
      </c>
      <c r="RW170">
        <v>1</v>
      </c>
      <c r="RX170">
        <v>0.13</v>
      </c>
      <c r="RY170">
        <v>1</v>
      </c>
      <c r="RZ170">
        <v>35</v>
      </c>
      <c r="SA170">
        <v>3</v>
      </c>
      <c r="SB170">
        <v>2.25</v>
      </c>
      <c r="SC170">
        <v>3</v>
      </c>
      <c r="SD170">
        <v>47</v>
      </c>
      <c r="SE170">
        <v>10</v>
      </c>
      <c r="SF170" s="18">
        <f>0.27+0.08+0.08+0.11+0.61+0.04</f>
        <v>1.19</v>
      </c>
      <c r="SG170">
        <v>3</v>
      </c>
      <c r="SX170">
        <v>1</v>
      </c>
      <c r="SY170">
        <v>80</v>
      </c>
      <c r="SZ170">
        <v>1</v>
      </c>
      <c r="TA170">
        <v>0.13</v>
      </c>
      <c r="TB170">
        <v>3</v>
      </c>
      <c r="UI170" s="16">
        <v>1.1499999999999999</v>
      </c>
      <c r="UJ170" s="16">
        <v>1</v>
      </c>
      <c r="UK170" s="16">
        <v>3</v>
      </c>
      <c r="UL170" s="16"/>
      <c r="UM170" s="16">
        <f>1.06+0.37*2</f>
        <v>1.8</v>
      </c>
      <c r="UN170" s="16"/>
      <c r="UO170" s="16"/>
      <c r="UP170" s="16"/>
      <c r="UQ170" s="16"/>
      <c r="UR170" s="16"/>
      <c r="US170" s="16"/>
      <c r="UT170" s="16">
        <v>9.75</v>
      </c>
      <c r="UU170" s="16">
        <v>11.26</v>
      </c>
      <c r="UV170" s="16"/>
      <c r="UW170" s="16"/>
      <c r="UX170" s="16">
        <v>0</v>
      </c>
      <c r="UY170" s="16">
        <v>0</v>
      </c>
      <c r="UZ170" s="16">
        <v>0</v>
      </c>
      <c r="VA170">
        <v>0</v>
      </c>
      <c r="VB170" t="s">
        <v>456</v>
      </c>
      <c r="VC170">
        <v>79.5</v>
      </c>
      <c r="VD170" s="16">
        <v>92.6</v>
      </c>
      <c r="VE170" s="16">
        <v>80.400000000000006</v>
      </c>
      <c r="VF170" s="16">
        <v>25.3</v>
      </c>
      <c r="VG170">
        <v>77.91</v>
      </c>
      <c r="VH170">
        <v>0</v>
      </c>
      <c r="VI170">
        <v>0.76</v>
      </c>
      <c r="VJ170">
        <v>0</v>
      </c>
      <c r="VK170">
        <v>21.33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4.99</v>
      </c>
      <c r="VS170">
        <v>0</v>
      </c>
      <c r="VT170">
        <v>5.93</v>
      </c>
      <c r="VU170">
        <v>41.31</v>
      </c>
      <c r="VV170">
        <v>0</v>
      </c>
      <c r="VW170">
        <v>10.6</v>
      </c>
      <c r="VX170">
        <v>2</v>
      </c>
      <c r="VY170">
        <v>3</v>
      </c>
      <c r="VZ170">
        <v>6.39</v>
      </c>
      <c r="WE170">
        <v>3</v>
      </c>
      <c r="WF170">
        <v>6.39</v>
      </c>
      <c r="WK170">
        <v>19.899999999999999</v>
      </c>
      <c r="WL170">
        <v>1</v>
      </c>
      <c r="WM170">
        <v>52</v>
      </c>
      <c r="WN170">
        <v>2</v>
      </c>
      <c r="WO170">
        <f>0.05+0.08</f>
        <v>0.13</v>
      </c>
      <c r="WP170">
        <v>2</v>
      </c>
      <c r="WQ170">
        <v>47</v>
      </c>
      <c r="WR170">
        <v>12</v>
      </c>
      <c r="WS170">
        <f>1.52+0.11+0.27+0.07+0.1+0.16+0.13+0.13</f>
        <v>2.4900000000000002</v>
      </c>
      <c r="WT170">
        <v>3</v>
      </c>
      <c r="WW170" s="18"/>
      <c r="XO170">
        <v>0</v>
      </c>
      <c r="YZ170" s="16">
        <v>6.39</v>
      </c>
      <c r="ZA170" s="16">
        <v>1</v>
      </c>
      <c r="ZB170" s="16">
        <v>2</v>
      </c>
      <c r="ZC170" s="16"/>
      <c r="ZD170" s="16">
        <f>2.11+1.52+2.11+0.3+0.22*2</f>
        <v>6.48</v>
      </c>
      <c r="ZE170" s="16"/>
      <c r="ZF170" s="16"/>
      <c r="ZG170" s="16"/>
      <c r="ZH170" s="16"/>
      <c r="ZI170" s="16"/>
      <c r="ZJ170" s="16"/>
      <c r="ZK170" s="16">
        <v>14.55</v>
      </c>
      <c r="ZL170" s="16">
        <v>28.78</v>
      </c>
      <c r="ZM170" s="16"/>
      <c r="ZN170" s="16"/>
      <c r="ZO170" s="16">
        <v>0</v>
      </c>
      <c r="ZP170" s="16">
        <v>0</v>
      </c>
      <c r="ZQ170" s="16">
        <v>0</v>
      </c>
      <c r="ZR170">
        <v>0</v>
      </c>
      <c r="ZS170" t="s">
        <v>450</v>
      </c>
      <c r="ZT170">
        <v>33.5</v>
      </c>
      <c r="ZU170" s="16">
        <v>82.2</v>
      </c>
      <c r="ZV170" s="16">
        <v>80.400000000000006</v>
      </c>
      <c r="ZW170" s="16">
        <v>19.5</v>
      </c>
      <c r="ZX170">
        <v>80.12</v>
      </c>
      <c r="ZY170">
        <v>0</v>
      </c>
      <c r="ZZ170">
        <v>0</v>
      </c>
      <c r="AAA170">
        <v>0</v>
      </c>
      <c r="AAB170">
        <v>19.88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16.82</v>
      </c>
      <c r="AAL170">
        <v>20.29</v>
      </c>
      <c r="AAM170">
        <v>0</v>
      </c>
      <c r="AAN170">
        <v>0</v>
      </c>
      <c r="AAO170">
        <v>0</v>
      </c>
      <c r="ABB170">
        <v>0</v>
      </c>
      <c r="ABC170">
        <v>0</v>
      </c>
      <c r="ABN170" s="18"/>
      <c r="ACF170">
        <v>0</v>
      </c>
      <c r="ADQ170" s="16">
        <v>2.4300000000000002</v>
      </c>
      <c r="ADR170" s="16">
        <v>1</v>
      </c>
      <c r="ADS170" s="16">
        <v>2</v>
      </c>
      <c r="ADT170" s="16"/>
      <c r="ADU170" s="16">
        <f>8.46+0.21+0.37</f>
        <v>9.0400000000000009</v>
      </c>
      <c r="ADV170" s="16"/>
      <c r="ADW170" s="16"/>
      <c r="ADX170" s="16"/>
      <c r="ADY170" s="16"/>
      <c r="ADZ170" s="16"/>
      <c r="AEA170" s="16"/>
      <c r="AEB170" s="16">
        <v>9.41</v>
      </c>
      <c r="AEC170" s="16">
        <v>22.76</v>
      </c>
      <c r="AED170" s="16"/>
      <c r="AEE170" s="16"/>
      <c r="AEF170" s="16">
        <v>0</v>
      </c>
      <c r="AEG170" s="16">
        <v>0</v>
      </c>
      <c r="AEH170" s="16">
        <v>0</v>
      </c>
      <c r="AEI170">
        <v>0</v>
      </c>
      <c r="AEJ170" t="s">
        <v>457</v>
      </c>
      <c r="AEK170">
        <v>21</v>
      </c>
      <c r="AEL170" s="16">
        <v>68.8</v>
      </c>
      <c r="AEM170" s="16">
        <v>80.400000000000006</v>
      </c>
      <c r="AEN170" s="16">
        <v>11.1</v>
      </c>
      <c r="AEO170">
        <v>92.71</v>
      </c>
      <c r="AEP170">
        <v>0</v>
      </c>
      <c r="AEQ170">
        <v>0</v>
      </c>
      <c r="AER170">
        <v>0</v>
      </c>
      <c r="AES170">
        <v>7.29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2.4300000000000002</v>
      </c>
      <c r="AFC170">
        <v>9.89</v>
      </c>
      <c r="AFD170">
        <v>0</v>
      </c>
      <c r="AFE170">
        <v>0</v>
      </c>
      <c r="AFF170">
        <v>0</v>
      </c>
      <c r="AFS170">
        <v>1</v>
      </c>
      <c r="AFT170">
        <v>1</v>
      </c>
      <c r="AFU170">
        <v>68</v>
      </c>
      <c r="AFV170">
        <v>7</v>
      </c>
      <c r="AFW170">
        <f>0.05+0.03+0.27+0.03</f>
        <v>0.38</v>
      </c>
      <c r="AFX170">
        <v>1</v>
      </c>
      <c r="AGE170" s="18"/>
      <c r="AGW170">
        <v>0</v>
      </c>
      <c r="AIH170" s="16">
        <v>0.67</v>
      </c>
      <c r="AII170" s="16">
        <v>1</v>
      </c>
      <c r="AIJ170" s="16">
        <v>2</v>
      </c>
      <c r="AIK170" s="16"/>
      <c r="AIL170" s="16">
        <f>0.28*2</f>
        <v>0.56000000000000005</v>
      </c>
      <c r="AIM170" s="16"/>
      <c r="AIN170" s="16"/>
      <c r="AIO170" s="16"/>
      <c r="AIP170" s="16"/>
      <c r="AIQ170" s="16"/>
      <c r="AIR170" s="16"/>
      <c r="AIS170" s="16">
        <v>7.38</v>
      </c>
      <c r="AIT170" s="16">
        <v>10.32</v>
      </c>
      <c r="AIU170" s="16"/>
      <c r="AIV170" s="16"/>
      <c r="AIW170" s="16">
        <v>0</v>
      </c>
      <c r="AIX170" s="16">
        <v>0</v>
      </c>
      <c r="AIY170" s="16">
        <v>0</v>
      </c>
      <c r="AIZ170">
        <v>0</v>
      </c>
      <c r="AJA170" t="s">
        <v>451</v>
      </c>
      <c r="AJB170">
        <v>48.5</v>
      </c>
      <c r="AJC170" s="16">
        <v>83.8</v>
      </c>
      <c r="AJD170" s="16">
        <v>80.400000000000006</v>
      </c>
      <c r="AJE170" s="16">
        <v>34.299999999999997</v>
      </c>
      <c r="AJF170">
        <v>70.08</v>
      </c>
      <c r="AJG170">
        <v>0</v>
      </c>
      <c r="AJH170">
        <v>18.239999999999998</v>
      </c>
      <c r="AJI170">
        <v>1.05</v>
      </c>
      <c r="AJJ170">
        <v>1.1399999999999999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19.39</v>
      </c>
      <c r="AJR170">
        <v>3.64</v>
      </c>
      <c r="AJS170">
        <v>13.61</v>
      </c>
      <c r="AJT170">
        <v>5.23</v>
      </c>
      <c r="AJU170">
        <v>9.49</v>
      </c>
      <c r="AJV170">
        <v>2.6</v>
      </c>
      <c r="AJW170">
        <v>2</v>
      </c>
      <c r="AJX170">
        <v>3</v>
      </c>
      <c r="AJY170">
        <v>1.01</v>
      </c>
      <c r="AKD170">
        <v>3</v>
      </c>
      <c r="AKE170">
        <v>1.01</v>
      </c>
      <c r="AKJ170">
        <v>1.7</v>
      </c>
      <c r="AKK170">
        <v>0</v>
      </c>
      <c r="AKV170" s="18"/>
      <c r="ALN170">
        <v>1</v>
      </c>
      <c r="ALO170">
        <v>60</v>
      </c>
      <c r="ALP170">
        <v>1</v>
      </c>
      <c r="ALQ170">
        <v>1.05</v>
      </c>
      <c r="ALR170">
        <v>1</v>
      </c>
    </row>
    <row r="171" spans="1:1024" x14ac:dyDescent="0.2">
      <c r="A171" s="1" t="s">
        <v>633</v>
      </c>
      <c r="B171" s="12">
        <v>42902</v>
      </c>
      <c r="C171">
        <v>1</v>
      </c>
      <c r="D171" s="13">
        <v>42797</v>
      </c>
      <c r="E171" s="12">
        <v>29537</v>
      </c>
      <c r="F171" s="14">
        <f t="shared" si="48"/>
        <v>36.591375770020534</v>
      </c>
      <c r="G171" s="14">
        <f t="shared" si="49"/>
        <v>0.28747433264887062</v>
      </c>
      <c r="H171" s="15" t="s">
        <v>181</v>
      </c>
      <c r="I171" s="15" t="s">
        <v>182</v>
      </c>
      <c r="J171" s="15" t="s">
        <v>181</v>
      </c>
      <c r="K171" s="15">
        <v>8</v>
      </c>
      <c r="L171" s="19">
        <v>82</v>
      </c>
      <c r="M171">
        <v>1.53</v>
      </c>
      <c r="N171" s="16">
        <f t="shared" si="50"/>
        <v>35.029262249562137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1</v>
      </c>
      <c r="AD171" s="19">
        <v>8</v>
      </c>
      <c r="AE171" s="19">
        <v>0</v>
      </c>
      <c r="AF171" s="19">
        <v>0</v>
      </c>
      <c r="AG171" s="19">
        <v>0</v>
      </c>
      <c r="AH171" s="19">
        <v>0</v>
      </c>
      <c r="AI171" s="19">
        <v>0</v>
      </c>
      <c r="AJ171" s="19">
        <v>0</v>
      </c>
      <c r="AK171" s="19">
        <v>0</v>
      </c>
      <c r="AL171" s="19">
        <v>0</v>
      </c>
      <c r="AM171" s="19">
        <v>0</v>
      </c>
      <c r="AN171" s="19">
        <v>0</v>
      </c>
      <c r="AO171" s="19">
        <v>0</v>
      </c>
      <c r="AP171" s="19">
        <v>0</v>
      </c>
      <c r="AQ171" s="19">
        <v>0</v>
      </c>
      <c r="AR171" s="19">
        <v>0</v>
      </c>
      <c r="AS171" s="19">
        <v>3</v>
      </c>
      <c r="AT171" s="19">
        <v>0</v>
      </c>
      <c r="AU171" s="19">
        <v>0</v>
      </c>
      <c r="AV171" s="19">
        <v>0</v>
      </c>
      <c r="AW171" s="19">
        <v>0</v>
      </c>
      <c r="AX171" s="19">
        <v>0</v>
      </c>
      <c r="AY171" s="19">
        <v>0</v>
      </c>
      <c r="AZ171" s="19">
        <v>0</v>
      </c>
      <c r="BA171" s="19">
        <v>0</v>
      </c>
      <c r="BB171" s="19">
        <v>0</v>
      </c>
      <c r="BC171" s="19">
        <v>0</v>
      </c>
      <c r="BD171" s="19">
        <v>0</v>
      </c>
      <c r="BE171" s="19">
        <v>0</v>
      </c>
      <c r="BF171" s="19">
        <v>0</v>
      </c>
      <c r="BG171" s="19">
        <v>0</v>
      </c>
      <c r="BH171" s="19">
        <v>0</v>
      </c>
      <c r="BI171" s="19">
        <v>0</v>
      </c>
      <c r="BJ171" s="19">
        <v>0</v>
      </c>
      <c r="BK171" s="19">
        <v>0</v>
      </c>
      <c r="BL171" s="19">
        <v>0</v>
      </c>
      <c r="BM171" s="19">
        <v>0</v>
      </c>
      <c r="BN171" s="19">
        <v>0</v>
      </c>
      <c r="BO171" s="19">
        <v>0</v>
      </c>
      <c r="BP171" s="19">
        <v>0</v>
      </c>
      <c r="BQ171" s="19">
        <v>0</v>
      </c>
      <c r="BR171" s="19">
        <v>1</v>
      </c>
      <c r="BS171" s="19">
        <v>1</v>
      </c>
      <c r="BT171" s="19">
        <v>1</v>
      </c>
      <c r="BU171" s="19">
        <v>1</v>
      </c>
      <c r="BV171" s="19">
        <v>1</v>
      </c>
      <c r="BW171" s="19">
        <v>1</v>
      </c>
      <c r="BX171" s="19">
        <v>1</v>
      </c>
      <c r="BY171" s="19">
        <v>5</v>
      </c>
      <c r="BZ171" s="19">
        <v>5</v>
      </c>
      <c r="CA171" s="19">
        <v>5</v>
      </c>
      <c r="CB171" s="19">
        <v>5</v>
      </c>
      <c r="CC171" s="19">
        <v>5</v>
      </c>
      <c r="CD171" s="19">
        <v>5</v>
      </c>
      <c r="CE171" s="19">
        <v>5</v>
      </c>
      <c r="CF171" s="19">
        <v>5</v>
      </c>
      <c r="CG171" s="19">
        <v>5</v>
      </c>
      <c r="CH171" s="19">
        <v>5</v>
      </c>
      <c r="CI171" s="19">
        <v>5</v>
      </c>
      <c r="CJ171" s="19">
        <v>5</v>
      </c>
      <c r="CK171" s="19">
        <v>8</v>
      </c>
      <c r="CL171" t="s">
        <v>185</v>
      </c>
      <c r="CM171">
        <v>21.5</v>
      </c>
      <c r="CN171" s="16">
        <v>54.9</v>
      </c>
      <c r="CO171" s="16">
        <v>80.400000000000006</v>
      </c>
      <c r="CP171" s="16">
        <v>17.899999999999999</v>
      </c>
      <c r="CQ171">
        <v>90.61</v>
      </c>
      <c r="CR171" s="17">
        <v>0</v>
      </c>
      <c r="CS171">
        <v>0</v>
      </c>
      <c r="CT171">
        <v>2.4500000000000002</v>
      </c>
      <c r="CU171">
        <v>6.94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12.16</v>
      </c>
      <c r="DC171">
        <v>24.45</v>
      </c>
      <c r="DD171">
        <v>4.8</v>
      </c>
      <c r="DE171">
        <v>5.1100000000000003</v>
      </c>
      <c r="DF171">
        <v>0</v>
      </c>
      <c r="DG171">
        <v>0</v>
      </c>
      <c r="DH171">
        <v>0</v>
      </c>
      <c r="DU171">
        <v>2.9</v>
      </c>
      <c r="DV171">
        <v>1</v>
      </c>
      <c r="DW171">
        <v>68</v>
      </c>
      <c r="DX171">
        <v>2</v>
      </c>
      <c r="DY171">
        <f>0.38+0.07</f>
        <v>0.45</v>
      </c>
      <c r="DZ171">
        <v>1</v>
      </c>
      <c r="EG171" s="18"/>
      <c r="EY171">
        <v>1</v>
      </c>
      <c r="EZ171">
        <v>40</v>
      </c>
      <c r="FA171">
        <v>1</v>
      </c>
      <c r="FB171">
        <v>0.06</v>
      </c>
      <c r="FC171">
        <v>1</v>
      </c>
      <c r="FD171">
        <v>60</v>
      </c>
      <c r="FE171">
        <v>1</v>
      </c>
      <c r="FF171">
        <v>0.11</v>
      </c>
      <c r="FG171">
        <v>1</v>
      </c>
      <c r="FH171">
        <v>40</v>
      </c>
      <c r="FI171">
        <v>1</v>
      </c>
      <c r="FJ171">
        <v>0.57999999999999996</v>
      </c>
      <c r="FK171">
        <v>6</v>
      </c>
      <c r="GJ171" s="16">
        <v>0</v>
      </c>
      <c r="GK171" s="16">
        <v>0</v>
      </c>
      <c r="GL171" s="16"/>
      <c r="GM171" s="16"/>
      <c r="GN171" s="16"/>
      <c r="GO171" s="16"/>
      <c r="GP171" s="16"/>
      <c r="GQ171" s="16"/>
      <c r="GR171" s="16"/>
      <c r="GS171" s="16"/>
      <c r="GT171" s="16"/>
      <c r="GU171" s="16">
        <v>0.67</v>
      </c>
      <c r="GV171" s="16">
        <v>0.65</v>
      </c>
      <c r="GW171" s="16"/>
      <c r="GX171" s="16"/>
      <c r="GY171" s="16">
        <v>0</v>
      </c>
      <c r="GZ171" s="16">
        <v>0</v>
      </c>
      <c r="HA171" s="16">
        <v>0</v>
      </c>
      <c r="HB171">
        <v>0</v>
      </c>
      <c r="HC171" t="s">
        <v>188</v>
      </c>
      <c r="HD171">
        <v>40</v>
      </c>
      <c r="HE171" s="16">
        <v>84.1</v>
      </c>
      <c r="HF171" s="16">
        <v>80.400000000000006</v>
      </c>
      <c r="HG171" s="16">
        <v>35.1</v>
      </c>
      <c r="HH171">
        <v>66.11</v>
      </c>
      <c r="HI171" s="17">
        <v>0</v>
      </c>
      <c r="HJ171">
        <v>13.11</v>
      </c>
      <c r="HK171">
        <v>6.27</v>
      </c>
      <c r="HL171">
        <v>8.02</v>
      </c>
      <c r="HM171">
        <v>0</v>
      </c>
      <c r="HN171">
        <v>6.47</v>
      </c>
      <c r="HO171">
        <v>2.85</v>
      </c>
      <c r="HP171">
        <v>3.1</v>
      </c>
      <c r="HQ171">
        <v>0</v>
      </c>
      <c r="HR171">
        <v>0</v>
      </c>
      <c r="HS171">
        <v>10.49</v>
      </c>
      <c r="HT171">
        <v>26.72</v>
      </c>
      <c r="HU171">
        <v>13.38</v>
      </c>
      <c r="HV171">
        <v>10.67</v>
      </c>
      <c r="HW171">
        <v>0</v>
      </c>
      <c r="HX171">
        <v>0</v>
      </c>
      <c r="HY171">
        <v>0</v>
      </c>
      <c r="IL171">
        <v>3.9</v>
      </c>
      <c r="IM171">
        <v>1</v>
      </c>
      <c r="IN171">
        <v>68</v>
      </c>
      <c r="IO171">
        <v>4</v>
      </c>
      <c r="IP171">
        <f>1.9+0.34</f>
        <v>2.2399999999999998</v>
      </c>
      <c r="IQ171">
        <v>1</v>
      </c>
      <c r="IR171">
        <v>34</v>
      </c>
      <c r="IS171">
        <v>8</v>
      </c>
      <c r="IT171">
        <v>0.27</v>
      </c>
      <c r="IU171">
        <v>1</v>
      </c>
      <c r="IX171" s="18"/>
      <c r="JP171">
        <v>1</v>
      </c>
      <c r="JQ171">
        <v>50</v>
      </c>
      <c r="JR171">
        <v>4</v>
      </c>
      <c r="JS171">
        <f>1.52*2</f>
        <v>3.04</v>
      </c>
      <c r="JT171">
        <v>3</v>
      </c>
      <c r="LA171" s="16">
        <v>0.04</v>
      </c>
      <c r="LB171" s="16">
        <v>1</v>
      </c>
      <c r="LC171" s="16">
        <v>1</v>
      </c>
      <c r="LD171" s="16"/>
      <c r="LE171" s="16">
        <f>0.3</f>
        <v>0.3</v>
      </c>
      <c r="LF171" s="16"/>
      <c r="LG171" s="16"/>
      <c r="LH171" s="16"/>
      <c r="LI171" s="16"/>
      <c r="LJ171" s="16"/>
      <c r="LK171" s="16"/>
      <c r="LL171" s="16">
        <v>0.03</v>
      </c>
      <c r="LM171" s="16">
        <v>0.03</v>
      </c>
      <c r="LN171" s="16"/>
      <c r="LO171" s="16"/>
      <c r="LP171" s="16">
        <v>0</v>
      </c>
      <c r="LQ171" s="16">
        <v>0</v>
      </c>
      <c r="LR171" s="16">
        <v>0</v>
      </c>
      <c r="LS171">
        <v>0</v>
      </c>
      <c r="LT171" t="s">
        <v>189</v>
      </c>
      <c r="LU171">
        <v>31</v>
      </c>
      <c r="LV171" s="16">
        <v>80.2</v>
      </c>
      <c r="LW171" s="16">
        <v>80.400000000000006</v>
      </c>
      <c r="LX171" s="16">
        <v>6.5</v>
      </c>
      <c r="LY171">
        <v>99.3</v>
      </c>
      <c r="LZ171" s="17">
        <v>0</v>
      </c>
      <c r="MA171">
        <v>0.7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31.92</v>
      </c>
      <c r="ML171">
        <v>23.7</v>
      </c>
      <c r="MM171">
        <v>1.95</v>
      </c>
      <c r="MN171">
        <v>0</v>
      </c>
      <c r="MO171">
        <v>18.7</v>
      </c>
      <c r="MP171">
        <v>4</v>
      </c>
      <c r="MQ171">
        <v>49</v>
      </c>
      <c r="MS171">
        <v>1</v>
      </c>
      <c r="MW171">
        <v>49</v>
      </c>
      <c r="MY171">
        <v>1</v>
      </c>
      <c r="NC171">
        <v>0</v>
      </c>
      <c r="ND171">
        <v>0</v>
      </c>
      <c r="NO171" s="18"/>
      <c r="OG171">
        <v>0</v>
      </c>
      <c r="PR171" s="16">
        <v>0</v>
      </c>
      <c r="PS171" s="16">
        <v>0</v>
      </c>
      <c r="PT171" s="16"/>
      <c r="PU171" s="16"/>
      <c r="PV171" s="16"/>
      <c r="PW171" s="16"/>
      <c r="PX171" s="16"/>
      <c r="PY171" s="16"/>
      <c r="PZ171" s="16"/>
      <c r="QA171" s="16"/>
      <c r="QB171" s="16"/>
      <c r="QC171" s="16">
        <v>5.42</v>
      </c>
      <c r="QD171" s="16">
        <v>6.61</v>
      </c>
      <c r="QE171" s="16"/>
      <c r="QF171" s="16"/>
      <c r="QG171" s="16">
        <v>0</v>
      </c>
      <c r="QH171" s="16">
        <v>0</v>
      </c>
      <c r="QI171" s="16">
        <v>0</v>
      </c>
      <c r="QJ171">
        <v>0</v>
      </c>
      <c r="QK171" t="s">
        <v>634</v>
      </c>
      <c r="QL171">
        <v>25</v>
      </c>
      <c r="QM171" s="16">
        <v>67</v>
      </c>
      <c r="QN171" s="16">
        <v>80.400000000000006</v>
      </c>
      <c r="QO171" s="16">
        <v>7.6</v>
      </c>
      <c r="QP171">
        <v>97.19</v>
      </c>
      <c r="QQ171" s="17">
        <v>0</v>
      </c>
      <c r="QR171">
        <v>0</v>
      </c>
      <c r="QS171">
        <v>0</v>
      </c>
      <c r="QT171">
        <v>2.81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4.6900000000000004</v>
      </c>
      <c r="RC171">
        <v>46.88</v>
      </c>
      <c r="RD171">
        <v>0</v>
      </c>
      <c r="RE171">
        <v>0</v>
      </c>
      <c r="RF171">
        <v>11.6</v>
      </c>
      <c r="RG171">
        <v>2</v>
      </c>
      <c r="RH171">
        <v>5</v>
      </c>
      <c r="RJ171">
        <v>1</v>
      </c>
      <c r="RN171">
        <v>5</v>
      </c>
      <c r="RP171">
        <v>1</v>
      </c>
      <c r="RT171">
        <v>0</v>
      </c>
      <c r="RU171">
        <v>1</v>
      </c>
      <c r="RV171">
        <v>34</v>
      </c>
      <c r="RW171">
        <v>4</v>
      </c>
      <c r="RX171">
        <v>2.25</v>
      </c>
      <c r="RY171">
        <v>1</v>
      </c>
      <c r="SF171" s="18"/>
      <c r="SX171">
        <v>0</v>
      </c>
      <c r="UI171" s="16">
        <v>0.01</v>
      </c>
      <c r="UJ171" s="16">
        <v>1</v>
      </c>
      <c r="UK171" s="16">
        <v>1</v>
      </c>
      <c r="UL171" s="16"/>
      <c r="UM171" s="16">
        <v>0.14000000000000001</v>
      </c>
      <c r="UN171" s="16"/>
      <c r="UO171" s="16"/>
      <c r="UP171" s="16"/>
      <c r="UQ171" s="16"/>
      <c r="UR171" s="16"/>
      <c r="US171" s="16"/>
      <c r="UT171" s="16">
        <v>5.7</v>
      </c>
      <c r="UU171" s="16">
        <v>0</v>
      </c>
      <c r="UV171" s="16"/>
      <c r="UW171" s="16"/>
      <c r="UX171" s="16">
        <v>0</v>
      </c>
      <c r="UY171" s="16">
        <v>0</v>
      </c>
      <c r="UZ171" s="16">
        <v>0</v>
      </c>
      <c r="VA171">
        <v>0</v>
      </c>
      <c r="VE171" s="15"/>
      <c r="VF171" s="15"/>
      <c r="VM171" s="15"/>
      <c r="VN171" s="15"/>
      <c r="VU171" s="15"/>
      <c r="VV171" s="15"/>
      <c r="WC171" s="15"/>
      <c r="WD171" s="15"/>
      <c r="WK171" s="15"/>
      <c r="WL171" s="15"/>
      <c r="WS171" s="15"/>
      <c r="WT171" s="15"/>
      <c r="XA171" s="15"/>
      <c r="XB171" s="15"/>
      <c r="XI171" s="15"/>
      <c r="XJ171" s="15"/>
      <c r="XQ171" s="15"/>
      <c r="XR171" s="15"/>
      <c r="XY171" s="15"/>
      <c r="XZ171" s="15"/>
      <c r="YG171" s="15"/>
      <c r="YH171" s="15"/>
      <c r="YO171" s="15"/>
      <c r="YP171" s="15"/>
      <c r="YW171" s="15"/>
      <c r="YX171" s="15"/>
      <c r="ZE171" s="15"/>
      <c r="ZF171" s="15"/>
      <c r="ZM171" s="15"/>
      <c r="ZN171" s="15"/>
      <c r="ZU171" s="15"/>
      <c r="ZV171" s="15"/>
      <c r="AAC171" s="15"/>
      <c r="AAD171" s="15"/>
      <c r="AAK171" s="15"/>
      <c r="AAL171" s="15"/>
      <c r="AAS171" s="15"/>
      <c r="AAT171" s="15"/>
      <c r="ABA171" s="15"/>
      <c r="ABB171" s="15"/>
      <c r="ABI171" s="15"/>
      <c r="ABJ171" s="15"/>
      <c r="ABQ171" s="15"/>
      <c r="ABR171" s="15"/>
      <c r="ABY171" s="15"/>
      <c r="ABZ171" s="15"/>
      <c r="ACG171" s="15"/>
      <c r="ACH171" s="15"/>
      <c r="ACO171" s="15"/>
      <c r="ACP171" s="15"/>
      <c r="ACW171" s="15"/>
      <c r="ACX171" s="15"/>
      <c r="ADE171" s="15"/>
      <c r="ADF171" s="15"/>
      <c r="ADM171" s="15"/>
      <c r="ADN171" s="15"/>
      <c r="ADU171" s="15"/>
      <c r="ADV171" s="15"/>
      <c r="AEC171" s="15"/>
      <c r="AED171" s="15"/>
      <c r="AEK171" s="15"/>
      <c r="AEL171" s="15"/>
      <c r="AES171" s="15"/>
      <c r="AET171" s="15"/>
      <c r="AFA171" s="15"/>
      <c r="AFB171" s="15"/>
      <c r="AFI171" s="15"/>
      <c r="AFJ171" s="15"/>
      <c r="AFQ171" s="15"/>
      <c r="AFR171" s="15"/>
      <c r="AFY171" s="15"/>
      <c r="AFZ171" s="15"/>
      <c r="AGG171" s="15"/>
      <c r="AGH171" s="15"/>
      <c r="AGO171" s="15"/>
      <c r="AGP171" s="15"/>
      <c r="AGW171" s="15"/>
      <c r="AGX171" s="15"/>
      <c r="AHE171" s="15"/>
      <c r="AHF171" s="15"/>
      <c r="AHM171" s="15"/>
      <c r="AHN171" s="15"/>
      <c r="AHU171" s="15"/>
      <c r="AHV171" s="15"/>
      <c r="AIC171" s="15"/>
      <c r="AID171" s="15"/>
      <c r="AIK171" s="15"/>
      <c r="AIL171" s="15"/>
      <c r="AIS171" s="15"/>
      <c r="AIT171" s="15"/>
      <c r="AJA171" s="15"/>
      <c r="AJB171" s="15"/>
      <c r="AJI171" s="15"/>
      <c r="AJJ171" s="15"/>
      <c r="AJQ171" s="15"/>
      <c r="AJR171" s="15"/>
      <c r="AJY171" s="15"/>
      <c r="AJZ171" s="15"/>
      <c r="AKG171" s="15"/>
      <c r="AKH171" s="15"/>
      <c r="AKO171" s="15"/>
      <c r="AKP171" s="15"/>
      <c r="AKW171" s="15"/>
      <c r="AKX171" s="15"/>
      <c r="ALE171" s="15"/>
      <c r="ALF171" s="15"/>
      <c r="ALM171" s="15"/>
      <c r="ALN171" s="15"/>
      <c r="ALU171" s="15"/>
      <c r="ALV171" s="15"/>
      <c r="AMC171" s="15"/>
      <c r="AMD171" s="15"/>
    </row>
    <row r="172" spans="1:1024" ht="14.25" customHeight="1" x14ac:dyDescent="0.2">
      <c r="A172" s="1" t="s">
        <v>635</v>
      </c>
      <c r="B172" s="12">
        <v>42902</v>
      </c>
      <c r="C172">
        <v>2</v>
      </c>
      <c r="D172" s="13">
        <v>42818</v>
      </c>
      <c r="E172" s="12">
        <v>31800</v>
      </c>
      <c r="F172" s="14">
        <f t="shared" si="48"/>
        <v>30.395619438740589</v>
      </c>
      <c r="G172" s="14">
        <f t="shared" si="49"/>
        <v>0.2299794661190965</v>
      </c>
      <c r="H172" s="15" t="s">
        <v>181</v>
      </c>
      <c r="I172" s="15" t="s">
        <v>182</v>
      </c>
      <c r="J172" s="15" t="s">
        <v>181</v>
      </c>
      <c r="K172" s="15">
        <v>8</v>
      </c>
      <c r="L172" s="19">
        <v>88</v>
      </c>
      <c r="M172">
        <v>1.73</v>
      </c>
      <c r="N172" s="16">
        <f t="shared" si="50"/>
        <v>29.402920244578837</v>
      </c>
      <c r="O172" s="19">
        <v>0</v>
      </c>
      <c r="P172" s="19">
        <v>0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0</v>
      </c>
      <c r="X172" s="19">
        <v>0</v>
      </c>
      <c r="Y172" s="19">
        <v>1</v>
      </c>
      <c r="Z172" s="19">
        <v>2</v>
      </c>
      <c r="AA172" s="19">
        <v>60</v>
      </c>
      <c r="AB172" s="19" t="s">
        <v>184</v>
      </c>
      <c r="AC172" s="19">
        <v>0</v>
      </c>
      <c r="AD172" s="19">
        <v>0</v>
      </c>
      <c r="AE172" s="19">
        <v>0</v>
      </c>
      <c r="AF172" s="19">
        <v>0</v>
      </c>
      <c r="AG172" s="19">
        <v>0</v>
      </c>
      <c r="AH172" s="19">
        <v>0</v>
      </c>
      <c r="AI172" s="19">
        <v>0</v>
      </c>
      <c r="AJ172" s="19">
        <v>0</v>
      </c>
      <c r="AK172" s="19">
        <v>0</v>
      </c>
      <c r="AL172" s="19">
        <v>0</v>
      </c>
      <c r="AM172" s="19">
        <v>0</v>
      </c>
      <c r="AN172" s="19">
        <v>0</v>
      </c>
      <c r="AO172" s="19">
        <v>0</v>
      </c>
      <c r="AP172" s="19">
        <v>0</v>
      </c>
      <c r="AQ172" s="19">
        <v>0</v>
      </c>
      <c r="AR172" s="19">
        <v>0</v>
      </c>
      <c r="AS172" s="19">
        <v>1</v>
      </c>
      <c r="AT172" s="19">
        <v>0</v>
      </c>
      <c r="AU172" s="19">
        <v>1</v>
      </c>
      <c r="AV172" s="19">
        <v>2</v>
      </c>
      <c r="AW172" s="19">
        <v>0</v>
      </c>
      <c r="AX172" s="19">
        <v>0</v>
      </c>
      <c r="AY172" s="19">
        <v>0</v>
      </c>
      <c r="AZ172" s="19">
        <v>0</v>
      </c>
      <c r="BA172" s="19">
        <v>0</v>
      </c>
      <c r="BB172" s="19">
        <v>0</v>
      </c>
      <c r="BC172" s="19">
        <v>0</v>
      </c>
      <c r="BD172" s="19">
        <v>0</v>
      </c>
      <c r="BE172" s="19">
        <v>0</v>
      </c>
      <c r="BF172" s="19">
        <v>0</v>
      </c>
      <c r="BG172" s="19">
        <v>0</v>
      </c>
      <c r="BH172" s="19">
        <v>0</v>
      </c>
      <c r="BI172" s="19">
        <v>0</v>
      </c>
      <c r="BJ172" s="19">
        <v>0</v>
      </c>
      <c r="BK172" s="19">
        <v>0</v>
      </c>
      <c r="BL172" s="19">
        <v>0</v>
      </c>
      <c r="BM172" s="19">
        <v>0</v>
      </c>
      <c r="BN172" s="19">
        <v>0</v>
      </c>
      <c r="BO172" s="19">
        <v>0</v>
      </c>
      <c r="BP172" s="19">
        <v>0</v>
      </c>
      <c r="BQ172" s="19">
        <v>0</v>
      </c>
      <c r="BR172" s="19">
        <v>1</v>
      </c>
      <c r="BS172" s="19">
        <v>2</v>
      </c>
      <c r="BT172" s="19"/>
      <c r="BU172" s="19">
        <v>5</v>
      </c>
      <c r="BV172" s="19">
        <v>2</v>
      </c>
      <c r="BW172" s="19">
        <v>1</v>
      </c>
      <c r="BX172" s="19">
        <v>1</v>
      </c>
      <c r="BY172" s="19">
        <v>5</v>
      </c>
      <c r="BZ172" s="19">
        <v>5</v>
      </c>
      <c r="CA172" s="19">
        <v>5</v>
      </c>
      <c r="CB172" s="19">
        <v>5</v>
      </c>
      <c r="CC172" s="19">
        <v>5</v>
      </c>
      <c r="CD172" s="19">
        <v>5</v>
      </c>
      <c r="CE172" s="19">
        <v>5</v>
      </c>
      <c r="CF172" s="19">
        <v>5</v>
      </c>
      <c r="CG172" s="19">
        <v>5</v>
      </c>
      <c r="CH172" s="19">
        <v>5</v>
      </c>
      <c r="CI172" s="19">
        <v>5</v>
      </c>
      <c r="CJ172" s="19">
        <v>5</v>
      </c>
      <c r="CK172" s="19">
        <v>10</v>
      </c>
      <c r="CL172" t="s">
        <v>188</v>
      </c>
      <c r="CM172">
        <v>40</v>
      </c>
      <c r="CN172" s="16">
        <v>84.1</v>
      </c>
      <c r="CO172" s="16">
        <v>80.400000000000006</v>
      </c>
      <c r="CP172" s="16">
        <v>35.1</v>
      </c>
      <c r="CQ172">
        <v>66.11</v>
      </c>
      <c r="CR172" s="17">
        <v>0</v>
      </c>
      <c r="CS172">
        <v>13.11</v>
      </c>
      <c r="CT172">
        <v>6.27</v>
      </c>
      <c r="CU172">
        <v>8.02</v>
      </c>
      <c r="CV172">
        <v>0</v>
      </c>
      <c r="CW172">
        <v>6.47</v>
      </c>
      <c r="CX172">
        <v>2.85</v>
      </c>
      <c r="CY172">
        <v>3.1</v>
      </c>
      <c r="CZ172">
        <v>0</v>
      </c>
      <c r="DA172">
        <v>0</v>
      </c>
      <c r="DB172">
        <v>10.49</v>
      </c>
      <c r="DC172">
        <v>26.72</v>
      </c>
      <c r="DD172">
        <v>13.38</v>
      </c>
      <c r="DE172">
        <v>10.67</v>
      </c>
      <c r="DF172">
        <v>0</v>
      </c>
      <c r="DG172">
        <v>0</v>
      </c>
      <c r="DH172">
        <v>0</v>
      </c>
      <c r="DU172">
        <v>3.9</v>
      </c>
      <c r="DV172">
        <v>1</v>
      </c>
      <c r="DW172">
        <v>68</v>
      </c>
      <c r="DX172">
        <v>4</v>
      </c>
      <c r="DY172">
        <f>1.9+0.34</f>
        <v>2.2399999999999998</v>
      </c>
      <c r="DZ172">
        <v>1</v>
      </c>
      <c r="EA172">
        <v>34</v>
      </c>
      <c r="EB172">
        <v>8</v>
      </c>
      <c r="EC172">
        <v>0.27</v>
      </c>
      <c r="ED172">
        <v>1</v>
      </c>
      <c r="EG172" s="18"/>
      <c r="EY172">
        <v>1</v>
      </c>
      <c r="EZ172">
        <v>50</v>
      </c>
      <c r="FA172">
        <v>4</v>
      </c>
      <c r="FB172">
        <f>1.52*2</f>
        <v>3.04</v>
      </c>
      <c r="FC172">
        <v>3</v>
      </c>
      <c r="GJ172" s="16">
        <v>0.04</v>
      </c>
      <c r="GK172" s="16">
        <v>1</v>
      </c>
      <c r="GL172" s="16">
        <v>1</v>
      </c>
      <c r="GM172" s="16"/>
      <c r="GN172" s="16">
        <f>0.3</f>
        <v>0.3</v>
      </c>
      <c r="GO172" s="16"/>
      <c r="GP172" s="16"/>
      <c r="GQ172" s="16"/>
      <c r="GR172" s="16"/>
      <c r="GS172" s="16"/>
      <c r="GT172" s="16"/>
      <c r="GU172" s="16">
        <v>0.03</v>
      </c>
      <c r="GV172" s="16">
        <v>0.03</v>
      </c>
      <c r="GW172" s="16"/>
      <c r="GX172" s="16"/>
      <c r="GY172" s="16">
        <v>0</v>
      </c>
      <c r="GZ172" s="16">
        <v>0</v>
      </c>
      <c r="HA172" s="16">
        <v>0</v>
      </c>
      <c r="HB172">
        <v>0</v>
      </c>
      <c r="HC172" t="s">
        <v>190</v>
      </c>
      <c r="HD172">
        <v>38.5</v>
      </c>
      <c r="HE172" s="16">
        <v>92</v>
      </c>
      <c r="HF172" s="16">
        <v>80.400000000000006</v>
      </c>
      <c r="HG172" s="16">
        <v>11</v>
      </c>
      <c r="HH172">
        <v>95.37</v>
      </c>
      <c r="HI172" s="17">
        <v>0</v>
      </c>
      <c r="HJ172">
        <v>4.63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2.85</v>
      </c>
      <c r="HT172">
        <v>16.149999999999999</v>
      </c>
      <c r="HU172">
        <v>42.55</v>
      </c>
      <c r="HV172">
        <v>4.63</v>
      </c>
      <c r="HW172">
        <v>0</v>
      </c>
      <c r="HX172">
        <v>5.7</v>
      </c>
      <c r="HY172">
        <v>1</v>
      </c>
      <c r="HZ172">
        <v>3</v>
      </c>
      <c r="IB172">
        <v>1</v>
      </c>
      <c r="IF172">
        <v>3</v>
      </c>
      <c r="IH172">
        <v>1</v>
      </c>
      <c r="IL172">
        <v>4.8</v>
      </c>
      <c r="IM172">
        <v>0</v>
      </c>
      <c r="IX172" s="18"/>
      <c r="JP172">
        <v>1</v>
      </c>
      <c r="JQ172">
        <v>70</v>
      </c>
      <c r="JR172">
        <v>3</v>
      </c>
      <c r="JS172">
        <f>14.97+0.86+0.7</f>
        <v>16.53</v>
      </c>
      <c r="JT172">
        <v>3</v>
      </c>
      <c r="JU172">
        <v>60</v>
      </c>
      <c r="JV172">
        <v>3</v>
      </c>
      <c r="JW172">
        <f>3.02+0.97+0.6</f>
        <v>4.59</v>
      </c>
      <c r="JX172">
        <v>3</v>
      </c>
      <c r="LA172" s="16">
        <v>2.82</v>
      </c>
      <c r="LB172" s="16">
        <v>1</v>
      </c>
      <c r="LC172" s="16">
        <v>1</v>
      </c>
      <c r="LD172" s="16"/>
      <c r="LE172" s="16">
        <f>0.93*2</f>
        <v>1.86</v>
      </c>
      <c r="LF172" s="16">
        <v>2</v>
      </c>
      <c r="LG172" s="16"/>
      <c r="LH172" s="16">
        <f>9.6+1.93</f>
        <v>11.53</v>
      </c>
      <c r="LI172" s="16"/>
      <c r="LJ172" s="16"/>
      <c r="LK172" s="16"/>
      <c r="LL172" s="16">
        <v>13.91</v>
      </c>
      <c r="LM172" s="16">
        <v>17.309999999999999</v>
      </c>
      <c r="LN172" s="16"/>
      <c r="LO172" s="16"/>
      <c r="LP172" s="16">
        <v>0</v>
      </c>
      <c r="LQ172" s="16">
        <v>0</v>
      </c>
      <c r="LR172" s="16">
        <v>0</v>
      </c>
      <c r="LS172">
        <v>0</v>
      </c>
      <c r="LT172" t="s">
        <v>191</v>
      </c>
      <c r="LU172">
        <v>44</v>
      </c>
      <c r="LV172" s="16">
        <v>75.8</v>
      </c>
      <c r="LW172" s="16">
        <v>80.400000000000006</v>
      </c>
      <c r="LX172" s="16">
        <v>12.2</v>
      </c>
      <c r="LY172">
        <v>90.24</v>
      </c>
      <c r="LZ172" s="17">
        <v>0</v>
      </c>
      <c r="MA172">
        <v>6.27</v>
      </c>
      <c r="MB172">
        <v>0</v>
      </c>
      <c r="MC172">
        <v>3.49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24.37</v>
      </c>
      <c r="ML172">
        <v>32.21</v>
      </c>
      <c r="MM172">
        <v>3.56</v>
      </c>
      <c r="MN172">
        <v>0</v>
      </c>
      <c r="MO172">
        <v>0</v>
      </c>
      <c r="MP172">
        <v>0</v>
      </c>
      <c r="NC172">
        <v>20.3</v>
      </c>
      <c r="ND172">
        <v>1</v>
      </c>
      <c r="NE172">
        <v>30</v>
      </c>
      <c r="NF172">
        <v>4</v>
      </c>
      <c r="NG172">
        <v>3.01</v>
      </c>
      <c r="NH172">
        <v>5</v>
      </c>
      <c r="NI172">
        <v>68</v>
      </c>
      <c r="NJ172">
        <v>2</v>
      </c>
      <c r="NK172">
        <v>1.52</v>
      </c>
      <c r="NL172">
        <v>1</v>
      </c>
      <c r="NM172">
        <v>47</v>
      </c>
      <c r="NN172">
        <v>1</v>
      </c>
      <c r="NO172" s="18">
        <v>7.0000000000000007E-2</v>
      </c>
      <c r="NP172">
        <v>3</v>
      </c>
      <c r="OG172">
        <v>0</v>
      </c>
      <c r="PR172" s="16">
        <v>1.88</v>
      </c>
      <c r="PS172" s="16">
        <v>1</v>
      </c>
      <c r="PT172" s="16">
        <v>2</v>
      </c>
      <c r="PU172" s="16"/>
      <c r="PV172" s="16">
        <v>4.18</v>
      </c>
      <c r="PW172" s="16"/>
      <c r="PX172" s="16"/>
      <c r="PY172" s="16"/>
      <c r="PZ172" s="16"/>
      <c r="QA172" s="16"/>
      <c r="QB172" s="16"/>
      <c r="QC172" s="16">
        <v>7.15</v>
      </c>
      <c r="QD172" s="16">
        <v>6.06</v>
      </c>
      <c r="QE172" s="16"/>
      <c r="QF172" s="16"/>
      <c r="QG172" s="16">
        <v>0</v>
      </c>
      <c r="QH172" s="16">
        <v>0</v>
      </c>
      <c r="QI172" s="16">
        <v>0</v>
      </c>
      <c r="QJ172">
        <v>0</v>
      </c>
      <c r="QK172" t="s">
        <v>192</v>
      </c>
      <c r="QL172">
        <v>47.5</v>
      </c>
      <c r="QM172" s="16">
        <v>79.3</v>
      </c>
      <c r="QN172" s="16">
        <v>80.400000000000006</v>
      </c>
      <c r="QO172" s="16">
        <v>36.299999999999997</v>
      </c>
      <c r="QP172">
        <v>66.23</v>
      </c>
      <c r="QQ172" s="17">
        <v>0</v>
      </c>
      <c r="QR172">
        <v>33.770000000000003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38.369999999999997</v>
      </c>
      <c r="RC172">
        <v>20.04</v>
      </c>
      <c r="RD172">
        <v>11.21</v>
      </c>
      <c r="RE172">
        <v>0</v>
      </c>
      <c r="RF172">
        <v>0</v>
      </c>
      <c r="RG172">
        <v>0</v>
      </c>
      <c r="RT172">
        <v>6.9</v>
      </c>
      <c r="RU172">
        <v>1</v>
      </c>
      <c r="RV172">
        <v>47</v>
      </c>
      <c r="RW172">
        <v>3</v>
      </c>
      <c r="RX172">
        <f>0.11+0.74+0.08</f>
        <v>0.92999999999999994</v>
      </c>
      <c r="RY172">
        <v>3</v>
      </c>
      <c r="RZ172">
        <v>68</v>
      </c>
      <c r="SA172">
        <v>1</v>
      </c>
      <c r="SB172">
        <v>0.76</v>
      </c>
      <c r="SC172">
        <v>1</v>
      </c>
      <c r="SF172" s="18"/>
      <c r="SX172">
        <v>0</v>
      </c>
      <c r="UI172" s="16">
        <v>2.61</v>
      </c>
      <c r="UJ172" s="16">
        <v>1</v>
      </c>
      <c r="UK172" s="16">
        <v>2</v>
      </c>
      <c r="UL172" s="16"/>
      <c r="UM172" s="16">
        <f>5.22+0.29</f>
        <v>5.51</v>
      </c>
      <c r="UN172" s="16">
        <v>2</v>
      </c>
      <c r="UO172" s="16"/>
      <c r="UP172" s="16">
        <f>0.61+3.74</f>
        <v>4.3500000000000005</v>
      </c>
      <c r="UQ172" s="16"/>
      <c r="UR172" s="16"/>
      <c r="US172" s="16"/>
      <c r="UT172" s="16">
        <v>0</v>
      </c>
      <c r="UU172" s="16">
        <v>0</v>
      </c>
      <c r="UV172" s="16"/>
      <c r="UW172" s="16"/>
      <c r="UX172" s="16">
        <v>0</v>
      </c>
      <c r="UY172" s="16">
        <v>0</v>
      </c>
      <c r="UZ172" s="16">
        <v>0</v>
      </c>
      <c r="VA172">
        <v>0</v>
      </c>
      <c r="VB172" t="s">
        <v>636</v>
      </c>
      <c r="VC172">
        <v>48</v>
      </c>
      <c r="VD172" s="16">
        <v>66.2</v>
      </c>
      <c r="VE172" s="16">
        <v>80.400000000000006</v>
      </c>
      <c r="VF172" s="16">
        <v>40.1</v>
      </c>
      <c r="VG172">
        <v>62.33</v>
      </c>
      <c r="VH172" s="17">
        <v>0</v>
      </c>
      <c r="VI172">
        <v>37.67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6.02</v>
      </c>
      <c r="VT172">
        <v>19.5</v>
      </c>
      <c r="VU172">
        <v>10.54</v>
      </c>
      <c r="VV172">
        <v>0</v>
      </c>
      <c r="VW172">
        <v>0</v>
      </c>
      <c r="VX172">
        <v>0</v>
      </c>
      <c r="WK172">
        <v>4.5999999999999996</v>
      </c>
      <c r="WL172">
        <v>1</v>
      </c>
      <c r="WM172">
        <v>68</v>
      </c>
      <c r="WN172">
        <v>2</v>
      </c>
      <c r="WO172">
        <v>1.5</v>
      </c>
      <c r="WP172">
        <v>1</v>
      </c>
      <c r="WQ172">
        <v>35</v>
      </c>
      <c r="WR172">
        <v>1</v>
      </c>
      <c r="WS172">
        <v>0.45</v>
      </c>
      <c r="WT172">
        <v>3</v>
      </c>
      <c r="WW172" s="18"/>
      <c r="XO172">
        <v>0</v>
      </c>
      <c r="YZ172" s="16">
        <v>0</v>
      </c>
      <c r="ZA172" s="16">
        <v>0</v>
      </c>
      <c r="ZB172" s="16"/>
      <c r="ZC172" s="16"/>
      <c r="ZD172" s="16"/>
      <c r="ZE172" s="16"/>
      <c r="ZF172" s="16"/>
      <c r="ZG172" s="16"/>
      <c r="ZH172" s="16"/>
      <c r="ZI172" s="16"/>
      <c r="ZJ172" s="16"/>
      <c r="ZK172" s="16">
        <v>1.88</v>
      </c>
      <c r="ZL172" s="16">
        <v>1.88</v>
      </c>
      <c r="ZM172" s="16"/>
      <c r="ZN172" s="16"/>
      <c r="ZO172" s="16">
        <v>0</v>
      </c>
      <c r="ZP172" s="16">
        <v>0</v>
      </c>
      <c r="ZQ172" s="16">
        <v>0</v>
      </c>
      <c r="ZR172">
        <v>0</v>
      </c>
      <c r="ZS172" t="s">
        <v>634</v>
      </c>
      <c r="ZT172">
        <v>25</v>
      </c>
      <c r="ZU172" s="16">
        <v>67</v>
      </c>
      <c r="ZV172" s="16">
        <v>80.400000000000006</v>
      </c>
      <c r="ZW172" s="16">
        <v>7.6</v>
      </c>
      <c r="ZX172">
        <v>97.19</v>
      </c>
      <c r="ZY172" s="17">
        <v>0</v>
      </c>
      <c r="ZZ172">
        <v>0</v>
      </c>
      <c r="AAA172">
        <v>0</v>
      </c>
      <c r="AAB172">
        <v>2.81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4.6900000000000004</v>
      </c>
      <c r="AAK172">
        <v>46.88</v>
      </c>
      <c r="AAL172">
        <v>0</v>
      </c>
      <c r="AAM172">
        <v>0</v>
      </c>
      <c r="AAN172">
        <v>11.6</v>
      </c>
      <c r="AAO172">
        <v>2</v>
      </c>
      <c r="AAP172">
        <v>5</v>
      </c>
      <c r="AAR172">
        <v>1</v>
      </c>
      <c r="AAV172">
        <v>5</v>
      </c>
      <c r="AAX172">
        <v>1</v>
      </c>
      <c r="ABB172">
        <v>0</v>
      </c>
      <c r="ABC172">
        <v>1</v>
      </c>
      <c r="ABD172">
        <v>34</v>
      </c>
      <c r="ABE172">
        <v>4</v>
      </c>
      <c r="ABF172">
        <v>2.25</v>
      </c>
      <c r="ABG172">
        <v>1</v>
      </c>
      <c r="ABN172" s="18"/>
      <c r="ACF172">
        <v>0</v>
      </c>
      <c r="ADQ172" s="16">
        <v>0.01</v>
      </c>
      <c r="ADR172" s="16">
        <v>1</v>
      </c>
      <c r="ADS172" s="16">
        <v>1</v>
      </c>
      <c r="ADT172" s="16"/>
      <c r="ADU172" s="16">
        <v>0.14000000000000001</v>
      </c>
      <c r="ADV172" s="16"/>
      <c r="ADW172" s="16"/>
      <c r="ADX172" s="16"/>
      <c r="ADY172" s="16"/>
      <c r="ADZ172" s="16"/>
      <c r="AEA172" s="16"/>
      <c r="AEB172" s="16">
        <v>5.7</v>
      </c>
      <c r="AEC172" s="16">
        <v>0</v>
      </c>
      <c r="AED172" s="16"/>
      <c r="AEE172" s="16"/>
      <c r="AEF172" s="16">
        <v>0</v>
      </c>
      <c r="AEG172" s="16">
        <v>0</v>
      </c>
      <c r="AEH172" s="16">
        <v>0</v>
      </c>
      <c r="AEI172">
        <v>0</v>
      </c>
      <c r="AEK172" s="15"/>
      <c r="AEL172" s="15"/>
      <c r="AES172" s="15"/>
      <c r="AET172" s="15"/>
      <c r="AFA172" s="15"/>
      <c r="AFB172" s="15"/>
      <c r="AFI172" s="15"/>
      <c r="AFJ172" s="15"/>
      <c r="AFQ172" s="15"/>
      <c r="AFR172" s="15"/>
      <c r="AFY172" s="15"/>
      <c r="AFZ172" s="15"/>
      <c r="AGG172" s="15"/>
      <c r="AGH172" s="15"/>
      <c r="AGO172" s="15"/>
      <c r="AGP172" s="15"/>
      <c r="AGW172" s="15"/>
      <c r="AGX172" s="15"/>
      <c r="AHE172" s="15"/>
      <c r="AHF172" s="15"/>
      <c r="AHM172" s="15"/>
      <c r="AHN172" s="15"/>
      <c r="AHU172" s="15"/>
      <c r="AHV172" s="15"/>
      <c r="AIC172" s="15"/>
      <c r="AID172" s="15"/>
      <c r="AIK172" s="15"/>
      <c r="AIL172" s="15"/>
      <c r="AIS172" s="15"/>
      <c r="AIT172" s="15"/>
      <c r="AJA172" s="15"/>
      <c r="AJB172" s="15"/>
      <c r="AJI172" s="15"/>
      <c r="AJJ172" s="15"/>
      <c r="AJQ172" s="15"/>
      <c r="AJR172" s="15"/>
      <c r="AJY172" s="15"/>
      <c r="AJZ172" s="15"/>
      <c r="AKG172" s="15"/>
      <c r="AKH172" s="15"/>
      <c r="AKO172" s="15"/>
      <c r="AKP172" s="15"/>
      <c r="AKW172" s="15"/>
      <c r="AKX172" s="15"/>
      <c r="ALE172" s="15"/>
      <c r="ALF172" s="15"/>
      <c r="ALM172" s="15"/>
      <c r="ALN172" s="15"/>
      <c r="ALU172" s="15"/>
      <c r="ALV172" s="15"/>
      <c r="AMC172" s="15"/>
      <c r="AMD172" s="15"/>
    </row>
    <row r="173" spans="1:1024" ht="14.25" customHeight="1" x14ac:dyDescent="0.2">
      <c r="A173" s="1" t="s">
        <v>637</v>
      </c>
      <c r="B173" s="12">
        <v>42902</v>
      </c>
      <c r="C173">
        <v>1</v>
      </c>
      <c r="D173" s="13">
        <v>39622</v>
      </c>
      <c r="E173" s="12">
        <v>28924</v>
      </c>
      <c r="F173" s="14">
        <f t="shared" si="48"/>
        <v>38.269678302532512</v>
      </c>
      <c r="G173" s="14">
        <f t="shared" si="49"/>
        <v>8.9801505817932927</v>
      </c>
      <c r="H173" s="15" t="s">
        <v>181</v>
      </c>
      <c r="I173" s="15" t="s">
        <v>182</v>
      </c>
      <c r="J173" s="15" t="s">
        <v>181</v>
      </c>
      <c r="K173" s="15">
        <v>8</v>
      </c>
      <c r="L173" s="19">
        <v>63</v>
      </c>
      <c r="M173">
        <v>1.6</v>
      </c>
      <c r="N173" s="16">
        <f t="shared" si="50"/>
        <v>24.609374999999996</v>
      </c>
      <c r="O173" s="19">
        <v>0</v>
      </c>
      <c r="P173" s="19">
        <v>0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1</v>
      </c>
      <c r="X173" s="19">
        <v>0</v>
      </c>
      <c r="Y173" s="19">
        <v>0</v>
      </c>
      <c r="Z173" s="19">
        <v>0</v>
      </c>
      <c r="AA173" s="19">
        <v>0</v>
      </c>
      <c r="AB173" s="19">
        <v>0</v>
      </c>
      <c r="AC173" s="19">
        <v>1</v>
      </c>
      <c r="AD173" s="19">
        <v>20</v>
      </c>
      <c r="AE173" s="19">
        <v>1</v>
      </c>
      <c r="AF173" s="19">
        <v>0</v>
      </c>
      <c r="AG173" s="19">
        <v>0</v>
      </c>
      <c r="AH173" s="19">
        <v>0</v>
      </c>
      <c r="AI173" s="19">
        <v>3</v>
      </c>
      <c r="AJ173" s="19">
        <v>3</v>
      </c>
      <c r="AK173" s="19">
        <v>3</v>
      </c>
      <c r="AL173" s="19">
        <v>7</v>
      </c>
      <c r="AM173" s="19">
        <v>9</v>
      </c>
      <c r="AN173" s="19">
        <v>3</v>
      </c>
      <c r="AO173" s="19">
        <v>0</v>
      </c>
      <c r="AP173" s="19">
        <v>0</v>
      </c>
      <c r="AQ173" s="19">
        <v>0</v>
      </c>
      <c r="AR173" s="19">
        <v>0</v>
      </c>
      <c r="AS173" s="19">
        <v>3</v>
      </c>
      <c r="AT173" s="19">
        <v>0</v>
      </c>
      <c r="AU173" s="19">
        <v>0</v>
      </c>
      <c r="AV173" s="19">
        <v>0</v>
      </c>
      <c r="AW173" s="19">
        <v>0</v>
      </c>
      <c r="AX173" s="19">
        <v>0</v>
      </c>
      <c r="AY173" s="19">
        <v>0</v>
      </c>
      <c r="AZ173" s="19">
        <v>0</v>
      </c>
      <c r="BA173" s="19">
        <v>0</v>
      </c>
      <c r="BB173" s="19">
        <v>1</v>
      </c>
      <c r="BC173" s="19">
        <v>0</v>
      </c>
      <c r="BD173" s="19">
        <v>0</v>
      </c>
      <c r="BE173" s="19">
        <v>0</v>
      </c>
      <c r="BF173" s="19">
        <v>0</v>
      </c>
      <c r="BG173" s="19">
        <v>0</v>
      </c>
      <c r="BH173" s="19">
        <v>0</v>
      </c>
      <c r="BI173" s="19">
        <v>0</v>
      </c>
      <c r="BJ173" s="19">
        <v>0</v>
      </c>
      <c r="BK173" s="19">
        <v>0</v>
      </c>
      <c r="BL173" s="19">
        <v>0</v>
      </c>
      <c r="BM173" s="19">
        <v>0</v>
      </c>
      <c r="BN173" s="19">
        <v>1</v>
      </c>
      <c r="BO173" s="19">
        <v>1</v>
      </c>
      <c r="BP173" s="19">
        <v>1</v>
      </c>
      <c r="BQ173" s="19">
        <v>8</v>
      </c>
      <c r="BR173" s="19">
        <v>1</v>
      </c>
      <c r="BS173" s="19">
        <v>2</v>
      </c>
      <c r="BT173" s="19">
        <v>3</v>
      </c>
      <c r="BU173" s="19">
        <v>5</v>
      </c>
      <c r="BV173" s="19">
        <v>3</v>
      </c>
      <c r="BW173" s="19">
        <v>3</v>
      </c>
      <c r="BX173" s="19">
        <v>2</v>
      </c>
      <c r="BY173" s="19">
        <v>3</v>
      </c>
      <c r="BZ173" s="19">
        <v>3</v>
      </c>
      <c r="CA173" s="19">
        <v>3</v>
      </c>
      <c r="CB173" s="19">
        <v>4</v>
      </c>
      <c r="CC173" s="19">
        <v>5</v>
      </c>
      <c r="CD173" s="19">
        <v>5</v>
      </c>
      <c r="CE173" s="19">
        <v>5</v>
      </c>
      <c r="CF173" s="19">
        <v>5</v>
      </c>
      <c r="CG173" s="19">
        <v>5</v>
      </c>
      <c r="CH173" s="19">
        <v>5</v>
      </c>
      <c r="CI173" s="19">
        <v>5</v>
      </c>
      <c r="CJ173" s="19">
        <v>5</v>
      </c>
      <c r="CK173" s="19">
        <v>5</v>
      </c>
      <c r="CL173" t="s">
        <v>185</v>
      </c>
      <c r="CM173">
        <v>21.5</v>
      </c>
      <c r="CN173" s="16">
        <v>54.9</v>
      </c>
      <c r="CO173" s="16">
        <v>80.400000000000006</v>
      </c>
      <c r="CP173" s="16">
        <v>17.899999999999999</v>
      </c>
      <c r="CQ173">
        <v>90.61</v>
      </c>
      <c r="CR173" s="17">
        <v>0</v>
      </c>
      <c r="CS173">
        <v>0</v>
      </c>
      <c r="CT173">
        <v>2.4500000000000002</v>
      </c>
      <c r="CU173">
        <v>6.94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12.16</v>
      </c>
      <c r="DC173">
        <v>24.45</v>
      </c>
      <c r="DD173">
        <v>4.8</v>
      </c>
      <c r="DE173">
        <v>5.1100000000000003</v>
      </c>
      <c r="DF173">
        <v>0</v>
      </c>
      <c r="DG173">
        <v>0</v>
      </c>
      <c r="DH173">
        <v>0</v>
      </c>
      <c r="DU173">
        <v>2.9</v>
      </c>
      <c r="DV173">
        <v>1</v>
      </c>
      <c r="DW173">
        <v>68</v>
      </c>
      <c r="DX173">
        <v>2</v>
      </c>
      <c r="DY173">
        <f>0.38+0.07</f>
        <v>0.45</v>
      </c>
      <c r="DZ173">
        <v>1</v>
      </c>
      <c r="EG173" s="18"/>
      <c r="EY173">
        <v>1</v>
      </c>
      <c r="EZ173">
        <v>40</v>
      </c>
      <c r="FA173">
        <v>1</v>
      </c>
      <c r="FB173">
        <v>0.06</v>
      </c>
      <c r="FC173">
        <v>1</v>
      </c>
      <c r="FD173">
        <v>60</v>
      </c>
      <c r="FE173">
        <v>1</v>
      </c>
      <c r="FF173">
        <v>0.11</v>
      </c>
      <c r="FG173">
        <v>1</v>
      </c>
      <c r="FH173">
        <v>40</v>
      </c>
      <c r="FI173">
        <v>1</v>
      </c>
      <c r="FJ173">
        <v>0.57999999999999996</v>
      </c>
      <c r="FK173">
        <v>6</v>
      </c>
      <c r="GJ173" s="16">
        <v>0</v>
      </c>
      <c r="GK173" s="16">
        <v>0</v>
      </c>
      <c r="GL173" s="16"/>
      <c r="GM173" s="16"/>
      <c r="GN173" s="16"/>
      <c r="GO173" s="16"/>
      <c r="GP173" s="16"/>
      <c r="GQ173" s="16"/>
      <c r="GR173" s="16"/>
      <c r="GS173" s="16"/>
      <c r="GT173" s="16"/>
      <c r="GU173" s="16">
        <v>0.67</v>
      </c>
      <c r="GV173" s="16">
        <v>0.65</v>
      </c>
      <c r="GW173" s="16"/>
      <c r="GX173" s="16"/>
      <c r="GY173" s="16">
        <v>0</v>
      </c>
      <c r="GZ173" s="16">
        <v>0</v>
      </c>
      <c r="HA173" s="16">
        <v>0</v>
      </c>
      <c r="HB173">
        <v>0</v>
      </c>
      <c r="HC173" t="s">
        <v>186</v>
      </c>
      <c r="HD173">
        <v>52.5</v>
      </c>
      <c r="HE173" s="16">
        <v>78.3</v>
      </c>
      <c r="HF173" s="16">
        <v>80.400000000000006</v>
      </c>
      <c r="HG173" s="16">
        <v>33.200000000000003</v>
      </c>
      <c r="HH173">
        <v>67.5</v>
      </c>
      <c r="HI173" s="17">
        <v>0</v>
      </c>
      <c r="HJ173">
        <v>21.37</v>
      </c>
      <c r="HK173">
        <v>0</v>
      </c>
      <c r="HL173">
        <v>3.99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5.93</v>
      </c>
      <c r="HU173">
        <v>42.2</v>
      </c>
      <c r="HV173">
        <v>15.97</v>
      </c>
      <c r="HW173">
        <v>7.14</v>
      </c>
      <c r="HX173">
        <v>0</v>
      </c>
      <c r="HY173">
        <v>0</v>
      </c>
      <c r="IL173">
        <v>1.7</v>
      </c>
      <c r="IM173">
        <v>1</v>
      </c>
      <c r="IN173">
        <v>34</v>
      </c>
      <c r="IO173">
        <v>5</v>
      </c>
      <c r="IP173">
        <v>0.21</v>
      </c>
      <c r="IQ173">
        <v>1</v>
      </c>
      <c r="IR173">
        <v>68</v>
      </c>
      <c r="IS173">
        <v>3</v>
      </c>
      <c r="IT173">
        <v>0.3</v>
      </c>
      <c r="IU173">
        <v>1</v>
      </c>
      <c r="IV173">
        <v>47</v>
      </c>
      <c r="IW173">
        <v>4</v>
      </c>
      <c r="IX173" s="18">
        <v>0.11</v>
      </c>
      <c r="IY173">
        <v>1</v>
      </c>
      <c r="IZ173">
        <v>35</v>
      </c>
      <c r="JA173">
        <v>2</v>
      </c>
      <c r="JB173">
        <v>0.1</v>
      </c>
      <c r="JC173">
        <v>1</v>
      </c>
      <c r="JP173">
        <v>0</v>
      </c>
      <c r="LA173" s="16">
        <v>1.04</v>
      </c>
      <c r="LB173" s="16">
        <v>1</v>
      </c>
      <c r="LC173" s="16">
        <v>1</v>
      </c>
      <c r="LD173" s="16"/>
      <c r="LE173" s="16">
        <f>3.74+3.17+0.1</f>
        <v>7.01</v>
      </c>
      <c r="LF173" s="16"/>
      <c r="LG173" s="16"/>
      <c r="LH173" s="16"/>
      <c r="LI173" s="16"/>
      <c r="LJ173" s="16"/>
      <c r="LK173" s="16"/>
      <c r="LL173" s="16">
        <v>8.9</v>
      </c>
      <c r="LM173" s="16">
        <v>9.7899999999999991</v>
      </c>
      <c r="LN173" s="16"/>
      <c r="LO173" s="16"/>
      <c r="LP173" s="16">
        <v>2.99</v>
      </c>
      <c r="LQ173" s="16">
        <v>4</v>
      </c>
      <c r="LR173" s="16">
        <v>3</v>
      </c>
      <c r="LS173">
        <v>0</v>
      </c>
      <c r="LT173" t="s">
        <v>187</v>
      </c>
      <c r="LU173">
        <v>53.5</v>
      </c>
      <c r="LV173" s="16">
        <v>73.5</v>
      </c>
      <c r="LW173" s="16">
        <v>80.400000000000006</v>
      </c>
      <c r="LX173" s="16">
        <v>26.1</v>
      </c>
      <c r="LY173">
        <v>78.89</v>
      </c>
      <c r="LZ173" s="17">
        <v>0</v>
      </c>
      <c r="MA173">
        <v>2.36</v>
      </c>
      <c r="MB173">
        <v>0</v>
      </c>
      <c r="MC173">
        <v>11.6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7.86</v>
      </c>
      <c r="MK173">
        <v>12.08</v>
      </c>
      <c r="ML173">
        <v>18.100000000000001</v>
      </c>
      <c r="MM173">
        <v>28.51</v>
      </c>
      <c r="MN173">
        <v>7.14</v>
      </c>
      <c r="MO173">
        <v>0</v>
      </c>
      <c r="MP173">
        <v>0</v>
      </c>
      <c r="NC173">
        <v>11.6</v>
      </c>
      <c r="ND173">
        <v>1</v>
      </c>
      <c r="NE173">
        <v>47</v>
      </c>
      <c r="NF173">
        <v>4</v>
      </c>
      <c r="NG173">
        <f>1.15+0.34</f>
        <v>1.49</v>
      </c>
      <c r="NH173">
        <v>3</v>
      </c>
      <c r="NO173" s="18"/>
      <c r="OG173">
        <v>1</v>
      </c>
      <c r="OH173">
        <v>50</v>
      </c>
      <c r="OI173">
        <v>1</v>
      </c>
      <c r="OJ173">
        <v>0.19</v>
      </c>
      <c r="OK173">
        <v>3</v>
      </c>
      <c r="PR173" s="16">
        <v>7.27</v>
      </c>
      <c r="PS173" s="16">
        <v>1</v>
      </c>
      <c r="PT173" s="16">
        <v>1</v>
      </c>
      <c r="PU173" s="16"/>
      <c r="PV173" s="16">
        <f>2.11*2+0.37*2</f>
        <v>4.96</v>
      </c>
      <c r="PW173" s="16">
        <v>3</v>
      </c>
      <c r="PX173" s="16"/>
      <c r="PY173" s="16">
        <f>1.44+0.72</f>
        <v>2.16</v>
      </c>
      <c r="PZ173" s="16"/>
      <c r="QA173" s="16"/>
      <c r="QB173" s="16"/>
      <c r="QC173" s="16">
        <v>5.39</v>
      </c>
      <c r="QD173" s="16">
        <v>8.11</v>
      </c>
      <c r="QE173" s="16"/>
      <c r="QF173" s="16"/>
      <c r="QG173" s="16">
        <v>0</v>
      </c>
      <c r="QH173" s="16">
        <v>0</v>
      </c>
      <c r="QI173" s="16">
        <v>3</v>
      </c>
      <c r="QJ173">
        <v>0</v>
      </c>
      <c r="QK173" t="s">
        <v>188</v>
      </c>
      <c r="QL173">
        <v>40</v>
      </c>
      <c r="QM173" s="16">
        <v>84.1</v>
      </c>
      <c r="QN173" s="16">
        <v>80.400000000000006</v>
      </c>
      <c r="QO173" s="16">
        <v>35.1</v>
      </c>
      <c r="QP173">
        <v>66.11</v>
      </c>
      <c r="QQ173" s="17">
        <v>0</v>
      </c>
      <c r="QR173">
        <v>13.11</v>
      </c>
      <c r="QS173">
        <v>6.27</v>
      </c>
      <c r="QT173">
        <v>8.02</v>
      </c>
      <c r="QU173">
        <v>0</v>
      </c>
      <c r="QV173">
        <v>6.47</v>
      </c>
      <c r="QW173">
        <v>2.85</v>
      </c>
      <c r="QX173">
        <v>3.1</v>
      </c>
      <c r="QY173">
        <v>0</v>
      </c>
      <c r="QZ173">
        <v>0</v>
      </c>
      <c r="RA173">
        <v>10.49</v>
      </c>
      <c r="RB173">
        <v>26.72</v>
      </c>
      <c r="RC173">
        <v>13.38</v>
      </c>
      <c r="RD173">
        <v>10.67</v>
      </c>
      <c r="RE173">
        <v>0</v>
      </c>
      <c r="RF173">
        <v>0</v>
      </c>
      <c r="RG173">
        <v>0</v>
      </c>
      <c r="RT173">
        <v>3.9</v>
      </c>
      <c r="RU173">
        <v>1</v>
      </c>
      <c r="RV173">
        <v>68</v>
      </c>
      <c r="RW173">
        <v>4</v>
      </c>
      <c r="RX173">
        <f>1.9+0.34</f>
        <v>2.2399999999999998</v>
      </c>
      <c r="RY173">
        <v>1</v>
      </c>
      <c r="RZ173">
        <v>34</v>
      </c>
      <c r="SA173">
        <v>8</v>
      </c>
      <c r="SB173">
        <v>0.27</v>
      </c>
      <c r="SC173">
        <v>1</v>
      </c>
      <c r="SF173" s="18"/>
      <c r="SX173">
        <v>1</v>
      </c>
      <c r="SY173">
        <v>50</v>
      </c>
      <c r="SZ173">
        <v>4</v>
      </c>
      <c r="TA173">
        <f>1.52*2</f>
        <v>3.04</v>
      </c>
      <c r="TB173">
        <v>3</v>
      </c>
      <c r="UI173" s="16">
        <v>0.04</v>
      </c>
      <c r="UJ173" s="16">
        <v>1</v>
      </c>
      <c r="UK173" s="16">
        <v>1</v>
      </c>
      <c r="UL173" s="16"/>
      <c r="UM173" s="16">
        <f>0.3</f>
        <v>0.3</v>
      </c>
      <c r="UN173" s="16"/>
      <c r="UO173" s="16"/>
      <c r="UP173" s="16"/>
      <c r="UQ173" s="16"/>
      <c r="UR173" s="16"/>
      <c r="US173" s="16"/>
      <c r="UT173" s="16">
        <v>0.03</v>
      </c>
      <c r="UU173" s="16">
        <v>0.03</v>
      </c>
      <c r="UV173" s="16"/>
      <c r="UW173" s="16"/>
      <c r="UX173" s="16">
        <v>0</v>
      </c>
      <c r="UY173" s="16">
        <v>0</v>
      </c>
      <c r="UZ173" s="16">
        <v>0</v>
      </c>
      <c r="VA173">
        <v>0</v>
      </c>
      <c r="VB173" t="s">
        <v>189</v>
      </c>
      <c r="VC173">
        <v>31</v>
      </c>
      <c r="VD173" s="16">
        <v>80.2</v>
      </c>
      <c r="VE173" s="16">
        <v>80.400000000000006</v>
      </c>
      <c r="VF173" s="16">
        <v>6.5</v>
      </c>
      <c r="VG173">
        <v>99.3</v>
      </c>
      <c r="VH173" s="17">
        <v>0</v>
      </c>
      <c r="VI173">
        <v>0.7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31.92</v>
      </c>
      <c r="VT173">
        <v>23.7</v>
      </c>
      <c r="VU173">
        <v>1.95</v>
      </c>
      <c r="VV173">
        <v>0</v>
      </c>
      <c r="VW173">
        <v>18.7</v>
      </c>
      <c r="VX173">
        <v>4</v>
      </c>
      <c r="VY173">
        <v>49</v>
      </c>
      <c r="WA173">
        <v>1</v>
      </c>
      <c r="WE173">
        <v>49</v>
      </c>
      <c r="WG173">
        <v>1</v>
      </c>
      <c r="WK173">
        <v>0</v>
      </c>
      <c r="WL173">
        <v>0</v>
      </c>
      <c r="WW173" s="18"/>
      <c r="XO173">
        <v>0</v>
      </c>
      <c r="YZ173" s="16">
        <v>0</v>
      </c>
      <c r="ZA173" s="16">
        <v>0</v>
      </c>
      <c r="ZB173" s="16"/>
      <c r="ZC173" s="16"/>
      <c r="ZD173" s="16"/>
      <c r="ZE173" s="16"/>
      <c r="ZF173" s="16"/>
      <c r="ZG173" s="16"/>
      <c r="ZH173" s="16"/>
      <c r="ZI173" s="16"/>
      <c r="ZJ173" s="16"/>
      <c r="ZK173" s="16">
        <v>5.42</v>
      </c>
      <c r="ZL173" s="16">
        <v>6.61</v>
      </c>
      <c r="ZM173" s="16"/>
      <c r="ZN173" s="16"/>
      <c r="ZO173" s="16">
        <v>0</v>
      </c>
      <c r="ZP173" s="16">
        <v>0</v>
      </c>
      <c r="ZQ173" s="16">
        <v>0</v>
      </c>
      <c r="ZR173">
        <v>0</v>
      </c>
      <c r="ZS173" t="s">
        <v>190</v>
      </c>
      <c r="ZT173">
        <v>38.5</v>
      </c>
      <c r="ZU173" s="16">
        <v>92</v>
      </c>
      <c r="ZV173" s="16">
        <v>80.400000000000006</v>
      </c>
      <c r="ZW173" s="16">
        <v>11</v>
      </c>
      <c r="ZX173">
        <v>95.37</v>
      </c>
      <c r="ZY173" s="17">
        <v>0</v>
      </c>
      <c r="ZZ173">
        <v>4.63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2.85</v>
      </c>
      <c r="AAJ173">
        <v>16.149999999999999</v>
      </c>
      <c r="AAK173">
        <v>42.55</v>
      </c>
      <c r="AAL173">
        <v>4.63</v>
      </c>
      <c r="AAM173">
        <v>0</v>
      </c>
      <c r="AAN173">
        <v>5.7</v>
      </c>
      <c r="AAO173">
        <v>1</v>
      </c>
      <c r="AAP173">
        <v>3</v>
      </c>
      <c r="AAR173">
        <v>1</v>
      </c>
      <c r="AAV173">
        <v>3</v>
      </c>
      <c r="AAX173">
        <v>1</v>
      </c>
      <c r="ABB173">
        <v>4.8</v>
      </c>
      <c r="ABC173">
        <v>0</v>
      </c>
      <c r="ABN173" s="18"/>
      <c r="ACF173">
        <v>1</v>
      </c>
      <c r="ACG173">
        <v>70</v>
      </c>
      <c r="ACH173">
        <v>3</v>
      </c>
      <c r="ACI173">
        <f>14.97+0.86+0.7</f>
        <v>16.53</v>
      </c>
      <c r="ACJ173">
        <v>3</v>
      </c>
      <c r="ACK173">
        <v>60</v>
      </c>
      <c r="ACL173">
        <v>3</v>
      </c>
      <c r="ACM173">
        <f>3.02+0.97+0.6</f>
        <v>4.59</v>
      </c>
      <c r="ACN173">
        <v>3</v>
      </c>
      <c r="ADQ173" s="16">
        <v>2.82</v>
      </c>
      <c r="ADR173" s="16">
        <v>1</v>
      </c>
      <c r="ADS173" s="16">
        <v>1</v>
      </c>
      <c r="ADT173" s="16"/>
      <c r="ADU173" s="16">
        <f>0.93*2</f>
        <v>1.86</v>
      </c>
      <c r="ADV173" s="16">
        <v>2</v>
      </c>
      <c r="ADW173" s="16"/>
      <c r="ADX173" s="16">
        <f>9.6+1.93</f>
        <v>11.53</v>
      </c>
      <c r="ADY173" s="16"/>
      <c r="ADZ173" s="16"/>
      <c r="AEA173" s="16"/>
      <c r="AEB173" s="16">
        <v>13.91</v>
      </c>
      <c r="AEC173" s="16">
        <v>17.309999999999999</v>
      </c>
      <c r="AED173" s="16"/>
      <c r="AEE173" s="16"/>
      <c r="AEF173" s="16">
        <v>0</v>
      </c>
      <c r="AEG173" s="16">
        <v>0</v>
      </c>
      <c r="AEH173" s="16">
        <v>0</v>
      </c>
      <c r="AEI173">
        <v>0</v>
      </c>
      <c r="AEJ173" t="s">
        <v>191</v>
      </c>
      <c r="AEK173">
        <v>44</v>
      </c>
      <c r="AEL173" s="16">
        <v>75.8</v>
      </c>
      <c r="AEM173" s="16">
        <v>80.400000000000006</v>
      </c>
      <c r="AEN173" s="16">
        <v>12.2</v>
      </c>
      <c r="AEO173">
        <v>90.24</v>
      </c>
      <c r="AEP173" s="17">
        <v>0</v>
      </c>
      <c r="AEQ173">
        <v>6.27</v>
      </c>
      <c r="AER173">
        <v>0</v>
      </c>
      <c r="AES173">
        <v>3.49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24.37</v>
      </c>
      <c r="AFB173">
        <v>32.21</v>
      </c>
      <c r="AFC173">
        <v>3.56</v>
      </c>
      <c r="AFD173">
        <v>0</v>
      </c>
      <c r="AFE173">
        <v>0</v>
      </c>
      <c r="AFF173">
        <v>0</v>
      </c>
      <c r="AFS173">
        <v>20.3</v>
      </c>
      <c r="AFT173">
        <v>1</v>
      </c>
      <c r="AFU173">
        <v>30</v>
      </c>
      <c r="AFV173">
        <v>4</v>
      </c>
      <c r="AFW173">
        <v>3.01</v>
      </c>
      <c r="AFX173">
        <v>5</v>
      </c>
      <c r="AFY173">
        <v>68</v>
      </c>
      <c r="AFZ173">
        <v>2</v>
      </c>
      <c r="AGA173">
        <v>1.52</v>
      </c>
      <c r="AGB173">
        <v>1</v>
      </c>
      <c r="AGC173">
        <v>47</v>
      </c>
      <c r="AGD173">
        <v>1</v>
      </c>
      <c r="AGE173" s="18">
        <v>7.0000000000000007E-2</v>
      </c>
      <c r="AGF173">
        <v>3</v>
      </c>
      <c r="AGW173">
        <v>0</v>
      </c>
      <c r="AIH173" s="16">
        <v>1.88</v>
      </c>
      <c r="AII173" s="16">
        <v>1</v>
      </c>
      <c r="AIJ173" s="16">
        <v>2</v>
      </c>
      <c r="AIK173" s="16"/>
      <c r="AIL173" s="16">
        <v>4.18</v>
      </c>
      <c r="AIM173" s="16"/>
      <c r="AIN173" s="16"/>
      <c r="AIO173" s="16"/>
      <c r="AIP173" s="16"/>
      <c r="AIQ173" s="16"/>
      <c r="AIR173" s="16"/>
      <c r="AIS173" s="16">
        <v>7.15</v>
      </c>
      <c r="AIT173" s="16">
        <v>6.06</v>
      </c>
      <c r="AIU173" s="16"/>
      <c r="AIV173" s="16"/>
      <c r="AIW173" s="16">
        <v>0</v>
      </c>
      <c r="AIX173" s="16">
        <v>0</v>
      </c>
      <c r="AIY173" s="16">
        <v>0</v>
      </c>
      <c r="AIZ173">
        <v>0</v>
      </c>
      <c r="AJA173" t="s">
        <v>192</v>
      </c>
      <c r="AJB173">
        <v>47.5</v>
      </c>
      <c r="AJC173" s="16">
        <v>79.3</v>
      </c>
      <c r="AJD173" s="16">
        <v>80.400000000000006</v>
      </c>
      <c r="AJE173" s="16">
        <v>36.299999999999997</v>
      </c>
      <c r="AJF173">
        <v>66.23</v>
      </c>
      <c r="AJG173" s="17">
        <v>0</v>
      </c>
      <c r="AJH173">
        <v>33.770000000000003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38.369999999999997</v>
      </c>
      <c r="AJS173">
        <v>20.04</v>
      </c>
      <c r="AJT173">
        <v>11.21</v>
      </c>
      <c r="AJU173">
        <v>0</v>
      </c>
      <c r="AJV173">
        <v>0</v>
      </c>
      <c r="AJW173">
        <v>0</v>
      </c>
      <c r="AKJ173">
        <v>6.9</v>
      </c>
      <c r="AKK173">
        <v>1</v>
      </c>
      <c r="AKL173">
        <v>47</v>
      </c>
      <c r="AKM173">
        <v>3</v>
      </c>
      <c r="AKN173">
        <f>0.11+0.74+0.08</f>
        <v>0.92999999999999994</v>
      </c>
      <c r="AKO173">
        <v>3</v>
      </c>
      <c r="AKP173">
        <v>68</v>
      </c>
      <c r="AKQ173">
        <v>1</v>
      </c>
      <c r="AKR173">
        <v>0.76</v>
      </c>
      <c r="AKS173">
        <v>1</v>
      </c>
      <c r="AKV173" s="18"/>
      <c r="ALN173">
        <v>0</v>
      </c>
    </row>
    <row r="174" spans="1:1024" x14ac:dyDescent="0.2">
      <c r="A174" s="1" t="s">
        <v>638</v>
      </c>
      <c r="B174" s="12">
        <v>42902</v>
      </c>
      <c r="C174">
        <v>2</v>
      </c>
      <c r="D174" s="13">
        <v>42821</v>
      </c>
      <c r="E174" s="12">
        <v>31499</v>
      </c>
      <c r="F174" s="14">
        <f t="shared" si="48"/>
        <v>31.219712525667351</v>
      </c>
      <c r="G174" s="14">
        <f t="shared" si="49"/>
        <v>0.22176591375770022</v>
      </c>
      <c r="H174" s="15" t="s">
        <v>181</v>
      </c>
      <c r="I174" s="15" t="s">
        <v>182</v>
      </c>
      <c r="J174" s="15" t="s">
        <v>181</v>
      </c>
      <c r="K174" s="15">
        <v>8</v>
      </c>
      <c r="L174" s="19">
        <v>90</v>
      </c>
      <c r="M174">
        <v>1.83</v>
      </c>
      <c r="N174" s="16">
        <f t="shared" si="50"/>
        <v>26.874496103198062</v>
      </c>
      <c r="O174" s="19">
        <v>0</v>
      </c>
      <c r="P174" s="19">
        <v>0</v>
      </c>
      <c r="Q174" s="19">
        <v>0</v>
      </c>
      <c r="R174" s="19">
        <v>0</v>
      </c>
      <c r="S174" s="19">
        <v>0</v>
      </c>
      <c r="T174" s="19">
        <v>0</v>
      </c>
      <c r="U174" s="19">
        <v>1</v>
      </c>
      <c r="V174" s="19">
        <v>5</v>
      </c>
      <c r="W174" s="19">
        <v>1</v>
      </c>
      <c r="X174" s="19">
        <v>0</v>
      </c>
      <c r="Y174" s="19">
        <v>0</v>
      </c>
      <c r="Z174" s="19">
        <v>0</v>
      </c>
      <c r="AA174" s="19">
        <v>0</v>
      </c>
      <c r="AB174" s="19">
        <v>0</v>
      </c>
      <c r="AC174" s="19">
        <v>1</v>
      </c>
      <c r="AD174" s="19">
        <v>2</v>
      </c>
      <c r="AE174" s="19">
        <v>0</v>
      </c>
      <c r="AF174" s="19">
        <v>0</v>
      </c>
      <c r="AG174" s="19">
        <v>0</v>
      </c>
      <c r="AH174" s="19">
        <v>0</v>
      </c>
      <c r="AI174" s="19">
        <v>0</v>
      </c>
      <c r="AJ174" s="19">
        <v>0</v>
      </c>
      <c r="AK174" s="19">
        <v>0</v>
      </c>
      <c r="AL174" s="19">
        <v>0</v>
      </c>
      <c r="AM174" s="19">
        <v>0</v>
      </c>
      <c r="AN174" s="19">
        <v>0</v>
      </c>
      <c r="AO174" s="19">
        <v>0</v>
      </c>
      <c r="AP174" s="19">
        <v>0</v>
      </c>
      <c r="AQ174" s="19">
        <v>0</v>
      </c>
      <c r="AR174" s="19">
        <v>0</v>
      </c>
      <c r="AS174" s="19">
        <v>0</v>
      </c>
      <c r="AT174" s="19">
        <v>0</v>
      </c>
      <c r="AU174" s="19">
        <v>0</v>
      </c>
      <c r="AV174" s="19">
        <v>0</v>
      </c>
      <c r="AW174" s="19">
        <v>0</v>
      </c>
      <c r="AX174" s="19">
        <v>0</v>
      </c>
      <c r="AY174" s="19">
        <v>0</v>
      </c>
      <c r="AZ174" s="19">
        <v>0</v>
      </c>
      <c r="BA174" s="19">
        <v>0</v>
      </c>
      <c r="BB174" s="19">
        <v>0</v>
      </c>
      <c r="BC174" s="19">
        <v>0</v>
      </c>
      <c r="BD174" s="19">
        <v>0</v>
      </c>
      <c r="BE174" s="19">
        <v>0</v>
      </c>
      <c r="BF174" s="19">
        <v>0</v>
      </c>
      <c r="BG174" s="19">
        <v>0</v>
      </c>
      <c r="BH174" s="19">
        <v>0</v>
      </c>
      <c r="BI174" s="19">
        <v>0</v>
      </c>
      <c r="BJ174" s="19">
        <v>0</v>
      </c>
      <c r="BK174" s="19">
        <v>0</v>
      </c>
      <c r="BL174" s="19">
        <v>0</v>
      </c>
      <c r="BM174" s="19">
        <v>0</v>
      </c>
      <c r="BN174" s="19">
        <v>0</v>
      </c>
      <c r="BO174" s="19">
        <v>0</v>
      </c>
      <c r="BP174" s="19">
        <v>0</v>
      </c>
      <c r="BQ174" s="19">
        <v>0</v>
      </c>
      <c r="BR174" s="19">
        <v>2</v>
      </c>
      <c r="BS174" s="19">
        <v>1</v>
      </c>
      <c r="BT174" s="19">
        <v>2</v>
      </c>
      <c r="BU174" s="19">
        <v>5</v>
      </c>
      <c r="BV174" s="19">
        <v>3</v>
      </c>
      <c r="BW174" s="19">
        <v>2</v>
      </c>
      <c r="BX174" s="19">
        <v>2</v>
      </c>
      <c r="BY174" s="19">
        <v>3</v>
      </c>
      <c r="BZ174" s="19">
        <v>2</v>
      </c>
      <c r="CA174" s="19">
        <v>4</v>
      </c>
      <c r="CB174" s="19">
        <v>4</v>
      </c>
      <c r="CC174" s="19">
        <v>5</v>
      </c>
      <c r="CD174" s="19">
        <v>4</v>
      </c>
      <c r="CE174" s="19">
        <v>4</v>
      </c>
      <c r="CF174" s="19">
        <v>3</v>
      </c>
      <c r="CG174" s="19">
        <v>4</v>
      </c>
      <c r="CH174" s="19">
        <v>4</v>
      </c>
      <c r="CI174" s="19">
        <v>5</v>
      </c>
      <c r="CJ174" s="19">
        <v>4</v>
      </c>
      <c r="CK174" s="19">
        <v>10</v>
      </c>
      <c r="CL174" t="s">
        <v>189</v>
      </c>
      <c r="CM174">
        <v>31</v>
      </c>
      <c r="CN174" s="16">
        <v>80.2</v>
      </c>
      <c r="CO174" s="16">
        <v>80.400000000000006</v>
      </c>
      <c r="CP174" s="16">
        <v>6.5</v>
      </c>
      <c r="CQ174">
        <v>99.3</v>
      </c>
      <c r="CR174" s="17">
        <v>0</v>
      </c>
      <c r="CS174">
        <v>0.7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31.92</v>
      </c>
      <c r="DD174">
        <v>23.7</v>
      </c>
      <c r="DE174">
        <v>1.95</v>
      </c>
      <c r="DF174">
        <v>0</v>
      </c>
      <c r="DG174">
        <v>18.7</v>
      </c>
      <c r="DH174">
        <v>4</v>
      </c>
      <c r="DI174">
        <v>49</v>
      </c>
      <c r="DK174">
        <v>1</v>
      </c>
      <c r="DO174">
        <v>49</v>
      </c>
      <c r="DQ174">
        <v>1</v>
      </c>
      <c r="DU174">
        <v>0</v>
      </c>
      <c r="DV174">
        <v>0</v>
      </c>
      <c r="EG174" s="18"/>
      <c r="EY174">
        <v>0</v>
      </c>
      <c r="GJ174" s="16">
        <v>0</v>
      </c>
      <c r="GK174" s="16">
        <v>0</v>
      </c>
      <c r="GL174" s="16"/>
      <c r="GM174" s="16"/>
      <c r="GN174" s="16"/>
      <c r="GO174" s="16"/>
      <c r="GP174" s="16"/>
      <c r="GQ174" s="16"/>
      <c r="GR174" s="16"/>
      <c r="GS174" s="16"/>
      <c r="GT174" s="16"/>
      <c r="GU174" s="16">
        <v>5.42</v>
      </c>
      <c r="GV174" s="16">
        <v>6.61</v>
      </c>
      <c r="GW174" s="16"/>
      <c r="GX174" s="16"/>
      <c r="GY174" s="16">
        <v>0</v>
      </c>
      <c r="GZ174" s="16">
        <v>0</v>
      </c>
      <c r="HA174" s="16">
        <v>0</v>
      </c>
      <c r="HB174">
        <v>0</v>
      </c>
      <c r="HC174" t="s">
        <v>190</v>
      </c>
      <c r="HD174">
        <v>38.5</v>
      </c>
      <c r="HE174" s="16">
        <v>92</v>
      </c>
      <c r="HF174" s="16">
        <v>80.400000000000006</v>
      </c>
      <c r="HG174" s="16">
        <v>11</v>
      </c>
      <c r="HH174">
        <v>95.37</v>
      </c>
      <c r="HI174" s="17">
        <v>0</v>
      </c>
      <c r="HJ174">
        <v>4.63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2.85</v>
      </c>
      <c r="HT174">
        <v>16.149999999999999</v>
      </c>
      <c r="HU174">
        <v>42.55</v>
      </c>
      <c r="HV174">
        <v>4.63</v>
      </c>
      <c r="HW174">
        <v>0</v>
      </c>
      <c r="HX174">
        <v>5.7</v>
      </c>
      <c r="HY174">
        <v>1</v>
      </c>
      <c r="HZ174">
        <v>3</v>
      </c>
      <c r="IB174">
        <v>1</v>
      </c>
      <c r="IF174">
        <v>3</v>
      </c>
      <c r="IH174">
        <v>1</v>
      </c>
      <c r="IL174">
        <v>4.8</v>
      </c>
      <c r="IM174">
        <v>0</v>
      </c>
      <c r="IX174" s="18"/>
      <c r="JP174">
        <v>1</v>
      </c>
      <c r="JQ174">
        <v>70</v>
      </c>
      <c r="JR174">
        <v>3</v>
      </c>
      <c r="JS174">
        <f>14.97+0.86+0.7</f>
        <v>16.53</v>
      </c>
      <c r="JT174">
        <v>3</v>
      </c>
      <c r="JU174">
        <v>60</v>
      </c>
      <c r="JV174">
        <v>3</v>
      </c>
      <c r="JW174">
        <f>3.02+0.97+0.6</f>
        <v>4.59</v>
      </c>
      <c r="JX174">
        <v>3</v>
      </c>
      <c r="LA174" s="16">
        <v>2.82</v>
      </c>
      <c r="LB174" s="16">
        <v>1</v>
      </c>
      <c r="LC174" s="16">
        <v>1</v>
      </c>
      <c r="LD174" s="16"/>
      <c r="LE174" s="16">
        <f>0.93*2</f>
        <v>1.86</v>
      </c>
      <c r="LF174" s="16">
        <v>2</v>
      </c>
      <c r="LG174" s="16"/>
      <c r="LH174" s="16">
        <f>9.6+1.93</f>
        <v>11.53</v>
      </c>
      <c r="LI174" s="16"/>
      <c r="LJ174" s="16"/>
      <c r="LK174" s="16"/>
      <c r="LL174" s="16">
        <v>13.91</v>
      </c>
      <c r="LM174" s="16">
        <v>17.309999999999999</v>
      </c>
      <c r="LN174" s="16"/>
      <c r="LO174" s="16"/>
      <c r="LP174" s="16">
        <v>0</v>
      </c>
      <c r="LQ174" s="16">
        <v>0</v>
      </c>
      <c r="LR174" s="16">
        <v>0</v>
      </c>
      <c r="LS174">
        <v>0</v>
      </c>
      <c r="LT174" t="s">
        <v>191</v>
      </c>
      <c r="LU174">
        <v>44</v>
      </c>
      <c r="LV174" s="16">
        <v>75.8</v>
      </c>
      <c r="LW174" s="16">
        <v>80.400000000000006</v>
      </c>
      <c r="LX174" s="16">
        <v>12.2</v>
      </c>
      <c r="LY174">
        <v>90.24</v>
      </c>
      <c r="LZ174" s="17">
        <v>0</v>
      </c>
      <c r="MA174">
        <v>6.27</v>
      </c>
      <c r="MB174">
        <v>0</v>
      </c>
      <c r="MC174">
        <v>3.49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24.37</v>
      </c>
      <c r="ML174">
        <v>32.21</v>
      </c>
      <c r="MM174">
        <v>3.56</v>
      </c>
      <c r="MN174">
        <v>0</v>
      </c>
      <c r="MO174">
        <v>0</v>
      </c>
      <c r="MP174">
        <v>0</v>
      </c>
      <c r="NC174">
        <v>20.3</v>
      </c>
      <c r="ND174">
        <v>1</v>
      </c>
      <c r="NE174">
        <v>30</v>
      </c>
      <c r="NF174">
        <v>4</v>
      </c>
      <c r="NG174">
        <v>3.01</v>
      </c>
      <c r="NH174">
        <v>5</v>
      </c>
      <c r="NI174">
        <v>68</v>
      </c>
      <c r="NJ174">
        <v>2</v>
      </c>
      <c r="NK174">
        <v>1.52</v>
      </c>
      <c r="NL174">
        <v>1</v>
      </c>
      <c r="NM174">
        <v>47</v>
      </c>
      <c r="NN174">
        <v>1</v>
      </c>
      <c r="NO174" s="18">
        <v>7.0000000000000007E-2</v>
      </c>
      <c r="NP174">
        <v>3</v>
      </c>
      <c r="OG174">
        <v>0</v>
      </c>
      <c r="PR174" s="16">
        <v>1.88</v>
      </c>
      <c r="PS174" s="16">
        <v>1</v>
      </c>
      <c r="PT174" s="16">
        <v>2</v>
      </c>
      <c r="PU174" s="16"/>
      <c r="PV174" s="16">
        <v>4.18</v>
      </c>
      <c r="PW174" s="16"/>
      <c r="PX174" s="16"/>
      <c r="PY174" s="16"/>
      <c r="PZ174" s="16"/>
      <c r="QA174" s="16"/>
      <c r="QB174" s="16"/>
      <c r="QC174" s="16">
        <v>7.15</v>
      </c>
      <c r="QD174" s="16">
        <v>6.06</v>
      </c>
      <c r="QE174" s="16"/>
      <c r="QF174" s="16"/>
      <c r="QG174" s="16">
        <v>0</v>
      </c>
      <c r="QH174" s="16">
        <v>0</v>
      </c>
      <c r="QI174" s="16">
        <v>0</v>
      </c>
      <c r="QJ174">
        <v>0</v>
      </c>
      <c r="QK174" t="s">
        <v>192</v>
      </c>
      <c r="QL174">
        <v>47.5</v>
      </c>
      <c r="QM174" s="16">
        <v>79.3</v>
      </c>
      <c r="QN174" s="16">
        <v>80.400000000000006</v>
      </c>
      <c r="QO174" s="16">
        <v>36.299999999999997</v>
      </c>
      <c r="QP174">
        <v>66.23</v>
      </c>
      <c r="QQ174" s="17">
        <v>0</v>
      </c>
      <c r="QR174">
        <v>33.770000000000003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38.369999999999997</v>
      </c>
      <c r="RC174">
        <v>20.04</v>
      </c>
      <c r="RD174">
        <v>11.21</v>
      </c>
      <c r="RE174">
        <v>0</v>
      </c>
      <c r="RF174">
        <v>0</v>
      </c>
      <c r="RG174">
        <v>0</v>
      </c>
      <c r="RT174">
        <v>6.9</v>
      </c>
      <c r="RU174">
        <v>1</v>
      </c>
      <c r="RV174">
        <v>47</v>
      </c>
      <c r="RW174">
        <v>3</v>
      </c>
      <c r="RX174">
        <f>0.11+0.74+0.08</f>
        <v>0.92999999999999994</v>
      </c>
      <c r="RY174">
        <v>3</v>
      </c>
      <c r="RZ174">
        <v>68</v>
      </c>
      <c r="SA174">
        <v>1</v>
      </c>
      <c r="SB174">
        <v>0.76</v>
      </c>
      <c r="SC174">
        <v>1</v>
      </c>
      <c r="SF174" s="18"/>
      <c r="SX174">
        <v>0</v>
      </c>
      <c r="UI174" s="16">
        <v>2.61</v>
      </c>
      <c r="UJ174" s="16">
        <v>1</v>
      </c>
      <c r="UK174" s="16">
        <v>2</v>
      </c>
      <c r="UL174" s="16"/>
      <c r="UM174" s="16">
        <f>5.22+0.29</f>
        <v>5.51</v>
      </c>
      <c r="UN174" s="16">
        <v>2</v>
      </c>
      <c r="UO174" s="16"/>
      <c r="UP174" s="16">
        <f>0.61+3.74</f>
        <v>4.3500000000000005</v>
      </c>
      <c r="UQ174" s="16"/>
      <c r="UR174" s="16"/>
      <c r="US174" s="16"/>
      <c r="UT174" s="16">
        <v>0</v>
      </c>
      <c r="UU174" s="16">
        <v>0</v>
      </c>
      <c r="UV174" s="16"/>
      <c r="UW174" s="16"/>
      <c r="UX174" s="16">
        <v>0</v>
      </c>
      <c r="UY174" s="16">
        <v>0</v>
      </c>
      <c r="UZ174" s="16">
        <v>0</v>
      </c>
      <c r="VA174">
        <v>0</v>
      </c>
      <c r="VB174" t="s">
        <v>636</v>
      </c>
      <c r="VC174">
        <v>48</v>
      </c>
      <c r="VD174" s="16">
        <v>66.2</v>
      </c>
      <c r="VE174" s="16">
        <v>80.400000000000006</v>
      </c>
      <c r="VF174" s="16">
        <v>40.1</v>
      </c>
      <c r="VG174">
        <v>62.33</v>
      </c>
      <c r="VH174" s="17">
        <v>0</v>
      </c>
      <c r="VI174">
        <v>37.67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6.02</v>
      </c>
      <c r="VT174">
        <v>19.5</v>
      </c>
      <c r="VU174">
        <v>10.54</v>
      </c>
      <c r="VV174">
        <v>0</v>
      </c>
      <c r="VW174">
        <v>0</v>
      </c>
      <c r="VX174">
        <v>0</v>
      </c>
      <c r="WK174">
        <v>4.5999999999999996</v>
      </c>
      <c r="WL174">
        <v>1</v>
      </c>
      <c r="WM174">
        <v>68</v>
      </c>
      <c r="WN174">
        <v>2</v>
      </c>
      <c r="WO174">
        <v>1.5</v>
      </c>
      <c r="WP174">
        <v>1</v>
      </c>
      <c r="WQ174">
        <v>35</v>
      </c>
      <c r="WR174">
        <v>1</v>
      </c>
      <c r="WS174">
        <v>0.45</v>
      </c>
      <c r="WT174">
        <v>3</v>
      </c>
      <c r="WW174" s="18"/>
      <c r="XO174">
        <v>0</v>
      </c>
      <c r="YZ174" s="16">
        <v>0</v>
      </c>
      <c r="ZA174" s="16">
        <v>0</v>
      </c>
      <c r="ZB174" s="16"/>
      <c r="ZC174" s="16"/>
      <c r="ZD174" s="16"/>
      <c r="ZE174" s="16"/>
      <c r="ZF174" s="16"/>
      <c r="ZG174" s="16"/>
      <c r="ZH174" s="16"/>
      <c r="ZI174" s="16"/>
      <c r="ZJ174" s="16"/>
      <c r="ZK174" s="16">
        <v>1.88</v>
      </c>
      <c r="ZL174" s="16">
        <v>1.88</v>
      </c>
      <c r="ZM174" s="16"/>
      <c r="ZN174" s="16"/>
      <c r="ZO174" s="16">
        <v>0</v>
      </c>
      <c r="ZP174" s="16">
        <v>0</v>
      </c>
      <c r="ZQ174" s="16">
        <v>0</v>
      </c>
      <c r="ZR174">
        <v>0</v>
      </c>
      <c r="ZS174" t="s">
        <v>634</v>
      </c>
      <c r="ZT174">
        <v>25</v>
      </c>
      <c r="ZU174" s="16">
        <v>67</v>
      </c>
      <c r="ZV174" s="16">
        <v>80.400000000000006</v>
      </c>
      <c r="ZW174" s="16">
        <v>7.6</v>
      </c>
      <c r="ZX174">
        <v>97.19</v>
      </c>
      <c r="ZY174" s="17">
        <v>0</v>
      </c>
      <c r="ZZ174">
        <v>0</v>
      </c>
      <c r="AAA174">
        <v>0</v>
      </c>
      <c r="AAB174">
        <v>2.81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4.6900000000000004</v>
      </c>
      <c r="AAK174">
        <v>46.88</v>
      </c>
      <c r="AAL174">
        <v>0</v>
      </c>
      <c r="AAM174">
        <v>0</v>
      </c>
      <c r="AAN174">
        <v>11.6</v>
      </c>
      <c r="AAO174">
        <v>2</v>
      </c>
      <c r="AAP174">
        <v>5</v>
      </c>
      <c r="AAR174">
        <v>1</v>
      </c>
      <c r="AAV174">
        <v>5</v>
      </c>
      <c r="AAX174">
        <v>1</v>
      </c>
      <c r="ABB174">
        <v>0</v>
      </c>
      <c r="ABC174">
        <v>1</v>
      </c>
      <c r="ABD174">
        <v>34</v>
      </c>
      <c r="ABE174">
        <v>4</v>
      </c>
      <c r="ABF174">
        <v>2.25</v>
      </c>
      <c r="ABG174">
        <v>1</v>
      </c>
      <c r="ABN174" s="18"/>
      <c r="ACF174">
        <v>0</v>
      </c>
      <c r="ADQ174" s="16">
        <v>0.01</v>
      </c>
      <c r="ADR174" s="16">
        <v>1</v>
      </c>
      <c r="ADS174" s="16">
        <v>1</v>
      </c>
      <c r="ADT174" s="16"/>
      <c r="ADU174" s="16">
        <v>0.14000000000000001</v>
      </c>
      <c r="ADV174" s="16"/>
      <c r="ADW174" s="16"/>
      <c r="ADX174" s="16"/>
      <c r="ADY174" s="16"/>
      <c r="ADZ174" s="16"/>
      <c r="AEA174" s="16"/>
      <c r="AEB174" s="16">
        <v>5.7</v>
      </c>
      <c r="AEC174" s="16">
        <v>0</v>
      </c>
      <c r="AED174" s="16"/>
      <c r="AEE174" s="16"/>
      <c r="AEF174" s="16">
        <v>0</v>
      </c>
      <c r="AEG174" s="16">
        <v>0</v>
      </c>
      <c r="AEH174" s="16">
        <v>0</v>
      </c>
      <c r="AEI174">
        <v>0</v>
      </c>
      <c r="AEK174" s="15"/>
      <c r="AEL174" s="15"/>
      <c r="AES174" s="15"/>
      <c r="AET174" s="15"/>
      <c r="AFA174" s="15"/>
      <c r="AFB174" s="15"/>
      <c r="AFI174" s="15"/>
      <c r="AFJ174" s="15"/>
      <c r="AFQ174" s="15"/>
      <c r="AFR174" s="15"/>
      <c r="AFY174" s="15"/>
      <c r="AFZ174" s="15"/>
      <c r="AGG174" s="15"/>
      <c r="AGH174" s="15"/>
      <c r="AGO174" s="15"/>
      <c r="AGP174" s="15"/>
      <c r="AGW174" s="15"/>
      <c r="AGX174" s="15"/>
      <c r="AHE174" s="15"/>
      <c r="AHF174" s="15"/>
      <c r="AHM174" s="15"/>
      <c r="AHN174" s="15"/>
      <c r="AHU174" s="15"/>
      <c r="AHV174" s="15"/>
      <c r="AIC174" s="15"/>
      <c r="AID174" s="15"/>
      <c r="AIK174" s="15"/>
      <c r="AIL174" s="15"/>
      <c r="AIS174" s="15"/>
      <c r="AIT174" s="15"/>
      <c r="AJA174" s="15"/>
      <c r="AJB174" s="15"/>
      <c r="AJI174" s="15"/>
      <c r="AJJ174" s="15"/>
      <c r="AJQ174" s="15"/>
      <c r="AJR174" s="15"/>
      <c r="AJY174" s="15"/>
      <c r="AJZ174" s="15"/>
      <c r="AKG174" s="15"/>
      <c r="AKH174" s="15"/>
      <c r="AKO174" s="15"/>
      <c r="AKP174" s="15"/>
      <c r="AKW174" s="15"/>
      <c r="AKX174" s="15"/>
      <c r="ALE174" s="15"/>
      <c r="ALF174" s="15"/>
      <c r="ALM174" s="15"/>
      <c r="ALN174" s="15"/>
      <c r="ALU174" s="15"/>
      <c r="ALV174" s="15"/>
      <c r="AMC174" s="15"/>
      <c r="AMD174" s="15"/>
    </row>
    <row r="175" spans="1:1024" ht="14.25" customHeight="1" x14ac:dyDescent="0.2">
      <c r="A175" s="1" t="s">
        <v>639</v>
      </c>
      <c r="B175" s="12">
        <v>42902</v>
      </c>
      <c r="C175">
        <v>2</v>
      </c>
      <c r="D175" s="13">
        <v>42811</v>
      </c>
      <c r="E175" s="12">
        <v>29097</v>
      </c>
      <c r="F175" s="14">
        <f t="shared" si="48"/>
        <v>37.796030116358658</v>
      </c>
      <c r="G175" s="14">
        <f t="shared" si="49"/>
        <v>0.24914442162902123</v>
      </c>
      <c r="H175" s="15" t="s">
        <v>181</v>
      </c>
      <c r="I175" s="15" t="s">
        <v>182</v>
      </c>
      <c r="J175" s="15" t="s">
        <v>181</v>
      </c>
      <c r="K175" s="15">
        <v>8</v>
      </c>
      <c r="L175" s="19">
        <v>76</v>
      </c>
      <c r="M175">
        <v>1.76</v>
      </c>
      <c r="N175" s="16">
        <f t="shared" si="50"/>
        <v>24.535123966942148</v>
      </c>
      <c r="O175" s="19">
        <v>0</v>
      </c>
      <c r="P175" s="19">
        <v>0</v>
      </c>
      <c r="Q175" s="19">
        <v>0</v>
      </c>
      <c r="R175" s="19">
        <v>0</v>
      </c>
      <c r="S175" s="19">
        <v>0</v>
      </c>
      <c r="T175" s="19">
        <v>0</v>
      </c>
      <c r="U175" s="19">
        <v>1</v>
      </c>
      <c r="V175" s="19">
        <v>4</v>
      </c>
      <c r="W175" s="19">
        <v>0</v>
      </c>
      <c r="X175" s="19">
        <v>0</v>
      </c>
      <c r="Y175" s="19">
        <v>0</v>
      </c>
      <c r="Z175" s="19">
        <v>0</v>
      </c>
      <c r="AA175" s="19">
        <v>0</v>
      </c>
      <c r="AB175" s="19">
        <v>0</v>
      </c>
      <c r="AC175" s="19">
        <v>1</v>
      </c>
      <c r="AD175" s="19">
        <v>6</v>
      </c>
      <c r="AE175" s="19"/>
      <c r="AF175" s="19"/>
      <c r="AG175" s="19"/>
      <c r="AH175" s="19"/>
      <c r="AI175" s="19">
        <v>0</v>
      </c>
      <c r="AJ175" s="19">
        <v>0</v>
      </c>
      <c r="AK175" s="19">
        <v>0</v>
      </c>
      <c r="AL175" s="19">
        <v>0</v>
      </c>
      <c r="AM175" s="19">
        <v>0</v>
      </c>
      <c r="AN175" s="19">
        <v>0</v>
      </c>
      <c r="AO175" s="19">
        <v>0</v>
      </c>
      <c r="AP175" s="19">
        <v>0</v>
      </c>
      <c r="AQ175" s="19">
        <v>0</v>
      </c>
      <c r="AR175" s="19">
        <v>0</v>
      </c>
      <c r="AS175" s="19">
        <v>0</v>
      </c>
      <c r="AT175" s="19">
        <v>0</v>
      </c>
      <c r="AU175" s="19">
        <v>0</v>
      </c>
      <c r="AV175" s="19">
        <v>0</v>
      </c>
      <c r="AW175" s="19">
        <v>0</v>
      </c>
      <c r="AX175" s="19">
        <v>0</v>
      </c>
      <c r="AY175" s="19">
        <v>0</v>
      </c>
      <c r="AZ175" s="19">
        <v>0</v>
      </c>
      <c r="BA175" s="19">
        <v>0</v>
      </c>
      <c r="BB175" s="19"/>
      <c r="BC175" s="19"/>
      <c r="BD175" s="19"/>
      <c r="BE175" s="19"/>
      <c r="BF175" s="19"/>
      <c r="BG175" s="19"/>
      <c r="BH175" s="19"/>
      <c r="BI175" s="19"/>
      <c r="BJ175" s="19"/>
      <c r="BK175" s="19"/>
      <c r="BL175" s="19"/>
      <c r="BM175" s="19"/>
      <c r="BN175" s="19">
        <v>1</v>
      </c>
      <c r="BO175" s="19">
        <v>0</v>
      </c>
      <c r="BP175" s="19">
        <v>0</v>
      </c>
      <c r="BQ175" s="19">
        <v>0</v>
      </c>
      <c r="BR175" s="19">
        <v>2</v>
      </c>
      <c r="BS175" s="19">
        <v>2</v>
      </c>
      <c r="BT175" s="19">
        <v>3</v>
      </c>
      <c r="BU175" s="19">
        <v>5</v>
      </c>
      <c r="BV175" s="19">
        <v>2</v>
      </c>
      <c r="BW175" s="19">
        <v>3</v>
      </c>
      <c r="BX175" s="19">
        <v>2</v>
      </c>
      <c r="BY175" s="19">
        <v>3</v>
      </c>
      <c r="BZ175" s="19">
        <v>3</v>
      </c>
      <c r="CA175" s="19">
        <v>5</v>
      </c>
      <c r="CB175" s="19">
        <v>4</v>
      </c>
      <c r="CC175" s="19">
        <v>5</v>
      </c>
      <c r="CD175" s="19">
        <v>4</v>
      </c>
      <c r="CE175" s="19">
        <v>4</v>
      </c>
      <c r="CF175" s="19">
        <v>4</v>
      </c>
      <c r="CG175" s="19">
        <v>4</v>
      </c>
      <c r="CH175" s="19">
        <v>4</v>
      </c>
      <c r="CI175" s="19">
        <v>5</v>
      </c>
      <c r="CJ175" s="19"/>
      <c r="CK175" s="19">
        <v>8</v>
      </c>
      <c r="CL175" t="s">
        <v>185</v>
      </c>
      <c r="CM175">
        <v>21.5</v>
      </c>
      <c r="CN175" s="16">
        <v>54.9</v>
      </c>
      <c r="CO175" s="16">
        <v>80.400000000000006</v>
      </c>
      <c r="CP175" s="16">
        <v>17.899999999999999</v>
      </c>
      <c r="CQ175">
        <v>90.61</v>
      </c>
      <c r="CR175" s="17">
        <v>0</v>
      </c>
      <c r="CS175">
        <v>0</v>
      </c>
      <c r="CT175">
        <v>2.4500000000000002</v>
      </c>
      <c r="CU175">
        <v>6.94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12.16</v>
      </c>
      <c r="DC175">
        <v>24.45</v>
      </c>
      <c r="DD175">
        <v>4.8</v>
      </c>
      <c r="DE175">
        <v>5.1100000000000003</v>
      </c>
      <c r="DF175">
        <v>0</v>
      </c>
      <c r="DG175">
        <v>0</v>
      </c>
      <c r="DH175">
        <v>0</v>
      </c>
      <c r="DU175">
        <v>2.9</v>
      </c>
      <c r="DV175">
        <v>1</v>
      </c>
      <c r="DW175">
        <v>68</v>
      </c>
      <c r="DX175">
        <v>2</v>
      </c>
      <c r="DY175">
        <f>0.38+0.07</f>
        <v>0.45</v>
      </c>
      <c r="DZ175">
        <v>1</v>
      </c>
      <c r="EG175" s="18"/>
      <c r="EY175">
        <v>1</v>
      </c>
      <c r="EZ175">
        <v>40</v>
      </c>
      <c r="FA175">
        <v>1</v>
      </c>
      <c r="FB175">
        <v>0.06</v>
      </c>
      <c r="FC175">
        <v>1</v>
      </c>
      <c r="FD175">
        <v>60</v>
      </c>
      <c r="FE175">
        <v>1</v>
      </c>
      <c r="FF175">
        <v>0.11</v>
      </c>
      <c r="FG175">
        <v>1</v>
      </c>
      <c r="FH175">
        <v>40</v>
      </c>
      <c r="FI175">
        <v>1</v>
      </c>
      <c r="FJ175">
        <v>0.57999999999999996</v>
      </c>
      <c r="FK175">
        <v>6</v>
      </c>
      <c r="GJ175" s="16">
        <v>0</v>
      </c>
      <c r="GK175" s="16">
        <v>0</v>
      </c>
      <c r="GL175" s="16"/>
      <c r="GM175" s="16"/>
      <c r="GN175" s="16"/>
      <c r="GO175" s="16"/>
      <c r="GP175" s="16"/>
      <c r="GQ175" s="16"/>
      <c r="GR175" s="16"/>
      <c r="GS175" s="16"/>
      <c r="GT175" s="16"/>
      <c r="GU175" s="16">
        <v>0.67</v>
      </c>
      <c r="GV175" s="16">
        <v>0.65</v>
      </c>
      <c r="GW175" s="16"/>
      <c r="GX175" s="16"/>
      <c r="GY175" s="16">
        <v>0</v>
      </c>
      <c r="GZ175" s="16">
        <v>0</v>
      </c>
      <c r="HA175" s="16">
        <v>0</v>
      </c>
      <c r="HB175">
        <v>0</v>
      </c>
      <c r="HC175" t="s">
        <v>186</v>
      </c>
      <c r="HD175">
        <v>52.5</v>
      </c>
      <c r="HE175" s="16">
        <v>78.3</v>
      </c>
      <c r="HF175" s="16">
        <v>80.400000000000006</v>
      </c>
      <c r="HG175" s="16">
        <v>33.200000000000003</v>
      </c>
      <c r="HH175">
        <v>67.5</v>
      </c>
      <c r="HI175" s="17">
        <v>0</v>
      </c>
      <c r="HJ175">
        <v>21.37</v>
      </c>
      <c r="HK175">
        <v>0</v>
      </c>
      <c r="HL175">
        <v>3.99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5.93</v>
      </c>
      <c r="HU175">
        <v>42.2</v>
      </c>
      <c r="HV175">
        <v>15.97</v>
      </c>
      <c r="HW175">
        <v>7.14</v>
      </c>
      <c r="HX175">
        <v>0</v>
      </c>
      <c r="HY175">
        <v>0</v>
      </c>
      <c r="IL175">
        <v>1.7</v>
      </c>
      <c r="IM175">
        <v>1</v>
      </c>
      <c r="IN175">
        <v>34</v>
      </c>
      <c r="IO175">
        <v>5</v>
      </c>
      <c r="IP175">
        <v>0.21</v>
      </c>
      <c r="IQ175">
        <v>1</v>
      </c>
      <c r="IR175">
        <v>68</v>
      </c>
      <c r="IS175">
        <v>3</v>
      </c>
      <c r="IT175">
        <v>0.3</v>
      </c>
      <c r="IU175">
        <v>1</v>
      </c>
      <c r="IV175">
        <v>47</v>
      </c>
      <c r="IW175">
        <v>4</v>
      </c>
      <c r="IX175" s="18">
        <v>0.11</v>
      </c>
      <c r="IY175">
        <v>1</v>
      </c>
      <c r="IZ175">
        <v>35</v>
      </c>
      <c r="JA175">
        <v>2</v>
      </c>
      <c r="JB175">
        <v>0.1</v>
      </c>
      <c r="JC175">
        <v>1</v>
      </c>
      <c r="JP175">
        <v>0</v>
      </c>
      <c r="LA175" s="16">
        <v>1.04</v>
      </c>
      <c r="LB175" s="16">
        <v>1</v>
      </c>
      <c r="LC175" s="16">
        <v>1</v>
      </c>
      <c r="LD175" s="16"/>
      <c r="LE175" s="16">
        <f>3.74+3.17+0.1</f>
        <v>7.01</v>
      </c>
      <c r="LF175" s="16"/>
      <c r="LG175" s="16"/>
      <c r="LH175" s="16"/>
      <c r="LI175" s="16"/>
      <c r="LJ175" s="16"/>
      <c r="LK175" s="16"/>
      <c r="LL175" s="16">
        <v>8.9</v>
      </c>
      <c r="LM175" s="16">
        <v>9.7899999999999991</v>
      </c>
      <c r="LN175" s="16"/>
      <c r="LO175" s="16"/>
      <c r="LP175" s="16">
        <v>2.99</v>
      </c>
      <c r="LQ175" s="16">
        <v>4</v>
      </c>
      <c r="LR175" s="16">
        <v>3</v>
      </c>
      <c r="LS175">
        <v>0</v>
      </c>
      <c r="LT175" t="s">
        <v>187</v>
      </c>
      <c r="LU175">
        <v>53.5</v>
      </c>
      <c r="LV175" s="16">
        <v>73.5</v>
      </c>
      <c r="LW175" s="16">
        <v>80.400000000000006</v>
      </c>
      <c r="LX175" s="16">
        <v>26.1</v>
      </c>
      <c r="LY175">
        <v>78.89</v>
      </c>
      <c r="LZ175" s="17">
        <v>0</v>
      </c>
      <c r="MA175">
        <v>2.36</v>
      </c>
      <c r="MB175">
        <v>0</v>
      </c>
      <c r="MC175">
        <v>11.6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7.86</v>
      </c>
      <c r="MK175">
        <v>12.08</v>
      </c>
      <c r="ML175">
        <v>18.100000000000001</v>
      </c>
      <c r="MM175">
        <v>28.51</v>
      </c>
      <c r="MN175">
        <v>7.14</v>
      </c>
      <c r="MO175">
        <v>0</v>
      </c>
      <c r="MP175">
        <v>0</v>
      </c>
      <c r="NC175">
        <v>11.6</v>
      </c>
      <c r="ND175">
        <v>1</v>
      </c>
      <c r="NE175">
        <v>47</v>
      </c>
      <c r="NF175">
        <v>4</v>
      </c>
      <c r="NG175">
        <f>1.15+0.34</f>
        <v>1.49</v>
      </c>
      <c r="NH175">
        <v>3</v>
      </c>
      <c r="NO175" s="18"/>
      <c r="OG175">
        <v>1</v>
      </c>
      <c r="OH175">
        <v>50</v>
      </c>
      <c r="OI175">
        <v>1</v>
      </c>
      <c r="OJ175">
        <v>0.19</v>
      </c>
      <c r="OK175">
        <v>3</v>
      </c>
      <c r="PR175" s="16">
        <v>7.27</v>
      </c>
      <c r="PS175" s="16">
        <v>1</v>
      </c>
      <c r="PT175" s="16">
        <v>1</v>
      </c>
      <c r="PU175" s="16"/>
      <c r="PV175" s="16">
        <f>2.11*2+0.37*2</f>
        <v>4.96</v>
      </c>
      <c r="PW175" s="16">
        <v>3</v>
      </c>
      <c r="PX175" s="16"/>
      <c r="PY175" s="16">
        <f>1.44+0.72</f>
        <v>2.16</v>
      </c>
      <c r="PZ175" s="16"/>
      <c r="QA175" s="16"/>
      <c r="QB175" s="16"/>
      <c r="QC175" s="16">
        <v>5.39</v>
      </c>
      <c r="QD175" s="16">
        <v>8.11</v>
      </c>
      <c r="QE175" s="16"/>
      <c r="QF175" s="16"/>
      <c r="QG175" s="16">
        <v>0</v>
      </c>
      <c r="QH175" s="16">
        <v>0</v>
      </c>
      <c r="QI175" s="16">
        <v>3</v>
      </c>
      <c r="QJ175">
        <v>0</v>
      </c>
      <c r="QK175" t="s">
        <v>188</v>
      </c>
      <c r="QL175">
        <v>40</v>
      </c>
      <c r="QM175" s="16">
        <v>84.1</v>
      </c>
      <c r="QN175" s="16">
        <v>80.400000000000006</v>
      </c>
      <c r="QO175" s="16">
        <v>35.1</v>
      </c>
      <c r="QP175">
        <v>66.11</v>
      </c>
      <c r="QQ175" s="17">
        <v>0</v>
      </c>
      <c r="QR175">
        <v>13.11</v>
      </c>
      <c r="QS175">
        <v>6.27</v>
      </c>
      <c r="QT175">
        <v>8.02</v>
      </c>
      <c r="QU175">
        <v>0</v>
      </c>
      <c r="QV175">
        <v>6.47</v>
      </c>
      <c r="QW175">
        <v>2.85</v>
      </c>
      <c r="QX175">
        <v>3.1</v>
      </c>
      <c r="QY175">
        <v>0</v>
      </c>
      <c r="QZ175">
        <v>0</v>
      </c>
      <c r="RA175">
        <v>10.49</v>
      </c>
      <c r="RB175">
        <v>26.72</v>
      </c>
      <c r="RC175">
        <v>13.38</v>
      </c>
      <c r="RD175">
        <v>10.67</v>
      </c>
      <c r="RE175">
        <v>0</v>
      </c>
      <c r="RF175">
        <v>0</v>
      </c>
      <c r="RG175">
        <v>0</v>
      </c>
      <c r="RT175">
        <v>3.9</v>
      </c>
      <c r="RU175">
        <v>1</v>
      </c>
      <c r="RV175">
        <v>68</v>
      </c>
      <c r="RW175">
        <v>4</v>
      </c>
      <c r="RX175">
        <f>1.9+0.34</f>
        <v>2.2399999999999998</v>
      </c>
      <c r="RY175">
        <v>1</v>
      </c>
      <c r="RZ175">
        <v>34</v>
      </c>
      <c r="SA175">
        <v>8</v>
      </c>
      <c r="SB175">
        <v>0.27</v>
      </c>
      <c r="SC175">
        <v>1</v>
      </c>
      <c r="SF175" s="18"/>
      <c r="SX175">
        <v>1</v>
      </c>
      <c r="SY175">
        <v>50</v>
      </c>
      <c r="SZ175">
        <v>4</v>
      </c>
      <c r="TA175">
        <f>1.52*2</f>
        <v>3.04</v>
      </c>
      <c r="TB175">
        <v>3</v>
      </c>
      <c r="UI175" s="16">
        <v>0.04</v>
      </c>
      <c r="UJ175" s="16">
        <v>1</v>
      </c>
      <c r="UK175" s="16">
        <v>1</v>
      </c>
      <c r="UL175" s="16"/>
      <c r="UM175" s="16">
        <f>0.3</f>
        <v>0.3</v>
      </c>
      <c r="UN175" s="16"/>
      <c r="UO175" s="16"/>
      <c r="UP175" s="16"/>
      <c r="UQ175" s="16"/>
      <c r="UR175" s="16"/>
      <c r="US175" s="16"/>
      <c r="UT175" s="16">
        <v>0.03</v>
      </c>
      <c r="UU175" s="16">
        <v>0.03</v>
      </c>
      <c r="UV175" s="16"/>
      <c r="UW175" s="16"/>
      <c r="UX175" s="16">
        <v>0</v>
      </c>
      <c r="UY175" s="16">
        <v>0</v>
      </c>
      <c r="UZ175" s="16">
        <v>0</v>
      </c>
      <c r="VA175">
        <v>0</v>
      </c>
      <c r="VB175" t="s">
        <v>189</v>
      </c>
      <c r="VC175">
        <v>31</v>
      </c>
      <c r="VD175" s="16">
        <v>80.2</v>
      </c>
      <c r="VE175" s="16">
        <v>80.400000000000006</v>
      </c>
      <c r="VF175" s="16">
        <v>6.5</v>
      </c>
      <c r="VG175">
        <v>99.3</v>
      </c>
      <c r="VH175" s="17">
        <v>0</v>
      </c>
      <c r="VI175">
        <v>0.7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31.92</v>
      </c>
      <c r="VT175">
        <v>23.7</v>
      </c>
      <c r="VU175">
        <v>1.95</v>
      </c>
      <c r="VV175">
        <v>0</v>
      </c>
      <c r="VW175">
        <v>18.7</v>
      </c>
      <c r="VX175">
        <v>4</v>
      </c>
      <c r="VY175">
        <v>49</v>
      </c>
      <c r="WA175">
        <v>1</v>
      </c>
      <c r="WE175">
        <v>49</v>
      </c>
      <c r="WG175">
        <v>1</v>
      </c>
      <c r="WK175">
        <v>0</v>
      </c>
      <c r="WL175">
        <v>0</v>
      </c>
      <c r="WW175" s="18"/>
      <c r="XO175">
        <v>0</v>
      </c>
      <c r="YZ175" s="16">
        <v>0</v>
      </c>
      <c r="ZA175" s="16">
        <v>0</v>
      </c>
      <c r="ZB175" s="16"/>
      <c r="ZC175" s="16"/>
      <c r="ZD175" s="16"/>
      <c r="ZE175" s="16"/>
      <c r="ZF175" s="16"/>
      <c r="ZG175" s="16"/>
      <c r="ZH175" s="16"/>
      <c r="ZI175" s="16"/>
      <c r="ZJ175" s="16"/>
      <c r="ZK175" s="16">
        <v>5.42</v>
      </c>
      <c r="ZL175" s="16">
        <v>6.61</v>
      </c>
      <c r="ZM175" s="16"/>
      <c r="ZN175" s="16"/>
      <c r="ZO175" s="16">
        <v>0</v>
      </c>
      <c r="ZP175" s="16">
        <v>0</v>
      </c>
      <c r="ZQ175" s="16">
        <v>0</v>
      </c>
      <c r="ZR175">
        <v>0</v>
      </c>
      <c r="ZS175" t="s">
        <v>190</v>
      </c>
      <c r="ZT175">
        <v>38.5</v>
      </c>
      <c r="ZU175" s="16">
        <v>92</v>
      </c>
      <c r="ZV175" s="16">
        <v>80.400000000000006</v>
      </c>
      <c r="ZW175" s="16">
        <v>11</v>
      </c>
      <c r="ZX175">
        <v>95.37</v>
      </c>
      <c r="ZY175" s="17">
        <v>0</v>
      </c>
      <c r="ZZ175">
        <v>4.63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2.85</v>
      </c>
      <c r="AAJ175">
        <v>16.149999999999999</v>
      </c>
      <c r="AAK175">
        <v>42.55</v>
      </c>
      <c r="AAL175">
        <v>4.63</v>
      </c>
      <c r="AAM175">
        <v>0</v>
      </c>
      <c r="AAN175">
        <v>5.7</v>
      </c>
      <c r="AAO175">
        <v>1</v>
      </c>
      <c r="AAP175">
        <v>3</v>
      </c>
      <c r="AAR175">
        <v>1</v>
      </c>
      <c r="AAV175">
        <v>3</v>
      </c>
      <c r="AAX175">
        <v>1</v>
      </c>
      <c r="ABB175">
        <v>4.8</v>
      </c>
      <c r="ABC175">
        <v>0</v>
      </c>
      <c r="ABN175" s="18"/>
      <c r="ACF175">
        <v>1</v>
      </c>
      <c r="ACG175">
        <v>70</v>
      </c>
      <c r="ACH175">
        <v>3</v>
      </c>
      <c r="ACI175">
        <f>14.97+0.86+0.7</f>
        <v>16.53</v>
      </c>
      <c r="ACJ175">
        <v>3</v>
      </c>
      <c r="ACK175">
        <v>60</v>
      </c>
      <c r="ACL175">
        <v>3</v>
      </c>
      <c r="ACM175">
        <f>3.02+0.97+0.6</f>
        <v>4.59</v>
      </c>
      <c r="ACN175">
        <v>3</v>
      </c>
      <c r="ADQ175" s="16">
        <v>2.82</v>
      </c>
      <c r="ADR175" s="16">
        <v>1</v>
      </c>
      <c r="ADS175" s="16">
        <v>1</v>
      </c>
      <c r="ADT175" s="16"/>
      <c r="ADU175" s="16">
        <f>0.93*2</f>
        <v>1.86</v>
      </c>
      <c r="ADV175" s="16">
        <v>2</v>
      </c>
      <c r="ADW175" s="16"/>
      <c r="ADX175" s="16">
        <f>9.6+1.93</f>
        <v>11.53</v>
      </c>
      <c r="ADY175" s="16"/>
      <c r="ADZ175" s="16"/>
      <c r="AEA175" s="16"/>
      <c r="AEB175" s="16">
        <v>13.91</v>
      </c>
      <c r="AEC175" s="16">
        <v>17.309999999999999</v>
      </c>
      <c r="AED175" s="16"/>
      <c r="AEE175" s="16"/>
      <c r="AEF175" s="16">
        <v>0</v>
      </c>
      <c r="AEG175" s="16">
        <v>0</v>
      </c>
      <c r="AEH175" s="16">
        <v>0</v>
      </c>
      <c r="AEI175">
        <v>0</v>
      </c>
      <c r="AEJ175" t="s">
        <v>191</v>
      </c>
      <c r="AEK175">
        <v>44</v>
      </c>
      <c r="AEL175" s="16">
        <v>75.8</v>
      </c>
      <c r="AEM175" s="16">
        <v>80.400000000000006</v>
      </c>
      <c r="AEN175" s="16">
        <v>12.2</v>
      </c>
      <c r="AEO175">
        <v>90.24</v>
      </c>
      <c r="AEP175" s="17">
        <v>0</v>
      </c>
      <c r="AEQ175">
        <v>6.27</v>
      </c>
      <c r="AER175">
        <v>0</v>
      </c>
      <c r="AES175">
        <v>3.49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24.37</v>
      </c>
      <c r="AFB175">
        <v>32.21</v>
      </c>
      <c r="AFC175">
        <v>3.56</v>
      </c>
      <c r="AFD175">
        <v>0</v>
      </c>
      <c r="AFE175">
        <v>0</v>
      </c>
      <c r="AFF175">
        <v>0</v>
      </c>
      <c r="AFS175">
        <v>20.3</v>
      </c>
      <c r="AFT175">
        <v>1</v>
      </c>
      <c r="AFU175">
        <v>30</v>
      </c>
      <c r="AFV175">
        <v>4</v>
      </c>
      <c r="AFW175">
        <v>3.01</v>
      </c>
      <c r="AFX175">
        <v>5</v>
      </c>
      <c r="AFY175">
        <v>68</v>
      </c>
      <c r="AFZ175">
        <v>2</v>
      </c>
      <c r="AGA175">
        <v>1.52</v>
      </c>
      <c r="AGB175">
        <v>1</v>
      </c>
      <c r="AGC175">
        <v>47</v>
      </c>
      <c r="AGD175">
        <v>1</v>
      </c>
      <c r="AGE175" s="18">
        <v>7.0000000000000007E-2</v>
      </c>
      <c r="AGF175">
        <v>3</v>
      </c>
      <c r="AGW175">
        <v>0</v>
      </c>
      <c r="AIH175" s="16">
        <v>1.88</v>
      </c>
      <c r="AII175" s="16">
        <v>1</v>
      </c>
      <c r="AIJ175" s="16">
        <v>2</v>
      </c>
      <c r="AIK175" s="16"/>
      <c r="AIL175" s="16">
        <v>4.18</v>
      </c>
      <c r="AIM175" s="16"/>
      <c r="AIN175" s="16"/>
      <c r="AIO175" s="16"/>
      <c r="AIP175" s="16"/>
      <c r="AIQ175" s="16"/>
      <c r="AIR175" s="16"/>
      <c r="AIS175" s="16">
        <v>7.15</v>
      </c>
      <c r="AIT175" s="16">
        <v>6.06</v>
      </c>
      <c r="AIU175" s="16"/>
      <c r="AIV175" s="16"/>
      <c r="AIW175" s="16">
        <v>0</v>
      </c>
      <c r="AIX175" s="16">
        <v>0</v>
      </c>
      <c r="AIY175" s="16">
        <v>0</v>
      </c>
      <c r="AIZ175">
        <v>0</v>
      </c>
      <c r="AJA175" t="s">
        <v>192</v>
      </c>
      <c r="AJB175">
        <v>47.5</v>
      </c>
      <c r="AJC175" s="16">
        <v>79.3</v>
      </c>
      <c r="AJD175" s="16">
        <v>80.400000000000006</v>
      </c>
      <c r="AJE175" s="16">
        <v>36.299999999999997</v>
      </c>
      <c r="AJF175">
        <v>66.23</v>
      </c>
      <c r="AJG175" s="17">
        <v>0</v>
      </c>
      <c r="AJH175">
        <v>33.770000000000003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38.369999999999997</v>
      </c>
      <c r="AJS175">
        <v>20.04</v>
      </c>
      <c r="AJT175">
        <v>11.21</v>
      </c>
      <c r="AJU175">
        <v>0</v>
      </c>
      <c r="AJV175">
        <v>0</v>
      </c>
      <c r="AJW175">
        <v>0</v>
      </c>
      <c r="AKJ175">
        <v>6.9</v>
      </c>
      <c r="AKK175">
        <v>1</v>
      </c>
      <c r="AKL175">
        <v>47</v>
      </c>
      <c r="AKM175">
        <v>3</v>
      </c>
      <c r="AKN175">
        <f>0.11+0.74+0.08</f>
        <v>0.92999999999999994</v>
      </c>
      <c r="AKO175">
        <v>3</v>
      </c>
      <c r="AKP175">
        <v>68</v>
      </c>
      <c r="AKQ175">
        <v>1</v>
      </c>
      <c r="AKR175">
        <v>0.76</v>
      </c>
      <c r="AKS175">
        <v>1</v>
      </c>
      <c r="AKV175" s="18"/>
      <c r="ALN175">
        <v>0</v>
      </c>
    </row>
    <row r="176" spans="1:1024" s="24" customFormat="1" x14ac:dyDescent="0.2">
      <c r="A176" s="22" t="s">
        <v>640</v>
      </c>
      <c r="B176" s="23">
        <v>42907</v>
      </c>
      <c r="C176" s="24">
        <v>2</v>
      </c>
      <c r="D176" s="25">
        <v>35559</v>
      </c>
      <c r="E176" s="23">
        <v>25513</v>
      </c>
      <c r="F176" s="14">
        <f t="shared" si="48"/>
        <v>47.622176591375769</v>
      </c>
      <c r="G176" s="14">
        <f t="shared" si="49"/>
        <v>20.11772758384668</v>
      </c>
      <c r="H176" s="21" t="s">
        <v>641</v>
      </c>
      <c r="I176" s="21" t="s">
        <v>642</v>
      </c>
      <c r="J176" s="21" t="s">
        <v>181</v>
      </c>
      <c r="K176" s="21">
        <v>8</v>
      </c>
      <c r="L176" s="26">
        <v>73</v>
      </c>
      <c r="M176" s="24">
        <v>1.74</v>
      </c>
      <c r="N176" s="27">
        <f t="shared" si="50"/>
        <v>24.111507464658473</v>
      </c>
      <c r="O176" s="26">
        <v>0</v>
      </c>
      <c r="P176" s="26">
        <v>0</v>
      </c>
      <c r="Q176" s="26">
        <v>0</v>
      </c>
      <c r="R176" s="26">
        <v>0</v>
      </c>
      <c r="S176" s="26">
        <v>0</v>
      </c>
      <c r="T176" s="26">
        <v>0</v>
      </c>
      <c r="U176" s="26">
        <v>1</v>
      </c>
      <c r="V176" s="26">
        <v>3</v>
      </c>
      <c r="W176" s="26">
        <v>1</v>
      </c>
      <c r="X176" s="26">
        <v>0</v>
      </c>
      <c r="Y176" s="19">
        <v>0</v>
      </c>
      <c r="Z176" s="19">
        <v>0</v>
      </c>
      <c r="AA176" s="19">
        <v>0</v>
      </c>
      <c r="AB176" s="19">
        <v>0</v>
      </c>
      <c r="AC176" s="26">
        <v>1</v>
      </c>
      <c r="AD176" s="26">
        <v>15</v>
      </c>
      <c r="AE176" s="26">
        <v>1</v>
      </c>
      <c r="AF176" s="26">
        <v>0</v>
      </c>
      <c r="AG176" s="26">
        <v>1</v>
      </c>
      <c r="AH176" s="26">
        <v>4</v>
      </c>
      <c r="AI176" s="26">
        <v>3</v>
      </c>
      <c r="AJ176" s="26">
        <v>3</v>
      </c>
      <c r="AK176" s="26">
        <v>0</v>
      </c>
      <c r="AL176" s="26">
        <v>0</v>
      </c>
      <c r="AM176" s="26">
        <v>0</v>
      </c>
      <c r="AN176" s="26">
        <v>1</v>
      </c>
      <c r="AO176" s="26">
        <v>0</v>
      </c>
      <c r="AP176" s="26">
        <v>0</v>
      </c>
      <c r="AQ176" s="26">
        <v>0</v>
      </c>
      <c r="AR176" s="26">
        <v>0</v>
      </c>
      <c r="AS176" s="26">
        <v>1</v>
      </c>
      <c r="AT176" s="26">
        <v>1</v>
      </c>
      <c r="AU176" s="26">
        <v>1</v>
      </c>
      <c r="AV176" s="26">
        <v>3</v>
      </c>
      <c r="AW176" s="26">
        <v>0</v>
      </c>
      <c r="AX176" s="26">
        <v>0</v>
      </c>
      <c r="AY176" s="26">
        <v>0</v>
      </c>
      <c r="AZ176" s="26">
        <v>0</v>
      </c>
      <c r="BA176" s="26">
        <v>0</v>
      </c>
      <c r="BB176" s="26">
        <v>1</v>
      </c>
      <c r="BC176" s="26">
        <v>1</v>
      </c>
      <c r="BD176" s="26">
        <v>1</v>
      </c>
      <c r="BE176" s="26">
        <v>5</v>
      </c>
      <c r="BF176" s="26">
        <v>1</v>
      </c>
      <c r="BG176" s="26">
        <v>0</v>
      </c>
      <c r="BH176" s="26">
        <v>1</v>
      </c>
      <c r="BI176" s="26">
        <v>2</v>
      </c>
      <c r="BJ176" s="26">
        <v>1</v>
      </c>
      <c r="BK176" s="26">
        <v>0</v>
      </c>
      <c r="BL176" s="26">
        <v>1</v>
      </c>
      <c r="BM176" s="26">
        <v>5</v>
      </c>
      <c r="BN176" s="26">
        <v>0</v>
      </c>
      <c r="BO176" s="26">
        <v>0</v>
      </c>
      <c r="BP176" s="26">
        <v>0</v>
      </c>
      <c r="BQ176" s="26">
        <v>0</v>
      </c>
      <c r="BR176" s="26">
        <v>3</v>
      </c>
      <c r="BS176" s="26">
        <v>1</v>
      </c>
      <c r="BT176" s="26">
        <v>3</v>
      </c>
      <c r="BU176" s="26">
        <v>5</v>
      </c>
      <c r="BV176" s="26">
        <v>3</v>
      </c>
      <c r="BW176" s="26">
        <v>3</v>
      </c>
      <c r="BX176" s="26">
        <v>5</v>
      </c>
      <c r="BY176" s="26">
        <v>5</v>
      </c>
      <c r="BZ176" s="26">
        <v>4</v>
      </c>
      <c r="CA176" s="26">
        <v>3</v>
      </c>
      <c r="CB176" s="26">
        <v>4</v>
      </c>
      <c r="CC176" s="26">
        <v>5</v>
      </c>
      <c r="CD176" s="26">
        <v>3</v>
      </c>
      <c r="CE176" s="26">
        <v>3</v>
      </c>
      <c r="CF176" s="26">
        <v>4</v>
      </c>
      <c r="CG176" s="26">
        <v>4</v>
      </c>
      <c r="CH176" s="26">
        <v>4</v>
      </c>
      <c r="CI176" s="26">
        <v>4</v>
      </c>
      <c r="CJ176" s="26">
        <v>4</v>
      </c>
      <c r="CK176" s="26">
        <v>10</v>
      </c>
      <c r="CL176" s="24" t="s">
        <v>643</v>
      </c>
      <c r="CM176" s="24">
        <v>12.5</v>
      </c>
      <c r="CN176" s="27">
        <v>83.2</v>
      </c>
      <c r="CO176" s="27">
        <v>79.94</v>
      </c>
      <c r="CP176" s="27">
        <v>9.1</v>
      </c>
      <c r="CQ176" s="24">
        <v>37.83</v>
      </c>
      <c r="CR176" s="24">
        <v>0</v>
      </c>
      <c r="CS176" s="24">
        <v>0</v>
      </c>
      <c r="CT176" s="24">
        <v>0</v>
      </c>
      <c r="CU176" s="24">
        <v>0</v>
      </c>
      <c r="CV176" s="24">
        <v>0</v>
      </c>
      <c r="CW176" s="24">
        <v>62.17</v>
      </c>
      <c r="CX176" s="24">
        <v>0</v>
      </c>
      <c r="CY176" s="24">
        <v>0</v>
      </c>
      <c r="CZ176" s="24">
        <v>0</v>
      </c>
      <c r="DA176" s="24">
        <v>0</v>
      </c>
      <c r="DB176" s="24">
        <v>2.25</v>
      </c>
      <c r="DC176" s="24">
        <v>6.87</v>
      </c>
      <c r="DD176" s="24">
        <v>22.2</v>
      </c>
      <c r="DE176" s="24">
        <v>0</v>
      </c>
      <c r="DF176" s="24">
        <v>0</v>
      </c>
      <c r="DG176" s="24">
        <v>0</v>
      </c>
      <c r="DH176" s="24">
        <v>0</v>
      </c>
      <c r="DU176" s="24">
        <v>0</v>
      </c>
      <c r="DV176" s="24">
        <v>0</v>
      </c>
      <c r="EG176" s="28"/>
      <c r="EY176" s="24">
        <v>0</v>
      </c>
      <c r="GJ176" s="27">
        <v>0</v>
      </c>
      <c r="GK176" s="27">
        <v>0</v>
      </c>
      <c r="GL176" s="27"/>
      <c r="GM176" s="27"/>
      <c r="GN176" s="27"/>
      <c r="GO176" s="27"/>
      <c r="GP176" s="27"/>
      <c r="GQ176" s="27"/>
      <c r="GR176" s="27"/>
      <c r="GS176" s="27"/>
      <c r="GT176" s="27"/>
      <c r="GU176" s="27">
        <v>0</v>
      </c>
      <c r="GV176" s="27">
        <v>0</v>
      </c>
      <c r="GW176" s="27"/>
      <c r="GX176" s="27"/>
      <c r="GY176" s="27">
        <v>3</v>
      </c>
      <c r="GZ176" s="27">
        <v>0</v>
      </c>
      <c r="HA176" s="27">
        <v>0</v>
      </c>
      <c r="HB176" s="24">
        <v>4</v>
      </c>
      <c r="HC176" s="24" t="s">
        <v>644</v>
      </c>
      <c r="HD176" s="24">
        <v>40.5</v>
      </c>
      <c r="HE176" s="27">
        <v>84.4</v>
      </c>
      <c r="HF176" s="27">
        <v>79.94</v>
      </c>
      <c r="HG176" s="27">
        <v>22.4</v>
      </c>
      <c r="HH176" s="24">
        <v>72.62</v>
      </c>
      <c r="HI176" s="24">
        <v>10.210000000000001</v>
      </c>
      <c r="HJ176" s="24">
        <v>7.43</v>
      </c>
      <c r="HK176" s="24">
        <v>8.33</v>
      </c>
      <c r="HL176" s="24">
        <v>0</v>
      </c>
      <c r="HM176" s="24">
        <v>0</v>
      </c>
      <c r="HN176" s="24">
        <v>0</v>
      </c>
      <c r="HO176" s="24">
        <v>0</v>
      </c>
      <c r="HP176" s="24">
        <v>0</v>
      </c>
      <c r="HQ176" s="24">
        <v>0</v>
      </c>
      <c r="HR176" s="24">
        <v>0</v>
      </c>
      <c r="HS176" s="24">
        <v>0</v>
      </c>
      <c r="HT176" s="24">
        <v>4.5599999999999996</v>
      </c>
      <c r="HU176" s="24">
        <v>4.5599999999999996</v>
      </c>
      <c r="HV176" s="24">
        <v>0</v>
      </c>
      <c r="HW176" s="24">
        <v>0</v>
      </c>
      <c r="HX176" s="24">
        <v>0</v>
      </c>
      <c r="HY176" s="24">
        <v>0</v>
      </c>
      <c r="IL176" s="24">
        <v>9.6</v>
      </c>
      <c r="IM176" s="24">
        <v>0</v>
      </c>
      <c r="IX176" s="28"/>
      <c r="JP176" s="24">
        <v>1</v>
      </c>
      <c r="JQ176" s="24">
        <v>90</v>
      </c>
      <c r="JR176" s="24">
        <v>2</v>
      </c>
      <c r="JS176" s="24">
        <f>0.03+0.19</f>
        <v>0.22</v>
      </c>
      <c r="JT176" s="24">
        <v>6</v>
      </c>
      <c r="JU176" s="24">
        <v>90</v>
      </c>
      <c r="JV176" s="24">
        <v>2</v>
      </c>
      <c r="JW176" s="24">
        <v>0.22</v>
      </c>
      <c r="JX176" s="24">
        <v>5</v>
      </c>
      <c r="LA176" s="27">
        <v>2.63</v>
      </c>
      <c r="LB176" s="27">
        <v>1</v>
      </c>
      <c r="LC176" s="27">
        <v>2</v>
      </c>
      <c r="LD176" s="27"/>
      <c r="LE176" s="27">
        <f>0.03+0.1+0.29*2</f>
        <v>0.71</v>
      </c>
      <c r="LF176" s="27">
        <v>3</v>
      </c>
      <c r="LG176" s="27"/>
      <c r="LH176" s="27">
        <f>0.03+0.19</f>
        <v>0.22</v>
      </c>
      <c r="LI176" s="27"/>
      <c r="LJ176" s="27"/>
      <c r="LK176" s="27"/>
      <c r="LL176" s="27">
        <v>5.46</v>
      </c>
      <c r="LM176" s="27">
        <v>6.88</v>
      </c>
      <c r="LN176" s="27"/>
      <c r="LO176" s="27"/>
      <c r="LP176" s="27">
        <v>0</v>
      </c>
      <c r="LQ176" s="27">
        <v>0</v>
      </c>
      <c r="LR176" s="27">
        <v>0</v>
      </c>
      <c r="LS176" s="24">
        <v>0</v>
      </c>
      <c r="LT176" s="24" t="s">
        <v>645</v>
      </c>
      <c r="LU176" s="24">
        <v>14</v>
      </c>
      <c r="LV176" s="27">
        <v>77.3</v>
      </c>
      <c r="LW176" s="27">
        <v>79.94</v>
      </c>
      <c r="LX176" s="27">
        <v>11</v>
      </c>
      <c r="LY176" s="24">
        <v>77.44</v>
      </c>
      <c r="LZ176" s="24">
        <v>0</v>
      </c>
      <c r="MA176" s="24">
        <v>0</v>
      </c>
      <c r="MB176" s="24">
        <v>1.26</v>
      </c>
      <c r="MC176" s="24">
        <v>9.86</v>
      </c>
      <c r="MD176" s="24">
        <v>0</v>
      </c>
      <c r="ME176" s="24">
        <v>11.44</v>
      </c>
      <c r="MF176" s="24">
        <v>0</v>
      </c>
      <c r="MG176" s="24">
        <v>0</v>
      </c>
      <c r="MH176" s="24">
        <v>0</v>
      </c>
      <c r="MI176" s="24">
        <v>0</v>
      </c>
      <c r="MJ176" s="24">
        <v>1.01</v>
      </c>
      <c r="MK176" s="24">
        <v>31.64</v>
      </c>
      <c r="ML176" s="24">
        <v>4.93</v>
      </c>
      <c r="MM176" s="24">
        <v>0</v>
      </c>
      <c r="MN176" s="24">
        <v>0</v>
      </c>
      <c r="MO176" s="24">
        <v>0</v>
      </c>
      <c r="MP176" s="24">
        <v>0</v>
      </c>
      <c r="NC176" s="24">
        <v>0.9</v>
      </c>
      <c r="ND176" s="24">
        <v>1</v>
      </c>
      <c r="NE176" s="24">
        <v>52</v>
      </c>
      <c r="NF176" s="24">
        <v>2</v>
      </c>
      <c r="NG176" s="24">
        <f>0.38+0.05</f>
        <v>0.43</v>
      </c>
      <c r="NH176" s="24">
        <v>2</v>
      </c>
      <c r="NO176" s="28"/>
      <c r="OG176" s="24">
        <v>1</v>
      </c>
      <c r="OH176" s="24">
        <v>120</v>
      </c>
      <c r="OI176" s="24">
        <v>1</v>
      </c>
      <c r="OJ176" s="24">
        <v>0.06</v>
      </c>
      <c r="OK176" s="24">
        <v>2</v>
      </c>
      <c r="PR176" s="27">
        <v>0.52</v>
      </c>
      <c r="PS176" s="27">
        <v>1</v>
      </c>
      <c r="PT176" s="27">
        <v>1</v>
      </c>
      <c r="PU176" s="27"/>
      <c r="PV176" s="27">
        <f>0.01+0.01+0.04+0.04</f>
        <v>0.1</v>
      </c>
      <c r="PW176" s="27">
        <v>2</v>
      </c>
      <c r="PX176" s="27"/>
      <c r="PY176" s="27">
        <f>0.06+0.04+0.02+0.03+0.03</f>
        <v>0.18000000000000002</v>
      </c>
      <c r="PZ176" s="27"/>
      <c r="QA176" s="27"/>
      <c r="QB176" s="27"/>
      <c r="QC176" s="27">
        <v>0</v>
      </c>
      <c r="QD176" s="27">
        <v>0</v>
      </c>
      <c r="QE176" s="27"/>
      <c r="QF176" s="27"/>
      <c r="QG176" s="27">
        <v>1.5</v>
      </c>
      <c r="QH176" s="27">
        <v>0</v>
      </c>
      <c r="QI176" s="27">
        <v>0</v>
      </c>
      <c r="QJ176" s="24">
        <v>2</v>
      </c>
      <c r="QK176" s="24" t="s">
        <v>646</v>
      </c>
      <c r="QL176" s="24">
        <v>6.5</v>
      </c>
      <c r="QM176" s="27">
        <v>88.7</v>
      </c>
      <c r="QN176" s="27">
        <v>79.94</v>
      </c>
      <c r="QO176" s="27">
        <v>5</v>
      </c>
      <c r="QP176" s="24">
        <v>11.42</v>
      </c>
      <c r="QQ176" s="24">
        <v>0</v>
      </c>
      <c r="QR176" s="24">
        <v>0</v>
      </c>
      <c r="QS176" s="24">
        <v>0</v>
      </c>
      <c r="QT176" s="24">
        <v>0.73</v>
      </c>
      <c r="QU176" s="24">
        <v>0</v>
      </c>
      <c r="QV176" s="24">
        <v>87.85</v>
      </c>
      <c r="QW176" s="24">
        <v>0</v>
      </c>
      <c r="QX176" s="24">
        <v>0</v>
      </c>
      <c r="QY176" s="24">
        <v>0</v>
      </c>
      <c r="QZ176" s="24">
        <v>0</v>
      </c>
      <c r="RA176" s="24">
        <v>0.75</v>
      </c>
      <c r="RB176" s="24">
        <v>55.82</v>
      </c>
      <c r="RC176" s="24">
        <v>1.79</v>
      </c>
      <c r="RD176" s="24">
        <v>0</v>
      </c>
      <c r="RE176" s="24">
        <v>0</v>
      </c>
      <c r="RF176" s="24">
        <v>0</v>
      </c>
      <c r="RG176" s="24">
        <v>0</v>
      </c>
      <c r="RT176" s="24">
        <v>0</v>
      </c>
      <c r="RU176" s="24">
        <v>1</v>
      </c>
      <c r="RV176" s="24">
        <v>34</v>
      </c>
      <c r="RW176" s="24">
        <v>10</v>
      </c>
      <c r="RX176" s="24">
        <f>0.01+0.19+0.01+0.04+0.06+0.34+0.08+1.06+0.08+0.23</f>
        <v>2.1</v>
      </c>
      <c r="RY176" s="24">
        <v>1</v>
      </c>
      <c r="SF176" s="28"/>
      <c r="SX176" s="24">
        <v>1</v>
      </c>
      <c r="SY176" s="24">
        <v>30</v>
      </c>
      <c r="SZ176" s="24">
        <v>4</v>
      </c>
      <c r="TA176" s="24">
        <f>0.17*2+0.96*2</f>
        <v>2.2599999999999998</v>
      </c>
      <c r="TB176" s="24">
        <v>3</v>
      </c>
      <c r="UI176" s="27">
        <v>0</v>
      </c>
      <c r="UJ176" s="27">
        <v>0</v>
      </c>
      <c r="UK176" s="27"/>
      <c r="UL176" s="27"/>
      <c r="UM176" s="27"/>
      <c r="UN176" s="27"/>
      <c r="UO176" s="27"/>
      <c r="UP176" s="27"/>
      <c r="UQ176" s="27"/>
      <c r="UR176" s="27"/>
      <c r="US176" s="27"/>
      <c r="UT176" s="27">
        <v>0</v>
      </c>
      <c r="UU176" s="27">
        <v>0</v>
      </c>
      <c r="UV176" s="27"/>
      <c r="UW176" s="27"/>
      <c r="UX176" s="27">
        <v>1.2</v>
      </c>
      <c r="UY176" s="27">
        <v>0</v>
      </c>
      <c r="UZ176" s="27">
        <v>0</v>
      </c>
      <c r="VA176" s="24">
        <v>6</v>
      </c>
      <c r="VB176" s="24" t="s">
        <v>647</v>
      </c>
      <c r="VC176" s="24">
        <v>8.5</v>
      </c>
      <c r="VD176" s="27">
        <v>78.5</v>
      </c>
      <c r="VE176" s="27">
        <v>79.94</v>
      </c>
      <c r="VF176" s="27">
        <v>6.5</v>
      </c>
      <c r="VG176" s="24">
        <v>75.010000000000005</v>
      </c>
      <c r="VH176" s="24">
        <v>0</v>
      </c>
      <c r="VI176" s="24">
        <v>0</v>
      </c>
      <c r="VJ176" s="24">
        <v>0.99</v>
      </c>
      <c r="VK176" s="24">
        <v>1.23</v>
      </c>
      <c r="VL176" s="24">
        <v>0.75</v>
      </c>
      <c r="VM176" s="24">
        <v>22.03</v>
      </c>
      <c r="VN176" s="24">
        <v>0</v>
      </c>
      <c r="VO176" s="24">
        <v>0</v>
      </c>
      <c r="VP176" s="24">
        <v>0.71</v>
      </c>
      <c r="VQ176" s="24">
        <v>0</v>
      </c>
      <c r="VR176" s="24">
        <v>1.1499999999999999</v>
      </c>
      <c r="VS176" s="24">
        <v>23.76</v>
      </c>
      <c r="VT176" s="24">
        <v>0.88</v>
      </c>
      <c r="VU176" s="24">
        <v>0</v>
      </c>
      <c r="VV176" s="24">
        <v>0</v>
      </c>
      <c r="VW176" s="24">
        <v>0</v>
      </c>
      <c r="VX176" s="24">
        <v>0</v>
      </c>
      <c r="WK176" s="24">
        <v>0.6</v>
      </c>
      <c r="WL176" s="24">
        <v>1</v>
      </c>
      <c r="WM176" s="24">
        <v>52</v>
      </c>
      <c r="WN176" s="24">
        <v>2</v>
      </c>
      <c r="WO176" s="24">
        <f>0.06+0.34</f>
        <v>0.4</v>
      </c>
      <c r="WP176" s="24">
        <v>2</v>
      </c>
      <c r="WW176" s="28"/>
      <c r="XO176" s="24">
        <v>0</v>
      </c>
      <c r="YZ176" s="27">
        <v>0</v>
      </c>
      <c r="ZA176" s="27">
        <v>0</v>
      </c>
      <c r="ZB176" s="27"/>
      <c r="ZC176" s="27"/>
      <c r="ZD176" s="27"/>
      <c r="ZE176" s="27"/>
      <c r="ZF176" s="27"/>
      <c r="ZG176" s="27"/>
      <c r="ZH176" s="27"/>
      <c r="ZI176" s="27"/>
      <c r="ZJ176" s="27"/>
      <c r="ZK176" s="27">
        <v>0</v>
      </c>
      <c r="ZL176" s="27">
        <v>0</v>
      </c>
      <c r="ZM176" s="27"/>
      <c r="ZN176" s="27"/>
      <c r="ZO176" s="27">
        <v>1.2</v>
      </c>
      <c r="ZP176" s="27">
        <v>0</v>
      </c>
      <c r="ZQ176" s="27">
        <v>0</v>
      </c>
      <c r="ZR176" s="24">
        <v>4</v>
      </c>
      <c r="ZS176" s="24" t="s">
        <v>648</v>
      </c>
      <c r="ZT176" s="24">
        <v>14</v>
      </c>
      <c r="ZU176" s="27">
        <v>102.9</v>
      </c>
      <c r="ZV176" s="27">
        <v>79.94</v>
      </c>
      <c r="ZW176" s="27">
        <v>10.6</v>
      </c>
      <c r="ZX176" s="24">
        <v>87.31</v>
      </c>
      <c r="ZY176" s="24">
        <v>0</v>
      </c>
      <c r="ZZ176" s="24">
        <v>0</v>
      </c>
      <c r="AAA176" s="24">
        <v>0</v>
      </c>
      <c r="AAB176" s="24">
        <v>8.4</v>
      </c>
      <c r="AAC176" s="24">
        <v>0</v>
      </c>
      <c r="AAD176" s="24">
        <v>4.29</v>
      </c>
      <c r="AAE176" s="24">
        <v>0</v>
      </c>
      <c r="AAF176" s="24">
        <v>0</v>
      </c>
      <c r="AAG176" s="24">
        <v>0</v>
      </c>
      <c r="AAH176" s="24">
        <v>0</v>
      </c>
      <c r="AAI176" s="24">
        <v>2.58</v>
      </c>
      <c r="AAJ176" s="24">
        <v>9.74</v>
      </c>
      <c r="AAK176" s="24">
        <v>6.56</v>
      </c>
      <c r="AAL176" s="24">
        <v>0</v>
      </c>
      <c r="AAM176" s="24">
        <v>0</v>
      </c>
      <c r="AAN176" s="24">
        <v>0</v>
      </c>
      <c r="AAO176" s="24">
        <v>0</v>
      </c>
      <c r="ABB176" s="24">
        <v>0</v>
      </c>
      <c r="ABC176" s="24">
        <v>0</v>
      </c>
      <c r="ABN176" s="28"/>
      <c r="ACF176" s="24">
        <v>0</v>
      </c>
      <c r="ADQ176" s="27">
        <v>3</v>
      </c>
      <c r="ADR176" s="27">
        <v>0</v>
      </c>
      <c r="ADS176" s="27"/>
      <c r="ADT176" s="27"/>
      <c r="ADU176" s="27"/>
      <c r="ADV176" s="27"/>
      <c r="ADW176" s="27"/>
      <c r="ADX176" s="27"/>
      <c r="ADY176" s="27"/>
      <c r="ADZ176" s="27"/>
      <c r="AEA176" s="27"/>
      <c r="AEB176" s="27">
        <v>0</v>
      </c>
      <c r="AEC176" s="27">
        <v>0</v>
      </c>
      <c r="AED176" s="27"/>
      <c r="AEE176" s="27"/>
      <c r="AEF176" s="27">
        <v>0</v>
      </c>
      <c r="AEG176" s="27">
        <v>0</v>
      </c>
      <c r="AEH176" s="27">
        <v>0</v>
      </c>
      <c r="AEI176" s="24">
        <v>1</v>
      </c>
      <c r="AEJ176" s="33"/>
      <c r="AEK176" s="21"/>
      <c r="AEL176" s="21"/>
      <c r="AEN176" s="33"/>
      <c r="AEO176" s="33"/>
      <c r="AER176" s="33"/>
      <c r="AES176" s="21"/>
      <c r="AET176" s="21"/>
      <c r="AEV176" s="33"/>
      <c r="AEW176" s="33"/>
      <c r="AEZ176" s="33"/>
      <c r="AFA176" s="21"/>
      <c r="AFB176" s="21"/>
      <c r="AFD176" s="33"/>
      <c r="AFE176" s="33"/>
      <c r="AFH176" s="33"/>
      <c r="AFI176" s="21"/>
      <c r="AFJ176" s="21"/>
      <c r="AFL176" s="33"/>
      <c r="AFM176" s="33"/>
      <c r="AFP176" s="33"/>
      <c r="AFQ176" s="21"/>
      <c r="AFR176" s="21"/>
      <c r="AFT176" s="33"/>
      <c r="AFU176" s="33"/>
      <c r="AFX176" s="33"/>
      <c r="AFY176" s="21"/>
      <c r="AFZ176" s="21"/>
      <c r="AGB176" s="33"/>
      <c r="AGC176" s="33"/>
      <c r="AGF176" s="33"/>
      <c r="AGG176" s="21"/>
      <c r="AGH176" s="21"/>
      <c r="AGJ176" s="33"/>
      <c r="AGK176" s="33"/>
      <c r="AGN176" s="33"/>
      <c r="AGO176" s="21"/>
      <c r="AGP176" s="21"/>
      <c r="AGR176" s="33"/>
      <c r="AGS176" s="33"/>
      <c r="AGV176" s="33"/>
      <c r="AGW176" s="21"/>
      <c r="AGX176" s="21"/>
      <c r="AGZ176" s="33"/>
      <c r="AHA176" s="33"/>
      <c r="AHD176" s="33"/>
      <c r="AHE176" s="21"/>
      <c r="AHF176" s="21"/>
      <c r="AHH176" s="33"/>
      <c r="AHI176" s="33"/>
      <c r="AHL176" s="33"/>
      <c r="AHM176" s="21"/>
      <c r="AHN176" s="21"/>
      <c r="AHP176" s="33"/>
      <c r="AHQ176" s="33"/>
      <c r="AHT176" s="33"/>
      <c r="AHU176" s="21"/>
      <c r="AHV176" s="21"/>
      <c r="AHX176" s="33"/>
      <c r="AHY176" s="33"/>
      <c r="AIB176" s="33"/>
      <c r="AIC176" s="21"/>
      <c r="AID176" s="21"/>
      <c r="AIF176" s="33"/>
      <c r="AIG176" s="33"/>
      <c r="AIJ176" s="33"/>
      <c r="AIK176" s="21"/>
      <c r="AIL176" s="21"/>
      <c r="AIN176" s="33"/>
      <c r="AIO176" s="33"/>
      <c r="AIR176" s="33"/>
      <c r="AIS176" s="21"/>
      <c r="AIT176" s="21"/>
      <c r="AIV176" s="33"/>
      <c r="AIW176" s="33"/>
      <c r="AIZ176" s="33"/>
      <c r="AJA176" s="21"/>
      <c r="AJB176" s="21"/>
      <c r="AJD176" s="33"/>
      <c r="AJE176" s="33"/>
      <c r="AJH176" s="33"/>
      <c r="AJI176" s="21"/>
      <c r="AJJ176" s="21"/>
      <c r="AJL176" s="33"/>
      <c r="AJM176" s="33"/>
      <c r="AJP176" s="33"/>
      <c r="AJQ176" s="21"/>
      <c r="AJR176" s="21"/>
      <c r="AJT176" s="33"/>
      <c r="AJU176" s="33"/>
      <c r="AJX176" s="33"/>
      <c r="AJY176" s="21"/>
      <c r="AJZ176" s="21"/>
      <c r="AKB176" s="33"/>
      <c r="AKC176" s="33"/>
      <c r="AKF176" s="33"/>
      <c r="AKG176" s="21"/>
      <c r="AKH176" s="21"/>
      <c r="AKJ176" s="33"/>
      <c r="AKK176" s="33"/>
      <c r="AKN176" s="33"/>
      <c r="AKO176" s="21"/>
      <c r="AKP176" s="21"/>
      <c r="AKR176" s="33"/>
      <c r="AKS176" s="33"/>
      <c r="AKV176" s="33"/>
      <c r="AKW176" s="21"/>
      <c r="AKX176" s="21"/>
      <c r="AKZ176" s="33"/>
      <c r="ALA176" s="33"/>
      <c r="ALD176" s="33"/>
      <c r="ALE176" s="21"/>
      <c r="ALF176" s="21"/>
      <c r="ALH176" s="33"/>
      <c r="ALI176" s="33"/>
      <c r="ALL176" s="33"/>
      <c r="ALM176" s="21"/>
      <c r="ALN176" s="21"/>
      <c r="ALP176" s="33"/>
      <c r="ALQ176" s="33"/>
      <c r="ALT176" s="33"/>
      <c r="ALU176" s="21"/>
      <c r="ALV176" s="21"/>
      <c r="ALX176" s="33"/>
      <c r="ALY176" s="33"/>
      <c r="AMB176" s="33"/>
      <c r="AMC176" s="21"/>
      <c r="AMD176" s="21"/>
      <c r="AMF176" s="33"/>
      <c r="AMG176" s="33"/>
      <c r="AMJ176" s="33"/>
    </row>
    <row r="177" spans="1:1024" x14ac:dyDescent="0.2">
      <c r="A177" s="1" t="s">
        <v>649</v>
      </c>
      <c r="B177" s="12">
        <v>42905</v>
      </c>
      <c r="C177">
        <v>2</v>
      </c>
      <c r="D177" s="13">
        <v>34953</v>
      </c>
      <c r="E177" s="12">
        <v>22088</v>
      </c>
      <c r="F177" s="14">
        <f t="shared" si="48"/>
        <v>56.993839835728956</v>
      </c>
      <c r="G177" s="14">
        <f t="shared" si="49"/>
        <v>21.77138945927447</v>
      </c>
      <c r="H177" s="15" t="s">
        <v>641</v>
      </c>
      <c r="I177" s="15" t="s">
        <v>650</v>
      </c>
      <c r="J177" s="15" t="s">
        <v>181</v>
      </c>
      <c r="K177" s="15">
        <v>8</v>
      </c>
      <c r="L177" s="19">
        <v>65</v>
      </c>
      <c r="M177">
        <v>1.72</v>
      </c>
      <c r="N177" s="16">
        <f t="shared" si="50"/>
        <v>21.971335857220122</v>
      </c>
      <c r="O177" s="19">
        <v>0</v>
      </c>
      <c r="P177" s="19">
        <v>0</v>
      </c>
      <c r="Q177" s="19">
        <v>0</v>
      </c>
      <c r="R177" s="19">
        <v>0</v>
      </c>
      <c r="S177" s="19">
        <v>0</v>
      </c>
      <c r="T177" s="19">
        <v>0</v>
      </c>
      <c r="U177" s="26">
        <v>0</v>
      </c>
      <c r="V177" s="26">
        <v>0</v>
      </c>
      <c r="W177" s="19">
        <v>0</v>
      </c>
      <c r="X177" s="19">
        <v>0</v>
      </c>
      <c r="Y177" s="19">
        <v>0</v>
      </c>
      <c r="Z177" s="19">
        <v>0</v>
      </c>
      <c r="AA177" s="19">
        <v>0</v>
      </c>
      <c r="AB177" s="19">
        <v>0</v>
      </c>
      <c r="AC177" s="19">
        <v>0</v>
      </c>
      <c r="AD177" s="19">
        <v>0</v>
      </c>
      <c r="AE177" s="19">
        <v>1</v>
      </c>
      <c r="AF177" s="19">
        <v>0</v>
      </c>
      <c r="AG177" s="19">
        <v>0</v>
      </c>
      <c r="AH177" s="19">
        <v>0</v>
      </c>
      <c r="AI177" s="19">
        <v>2</v>
      </c>
      <c r="AJ177" s="19">
        <v>2</v>
      </c>
      <c r="AK177" s="19">
        <v>2</v>
      </c>
      <c r="AL177" s="19"/>
      <c r="AM177" s="19">
        <v>9</v>
      </c>
      <c r="AN177" s="19">
        <v>3</v>
      </c>
      <c r="AO177" s="19">
        <v>0</v>
      </c>
      <c r="AP177" s="19"/>
      <c r="AQ177" s="19"/>
      <c r="AR177" s="19"/>
      <c r="AS177" s="19">
        <v>0</v>
      </c>
      <c r="AT177" s="19">
        <v>0</v>
      </c>
      <c r="AU177" s="19">
        <v>0</v>
      </c>
      <c r="AV177" s="19">
        <v>0</v>
      </c>
      <c r="AW177" s="19">
        <v>0</v>
      </c>
      <c r="AX177" s="19">
        <v>0</v>
      </c>
      <c r="AY177" s="19">
        <v>0</v>
      </c>
      <c r="AZ177" s="19">
        <v>0</v>
      </c>
      <c r="BA177" s="19">
        <v>0</v>
      </c>
      <c r="BB177" s="19">
        <v>1</v>
      </c>
      <c r="BC177" s="19">
        <v>1</v>
      </c>
      <c r="BD177" s="19">
        <v>1</v>
      </c>
      <c r="BE177" s="19">
        <v>8</v>
      </c>
      <c r="BF177" s="19">
        <v>0</v>
      </c>
      <c r="BG177" s="19">
        <v>0</v>
      </c>
      <c r="BH177" s="19">
        <v>0</v>
      </c>
      <c r="BI177" s="19">
        <v>0</v>
      </c>
      <c r="BJ177" s="19">
        <v>1</v>
      </c>
      <c r="BK177" s="19">
        <v>1</v>
      </c>
      <c r="BL177" s="19">
        <v>1</v>
      </c>
      <c r="BM177" s="19">
        <v>5</v>
      </c>
      <c r="BN177" s="19">
        <v>0</v>
      </c>
      <c r="BO177" s="19">
        <v>0</v>
      </c>
      <c r="BP177" s="19">
        <v>0</v>
      </c>
      <c r="BQ177" s="19">
        <v>0</v>
      </c>
      <c r="BR177" s="19">
        <v>1</v>
      </c>
      <c r="BS177" s="19">
        <v>2</v>
      </c>
      <c r="BT177" s="19">
        <v>3</v>
      </c>
      <c r="BU177" s="19">
        <v>5</v>
      </c>
      <c r="BV177" s="19">
        <v>4</v>
      </c>
      <c r="BW177" s="19">
        <v>2</v>
      </c>
      <c r="BX177" s="19">
        <v>5</v>
      </c>
      <c r="BY177" s="19">
        <v>4</v>
      </c>
      <c r="BZ177" s="19">
        <v>2</v>
      </c>
      <c r="CA177" s="19">
        <v>4</v>
      </c>
      <c r="CB177" s="19">
        <v>5</v>
      </c>
      <c r="CC177" s="19">
        <v>5</v>
      </c>
      <c r="CD177" s="19">
        <v>2</v>
      </c>
      <c r="CE177" s="19">
        <v>3</v>
      </c>
      <c r="CF177" s="19">
        <v>3</v>
      </c>
      <c r="CG177" s="19">
        <v>3</v>
      </c>
      <c r="CH177" s="19">
        <v>2</v>
      </c>
      <c r="CI177" s="19">
        <v>4</v>
      </c>
      <c r="CJ177" s="19">
        <v>2</v>
      </c>
      <c r="CK177" s="19">
        <v>5</v>
      </c>
      <c r="CL177" t="s">
        <v>651</v>
      </c>
      <c r="CM177">
        <v>8</v>
      </c>
      <c r="CN177" s="16">
        <v>55.4</v>
      </c>
      <c r="CO177" s="16">
        <v>560.98</v>
      </c>
      <c r="CP177" s="16">
        <v>5.9</v>
      </c>
      <c r="CQ177">
        <v>5.07</v>
      </c>
      <c r="CR177">
        <v>0</v>
      </c>
      <c r="CS177">
        <v>0.51</v>
      </c>
      <c r="CT177">
        <v>0</v>
      </c>
      <c r="CU177">
        <v>2.61</v>
      </c>
      <c r="CV177">
        <v>0</v>
      </c>
      <c r="CW177">
        <v>91.79</v>
      </c>
      <c r="CX177">
        <v>0</v>
      </c>
      <c r="CY177">
        <v>0</v>
      </c>
      <c r="CZ177">
        <v>0</v>
      </c>
      <c r="DA177">
        <v>0</v>
      </c>
      <c r="DB177">
        <v>0.41</v>
      </c>
      <c r="DC177">
        <v>3.78</v>
      </c>
      <c r="DD177">
        <v>1.66</v>
      </c>
      <c r="DE177">
        <v>0.5</v>
      </c>
      <c r="DF177">
        <v>0.71</v>
      </c>
      <c r="DG177">
        <v>0</v>
      </c>
      <c r="DH177">
        <v>0</v>
      </c>
      <c r="DU177">
        <v>0.2</v>
      </c>
      <c r="DV177">
        <v>1</v>
      </c>
      <c r="DW177">
        <v>103</v>
      </c>
      <c r="DX177">
        <v>2</v>
      </c>
      <c r="DY177">
        <v>0.51</v>
      </c>
      <c r="DZ177">
        <v>1</v>
      </c>
      <c r="EA177">
        <v>23</v>
      </c>
      <c r="EB177">
        <v>1</v>
      </c>
      <c r="EC177">
        <v>0.13</v>
      </c>
      <c r="ED177">
        <v>3</v>
      </c>
      <c r="EG177" s="18"/>
      <c r="EY177">
        <v>0</v>
      </c>
      <c r="GJ177" s="16">
        <v>0.02</v>
      </c>
      <c r="GK177" s="16">
        <v>1</v>
      </c>
      <c r="GL177" s="16">
        <v>1</v>
      </c>
      <c r="GM177" s="16"/>
      <c r="GN177" s="16">
        <v>0.53</v>
      </c>
      <c r="GO177" s="16"/>
      <c r="GP177" s="16"/>
      <c r="GQ177" s="16"/>
      <c r="GR177" s="16"/>
      <c r="GS177" s="16"/>
      <c r="GT177" s="16"/>
      <c r="GU177" s="16">
        <v>1.21</v>
      </c>
      <c r="GV177" s="16">
        <v>1.2</v>
      </c>
      <c r="GW177" s="16"/>
      <c r="GX177" s="16"/>
      <c r="GY177" s="16">
        <v>0.53</v>
      </c>
      <c r="GZ177" s="16">
        <v>0.45</v>
      </c>
      <c r="HA177" s="16">
        <v>0</v>
      </c>
      <c r="HB177">
        <v>0</v>
      </c>
      <c r="HC177" t="s">
        <v>652</v>
      </c>
      <c r="HD177">
        <v>9</v>
      </c>
      <c r="HE177" s="16">
        <v>99.6</v>
      </c>
      <c r="HF177" s="16">
        <v>560.98</v>
      </c>
      <c r="HG177" s="16">
        <v>6.6</v>
      </c>
      <c r="HH177">
        <v>89.32</v>
      </c>
      <c r="HI177">
        <v>0</v>
      </c>
      <c r="HJ177">
        <v>1.61</v>
      </c>
      <c r="HK177">
        <v>0.49</v>
      </c>
      <c r="HL177">
        <v>2.21</v>
      </c>
      <c r="HM177">
        <v>0</v>
      </c>
      <c r="HN177">
        <v>6.31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56.24</v>
      </c>
      <c r="HU177">
        <v>1.47</v>
      </c>
      <c r="HV177">
        <v>0.02</v>
      </c>
      <c r="HW177">
        <v>0.06</v>
      </c>
      <c r="HX177">
        <v>0</v>
      </c>
      <c r="HY177">
        <v>0</v>
      </c>
      <c r="IL177">
        <v>1</v>
      </c>
      <c r="IM177">
        <v>1</v>
      </c>
      <c r="IN177">
        <v>90</v>
      </c>
      <c r="IO177">
        <v>6</v>
      </c>
      <c r="IP177">
        <f>0.26*2+0.03</f>
        <v>0.55000000000000004</v>
      </c>
      <c r="IQ177">
        <v>1</v>
      </c>
      <c r="IR177">
        <v>55</v>
      </c>
      <c r="IS177">
        <v>3</v>
      </c>
      <c r="IT177">
        <v>0.39</v>
      </c>
      <c r="IU177">
        <v>2</v>
      </c>
      <c r="IX177" s="18"/>
      <c r="JP177">
        <v>1</v>
      </c>
      <c r="JQ177">
        <v>85</v>
      </c>
      <c r="JR177">
        <v>3</v>
      </c>
      <c r="JS177">
        <f>0.18+0.39+0.02</f>
        <v>0.59000000000000008</v>
      </c>
      <c r="JT177">
        <v>2</v>
      </c>
      <c r="LA177" s="16">
        <v>0</v>
      </c>
      <c r="LB177" s="16">
        <v>0</v>
      </c>
      <c r="LC177" s="16"/>
      <c r="LD177" s="16"/>
      <c r="LE177" s="16"/>
      <c r="LF177" s="16"/>
      <c r="LG177" s="16"/>
      <c r="LH177" s="16"/>
      <c r="LI177" s="16"/>
      <c r="LJ177" s="16"/>
      <c r="LK177" s="16"/>
      <c r="LL177" s="16">
        <v>0.02</v>
      </c>
      <c r="LM177" s="16">
        <v>0.02</v>
      </c>
      <c r="LN177" s="16"/>
      <c r="LO177" s="16"/>
      <c r="LP177" s="16">
        <v>0.96</v>
      </c>
      <c r="LQ177" s="16">
        <v>0</v>
      </c>
      <c r="LR177" s="16">
        <v>0</v>
      </c>
      <c r="LS177">
        <v>1</v>
      </c>
      <c r="LT177" t="s">
        <v>653</v>
      </c>
      <c r="LU177">
        <v>49.5</v>
      </c>
      <c r="LV177" s="16">
        <v>119.9</v>
      </c>
      <c r="LW177" s="16">
        <v>99</v>
      </c>
      <c r="LX177" s="16">
        <v>32.4</v>
      </c>
      <c r="LY177">
        <v>65.09</v>
      </c>
      <c r="LZ177">
        <v>0</v>
      </c>
      <c r="MA177">
        <v>1.99</v>
      </c>
      <c r="MB177">
        <v>3.4</v>
      </c>
      <c r="MC177">
        <v>33.9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2.15</v>
      </c>
      <c r="MK177">
        <v>28.92</v>
      </c>
      <c r="ML177">
        <v>5.9</v>
      </c>
      <c r="MM177">
        <v>31.04</v>
      </c>
      <c r="MN177">
        <v>0</v>
      </c>
      <c r="MO177">
        <v>0</v>
      </c>
      <c r="MP177">
        <v>0</v>
      </c>
      <c r="NC177">
        <v>1.8</v>
      </c>
      <c r="ND177">
        <v>1</v>
      </c>
      <c r="NE177">
        <v>23</v>
      </c>
      <c r="NF177">
        <v>4</v>
      </c>
      <c r="NG177">
        <v>2.91</v>
      </c>
      <c r="NH177">
        <v>3</v>
      </c>
      <c r="NO177" s="18"/>
      <c r="OG177">
        <v>1</v>
      </c>
      <c r="OH177">
        <v>40</v>
      </c>
      <c r="OI177">
        <v>3</v>
      </c>
      <c r="OJ177">
        <v>2.5499999999999998</v>
      </c>
      <c r="OK177">
        <v>1</v>
      </c>
      <c r="PR177" s="16">
        <v>3.09</v>
      </c>
      <c r="PS177" s="16">
        <v>1</v>
      </c>
      <c r="PT177" s="16">
        <v>2</v>
      </c>
      <c r="PU177" s="16"/>
      <c r="PV177" s="16">
        <f>1.82*2</f>
        <v>3.64</v>
      </c>
      <c r="PW177" s="16"/>
      <c r="PX177" s="16"/>
      <c r="PY177" s="16"/>
      <c r="PZ177" s="16"/>
      <c r="QA177" s="16"/>
      <c r="QB177" s="16"/>
      <c r="QC177" s="16">
        <v>11.81</v>
      </c>
      <c r="QD177" s="16">
        <v>7.83</v>
      </c>
      <c r="QE177" s="16"/>
      <c r="QF177" s="16"/>
      <c r="QG177" s="16">
        <v>0</v>
      </c>
      <c r="QH177" s="16">
        <v>0</v>
      </c>
      <c r="QI177" s="16">
        <v>0</v>
      </c>
      <c r="QJ177">
        <v>0</v>
      </c>
      <c r="QK177" t="s">
        <v>654</v>
      </c>
      <c r="QL177">
        <v>23.5</v>
      </c>
      <c r="QM177" s="16">
        <v>99.2</v>
      </c>
      <c r="QN177" s="16">
        <v>99</v>
      </c>
      <c r="QO177" s="16">
        <v>5.3</v>
      </c>
      <c r="QP177">
        <v>12.8</v>
      </c>
      <c r="QQ177">
        <v>0</v>
      </c>
      <c r="QR177">
        <v>0.14000000000000001</v>
      </c>
      <c r="QS177">
        <v>0</v>
      </c>
      <c r="QT177">
        <v>1.75</v>
      </c>
      <c r="QU177">
        <v>0</v>
      </c>
      <c r="QV177">
        <v>85.3</v>
      </c>
      <c r="QW177">
        <v>0</v>
      </c>
      <c r="QX177">
        <v>0</v>
      </c>
      <c r="QY177">
        <v>1.03</v>
      </c>
      <c r="QZ177">
        <v>0</v>
      </c>
      <c r="RA177">
        <v>0</v>
      </c>
      <c r="RB177">
        <v>83.09</v>
      </c>
      <c r="RC177">
        <v>3.01</v>
      </c>
      <c r="RD177">
        <v>1.49</v>
      </c>
      <c r="RE177">
        <v>0</v>
      </c>
      <c r="RF177">
        <v>0</v>
      </c>
      <c r="RG177">
        <v>0</v>
      </c>
      <c r="RT177">
        <v>0</v>
      </c>
      <c r="RU177">
        <v>0</v>
      </c>
      <c r="SF177" s="18"/>
      <c r="SX177">
        <v>1</v>
      </c>
      <c r="SY177">
        <v>60</v>
      </c>
      <c r="SZ177">
        <v>1</v>
      </c>
      <c r="TA177">
        <v>0.03</v>
      </c>
      <c r="TB177">
        <v>3</v>
      </c>
      <c r="UI177" s="16">
        <v>0</v>
      </c>
      <c r="UJ177" s="16">
        <v>0</v>
      </c>
      <c r="UK177" s="16"/>
      <c r="UL177" s="16"/>
      <c r="UM177" s="16"/>
      <c r="UN177" s="16"/>
      <c r="UO177" s="16"/>
      <c r="UP177" s="16"/>
      <c r="UQ177" s="16"/>
      <c r="UR177" s="16"/>
      <c r="US177" s="16"/>
      <c r="UT177" s="16">
        <v>17.03</v>
      </c>
      <c r="UU177" s="16">
        <v>80.41</v>
      </c>
      <c r="UV177" s="16"/>
      <c r="UW177" s="16"/>
      <c r="UX177" s="16">
        <v>0.97</v>
      </c>
      <c r="UY177" s="16">
        <v>0</v>
      </c>
      <c r="UZ177" s="16">
        <v>0</v>
      </c>
      <c r="VA177">
        <v>1</v>
      </c>
      <c r="VB177" t="s">
        <v>655</v>
      </c>
      <c r="VC177">
        <v>26</v>
      </c>
      <c r="VD177" s="16">
        <v>87.5</v>
      </c>
      <c r="VE177" s="16">
        <v>99</v>
      </c>
      <c r="VF177" s="16">
        <v>12.5</v>
      </c>
      <c r="VG177">
        <v>84.55</v>
      </c>
      <c r="VH177">
        <v>0</v>
      </c>
      <c r="VI177">
        <v>2.29</v>
      </c>
      <c r="VJ177">
        <v>2.39</v>
      </c>
      <c r="VK177">
        <v>1.61</v>
      </c>
      <c r="VL177">
        <v>0</v>
      </c>
      <c r="VM177">
        <v>9.16</v>
      </c>
      <c r="VN177">
        <v>0</v>
      </c>
      <c r="VO177">
        <v>0</v>
      </c>
      <c r="VP177">
        <v>0</v>
      </c>
      <c r="VQ177">
        <v>0</v>
      </c>
      <c r="VR177">
        <v>4.5999999999999996</v>
      </c>
      <c r="VS177">
        <v>1.19</v>
      </c>
      <c r="VT177">
        <v>6.51</v>
      </c>
      <c r="VU177">
        <v>0.03</v>
      </c>
      <c r="VV177">
        <v>0</v>
      </c>
      <c r="VW177">
        <v>7</v>
      </c>
      <c r="VX177">
        <v>1</v>
      </c>
      <c r="VY177">
        <v>3</v>
      </c>
      <c r="WA177">
        <v>1</v>
      </c>
      <c r="WB177">
        <v>3.83</v>
      </c>
      <c r="WD177">
        <v>1</v>
      </c>
      <c r="WK177">
        <v>4.5</v>
      </c>
      <c r="WL177">
        <v>1</v>
      </c>
      <c r="WM177">
        <v>90</v>
      </c>
      <c r="WN177">
        <v>6</v>
      </c>
      <c r="WO177">
        <f>0.48*2+0.03</f>
        <v>0.99</v>
      </c>
      <c r="WP177">
        <v>1</v>
      </c>
      <c r="WW177" s="18"/>
      <c r="XO177">
        <v>1</v>
      </c>
      <c r="XP177">
        <v>55</v>
      </c>
      <c r="XQ177">
        <v>1</v>
      </c>
      <c r="XR177">
        <v>0.55000000000000004</v>
      </c>
      <c r="XS177">
        <v>2</v>
      </c>
      <c r="XT177">
        <v>85</v>
      </c>
      <c r="XU177">
        <v>1</v>
      </c>
      <c r="XV177">
        <v>0.05</v>
      </c>
      <c r="XW177">
        <v>2</v>
      </c>
      <c r="YZ177" s="16">
        <v>0</v>
      </c>
      <c r="ZA177" s="16">
        <v>0</v>
      </c>
      <c r="ZB177" s="16"/>
      <c r="ZC177" s="16"/>
      <c r="ZD177" s="16"/>
      <c r="ZE177" s="16"/>
      <c r="ZF177" s="16"/>
      <c r="ZG177" s="16"/>
      <c r="ZH177" s="16"/>
      <c r="ZI177" s="16"/>
      <c r="ZJ177" s="16"/>
      <c r="ZK177" s="16">
        <v>0</v>
      </c>
      <c r="ZL177" s="16">
        <v>0</v>
      </c>
      <c r="ZM177" s="16"/>
      <c r="ZN177" s="16"/>
      <c r="ZO177" s="16">
        <v>1.82</v>
      </c>
      <c r="ZP177" s="16">
        <v>0</v>
      </c>
      <c r="ZQ177" s="16">
        <v>0</v>
      </c>
      <c r="ZR177">
        <v>2</v>
      </c>
      <c r="ZU177" s="15"/>
      <c r="ZV177" s="15"/>
      <c r="AAC177" s="15"/>
      <c r="AAD177" s="15"/>
      <c r="AAK177" s="15"/>
      <c r="AAL177" s="15"/>
      <c r="AAS177" s="15"/>
      <c r="AAT177" s="15"/>
      <c r="ABA177" s="15"/>
      <c r="ABB177" s="15"/>
      <c r="ABI177" s="15"/>
      <c r="ABJ177" s="15"/>
      <c r="ABQ177" s="15"/>
      <c r="ABR177" s="15"/>
      <c r="ABY177" s="15"/>
      <c r="ABZ177" s="15"/>
      <c r="ACG177" s="15"/>
      <c r="ACH177" s="15"/>
      <c r="ACO177" s="15"/>
      <c r="ACP177" s="15"/>
      <c r="ACW177" s="15"/>
      <c r="ACX177" s="15"/>
      <c r="ADE177" s="15"/>
      <c r="ADF177" s="15"/>
      <c r="ADM177" s="15"/>
      <c r="ADN177" s="15"/>
      <c r="ADU177" s="15"/>
      <c r="ADV177" s="15"/>
      <c r="AEC177" s="15"/>
      <c r="AED177" s="15"/>
      <c r="AEK177" s="15"/>
      <c r="AEL177" s="15"/>
      <c r="AES177" s="15"/>
      <c r="AET177" s="15"/>
      <c r="AFA177" s="15"/>
      <c r="AFB177" s="15"/>
      <c r="AFI177" s="15"/>
      <c r="AFJ177" s="15"/>
      <c r="AFQ177" s="15"/>
      <c r="AFR177" s="15"/>
      <c r="AFY177" s="15"/>
      <c r="AFZ177" s="15"/>
      <c r="AGG177" s="15"/>
      <c r="AGH177" s="15"/>
      <c r="AGO177" s="15"/>
      <c r="AGP177" s="15"/>
      <c r="AGW177" s="15"/>
      <c r="AGX177" s="15"/>
      <c r="AHE177" s="15"/>
      <c r="AHF177" s="15"/>
      <c r="AHM177" s="15"/>
      <c r="AHN177" s="15"/>
      <c r="AHU177" s="15"/>
      <c r="AHV177" s="15"/>
      <c r="AIC177" s="15"/>
      <c r="AID177" s="15"/>
      <c r="AIK177" s="15"/>
      <c r="AIL177" s="15"/>
      <c r="AIS177" s="15"/>
      <c r="AIT177" s="15"/>
      <c r="AJA177" s="15"/>
      <c r="AJB177" s="15"/>
      <c r="AJI177" s="15"/>
      <c r="AJJ177" s="15"/>
      <c r="AJQ177" s="15"/>
      <c r="AJR177" s="15"/>
      <c r="AJY177" s="15"/>
      <c r="AJZ177" s="15"/>
      <c r="AKG177" s="15"/>
      <c r="AKH177" s="15"/>
      <c r="AKO177" s="15"/>
      <c r="AKP177" s="15"/>
      <c r="AKW177" s="15"/>
      <c r="AKX177" s="15"/>
      <c r="ALE177" s="15"/>
      <c r="ALF177" s="15"/>
      <c r="ALM177" s="15"/>
      <c r="ALN177" s="15"/>
      <c r="ALU177" s="15"/>
      <c r="ALV177" s="15"/>
      <c r="AMC177" s="15"/>
      <c r="AMD177" s="15"/>
    </row>
    <row r="178" spans="1:1024" s="24" customFormat="1" x14ac:dyDescent="0.2">
      <c r="A178" s="22" t="s">
        <v>656</v>
      </c>
      <c r="B178" s="23">
        <v>42907</v>
      </c>
      <c r="C178" s="24">
        <v>2</v>
      </c>
      <c r="D178" s="25">
        <v>34785</v>
      </c>
      <c r="E178" s="23">
        <v>26978</v>
      </c>
      <c r="F178" s="14">
        <f t="shared" si="48"/>
        <v>43.611225188227245</v>
      </c>
      <c r="G178" s="14">
        <f t="shared" si="49"/>
        <v>22.236824093086927</v>
      </c>
      <c r="H178" s="21" t="s">
        <v>641</v>
      </c>
      <c r="I178" s="21" t="s">
        <v>642</v>
      </c>
      <c r="J178" s="21" t="s">
        <v>181</v>
      </c>
      <c r="K178" s="21">
        <v>8</v>
      </c>
      <c r="L178" s="26">
        <v>80</v>
      </c>
      <c r="M178" s="24">
        <v>1.75</v>
      </c>
      <c r="N178" s="27">
        <f t="shared" si="50"/>
        <v>26.122448979591837</v>
      </c>
      <c r="O178" s="26">
        <v>0</v>
      </c>
      <c r="P178" s="26">
        <v>0</v>
      </c>
      <c r="Q178" s="26">
        <v>0</v>
      </c>
      <c r="R178" s="26">
        <v>0</v>
      </c>
      <c r="S178" s="26">
        <v>0</v>
      </c>
      <c r="T178" s="26">
        <v>0</v>
      </c>
      <c r="U178" s="26">
        <v>0</v>
      </c>
      <c r="V178" s="26">
        <v>0</v>
      </c>
      <c r="W178" s="26">
        <v>0</v>
      </c>
      <c r="X178" s="26">
        <v>0</v>
      </c>
      <c r="Y178" s="19">
        <v>0</v>
      </c>
      <c r="Z178" s="19">
        <v>0</v>
      </c>
      <c r="AA178" s="19">
        <v>0</v>
      </c>
      <c r="AB178" s="19">
        <v>0</v>
      </c>
      <c r="AC178" s="26">
        <v>1</v>
      </c>
      <c r="AD178" s="26">
        <v>15</v>
      </c>
      <c r="AE178" s="26">
        <v>0</v>
      </c>
      <c r="AF178" s="26">
        <v>0</v>
      </c>
      <c r="AG178" s="26">
        <v>0</v>
      </c>
      <c r="AH178" s="26">
        <v>0</v>
      </c>
      <c r="AI178" s="26">
        <v>1</v>
      </c>
      <c r="AJ178" s="26">
        <v>1</v>
      </c>
      <c r="AK178" s="26">
        <v>1</v>
      </c>
      <c r="AL178" s="26">
        <v>7</v>
      </c>
      <c r="AM178" s="26"/>
      <c r="AN178" s="26">
        <v>0</v>
      </c>
      <c r="AO178" s="26"/>
      <c r="AP178" s="26"/>
      <c r="AQ178" s="26"/>
      <c r="AR178" s="26"/>
      <c r="AS178" s="26">
        <v>0</v>
      </c>
      <c r="AT178" s="26">
        <v>0</v>
      </c>
      <c r="AU178" s="26">
        <v>0</v>
      </c>
      <c r="AV178" s="26">
        <v>0</v>
      </c>
      <c r="AW178" s="26">
        <v>0</v>
      </c>
      <c r="AX178" s="26">
        <v>0</v>
      </c>
      <c r="AY178" s="26">
        <v>0</v>
      </c>
      <c r="AZ178" s="26">
        <v>0</v>
      </c>
      <c r="BA178" s="26">
        <v>0</v>
      </c>
      <c r="BB178" s="26">
        <v>0</v>
      </c>
      <c r="BC178" s="26">
        <v>0</v>
      </c>
      <c r="BD178" s="26">
        <v>0</v>
      </c>
      <c r="BE178" s="26">
        <v>0</v>
      </c>
      <c r="BF178" s="26">
        <v>0</v>
      </c>
      <c r="BG178" s="26">
        <v>0</v>
      </c>
      <c r="BH178" s="26">
        <v>0</v>
      </c>
      <c r="BI178" s="26">
        <v>0</v>
      </c>
      <c r="BJ178" s="26">
        <v>0</v>
      </c>
      <c r="BK178" s="26">
        <v>0</v>
      </c>
      <c r="BL178" s="26">
        <v>0</v>
      </c>
      <c r="BM178" s="26">
        <v>0</v>
      </c>
      <c r="BN178" s="26">
        <v>0</v>
      </c>
      <c r="BO178" s="26">
        <v>0</v>
      </c>
      <c r="BP178" s="26">
        <v>0</v>
      </c>
      <c r="BQ178" s="26">
        <v>0</v>
      </c>
      <c r="BR178" s="26">
        <v>3</v>
      </c>
      <c r="BS178" s="26">
        <v>3</v>
      </c>
      <c r="BT178" s="26">
        <v>2</v>
      </c>
      <c r="BU178" s="26">
        <v>4</v>
      </c>
      <c r="BV178" s="26">
        <v>3</v>
      </c>
      <c r="BW178" s="26">
        <v>2</v>
      </c>
      <c r="BX178" s="26">
        <v>4</v>
      </c>
      <c r="BY178" s="26">
        <v>3</v>
      </c>
      <c r="BZ178" s="26">
        <v>4</v>
      </c>
      <c r="CA178" s="26">
        <v>2</v>
      </c>
      <c r="CB178" s="26">
        <v>4</v>
      </c>
      <c r="CC178" s="26">
        <v>5</v>
      </c>
      <c r="CD178" s="26">
        <v>4</v>
      </c>
      <c r="CE178" s="26">
        <v>3</v>
      </c>
      <c r="CF178" s="26">
        <v>3</v>
      </c>
      <c r="CG178" s="26">
        <v>4</v>
      </c>
      <c r="CH178" s="26">
        <v>3</v>
      </c>
      <c r="CI178" s="26">
        <v>3</v>
      </c>
      <c r="CJ178" s="26">
        <v>3</v>
      </c>
      <c r="CK178" s="26">
        <v>9</v>
      </c>
      <c r="CL178" s="24" t="s">
        <v>643</v>
      </c>
      <c r="CM178" s="24">
        <v>12.5</v>
      </c>
      <c r="CN178" s="27">
        <v>83.2</v>
      </c>
      <c r="CO178" s="27">
        <v>79.94</v>
      </c>
      <c r="CP178" s="27">
        <v>9.1</v>
      </c>
      <c r="CQ178" s="24">
        <v>37.83</v>
      </c>
      <c r="CR178" s="24">
        <v>0</v>
      </c>
      <c r="CS178" s="24">
        <v>0</v>
      </c>
      <c r="CT178" s="24">
        <v>0</v>
      </c>
      <c r="CU178" s="24">
        <v>0</v>
      </c>
      <c r="CV178" s="24">
        <v>0</v>
      </c>
      <c r="CW178" s="24">
        <v>62.17</v>
      </c>
      <c r="CX178" s="24">
        <v>0</v>
      </c>
      <c r="CY178" s="24">
        <v>0</v>
      </c>
      <c r="CZ178" s="24">
        <v>0</v>
      </c>
      <c r="DA178" s="24">
        <v>0</v>
      </c>
      <c r="DB178" s="24">
        <v>2.25</v>
      </c>
      <c r="DC178" s="24">
        <v>6.87</v>
      </c>
      <c r="DD178" s="24">
        <v>22.2</v>
      </c>
      <c r="DE178" s="24">
        <v>0</v>
      </c>
      <c r="DF178" s="24">
        <v>0</v>
      </c>
      <c r="DG178" s="24">
        <v>0</v>
      </c>
      <c r="DH178" s="24">
        <v>0</v>
      </c>
      <c r="DU178" s="24">
        <v>0</v>
      </c>
      <c r="DV178" s="24">
        <v>0</v>
      </c>
      <c r="EG178" s="28"/>
      <c r="EY178" s="24">
        <v>0</v>
      </c>
      <c r="GJ178" s="27">
        <v>0</v>
      </c>
      <c r="GK178" s="27">
        <v>0</v>
      </c>
      <c r="GL178" s="27"/>
      <c r="GM178" s="27"/>
      <c r="GN178" s="27"/>
      <c r="GO178" s="27"/>
      <c r="GP178" s="27"/>
      <c r="GQ178" s="27"/>
      <c r="GR178" s="27"/>
      <c r="GS178" s="27"/>
      <c r="GT178" s="27"/>
      <c r="GU178" s="27">
        <v>0</v>
      </c>
      <c r="GV178" s="27">
        <v>0</v>
      </c>
      <c r="GW178" s="27"/>
      <c r="GX178" s="27"/>
      <c r="GY178" s="27">
        <v>3</v>
      </c>
      <c r="GZ178" s="27">
        <v>0</v>
      </c>
      <c r="HA178" s="27">
        <v>0</v>
      </c>
      <c r="HB178" s="24">
        <v>4</v>
      </c>
      <c r="HC178" s="24" t="s">
        <v>644</v>
      </c>
      <c r="HD178" s="24">
        <v>40.5</v>
      </c>
      <c r="HE178" s="27">
        <v>84.4</v>
      </c>
      <c r="HF178" s="27">
        <v>79.94</v>
      </c>
      <c r="HG178" s="27">
        <v>22.4</v>
      </c>
      <c r="HH178" s="24">
        <v>72.62</v>
      </c>
      <c r="HI178" s="24">
        <v>10.210000000000001</v>
      </c>
      <c r="HJ178" s="24">
        <v>7.43</v>
      </c>
      <c r="HK178" s="24">
        <v>8.33</v>
      </c>
      <c r="HL178" s="24">
        <v>0</v>
      </c>
      <c r="HM178" s="24">
        <v>0</v>
      </c>
      <c r="HN178" s="24">
        <v>0</v>
      </c>
      <c r="HO178" s="24">
        <v>0</v>
      </c>
      <c r="HP178" s="24">
        <v>0</v>
      </c>
      <c r="HQ178" s="24">
        <v>0</v>
      </c>
      <c r="HR178" s="24">
        <v>0</v>
      </c>
      <c r="HS178" s="24">
        <v>0</v>
      </c>
      <c r="HT178" s="24">
        <v>4.5599999999999996</v>
      </c>
      <c r="HU178" s="24">
        <v>4.5599999999999996</v>
      </c>
      <c r="HV178" s="24">
        <v>0</v>
      </c>
      <c r="HW178" s="24">
        <v>0</v>
      </c>
      <c r="HX178" s="24">
        <v>0</v>
      </c>
      <c r="HY178" s="24">
        <v>0</v>
      </c>
      <c r="IL178" s="24">
        <v>9.6</v>
      </c>
      <c r="IM178" s="24">
        <v>0</v>
      </c>
      <c r="IX178" s="28"/>
      <c r="JP178" s="24">
        <v>1</v>
      </c>
      <c r="JQ178" s="24">
        <v>90</v>
      </c>
      <c r="JR178" s="24">
        <v>2</v>
      </c>
      <c r="JS178" s="24">
        <f>0.03+0.19</f>
        <v>0.22</v>
      </c>
      <c r="JT178" s="24">
        <v>6</v>
      </c>
      <c r="JU178" s="24">
        <v>90</v>
      </c>
      <c r="JV178" s="24">
        <v>2</v>
      </c>
      <c r="JW178" s="24">
        <v>0.22</v>
      </c>
      <c r="JX178" s="24">
        <v>5</v>
      </c>
      <c r="LA178" s="27">
        <v>2.63</v>
      </c>
      <c r="LB178" s="27">
        <v>1</v>
      </c>
      <c r="LC178" s="27">
        <v>2</v>
      </c>
      <c r="LD178" s="27"/>
      <c r="LE178" s="27">
        <f>0.03+0.1+0.29*2</f>
        <v>0.71</v>
      </c>
      <c r="LF178" s="27">
        <v>3</v>
      </c>
      <c r="LG178" s="27"/>
      <c r="LH178" s="27">
        <f>0.03+0.19</f>
        <v>0.22</v>
      </c>
      <c r="LI178" s="27"/>
      <c r="LJ178" s="27"/>
      <c r="LK178" s="27"/>
      <c r="LL178" s="27">
        <v>5.46</v>
      </c>
      <c r="LM178" s="27">
        <v>6.88</v>
      </c>
      <c r="LN178" s="27"/>
      <c r="LO178" s="27"/>
      <c r="LP178" s="27">
        <v>0</v>
      </c>
      <c r="LQ178" s="27">
        <v>0</v>
      </c>
      <c r="LR178" s="27">
        <v>0</v>
      </c>
      <c r="LS178" s="24">
        <v>0</v>
      </c>
      <c r="LT178" s="24" t="s">
        <v>645</v>
      </c>
      <c r="LU178" s="24">
        <v>14</v>
      </c>
      <c r="LV178" s="27">
        <v>77.3</v>
      </c>
      <c r="LW178" s="27">
        <v>79.94</v>
      </c>
      <c r="LX178" s="27">
        <v>11</v>
      </c>
      <c r="LY178" s="24">
        <v>77.44</v>
      </c>
      <c r="LZ178" s="24">
        <v>0</v>
      </c>
      <c r="MA178" s="24">
        <v>0</v>
      </c>
      <c r="MB178" s="24">
        <v>1.26</v>
      </c>
      <c r="MC178" s="24">
        <v>9.86</v>
      </c>
      <c r="MD178" s="24">
        <v>0</v>
      </c>
      <c r="ME178" s="24">
        <v>11.44</v>
      </c>
      <c r="MF178" s="24">
        <v>0</v>
      </c>
      <c r="MG178" s="24">
        <v>0</v>
      </c>
      <c r="MH178" s="24">
        <v>0</v>
      </c>
      <c r="MI178" s="24">
        <v>0</v>
      </c>
      <c r="MJ178" s="24">
        <v>1.01</v>
      </c>
      <c r="MK178" s="24">
        <v>31.64</v>
      </c>
      <c r="ML178" s="24">
        <v>4.93</v>
      </c>
      <c r="MM178" s="24">
        <v>0</v>
      </c>
      <c r="MN178" s="24">
        <v>0</v>
      </c>
      <c r="MO178" s="24">
        <v>0</v>
      </c>
      <c r="MP178" s="24">
        <v>0</v>
      </c>
      <c r="NC178" s="24">
        <v>0.9</v>
      </c>
      <c r="ND178" s="24">
        <v>1</v>
      </c>
      <c r="NE178" s="24">
        <v>52</v>
      </c>
      <c r="NF178" s="24">
        <v>2</v>
      </c>
      <c r="NG178" s="24">
        <f>0.38+0.05</f>
        <v>0.43</v>
      </c>
      <c r="NH178" s="24">
        <v>2</v>
      </c>
      <c r="NO178" s="28"/>
      <c r="OG178" s="24">
        <v>1</v>
      </c>
      <c r="OH178" s="24">
        <v>120</v>
      </c>
      <c r="OI178" s="24">
        <v>1</v>
      </c>
      <c r="OJ178" s="24">
        <v>0.06</v>
      </c>
      <c r="OK178" s="24">
        <v>2</v>
      </c>
      <c r="PR178" s="27">
        <v>0.52</v>
      </c>
      <c r="PS178" s="27">
        <v>1</v>
      </c>
      <c r="PT178" s="27">
        <v>1</v>
      </c>
      <c r="PU178" s="27"/>
      <c r="PV178" s="27">
        <f>0.01+0.01+0.04+0.04</f>
        <v>0.1</v>
      </c>
      <c r="PW178" s="27">
        <v>2</v>
      </c>
      <c r="PX178" s="27"/>
      <c r="PY178" s="27">
        <f>0.06+0.04+0.02+0.03+0.03</f>
        <v>0.18000000000000002</v>
      </c>
      <c r="PZ178" s="27"/>
      <c r="QA178" s="27"/>
      <c r="QB178" s="27"/>
      <c r="QC178" s="27">
        <v>0</v>
      </c>
      <c r="QD178" s="27">
        <v>0</v>
      </c>
      <c r="QE178" s="27"/>
      <c r="QF178" s="27"/>
      <c r="QG178" s="27">
        <v>1.5</v>
      </c>
      <c r="QH178" s="27">
        <v>0</v>
      </c>
      <c r="QI178" s="27">
        <v>0</v>
      </c>
      <c r="QJ178" s="24">
        <v>2</v>
      </c>
      <c r="QK178" s="24" t="s">
        <v>646</v>
      </c>
      <c r="QL178" s="24">
        <v>6.5</v>
      </c>
      <c r="QM178" s="27">
        <v>88.7</v>
      </c>
      <c r="QN178" s="27">
        <v>79.94</v>
      </c>
      <c r="QO178" s="27">
        <v>5</v>
      </c>
      <c r="QP178" s="24">
        <v>11.42</v>
      </c>
      <c r="QQ178" s="24">
        <v>0</v>
      </c>
      <c r="QR178" s="24">
        <v>0</v>
      </c>
      <c r="QS178" s="24">
        <v>0</v>
      </c>
      <c r="QT178" s="24">
        <v>0.73</v>
      </c>
      <c r="QU178" s="24">
        <v>0</v>
      </c>
      <c r="QV178" s="24">
        <v>87.85</v>
      </c>
      <c r="QW178" s="24">
        <v>0</v>
      </c>
      <c r="QX178" s="24">
        <v>0</v>
      </c>
      <c r="QY178" s="24">
        <v>0</v>
      </c>
      <c r="QZ178" s="24">
        <v>0</v>
      </c>
      <c r="RA178" s="24">
        <v>0.75</v>
      </c>
      <c r="RB178" s="24">
        <v>55.82</v>
      </c>
      <c r="RC178" s="24">
        <v>1.79</v>
      </c>
      <c r="RD178" s="24">
        <v>0</v>
      </c>
      <c r="RE178" s="24">
        <v>0</v>
      </c>
      <c r="RF178" s="24">
        <v>0</v>
      </c>
      <c r="RG178" s="24">
        <v>0</v>
      </c>
      <c r="RT178" s="24">
        <v>0</v>
      </c>
      <c r="RU178" s="24">
        <v>1</v>
      </c>
      <c r="RV178" s="24">
        <v>34</v>
      </c>
      <c r="RW178" s="24">
        <v>10</v>
      </c>
      <c r="RX178" s="24">
        <f>0.01+0.19+0.01+0.04+0.06+0.34+0.08+1.06+0.08+0.23</f>
        <v>2.1</v>
      </c>
      <c r="RY178" s="24">
        <v>1</v>
      </c>
      <c r="SF178" s="28"/>
      <c r="SX178" s="24">
        <v>1</v>
      </c>
      <c r="SY178" s="24">
        <v>30</v>
      </c>
      <c r="SZ178" s="24">
        <v>4</v>
      </c>
      <c r="TA178" s="24">
        <f>0.17*2+0.96*2</f>
        <v>2.2599999999999998</v>
      </c>
      <c r="TB178" s="24">
        <v>3</v>
      </c>
      <c r="UI178" s="27">
        <v>0</v>
      </c>
      <c r="UJ178" s="27">
        <v>0</v>
      </c>
      <c r="UK178" s="27"/>
      <c r="UL178" s="27"/>
      <c r="UM178" s="27"/>
      <c r="UN178" s="27"/>
      <c r="UO178" s="27"/>
      <c r="UP178" s="27"/>
      <c r="UQ178" s="27"/>
      <c r="UR178" s="27"/>
      <c r="US178" s="27"/>
      <c r="UT178" s="27">
        <v>0</v>
      </c>
      <c r="UU178" s="27">
        <v>0</v>
      </c>
      <c r="UV178" s="27"/>
      <c r="UW178" s="27"/>
      <c r="UX178" s="27">
        <v>1.2</v>
      </c>
      <c r="UY178" s="27">
        <v>0</v>
      </c>
      <c r="UZ178" s="27">
        <v>0</v>
      </c>
      <c r="VA178" s="24">
        <v>6</v>
      </c>
      <c r="VB178" s="24" t="s">
        <v>647</v>
      </c>
      <c r="VC178" s="24">
        <v>8.5</v>
      </c>
      <c r="VD178" s="27">
        <v>78.5</v>
      </c>
      <c r="VE178" s="27">
        <v>79.94</v>
      </c>
      <c r="VF178" s="27">
        <v>6.5</v>
      </c>
      <c r="VG178" s="24">
        <v>75.010000000000005</v>
      </c>
      <c r="VH178" s="24">
        <v>0</v>
      </c>
      <c r="VI178" s="24">
        <v>0</v>
      </c>
      <c r="VJ178" s="24">
        <v>0.99</v>
      </c>
      <c r="VK178" s="24">
        <v>1.23</v>
      </c>
      <c r="VL178" s="24">
        <v>0.75</v>
      </c>
      <c r="VM178" s="24">
        <v>22.03</v>
      </c>
      <c r="VN178" s="24">
        <v>0</v>
      </c>
      <c r="VO178" s="24">
        <v>0</v>
      </c>
      <c r="VP178" s="24">
        <v>0.71</v>
      </c>
      <c r="VQ178" s="24">
        <v>0</v>
      </c>
      <c r="VR178" s="24">
        <v>1.1499999999999999</v>
      </c>
      <c r="VS178" s="24">
        <v>23.76</v>
      </c>
      <c r="VT178" s="24">
        <v>0.88</v>
      </c>
      <c r="VU178" s="24">
        <v>0</v>
      </c>
      <c r="VV178" s="24">
        <v>0</v>
      </c>
      <c r="VW178" s="24">
        <v>0</v>
      </c>
      <c r="VX178" s="24">
        <v>0</v>
      </c>
      <c r="WK178" s="24">
        <v>0.6</v>
      </c>
      <c r="WL178" s="24">
        <v>1</v>
      </c>
      <c r="WM178" s="24">
        <v>52</v>
      </c>
      <c r="WN178" s="24">
        <v>2</v>
      </c>
      <c r="WO178" s="24">
        <f>0.06+0.34</f>
        <v>0.4</v>
      </c>
      <c r="WP178" s="24">
        <v>2</v>
      </c>
      <c r="WW178" s="28"/>
      <c r="XO178" s="24">
        <v>0</v>
      </c>
      <c r="YZ178" s="27">
        <v>0</v>
      </c>
      <c r="ZA178" s="27">
        <v>0</v>
      </c>
      <c r="ZB178" s="27"/>
      <c r="ZC178" s="27"/>
      <c r="ZD178" s="27"/>
      <c r="ZE178" s="27"/>
      <c r="ZF178" s="27"/>
      <c r="ZG178" s="27"/>
      <c r="ZH178" s="27"/>
      <c r="ZI178" s="27"/>
      <c r="ZJ178" s="27"/>
      <c r="ZK178" s="27">
        <v>0</v>
      </c>
      <c r="ZL178" s="27">
        <v>0</v>
      </c>
      <c r="ZM178" s="27"/>
      <c r="ZN178" s="27"/>
      <c r="ZO178" s="27">
        <v>1.2</v>
      </c>
      <c r="ZP178" s="27">
        <v>0</v>
      </c>
      <c r="ZQ178" s="27">
        <v>0</v>
      </c>
      <c r="ZR178" s="24">
        <v>4</v>
      </c>
      <c r="ZS178" s="24" t="s">
        <v>648</v>
      </c>
      <c r="ZT178" s="24">
        <v>14</v>
      </c>
      <c r="ZU178" s="27">
        <v>102.9</v>
      </c>
      <c r="ZV178" s="27">
        <v>79.94</v>
      </c>
      <c r="ZW178" s="27">
        <v>10.6</v>
      </c>
      <c r="ZX178" s="24">
        <v>87.31</v>
      </c>
      <c r="ZY178" s="24">
        <v>0</v>
      </c>
      <c r="ZZ178" s="24">
        <v>0</v>
      </c>
      <c r="AAA178" s="24">
        <v>0</v>
      </c>
      <c r="AAB178" s="24">
        <v>8.4</v>
      </c>
      <c r="AAC178" s="24">
        <v>0</v>
      </c>
      <c r="AAD178" s="24">
        <v>4.29</v>
      </c>
      <c r="AAE178" s="24">
        <v>0</v>
      </c>
      <c r="AAF178" s="24">
        <v>0</v>
      </c>
      <c r="AAG178" s="24">
        <v>0</v>
      </c>
      <c r="AAH178" s="24">
        <v>0</v>
      </c>
      <c r="AAI178" s="24">
        <v>2.58</v>
      </c>
      <c r="AAJ178" s="24">
        <v>9.74</v>
      </c>
      <c r="AAK178" s="24">
        <v>6.56</v>
      </c>
      <c r="AAL178" s="24">
        <v>0</v>
      </c>
      <c r="AAM178" s="24">
        <v>0</v>
      </c>
      <c r="AAN178" s="24">
        <v>0</v>
      </c>
      <c r="AAO178" s="24">
        <v>0</v>
      </c>
      <c r="ABB178" s="24">
        <v>0</v>
      </c>
      <c r="ABC178" s="24">
        <v>0</v>
      </c>
      <c r="ABN178" s="28"/>
      <c r="ACF178" s="24">
        <v>0</v>
      </c>
      <c r="ADQ178" s="27">
        <v>3</v>
      </c>
      <c r="ADR178" s="27">
        <v>0</v>
      </c>
      <c r="ADS178" s="27"/>
      <c r="ADT178" s="27"/>
      <c r="ADU178" s="27"/>
      <c r="ADV178" s="27"/>
      <c r="ADW178" s="27"/>
      <c r="ADX178" s="27"/>
      <c r="ADY178" s="27"/>
      <c r="ADZ178" s="27"/>
      <c r="AEA178" s="27"/>
      <c r="AEB178" s="27">
        <v>0</v>
      </c>
      <c r="AEC178" s="27">
        <v>0</v>
      </c>
      <c r="AED178" s="27"/>
      <c r="AEE178" s="27"/>
      <c r="AEF178" s="27">
        <v>0</v>
      </c>
      <c r="AEG178" s="27">
        <v>0</v>
      </c>
      <c r="AEH178" s="27">
        <v>0</v>
      </c>
      <c r="AEI178" s="24">
        <v>1</v>
      </c>
      <c r="AEJ178" s="33"/>
      <c r="AEK178" s="21"/>
      <c r="AEL178" s="21"/>
      <c r="AEN178" s="33"/>
      <c r="AEO178" s="33"/>
      <c r="AER178" s="33"/>
      <c r="AES178" s="21"/>
      <c r="AET178" s="21"/>
      <c r="AEV178" s="33"/>
      <c r="AEW178" s="33"/>
      <c r="AEZ178" s="33"/>
      <c r="AFA178" s="21"/>
      <c r="AFB178" s="21"/>
      <c r="AFD178" s="33"/>
      <c r="AFE178" s="33"/>
      <c r="AFH178" s="33"/>
      <c r="AFI178" s="21"/>
      <c r="AFJ178" s="21"/>
      <c r="AFL178" s="33"/>
      <c r="AFM178" s="33"/>
      <c r="AFP178" s="33"/>
      <c r="AFQ178" s="21"/>
      <c r="AFR178" s="21"/>
      <c r="AFT178" s="33"/>
      <c r="AFU178" s="33"/>
      <c r="AFX178" s="33"/>
      <c r="AFY178" s="21"/>
      <c r="AFZ178" s="21"/>
      <c r="AGB178" s="33"/>
      <c r="AGC178" s="33"/>
      <c r="AGF178" s="33"/>
      <c r="AGG178" s="21"/>
      <c r="AGH178" s="21"/>
      <c r="AGJ178" s="33"/>
      <c r="AGK178" s="33"/>
      <c r="AGN178" s="33"/>
      <c r="AGO178" s="21"/>
      <c r="AGP178" s="21"/>
      <c r="AGR178" s="33"/>
      <c r="AGS178" s="33"/>
      <c r="AGV178" s="33"/>
      <c r="AGW178" s="21"/>
      <c r="AGX178" s="21"/>
      <c r="AGZ178" s="33"/>
      <c r="AHA178" s="33"/>
      <c r="AHD178" s="33"/>
      <c r="AHE178" s="21"/>
      <c r="AHF178" s="21"/>
      <c r="AHH178" s="33"/>
      <c r="AHI178" s="33"/>
      <c r="AHL178" s="33"/>
      <c r="AHM178" s="21"/>
      <c r="AHN178" s="21"/>
      <c r="AHP178" s="33"/>
      <c r="AHQ178" s="33"/>
      <c r="AHT178" s="33"/>
      <c r="AHU178" s="21"/>
      <c r="AHV178" s="21"/>
      <c r="AHX178" s="33"/>
      <c r="AHY178" s="33"/>
      <c r="AIB178" s="33"/>
      <c r="AIC178" s="21"/>
      <c r="AID178" s="21"/>
      <c r="AIF178" s="33"/>
      <c r="AIG178" s="33"/>
      <c r="AIJ178" s="33"/>
      <c r="AIK178" s="21"/>
      <c r="AIL178" s="21"/>
      <c r="AIN178" s="33"/>
      <c r="AIO178" s="33"/>
      <c r="AIR178" s="33"/>
      <c r="AIS178" s="21"/>
      <c r="AIT178" s="21"/>
      <c r="AIV178" s="33"/>
      <c r="AIW178" s="33"/>
      <c r="AIZ178" s="33"/>
      <c r="AJA178" s="21"/>
      <c r="AJB178" s="21"/>
      <c r="AJD178" s="33"/>
      <c r="AJE178" s="33"/>
      <c r="AJH178" s="33"/>
      <c r="AJI178" s="21"/>
      <c r="AJJ178" s="21"/>
      <c r="AJL178" s="33"/>
      <c r="AJM178" s="33"/>
      <c r="AJP178" s="33"/>
      <c r="AJQ178" s="21"/>
      <c r="AJR178" s="21"/>
      <c r="AJT178" s="33"/>
      <c r="AJU178" s="33"/>
      <c r="AJX178" s="33"/>
      <c r="AJY178" s="21"/>
      <c r="AJZ178" s="21"/>
      <c r="AKB178" s="33"/>
      <c r="AKC178" s="33"/>
      <c r="AKF178" s="33"/>
      <c r="AKG178" s="21"/>
      <c r="AKH178" s="21"/>
      <c r="AKJ178" s="33"/>
      <c r="AKK178" s="33"/>
      <c r="AKN178" s="33"/>
      <c r="AKO178" s="21"/>
      <c r="AKP178" s="21"/>
      <c r="AKR178" s="33"/>
      <c r="AKS178" s="33"/>
      <c r="AKV178" s="33"/>
      <c r="AKW178" s="21"/>
      <c r="AKX178" s="21"/>
      <c r="AKZ178" s="33"/>
      <c r="ALA178" s="33"/>
      <c r="ALD178" s="33"/>
      <c r="ALE178" s="21"/>
      <c r="ALF178" s="21"/>
      <c r="ALH178" s="33"/>
      <c r="ALI178" s="33"/>
      <c r="ALL178" s="33"/>
      <c r="ALM178" s="21"/>
      <c r="ALN178" s="21"/>
      <c r="ALP178" s="33"/>
      <c r="ALQ178" s="33"/>
      <c r="ALT178" s="33"/>
      <c r="ALU178" s="21"/>
      <c r="ALV178" s="21"/>
      <c r="ALX178" s="33"/>
      <c r="ALY178" s="33"/>
      <c r="AMB178" s="33"/>
      <c r="AMC178" s="21"/>
      <c r="AMD178" s="21"/>
      <c r="AMF178" s="33"/>
      <c r="AMG178" s="33"/>
      <c r="AMJ178" s="33"/>
    </row>
    <row r="179" spans="1:1024" x14ac:dyDescent="0.2">
      <c r="A179" s="22" t="s">
        <v>657</v>
      </c>
      <c r="B179" s="23">
        <v>42907</v>
      </c>
      <c r="C179" s="24">
        <v>1</v>
      </c>
      <c r="D179" s="25">
        <v>40513</v>
      </c>
      <c r="E179" s="23">
        <v>28269</v>
      </c>
      <c r="F179" s="14">
        <f t="shared" si="48"/>
        <v>40.076659822039701</v>
      </c>
      <c r="G179" s="14">
        <f t="shared" si="49"/>
        <v>6.5544147843942504</v>
      </c>
      <c r="H179" s="21" t="s">
        <v>306</v>
      </c>
      <c r="I179" s="21" t="s">
        <v>658</v>
      </c>
      <c r="J179" s="21" t="s">
        <v>181</v>
      </c>
      <c r="K179" s="21">
        <v>8</v>
      </c>
      <c r="L179" s="26"/>
      <c r="M179" s="24">
        <v>1.56</v>
      </c>
      <c r="N179" s="27">
        <f t="shared" si="50"/>
        <v>0</v>
      </c>
      <c r="O179" s="26">
        <v>1</v>
      </c>
      <c r="P179" s="26">
        <v>1</v>
      </c>
      <c r="Q179" s="26" t="s">
        <v>659</v>
      </c>
      <c r="R179" s="26">
        <v>0</v>
      </c>
      <c r="S179" s="26">
        <v>0</v>
      </c>
      <c r="T179" s="26">
        <v>0</v>
      </c>
      <c r="U179" s="26">
        <v>1</v>
      </c>
      <c r="V179" s="26">
        <v>6</v>
      </c>
      <c r="W179" s="26">
        <v>0</v>
      </c>
      <c r="X179" s="26">
        <v>0</v>
      </c>
      <c r="Y179" s="19">
        <v>0</v>
      </c>
      <c r="Z179" s="19">
        <v>0</v>
      </c>
      <c r="AA179" s="19">
        <v>0</v>
      </c>
      <c r="AB179" s="19">
        <v>0</v>
      </c>
      <c r="AC179" s="26">
        <v>0</v>
      </c>
      <c r="AD179" s="26">
        <v>0</v>
      </c>
      <c r="AE179" s="26">
        <v>1</v>
      </c>
      <c r="AF179" s="26">
        <v>0</v>
      </c>
      <c r="AG179" s="26">
        <v>0</v>
      </c>
      <c r="AH179" s="26">
        <v>0</v>
      </c>
      <c r="AI179" s="26">
        <v>3</v>
      </c>
      <c r="AJ179" s="26">
        <v>0</v>
      </c>
      <c r="AK179" s="26">
        <v>3</v>
      </c>
      <c r="AL179" s="26">
        <v>4</v>
      </c>
      <c r="AM179" s="26">
        <v>5</v>
      </c>
      <c r="AN179" s="26">
        <v>1</v>
      </c>
      <c r="AO179" s="26">
        <v>1</v>
      </c>
      <c r="AP179" s="26">
        <v>1</v>
      </c>
      <c r="AQ179" s="26">
        <v>3</v>
      </c>
      <c r="AR179" s="26">
        <v>3</v>
      </c>
      <c r="AS179" s="26">
        <v>3</v>
      </c>
      <c r="AT179" s="26">
        <v>0</v>
      </c>
      <c r="AU179" s="26">
        <v>0</v>
      </c>
      <c r="AV179" s="26">
        <v>0</v>
      </c>
      <c r="AW179" s="26">
        <v>0</v>
      </c>
      <c r="AX179" s="26">
        <v>1</v>
      </c>
      <c r="AY179" s="26">
        <v>0</v>
      </c>
      <c r="AZ179" s="26">
        <v>0</v>
      </c>
      <c r="BA179" s="26">
        <v>0</v>
      </c>
      <c r="BB179" s="26">
        <v>0</v>
      </c>
      <c r="BC179" s="26">
        <v>0</v>
      </c>
      <c r="BD179" s="26">
        <v>0</v>
      </c>
      <c r="BE179" s="26">
        <v>0</v>
      </c>
      <c r="BF179" s="26">
        <v>0</v>
      </c>
      <c r="BG179" s="26">
        <v>0</v>
      </c>
      <c r="BH179" s="26">
        <v>0</v>
      </c>
      <c r="BI179" s="26">
        <v>0</v>
      </c>
      <c r="BJ179" s="26">
        <v>0</v>
      </c>
      <c r="BK179" s="26">
        <v>0</v>
      </c>
      <c r="BL179" s="26">
        <v>0</v>
      </c>
      <c r="BM179" s="26">
        <v>0</v>
      </c>
      <c r="BN179" s="26">
        <v>0</v>
      </c>
      <c r="BO179" s="26">
        <v>0</v>
      </c>
      <c r="BP179" s="26">
        <v>0</v>
      </c>
      <c r="BQ179" s="26">
        <v>0</v>
      </c>
      <c r="BR179" s="26">
        <v>1</v>
      </c>
      <c r="BS179" s="26">
        <v>1</v>
      </c>
      <c r="BT179" s="26">
        <v>1</v>
      </c>
      <c r="BU179" s="26">
        <v>5</v>
      </c>
      <c r="BV179" s="26">
        <v>3</v>
      </c>
      <c r="BW179" s="26">
        <v>2</v>
      </c>
      <c r="BX179" s="26">
        <v>2</v>
      </c>
      <c r="BY179" s="26">
        <v>5</v>
      </c>
      <c r="BZ179" s="26">
        <v>5</v>
      </c>
      <c r="CA179" s="26">
        <v>5</v>
      </c>
      <c r="CB179" s="26">
        <v>5</v>
      </c>
      <c r="CC179" s="26">
        <v>5</v>
      </c>
      <c r="CD179" s="26">
        <v>5</v>
      </c>
      <c r="CE179" s="26">
        <v>5</v>
      </c>
      <c r="CF179" s="26">
        <v>5</v>
      </c>
      <c r="CG179" s="26">
        <v>5</v>
      </c>
      <c r="CH179" s="26">
        <v>5</v>
      </c>
      <c r="CI179" s="26">
        <v>5</v>
      </c>
      <c r="CJ179" s="26">
        <v>5</v>
      </c>
      <c r="CK179" s="26">
        <v>9</v>
      </c>
      <c r="CL179" t="s">
        <v>660</v>
      </c>
      <c r="CM179">
        <v>35.5</v>
      </c>
      <c r="CN179" s="16">
        <v>93.5</v>
      </c>
      <c r="CO179" s="16">
        <v>83.4</v>
      </c>
      <c r="CP179" s="16">
        <v>18.2</v>
      </c>
      <c r="CQ179">
        <v>81.819999999999993</v>
      </c>
      <c r="CR179">
        <v>0</v>
      </c>
      <c r="CS179">
        <v>0</v>
      </c>
      <c r="CT179">
        <v>0</v>
      </c>
      <c r="CU179">
        <v>18.18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37.1</v>
      </c>
      <c r="DC179">
        <v>47.46</v>
      </c>
      <c r="DD179">
        <v>20.37</v>
      </c>
      <c r="DE179">
        <v>3.52</v>
      </c>
      <c r="DF179">
        <v>0</v>
      </c>
      <c r="DG179">
        <v>0</v>
      </c>
      <c r="DH179">
        <v>0</v>
      </c>
      <c r="DU179">
        <v>8.4</v>
      </c>
      <c r="DV179">
        <v>0</v>
      </c>
      <c r="EG179" s="18"/>
      <c r="EY179">
        <v>1</v>
      </c>
      <c r="EZ179">
        <v>80</v>
      </c>
      <c r="FA179">
        <v>9</v>
      </c>
      <c r="FB179">
        <f>2.94*2+0.13</f>
        <v>6.01</v>
      </c>
      <c r="FC179">
        <v>3</v>
      </c>
      <c r="FD179">
        <v>50</v>
      </c>
      <c r="FE179">
        <v>4</v>
      </c>
      <c r="FF179">
        <v>5.56</v>
      </c>
      <c r="FG179">
        <v>3</v>
      </c>
      <c r="GJ179" s="16">
        <v>1.69</v>
      </c>
      <c r="GK179" s="16">
        <v>1</v>
      </c>
      <c r="GL179" s="16">
        <v>1</v>
      </c>
      <c r="GM179" s="16"/>
      <c r="GN179" s="16">
        <v>3.6</v>
      </c>
      <c r="GO179" s="16"/>
      <c r="GP179" s="16"/>
      <c r="GQ179" s="16"/>
      <c r="GR179" s="16"/>
      <c r="GS179" s="16"/>
      <c r="GT179" s="16"/>
      <c r="GU179" s="16">
        <v>3.24</v>
      </c>
      <c r="GV179" s="16">
        <v>2.54</v>
      </c>
      <c r="GW179" s="16"/>
      <c r="GX179" s="16"/>
      <c r="GY179" s="16">
        <v>3.6</v>
      </c>
      <c r="GZ179" s="16">
        <v>8.8000000000000007</v>
      </c>
      <c r="HA179" s="16">
        <v>0</v>
      </c>
      <c r="HB179">
        <v>0</v>
      </c>
      <c r="HC179" t="s">
        <v>661</v>
      </c>
      <c r="HD179">
        <v>29</v>
      </c>
      <c r="HE179" s="16">
        <v>86.2</v>
      </c>
      <c r="HF179" s="16">
        <v>83.4</v>
      </c>
      <c r="HG179" s="16">
        <v>15.4</v>
      </c>
      <c r="HH179">
        <v>87</v>
      </c>
      <c r="HI179">
        <v>0</v>
      </c>
      <c r="HJ179">
        <v>0</v>
      </c>
      <c r="HK179">
        <v>0</v>
      </c>
      <c r="HL179">
        <v>13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37.36</v>
      </c>
      <c r="HT179">
        <v>46.33</v>
      </c>
      <c r="HU179">
        <v>18.45</v>
      </c>
      <c r="HV179">
        <v>0</v>
      </c>
      <c r="HW179">
        <v>0</v>
      </c>
      <c r="HX179">
        <v>0</v>
      </c>
      <c r="HY179">
        <v>0</v>
      </c>
      <c r="IL179">
        <v>8.3000000000000007</v>
      </c>
      <c r="IM179">
        <v>0</v>
      </c>
      <c r="IX179" s="18"/>
      <c r="JP179">
        <v>1</v>
      </c>
      <c r="JQ179">
        <v>80</v>
      </c>
      <c r="JR179">
        <v>9</v>
      </c>
      <c r="JS179">
        <v>6.01</v>
      </c>
      <c r="JT179">
        <v>3</v>
      </c>
      <c r="LA179" s="16">
        <v>1.8</v>
      </c>
      <c r="LB179" s="16">
        <v>1</v>
      </c>
      <c r="LC179" s="16">
        <v>1</v>
      </c>
      <c r="LD179" s="16"/>
      <c r="LE179" s="16">
        <v>3.6</v>
      </c>
      <c r="LF179" s="16"/>
      <c r="LG179" s="16"/>
      <c r="LH179" s="16"/>
      <c r="LI179" s="16"/>
      <c r="LJ179" s="16"/>
      <c r="LK179" s="16"/>
      <c r="LL179" s="16">
        <v>0.54</v>
      </c>
      <c r="LM179" s="16">
        <v>0.13</v>
      </c>
      <c r="LN179" s="16"/>
      <c r="LO179" s="16"/>
      <c r="LP179" s="16">
        <v>2.88</v>
      </c>
      <c r="LQ179" s="16">
        <v>6.91</v>
      </c>
      <c r="LR179" s="16">
        <v>0</v>
      </c>
      <c r="LS179">
        <v>0</v>
      </c>
      <c r="LT179" t="s">
        <v>662</v>
      </c>
      <c r="LU179">
        <v>46.5</v>
      </c>
      <c r="LV179" s="16">
        <v>69.2</v>
      </c>
      <c r="LW179" s="16">
        <v>83.4</v>
      </c>
      <c r="LX179" s="16">
        <v>28.7</v>
      </c>
      <c r="LY179">
        <v>53.82</v>
      </c>
      <c r="LZ179">
        <v>0</v>
      </c>
      <c r="MA179">
        <v>0</v>
      </c>
      <c r="MB179">
        <v>0</v>
      </c>
      <c r="MC179">
        <v>46.18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5.46</v>
      </c>
      <c r="ML179">
        <v>46.31</v>
      </c>
      <c r="MM179">
        <v>1.06</v>
      </c>
      <c r="MN179">
        <v>0</v>
      </c>
      <c r="MO179">
        <v>0</v>
      </c>
      <c r="MP179">
        <v>0</v>
      </c>
      <c r="NC179">
        <v>13.3</v>
      </c>
      <c r="ND179">
        <v>1</v>
      </c>
      <c r="NE179">
        <v>52</v>
      </c>
      <c r="NF179">
        <v>23</v>
      </c>
      <c r="NG179">
        <f>7.18+2.15+0.07+0.84+0.15+0.14+0.12</f>
        <v>10.65</v>
      </c>
      <c r="NH179">
        <v>2</v>
      </c>
      <c r="NO179" s="18"/>
      <c r="OG179">
        <v>0</v>
      </c>
      <c r="PR179" s="16">
        <v>1.39</v>
      </c>
      <c r="PS179" s="16">
        <v>1</v>
      </c>
      <c r="PT179" s="16">
        <v>1</v>
      </c>
      <c r="PU179" s="16"/>
      <c r="PV179" s="16">
        <f>1.32*2+1.62</f>
        <v>4.26</v>
      </c>
      <c r="PW179" s="16"/>
      <c r="PX179" s="16"/>
      <c r="PY179" s="16"/>
      <c r="PZ179" s="16"/>
      <c r="QA179" s="16"/>
      <c r="QB179" s="16"/>
      <c r="QC179" s="16">
        <v>0</v>
      </c>
      <c r="QD179" s="16">
        <v>0</v>
      </c>
      <c r="QE179" s="16"/>
      <c r="QF179" s="16"/>
      <c r="QG179" s="16">
        <v>2.88</v>
      </c>
      <c r="QH179" s="16">
        <v>5.21</v>
      </c>
      <c r="QI179" s="16">
        <v>0</v>
      </c>
      <c r="QJ179">
        <v>0</v>
      </c>
      <c r="QK179" t="s">
        <v>663</v>
      </c>
      <c r="QL179">
        <v>43.5</v>
      </c>
      <c r="QM179" s="16">
        <v>71.7</v>
      </c>
      <c r="QN179" s="16">
        <v>83.4</v>
      </c>
      <c r="QO179" s="16">
        <v>26.2</v>
      </c>
      <c r="QP179">
        <v>62.72</v>
      </c>
      <c r="QQ179">
        <v>0</v>
      </c>
      <c r="QR179">
        <v>0</v>
      </c>
      <c r="QS179">
        <v>0</v>
      </c>
      <c r="QT179">
        <v>37.28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5.91</v>
      </c>
      <c r="RC179">
        <v>43.24</v>
      </c>
      <c r="RD179">
        <v>0.36</v>
      </c>
      <c r="RE179">
        <v>0</v>
      </c>
      <c r="RF179">
        <v>0</v>
      </c>
      <c r="RG179">
        <v>0</v>
      </c>
      <c r="RT179">
        <v>12.7</v>
      </c>
      <c r="RU179">
        <v>1</v>
      </c>
      <c r="RV179">
        <v>52</v>
      </c>
      <c r="RW179">
        <v>13</v>
      </c>
      <c r="RX179">
        <f>7.18+2.15</f>
        <v>9.33</v>
      </c>
      <c r="RY179">
        <v>2</v>
      </c>
      <c r="SF179" s="18"/>
      <c r="SX179">
        <v>0</v>
      </c>
      <c r="UI179" s="16">
        <v>1.39</v>
      </c>
      <c r="UJ179" s="16">
        <v>1</v>
      </c>
      <c r="UK179" s="16">
        <v>1</v>
      </c>
      <c r="UL179" s="16"/>
      <c r="UM179" s="16">
        <f>1.32*2+1.62</f>
        <v>4.26</v>
      </c>
      <c r="UN179" s="16"/>
      <c r="UO179" s="16"/>
      <c r="UP179" s="16"/>
      <c r="UQ179" s="16"/>
      <c r="UR179" s="16"/>
      <c r="US179" s="16"/>
      <c r="UT179" s="16">
        <v>0</v>
      </c>
      <c r="UU179" s="16">
        <v>0</v>
      </c>
      <c r="UV179" s="16"/>
      <c r="UW179" s="16"/>
      <c r="UX179" s="16">
        <v>2.88</v>
      </c>
      <c r="UY179" s="16">
        <v>5.57</v>
      </c>
      <c r="UZ179" s="16">
        <v>0</v>
      </c>
      <c r="VA179">
        <v>0</v>
      </c>
      <c r="VB179" t="s">
        <v>664</v>
      </c>
      <c r="VC179">
        <v>46</v>
      </c>
      <c r="VD179" s="16">
        <v>97.8</v>
      </c>
      <c r="VE179" s="16">
        <v>83.4</v>
      </c>
      <c r="VF179" s="16">
        <v>9.8000000000000007</v>
      </c>
      <c r="VG179">
        <v>97.48</v>
      </c>
      <c r="VH179">
        <v>0</v>
      </c>
      <c r="VI179">
        <v>1.83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3.67</v>
      </c>
      <c r="VS179">
        <v>10.58</v>
      </c>
      <c r="VT179">
        <v>65.89</v>
      </c>
      <c r="VU179">
        <v>0</v>
      </c>
      <c r="VV179">
        <v>0</v>
      </c>
      <c r="VW179">
        <v>0</v>
      </c>
      <c r="VX179">
        <v>0</v>
      </c>
      <c r="WK179">
        <v>29.3</v>
      </c>
      <c r="WL179">
        <v>1</v>
      </c>
      <c r="WM179">
        <v>40</v>
      </c>
      <c r="WN179">
        <v>10</v>
      </c>
      <c r="WO179">
        <f>0.91+0.39</f>
        <v>1.3</v>
      </c>
      <c r="WP179">
        <v>2</v>
      </c>
      <c r="WQ179">
        <v>35</v>
      </c>
      <c r="WR179">
        <v>10</v>
      </c>
      <c r="WS179">
        <f>0.58+1.36</f>
        <v>1.94</v>
      </c>
      <c r="WT179">
        <v>3</v>
      </c>
      <c r="WW179" s="18"/>
      <c r="XO179">
        <v>1</v>
      </c>
      <c r="XP179">
        <v>60</v>
      </c>
      <c r="XQ179">
        <v>5</v>
      </c>
      <c r="XR179">
        <v>3.67</v>
      </c>
      <c r="XS179">
        <v>3</v>
      </c>
      <c r="XT179">
        <v>30</v>
      </c>
      <c r="XU179">
        <v>6</v>
      </c>
      <c r="XV179">
        <v>5.87</v>
      </c>
      <c r="XW179">
        <v>4</v>
      </c>
      <c r="YZ179" s="16">
        <v>1.87</v>
      </c>
      <c r="ZA179" s="16">
        <v>1</v>
      </c>
      <c r="ZB179" s="16">
        <v>1</v>
      </c>
      <c r="ZC179" s="16"/>
      <c r="ZD179" s="16">
        <f>2.04*2</f>
        <v>4.08</v>
      </c>
      <c r="ZE179" s="16">
        <v>2</v>
      </c>
      <c r="ZF179" s="16"/>
      <c r="ZG179" s="16">
        <f>0.36*2</f>
        <v>0.72</v>
      </c>
      <c r="ZH179" s="16"/>
      <c r="ZI179" s="16"/>
      <c r="ZJ179" s="16"/>
      <c r="ZK179" s="16">
        <v>5.07</v>
      </c>
      <c r="ZL179" s="16">
        <v>2.33</v>
      </c>
      <c r="ZM179" s="16"/>
      <c r="ZN179" s="16"/>
      <c r="ZO179" s="16">
        <v>0</v>
      </c>
      <c r="ZP179" s="16">
        <v>0</v>
      </c>
      <c r="ZQ179" s="16">
        <v>0</v>
      </c>
      <c r="ZR179">
        <v>0</v>
      </c>
      <c r="ZS179" t="s">
        <v>665</v>
      </c>
      <c r="ZT179">
        <v>49.5</v>
      </c>
      <c r="ZU179" s="16">
        <v>97.8</v>
      </c>
      <c r="ZV179" s="16">
        <v>83.4</v>
      </c>
      <c r="ZW179" s="16">
        <v>9.9</v>
      </c>
      <c r="ZX179">
        <v>97.48</v>
      </c>
      <c r="ZY179">
        <v>0</v>
      </c>
      <c r="ZZ179">
        <v>1.83</v>
      </c>
      <c r="AAA179">
        <v>0</v>
      </c>
      <c r="AAB179">
        <v>0.68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3.67</v>
      </c>
      <c r="AAJ179">
        <v>8.74</v>
      </c>
      <c r="AAK179">
        <v>67.72</v>
      </c>
      <c r="AAL179">
        <v>0</v>
      </c>
      <c r="AAM179">
        <v>0</v>
      </c>
      <c r="AAN179">
        <v>0</v>
      </c>
      <c r="AAO179">
        <v>0</v>
      </c>
      <c r="ABB179">
        <v>32.5</v>
      </c>
      <c r="ABC179">
        <v>1</v>
      </c>
      <c r="ABD179">
        <v>30</v>
      </c>
      <c r="ABE179">
        <v>11</v>
      </c>
      <c r="ABF179">
        <f>6.61+5.5</f>
        <v>12.11</v>
      </c>
      <c r="ABG179">
        <v>4</v>
      </c>
      <c r="ABH179">
        <v>40</v>
      </c>
      <c r="ABI179">
        <v>12</v>
      </c>
      <c r="ABJ179">
        <f>2.2+1.47+0.91</f>
        <v>4.58</v>
      </c>
      <c r="ABK179">
        <v>2</v>
      </c>
      <c r="ABL179">
        <v>35</v>
      </c>
      <c r="ABM179">
        <v>10</v>
      </c>
      <c r="ABN179" s="18">
        <f>1.36+0.58</f>
        <v>1.94</v>
      </c>
      <c r="ABO179">
        <v>3</v>
      </c>
      <c r="ABP179">
        <v>78</v>
      </c>
      <c r="ABQ179">
        <v>3</v>
      </c>
      <c r="ABR179">
        <v>0.39</v>
      </c>
      <c r="ABS179">
        <v>2</v>
      </c>
      <c r="ACF179">
        <v>0</v>
      </c>
      <c r="ADQ179" s="16">
        <v>1.87</v>
      </c>
      <c r="ADR179" s="16">
        <v>1</v>
      </c>
      <c r="ADS179" s="16">
        <v>1</v>
      </c>
      <c r="ADT179" s="16"/>
      <c r="ADU179" s="16">
        <f>2.04*2</f>
        <v>4.08</v>
      </c>
      <c r="ADV179" s="16">
        <v>2</v>
      </c>
      <c r="ADW179" s="16"/>
      <c r="ADX179" s="16">
        <v>0.7</v>
      </c>
      <c r="ADY179" s="16"/>
      <c r="ADZ179" s="16"/>
      <c r="AEA179" s="16"/>
      <c r="AEB179" s="16">
        <v>5.01</v>
      </c>
      <c r="AEC179" s="16">
        <v>1.3</v>
      </c>
      <c r="AED179" s="16"/>
      <c r="AEE179" s="16"/>
      <c r="AEF179" s="16">
        <v>0</v>
      </c>
      <c r="AEG179" s="16">
        <v>0</v>
      </c>
      <c r="AEH179" s="16">
        <v>0</v>
      </c>
      <c r="AEI179">
        <v>0</v>
      </c>
      <c r="AEJ179" s="38">
        <v>120</v>
      </c>
      <c r="AEK179">
        <v>41</v>
      </c>
      <c r="AEL179" s="16">
        <v>75.900000000000006</v>
      </c>
      <c r="AEM179" s="16">
        <v>83.4</v>
      </c>
      <c r="AEN179" s="16">
        <v>13.8</v>
      </c>
      <c r="AEO179">
        <v>83.58</v>
      </c>
      <c r="AEP179">
        <v>0</v>
      </c>
      <c r="AEQ179">
        <v>0</v>
      </c>
      <c r="AER179">
        <v>0</v>
      </c>
      <c r="AES179">
        <v>9.73</v>
      </c>
      <c r="AET179">
        <v>0</v>
      </c>
      <c r="AEU179">
        <v>6.69</v>
      </c>
      <c r="AEV179">
        <v>0</v>
      </c>
      <c r="AEW179">
        <v>0</v>
      </c>
      <c r="AEX179">
        <v>0</v>
      </c>
      <c r="AEY179">
        <v>0</v>
      </c>
      <c r="AEZ179">
        <v>11.59</v>
      </c>
      <c r="AFA179">
        <v>26.54</v>
      </c>
      <c r="AFB179">
        <v>10.81</v>
      </c>
      <c r="AFC179">
        <v>6.87</v>
      </c>
      <c r="AFD179">
        <v>0</v>
      </c>
      <c r="AFE179">
        <v>20</v>
      </c>
      <c r="AFF179">
        <v>1</v>
      </c>
      <c r="AFG179">
        <v>3</v>
      </c>
      <c r="AFI179">
        <v>4</v>
      </c>
      <c r="AFS179">
        <v>1.9</v>
      </c>
      <c r="AFT179">
        <v>1</v>
      </c>
      <c r="AFU179">
        <v>34</v>
      </c>
      <c r="AFV179">
        <v>4</v>
      </c>
      <c r="AFW179">
        <f>4.04+0.71</f>
        <v>4.75</v>
      </c>
      <c r="AFX179">
        <v>1</v>
      </c>
      <c r="AFY179">
        <v>52</v>
      </c>
      <c r="AFZ179">
        <v>2</v>
      </c>
      <c r="AGA179">
        <f>0.73+0.13</f>
        <v>0.86</v>
      </c>
      <c r="AGB179">
        <v>2</v>
      </c>
      <c r="AGE179" s="18"/>
      <c r="AGW179">
        <v>0</v>
      </c>
      <c r="AIH179" s="16">
        <v>0</v>
      </c>
      <c r="AII179" s="16">
        <v>0</v>
      </c>
      <c r="AIJ179" s="16"/>
      <c r="AIK179" s="16"/>
      <c r="AIL179" s="16"/>
      <c r="AIM179" s="16"/>
      <c r="AIN179" s="16"/>
      <c r="AIO179" s="16"/>
      <c r="AIP179" s="16"/>
      <c r="AIQ179" s="16"/>
      <c r="AIR179" s="16"/>
      <c r="AIS179" s="16">
        <v>5.08</v>
      </c>
      <c r="AIT179" s="16">
        <v>4.75</v>
      </c>
      <c r="AIU179" s="16"/>
      <c r="AIV179" s="16"/>
      <c r="AIW179" s="16">
        <v>0</v>
      </c>
      <c r="AIX179" s="16">
        <v>0</v>
      </c>
      <c r="AIY179" s="16">
        <v>0</v>
      </c>
      <c r="AIZ179">
        <v>0</v>
      </c>
      <c r="AJA179" t="s">
        <v>666</v>
      </c>
      <c r="AJB179">
        <v>27.5</v>
      </c>
      <c r="AJC179" s="16">
        <v>76.8</v>
      </c>
      <c r="AJD179" s="16">
        <v>83.4</v>
      </c>
      <c r="AJE179" s="16">
        <v>16</v>
      </c>
      <c r="AJF179">
        <v>82.97</v>
      </c>
      <c r="AJG179">
        <v>0</v>
      </c>
      <c r="AJH179">
        <v>0.28999999999999998</v>
      </c>
      <c r="AJI179">
        <v>0</v>
      </c>
      <c r="AJJ179">
        <v>16.739999999999998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1.65</v>
      </c>
      <c r="AJS179">
        <v>49.33</v>
      </c>
      <c r="AJT179">
        <v>1.23</v>
      </c>
      <c r="AJU179">
        <v>0</v>
      </c>
      <c r="AJV179">
        <v>0</v>
      </c>
      <c r="AJW179">
        <v>0</v>
      </c>
      <c r="AKJ179">
        <v>8.6999999999999993</v>
      </c>
      <c r="AKK179">
        <v>1</v>
      </c>
      <c r="AKL179">
        <v>35</v>
      </c>
      <c r="AKM179">
        <v>3</v>
      </c>
      <c r="AKN179">
        <f>0.13*2+0.73</f>
        <v>0.99</v>
      </c>
      <c r="AKO179">
        <v>3</v>
      </c>
      <c r="AKP179">
        <v>47</v>
      </c>
      <c r="AKQ179">
        <v>4</v>
      </c>
      <c r="AKR179">
        <v>0.52</v>
      </c>
      <c r="AKS179">
        <v>3</v>
      </c>
      <c r="AKV179" s="18"/>
      <c r="ALN179">
        <v>0</v>
      </c>
    </row>
    <row r="180" spans="1:1024" s="24" customFormat="1" x14ac:dyDescent="0.2">
      <c r="A180" s="22" t="s">
        <v>667</v>
      </c>
      <c r="B180" s="23">
        <v>42906</v>
      </c>
      <c r="C180" s="24">
        <v>1</v>
      </c>
      <c r="D180" s="25">
        <v>42776</v>
      </c>
      <c r="E180" s="23">
        <v>34002</v>
      </c>
      <c r="F180" s="14">
        <f t="shared" si="48"/>
        <v>24.377823408624231</v>
      </c>
      <c r="G180" s="14">
        <f t="shared" si="49"/>
        <v>0.35592060232717315</v>
      </c>
      <c r="H180" s="21" t="s">
        <v>306</v>
      </c>
      <c r="I180" s="21" t="s">
        <v>658</v>
      </c>
      <c r="J180" s="21" t="s">
        <v>181</v>
      </c>
      <c r="K180" s="21">
        <v>8</v>
      </c>
      <c r="L180" s="26">
        <v>62</v>
      </c>
      <c r="M180" s="24">
        <v>1.8</v>
      </c>
      <c r="N180" s="27">
        <f t="shared" si="50"/>
        <v>19.1358024691358</v>
      </c>
      <c r="O180" s="26">
        <v>0</v>
      </c>
      <c r="P180" s="26">
        <v>0</v>
      </c>
      <c r="Q180" s="26">
        <v>0</v>
      </c>
      <c r="R180" s="26">
        <v>0</v>
      </c>
      <c r="S180" s="26">
        <v>0</v>
      </c>
      <c r="T180" s="26">
        <v>0</v>
      </c>
      <c r="U180" s="26">
        <v>0</v>
      </c>
      <c r="V180" s="26">
        <v>0</v>
      </c>
      <c r="W180" s="26">
        <v>0</v>
      </c>
      <c r="X180" s="26">
        <v>0</v>
      </c>
      <c r="Y180" s="26">
        <v>1</v>
      </c>
      <c r="Z180" s="26">
        <v>1</v>
      </c>
      <c r="AA180" s="26">
        <v>120</v>
      </c>
      <c r="AB180" s="26" t="s">
        <v>308</v>
      </c>
      <c r="AC180" s="26">
        <v>1</v>
      </c>
      <c r="AD180" s="26">
        <v>4</v>
      </c>
      <c r="AE180" s="26">
        <v>0</v>
      </c>
      <c r="AF180" s="26">
        <v>0</v>
      </c>
      <c r="AG180" s="26">
        <v>0</v>
      </c>
      <c r="AH180" s="26">
        <v>0</v>
      </c>
      <c r="AI180" s="26">
        <v>0</v>
      </c>
      <c r="AJ180" s="26">
        <v>0</v>
      </c>
      <c r="AK180" s="26">
        <v>0</v>
      </c>
      <c r="AL180" s="26">
        <v>0</v>
      </c>
      <c r="AM180" s="26">
        <v>0</v>
      </c>
      <c r="AN180" s="26">
        <v>0</v>
      </c>
      <c r="AO180" s="26">
        <v>0</v>
      </c>
      <c r="AP180" s="26">
        <v>0</v>
      </c>
      <c r="AQ180" s="26">
        <v>0</v>
      </c>
      <c r="AR180" s="26">
        <v>0</v>
      </c>
      <c r="AS180" s="26">
        <v>0</v>
      </c>
      <c r="AT180" s="26">
        <v>0</v>
      </c>
      <c r="AU180" s="26">
        <v>0</v>
      </c>
      <c r="AV180" s="26">
        <v>0</v>
      </c>
      <c r="AW180" s="26">
        <v>0</v>
      </c>
      <c r="AX180" s="26">
        <v>0</v>
      </c>
      <c r="AY180" s="26">
        <v>0</v>
      </c>
      <c r="AZ180" s="26">
        <v>0</v>
      </c>
      <c r="BA180" s="26">
        <v>0</v>
      </c>
      <c r="BB180" s="26">
        <v>0</v>
      </c>
      <c r="BC180" s="26">
        <v>0</v>
      </c>
      <c r="BD180" s="26">
        <v>0</v>
      </c>
      <c r="BE180" s="26">
        <v>0</v>
      </c>
      <c r="BF180" s="26">
        <v>0</v>
      </c>
      <c r="BG180" s="26">
        <v>0</v>
      </c>
      <c r="BH180" s="26">
        <v>0</v>
      </c>
      <c r="BI180" s="26">
        <v>0</v>
      </c>
      <c r="BJ180" s="26">
        <v>0</v>
      </c>
      <c r="BK180" s="26">
        <v>0</v>
      </c>
      <c r="BL180" s="26">
        <v>0</v>
      </c>
      <c r="BM180" s="26">
        <v>0</v>
      </c>
      <c r="BN180" s="26">
        <v>0</v>
      </c>
      <c r="BO180" s="26">
        <v>0</v>
      </c>
      <c r="BP180" s="26">
        <v>0</v>
      </c>
      <c r="BQ180" s="26">
        <v>0</v>
      </c>
      <c r="BR180" s="26">
        <v>2</v>
      </c>
      <c r="BS180" s="26">
        <v>2</v>
      </c>
      <c r="BT180" s="26">
        <v>2</v>
      </c>
      <c r="BU180" s="26">
        <v>5</v>
      </c>
      <c r="BV180" s="26">
        <v>2</v>
      </c>
      <c r="BW180" s="26">
        <v>2</v>
      </c>
      <c r="BX180" s="26">
        <v>3</v>
      </c>
      <c r="BY180" s="26">
        <v>5</v>
      </c>
      <c r="BZ180" s="26">
        <v>5</v>
      </c>
      <c r="CA180" s="26">
        <v>5</v>
      </c>
      <c r="CB180" s="26">
        <v>5</v>
      </c>
      <c r="CC180" s="26">
        <v>5</v>
      </c>
      <c r="CD180" s="26">
        <v>5</v>
      </c>
      <c r="CE180" s="26">
        <v>5</v>
      </c>
      <c r="CF180" s="26">
        <v>5</v>
      </c>
      <c r="CG180" s="26">
        <v>5</v>
      </c>
      <c r="CH180" s="26">
        <v>5</v>
      </c>
      <c r="CI180" s="26">
        <v>5</v>
      </c>
      <c r="CJ180" s="26">
        <v>5</v>
      </c>
      <c r="CK180" s="26">
        <v>10</v>
      </c>
      <c r="CL180" s="24" t="s">
        <v>660</v>
      </c>
      <c r="CM180" s="24">
        <v>35.5</v>
      </c>
      <c r="CN180" s="27">
        <v>93.5</v>
      </c>
      <c r="CO180" s="27">
        <v>83.4</v>
      </c>
      <c r="CP180" s="27">
        <v>18.2</v>
      </c>
      <c r="CQ180" s="24">
        <v>81.819999999999993</v>
      </c>
      <c r="CR180" s="24">
        <v>0</v>
      </c>
      <c r="CS180" s="24">
        <v>0</v>
      </c>
      <c r="CT180" s="24">
        <v>0</v>
      </c>
      <c r="CU180" s="24">
        <v>18.18</v>
      </c>
      <c r="CV180" s="24">
        <v>0</v>
      </c>
      <c r="CW180" s="24">
        <v>0</v>
      </c>
      <c r="CX180" s="24">
        <v>0</v>
      </c>
      <c r="CY180" s="24">
        <v>0</v>
      </c>
      <c r="CZ180" s="24">
        <v>0</v>
      </c>
      <c r="DA180" s="24">
        <v>0</v>
      </c>
      <c r="DB180" s="24">
        <v>37.1</v>
      </c>
      <c r="DC180" s="24">
        <v>47.46</v>
      </c>
      <c r="DD180" s="24">
        <v>20.37</v>
      </c>
      <c r="DE180" s="24">
        <v>3.52</v>
      </c>
      <c r="DF180" s="24">
        <v>0</v>
      </c>
      <c r="DG180" s="24">
        <v>0</v>
      </c>
      <c r="DH180" s="24">
        <v>0</v>
      </c>
      <c r="DU180" s="24">
        <v>8.4</v>
      </c>
      <c r="DV180" s="24">
        <v>0</v>
      </c>
      <c r="EG180" s="28"/>
      <c r="EY180" s="24">
        <v>1</v>
      </c>
      <c r="EZ180" s="24">
        <v>80</v>
      </c>
      <c r="FA180" s="24">
        <v>9</v>
      </c>
      <c r="FB180" s="24">
        <f>2.94*2+0.13</f>
        <v>6.01</v>
      </c>
      <c r="FC180" s="24">
        <v>3</v>
      </c>
      <c r="FD180" s="24">
        <v>50</v>
      </c>
      <c r="FE180" s="24">
        <v>4</v>
      </c>
      <c r="FF180" s="24">
        <v>5.56</v>
      </c>
      <c r="FG180" s="24">
        <v>3</v>
      </c>
      <c r="GJ180" s="27">
        <v>1.69</v>
      </c>
      <c r="GK180" s="27">
        <v>1</v>
      </c>
      <c r="GL180" s="27">
        <v>1</v>
      </c>
      <c r="GM180" s="27"/>
      <c r="GN180" s="27">
        <v>3.6</v>
      </c>
      <c r="GO180" s="27"/>
      <c r="GP180" s="27"/>
      <c r="GQ180" s="27"/>
      <c r="GR180" s="27"/>
      <c r="GS180" s="27"/>
      <c r="GT180" s="27"/>
      <c r="GU180" s="27">
        <v>3.24</v>
      </c>
      <c r="GV180" s="27">
        <v>2.54</v>
      </c>
      <c r="GW180" s="27"/>
      <c r="GX180" s="27"/>
      <c r="GY180" s="27">
        <v>3.6</v>
      </c>
      <c r="GZ180" s="27">
        <v>8.8000000000000007</v>
      </c>
      <c r="HA180" s="27">
        <v>0</v>
      </c>
      <c r="HB180" s="24">
        <v>0</v>
      </c>
      <c r="HC180" s="24" t="s">
        <v>662</v>
      </c>
      <c r="HD180" s="24">
        <v>46.5</v>
      </c>
      <c r="HE180" s="27">
        <v>69.2</v>
      </c>
      <c r="HF180" s="27">
        <v>83.4</v>
      </c>
      <c r="HG180" s="27">
        <v>28.7</v>
      </c>
      <c r="HH180" s="24">
        <v>53.82</v>
      </c>
      <c r="HI180" s="24">
        <v>0</v>
      </c>
      <c r="HJ180" s="24">
        <v>0</v>
      </c>
      <c r="HK180" s="24">
        <v>0</v>
      </c>
      <c r="HL180" s="24">
        <v>46.18</v>
      </c>
      <c r="HM180" s="24">
        <v>0</v>
      </c>
      <c r="HN180" s="24">
        <v>0</v>
      </c>
      <c r="HO180" s="24">
        <v>0</v>
      </c>
      <c r="HP180" s="24">
        <v>0</v>
      </c>
      <c r="HQ180" s="24">
        <v>0</v>
      </c>
      <c r="HR180" s="24">
        <v>0</v>
      </c>
      <c r="HS180" s="24">
        <v>0</v>
      </c>
      <c r="HT180" s="24">
        <v>5.46</v>
      </c>
      <c r="HU180" s="24">
        <v>46.31</v>
      </c>
      <c r="HV180" s="24">
        <v>1.06</v>
      </c>
      <c r="HW180" s="24">
        <v>0</v>
      </c>
      <c r="HX180" s="24">
        <v>0</v>
      </c>
      <c r="HY180" s="24">
        <v>0</v>
      </c>
      <c r="IL180" s="24">
        <v>13.3</v>
      </c>
      <c r="IM180" s="24">
        <v>1</v>
      </c>
      <c r="IN180" s="24">
        <v>52</v>
      </c>
      <c r="IO180" s="24">
        <v>23</v>
      </c>
      <c r="IP180" s="24">
        <f>7.18+2.15+0.07+0.84+0.15+0.14+0.12</f>
        <v>10.65</v>
      </c>
      <c r="IQ180" s="24">
        <v>2</v>
      </c>
      <c r="IX180" s="28"/>
      <c r="JP180" s="24">
        <v>0</v>
      </c>
      <c r="LA180" s="27">
        <v>1.39</v>
      </c>
      <c r="LB180" s="27">
        <v>1</v>
      </c>
      <c r="LC180" s="27">
        <v>1</v>
      </c>
      <c r="LD180" s="27"/>
      <c r="LE180" s="27">
        <f>1.32*2+1.62</f>
        <v>4.26</v>
      </c>
      <c r="LF180" s="27"/>
      <c r="LG180" s="27"/>
      <c r="LH180" s="27"/>
      <c r="LI180" s="27"/>
      <c r="LJ180" s="27"/>
      <c r="LK180" s="27"/>
      <c r="LL180" s="27">
        <v>0</v>
      </c>
      <c r="LM180" s="27">
        <v>0</v>
      </c>
      <c r="LN180" s="27"/>
      <c r="LO180" s="27"/>
      <c r="LP180" s="27">
        <v>2.88</v>
      </c>
      <c r="LQ180" s="27">
        <v>5.21</v>
      </c>
      <c r="LR180" s="27">
        <v>0</v>
      </c>
      <c r="LS180" s="24">
        <v>0</v>
      </c>
      <c r="LT180" s="24" t="s">
        <v>664</v>
      </c>
      <c r="LU180" s="24">
        <v>46</v>
      </c>
      <c r="LV180" s="27">
        <v>97.8</v>
      </c>
      <c r="LW180" s="27">
        <v>83.4</v>
      </c>
      <c r="LX180" s="27">
        <v>9.8000000000000007</v>
      </c>
      <c r="LY180" s="24">
        <v>97.48</v>
      </c>
      <c r="LZ180" s="24">
        <v>0</v>
      </c>
      <c r="MA180" s="24">
        <v>1.83</v>
      </c>
      <c r="MB180" s="24">
        <v>0</v>
      </c>
      <c r="MC180" s="24">
        <v>0</v>
      </c>
      <c r="MD180" s="24">
        <v>0</v>
      </c>
      <c r="ME180" s="24">
        <v>0</v>
      </c>
      <c r="MF180" s="24">
        <v>0</v>
      </c>
      <c r="MG180" s="24">
        <v>0</v>
      </c>
      <c r="MH180" s="24">
        <v>0</v>
      </c>
      <c r="MI180" s="24">
        <v>0</v>
      </c>
      <c r="MJ180" s="24">
        <v>3.67</v>
      </c>
      <c r="MK180" s="24">
        <v>10.58</v>
      </c>
      <c r="ML180" s="24">
        <v>65.89</v>
      </c>
      <c r="MM180" s="24">
        <v>0</v>
      </c>
      <c r="MN180" s="24">
        <v>0</v>
      </c>
      <c r="MO180" s="24">
        <v>0</v>
      </c>
      <c r="MP180" s="24">
        <v>0</v>
      </c>
      <c r="NC180" s="24">
        <v>29.3</v>
      </c>
      <c r="ND180" s="24">
        <v>1</v>
      </c>
      <c r="NE180" s="24">
        <v>40</v>
      </c>
      <c r="NF180" s="24">
        <v>10</v>
      </c>
      <c r="NG180" s="24">
        <f>0.91+0.39</f>
        <v>1.3</v>
      </c>
      <c r="NH180" s="24">
        <v>2</v>
      </c>
      <c r="NI180" s="24">
        <v>35</v>
      </c>
      <c r="NJ180" s="24">
        <v>10</v>
      </c>
      <c r="NK180" s="24">
        <f>0.58+1.36</f>
        <v>1.94</v>
      </c>
      <c r="NL180" s="24">
        <v>3</v>
      </c>
      <c r="NO180" s="28"/>
      <c r="OG180" s="24">
        <v>1</v>
      </c>
      <c r="OH180" s="24">
        <v>60</v>
      </c>
      <c r="OI180" s="24">
        <v>5</v>
      </c>
      <c r="OJ180" s="24">
        <v>3.67</v>
      </c>
      <c r="OK180" s="24">
        <v>3</v>
      </c>
      <c r="OL180" s="24">
        <v>30</v>
      </c>
      <c r="OM180" s="24">
        <v>6</v>
      </c>
      <c r="ON180" s="24">
        <v>5.87</v>
      </c>
      <c r="OO180" s="24">
        <v>4</v>
      </c>
      <c r="PR180" s="27">
        <v>1.87</v>
      </c>
      <c r="PS180" s="27">
        <v>1</v>
      </c>
      <c r="PT180" s="27">
        <v>1</v>
      </c>
      <c r="PU180" s="27"/>
      <c r="PV180" s="27">
        <f>2.04*2</f>
        <v>4.08</v>
      </c>
      <c r="PW180" s="27">
        <v>2</v>
      </c>
      <c r="PX180" s="27"/>
      <c r="PY180" s="27">
        <f>0.36*2</f>
        <v>0.72</v>
      </c>
      <c r="PZ180" s="27"/>
      <c r="QA180" s="27"/>
      <c r="QB180" s="27"/>
      <c r="QC180" s="27">
        <v>5.07</v>
      </c>
      <c r="QD180" s="27">
        <v>2.33</v>
      </c>
      <c r="QE180" s="27"/>
      <c r="QF180" s="27"/>
      <c r="QG180" s="27">
        <v>0</v>
      </c>
      <c r="QH180" s="27">
        <v>0</v>
      </c>
      <c r="QI180" s="27">
        <v>0</v>
      </c>
      <c r="QJ180" s="24">
        <v>0</v>
      </c>
      <c r="QK180" s="24" t="s">
        <v>665</v>
      </c>
      <c r="QL180" s="24">
        <v>49.5</v>
      </c>
      <c r="QM180" s="27">
        <v>97.8</v>
      </c>
      <c r="QN180" s="27">
        <v>83.4</v>
      </c>
      <c r="QO180" s="27">
        <v>9.9</v>
      </c>
      <c r="QP180" s="24">
        <v>97.48</v>
      </c>
      <c r="QQ180" s="24">
        <v>0</v>
      </c>
      <c r="QR180" s="24">
        <v>1.83</v>
      </c>
      <c r="QS180" s="24">
        <v>0</v>
      </c>
      <c r="QT180" s="24">
        <v>0.68</v>
      </c>
      <c r="QU180" s="24">
        <v>0</v>
      </c>
      <c r="QV180" s="24">
        <v>0</v>
      </c>
      <c r="QW180" s="24">
        <v>0</v>
      </c>
      <c r="QX180" s="24">
        <v>0</v>
      </c>
      <c r="QY180" s="24">
        <v>0</v>
      </c>
      <c r="QZ180" s="24">
        <v>0</v>
      </c>
      <c r="RA180" s="24">
        <v>3.67</v>
      </c>
      <c r="RB180" s="24">
        <v>8.74</v>
      </c>
      <c r="RC180" s="24">
        <v>67.72</v>
      </c>
      <c r="RD180" s="24">
        <v>0</v>
      </c>
      <c r="RE180" s="24">
        <v>0</v>
      </c>
      <c r="RF180" s="24">
        <v>0</v>
      </c>
      <c r="RG180" s="24">
        <v>0</v>
      </c>
      <c r="RT180" s="24">
        <v>32.5</v>
      </c>
      <c r="RU180" s="24">
        <v>1</v>
      </c>
      <c r="RV180" s="24">
        <v>30</v>
      </c>
      <c r="RW180" s="24">
        <v>11</v>
      </c>
      <c r="RX180" s="24">
        <f>6.61+5.5</f>
        <v>12.11</v>
      </c>
      <c r="RY180" s="24">
        <v>4</v>
      </c>
      <c r="RZ180" s="24">
        <v>40</v>
      </c>
      <c r="SA180" s="24">
        <v>12</v>
      </c>
      <c r="SB180" s="24">
        <f>2.2+1.47+0.91</f>
        <v>4.58</v>
      </c>
      <c r="SC180" s="24">
        <v>2</v>
      </c>
      <c r="SD180" s="24">
        <v>35</v>
      </c>
      <c r="SE180" s="24">
        <v>10</v>
      </c>
      <c r="SF180" s="28">
        <f>1.36+0.58</f>
        <v>1.94</v>
      </c>
      <c r="SG180" s="24">
        <v>3</v>
      </c>
      <c r="SH180" s="24">
        <v>78</v>
      </c>
      <c r="SI180" s="24">
        <v>3</v>
      </c>
      <c r="SJ180" s="24">
        <v>0.39</v>
      </c>
      <c r="SK180" s="24">
        <v>2</v>
      </c>
      <c r="SX180" s="24">
        <v>0</v>
      </c>
      <c r="UI180" s="27">
        <v>1.87</v>
      </c>
      <c r="UJ180" s="27">
        <v>1</v>
      </c>
      <c r="UK180" s="27">
        <v>1</v>
      </c>
      <c r="UL180" s="27"/>
      <c r="UM180" s="27">
        <f>2.04*2</f>
        <v>4.08</v>
      </c>
      <c r="UN180" s="27">
        <v>2</v>
      </c>
      <c r="UO180" s="27"/>
      <c r="UP180" s="27">
        <v>0.7</v>
      </c>
      <c r="UQ180" s="27"/>
      <c r="UR180" s="27"/>
      <c r="US180" s="27"/>
      <c r="UT180" s="27">
        <v>5.01</v>
      </c>
      <c r="UU180" s="27">
        <v>1.3</v>
      </c>
      <c r="UV180" s="27"/>
      <c r="UW180" s="27"/>
      <c r="UX180" s="27">
        <v>0</v>
      </c>
      <c r="UY180" s="27">
        <v>0</v>
      </c>
      <c r="UZ180" s="27">
        <v>0</v>
      </c>
      <c r="VA180" s="24">
        <v>0</v>
      </c>
      <c r="VB180" s="39">
        <v>120</v>
      </c>
      <c r="VC180" s="24">
        <v>41</v>
      </c>
      <c r="VD180" s="27">
        <v>75.900000000000006</v>
      </c>
      <c r="VE180" s="27">
        <v>83.4</v>
      </c>
      <c r="VF180" s="27">
        <v>13.8</v>
      </c>
      <c r="VG180" s="24">
        <v>83.58</v>
      </c>
      <c r="VH180" s="24">
        <v>0</v>
      </c>
      <c r="VI180" s="24">
        <v>0</v>
      </c>
      <c r="VJ180" s="24">
        <v>0</v>
      </c>
      <c r="VK180" s="24">
        <v>9.73</v>
      </c>
      <c r="VL180" s="24">
        <v>0</v>
      </c>
      <c r="VM180" s="24">
        <v>6.69</v>
      </c>
      <c r="VN180" s="24">
        <v>0</v>
      </c>
      <c r="VO180" s="24">
        <v>0</v>
      </c>
      <c r="VP180" s="24">
        <v>0</v>
      </c>
      <c r="VQ180" s="24">
        <v>0</v>
      </c>
      <c r="VR180" s="24">
        <v>11.59</v>
      </c>
      <c r="VS180" s="24">
        <v>26.54</v>
      </c>
      <c r="VT180" s="24">
        <v>10.81</v>
      </c>
      <c r="VU180" s="24">
        <v>6.87</v>
      </c>
      <c r="VV180" s="24">
        <v>0</v>
      </c>
      <c r="VW180" s="24">
        <v>20</v>
      </c>
      <c r="VX180" s="24">
        <v>1</v>
      </c>
      <c r="VY180" s="24">
        <v>3</v>
      </c>
      <c r="WA180" s="24">
        <v>4</v>
      </c>
      <c r="WK180" s="24">
        <v>1.9</v>
      </c>
      <c r="WL180" s="24">
        <v>1</v>
      </c>
      <c r="WM180" s="24">
        <v>34</v>
      </c>
      <c r="WN180" s="24">
        <v>4</v>
      </c>
      <c r="WO180" s="24">
        <f>4.04+0.71</f>
        <v>4.75</v>
      </c>
      <c r="WP180" s="24">
        <v>1</v>
      </c>
      <c r="WQ180" s="24">
        <v>52</v>
      </c>
      <c r="WR180" s="24">
        <v>2</v>
      </c>
      <c r="WS180" s="24">
        <f>0.73+0.13</f>
        <v>0.86</v>
      </c>
      <c r="WT180" s="24">
        <v>2</v>
      </c>
      <c r="WW180" s="28"/>
      <c r="XO180" s="24">
        <v>0</v>
      </c>
      <c r="YZ180" s="27">
        <v>0</v>
      </c>
      <c r="ZA180" s="27">
        <v>0</v>
      </c>
      <c r="ZB180" s="27"/>
      <c r="ZC180" s="27"/>
      <c r="ZD180" s="27"/>
      <c r="ZE180" s="27"/>
      <c r="ZF180" s="27"/>
      <c r="ZG180" s="27"/>
      <c r="ZH180" s="27"/>
      <c r="ZI180" s="27"/>
      <c r="ZJ180" s="27"/>
      <c r="ZK180" s="27">
        <v>5.08</v>
      </c>
      <c r="ZL180" s="27">
        <v>4.75</v>
      </c>
      <c r="ZM180" s="27"/>
      <c r="ZN180" s="27"/>
      <c r="ZO180" s="27">
        <v>0</v>
      </c>
      <c r="ZP180" s="27">
        <v>0</v>
      </c>
      <c r="ZQ180" s="27">
        <v>0</v>
      </c>
      <c r="ZR180" s="24">
        <v>0</v>
      </c>
      <c r="ZS180" s="24" t="s">
        <v>666</v>
      </c>
      <c r="ZT180" s="24">
        <v>27.5</v>
      </c>
      <c r="ZU180" s="27">
        <v>76.8</v>
      </c>
      <c r="ZV180" s="27">
        <v>83.4</v>
      </c>
      <c r="ZW180" s="27">
        <v>16</v>
      </c>
      <c r="ZX180" s="24">
        <v>82.97</v>
      </c>
      <c r="ZY180" s="24">
        <v>0</v>
      </c>
      <c r="ZZ180" s="24">
        <v>0.28999999999999998</v>
      </c>
      <c r="AAA180" s="24">
        <v>0</v>
      </c>
      <c r="AAB180" s="24">
        <v>16.739999999999998</v>
      </c>
      <c r="AAC180" s="24">
        <v>0</v>
      </c>
      <c r="AAD180" s="24">
        <v>0</v>
      </c>
      <c r="AAE180" s="24">
        <v>0</v>
      </c>
      <c r="AAF180" s="24">
        <v>0</v>
      </c>
      <c r="AAG180" s="24">
        <v>0</v>
      </c>
      <c r="AAH180" s="24">
        <v>0</v>
      </c>
      <c r="AAI180" s="24">
        <v>0</v>
      </c>
      <c r="AAJ180" s="24">
        <v>1.65</v>
      </c>
      <c r="AAK180" s="24">
        <v>49.33</v>
      </c>
      <c r="AAL180" s="24">
        <v>1.23</v>
      </c>
      <c r="AAM180" s="24">
        <v>0</v>
      </c>
      <c r="AAN180" s="24">
        <v>0</v>
      </c>
      <c r="AAO180" s="24">
        <v>0</v>
      </c>
      <c r="ABB180" s="24">
        <v>8.6999999999999993</v>
      </c>
      <c r="ABC180" s="24">
        <v>1</v>
      </c>
      <c r="ABD180" s="24">
        <v>35</v>
      </c>
      <c r="ABE180" s="24">
        <v>3</v>
      </c>
      <c r="ABF180" s="24">
        <f>0.13*2+0.73</f>
        <v>0.99</v>
      </c>
      <c r="ABG180" s="24">
        <v>3</v>
      </c>
      <c r="ABH180" s="24">
        <v>47</v>
      </c>
      <c r="ABI180" s="24">
        <v>4</v>
      </c>
      <c r="ABJ180" s="24">
        <v>0.52</v>
      </c>
      <c r="ABK180" s="24">
        <v>3</v>
      </c>
      <c r="ABN180" s="28"/>
      <c r="ACF180" s="24">
        <v>0</v>
      </c>
      <c r="ADQ180" s="27">
        <v>1.44</v>
      </c>
      <c r="ADR180" s="27">
        <v>1</v>
      </c>
      <c r="ADS180" s="27">
        <v>1</v>
      </c>
      <c r="ADT180" s="27"/>
      <c r="ADU180" s="27">
        <f>3.3*2+0.36*2</f>
        <v>7.3199999999999994</v>
      </c>
      <c r="ADV180" s="27"/>
      <c r="ADW180" s="27"/>
      <c r="ADX180" s="27"/>
      <c r="ADY180" s="27"/>
      <c r="ADZ180" s="27"/>
      <c r="AEA180" s="27"/>
      <c r="AEB180" s="27">
        <v>1.08</v>
      </c>
      <c r="AEC180" s="27">
        <v>0.26</v>
      </c>
      <c r="AED180" s="27"/>
      <c r="AEE180" s="27"/>
      <c r="AEF180" s="27">
        <v>0</v>
      </c>
      <c r="AEG180" s="27">
        <v>0</v>
      </c>
      <c r="AEH180" s="27">
        <v>0</v>
      </c>
      <c r="AEI180" s="24">
        <v>0</v>
      </c>
      <c r="AEJ180" s="24" t="s">
        <v>668</v>
      </c>
      <c r="AEK180" s="24">
        <v>45</v>
      </c>
      <c r="AEL180" s="27">
        <v>68.099999999999994</v>
      </c>
      <c r="AEM180" s="27">
        <v>83.4</v>
      </c>
      <c r="AEN180" s="27">
        <v>15.3</v>
      </c>
      <c r="AEO180" s="24">
        <v>83.75</v>
      </c>
      <c r="AEP180" s="24">
        <v>0</v>
      </c>
      <c r="AEQ180" s="24">
        <v>0.28999999999999998</v>
      </c>
      <c r="AER180" s="24">
        <v>0</v>
      </c>
      <c r="AES180" s="24">
        <v>0</v>
      </c>
      <c r="AET180" s="24">
        <v>0</v>
      </c>
      <c r="AEU180" s="24">
        <v>0</v>
      </c>
      <c r="AEV180" s="24">
        <v>0</v>
      </c>
      <c r="AEW180" s="24">
        <v>0</v>
      </c>
      <c r="AEX180" s="24">
        <v>0</v>
      </c>
      <c r="AEY180" s="24">
        <v>0</v>
      </c>
      <c r="AEZ180" s="24">
        <v>0</v>
      </c>
      <c r="AFA180" s="24">
        <v>5.69</v>
      </c>
      <c r="AFB180" s="24">
        <v>43.64</v>
      </c>
      <c r="AFC180" s="24">
        <v>0.45</v>
      </c>
      <c r="AFD180" s="24">
        <v>0</v>
      </c>
      <c r="AFE180" s="24">
        <v>0</v>
      </c>
      <c r="AFF180" s="24">
        <v>0</v>
      </c>
      <c r="AFS180" s="24">
        <v>22.5</v>
      </c>
      <c r="AFT180" s="24">
        <v>1</v>
      </c>
      <c r="AFU180" s="24">
        <v>35</v>
      </c>
      <c r="AFV180" s="24">
        <v>5</v>
      </c>
      <c r="AFW180" s="24">
        <f>0.73*2+2.2+0.13*2</f>
        <v>3.92</v>
      </c>
      <c r="AFX180" s="24">
        <v>3</v>
      </c>
      <c r="AFY180" s="24">
        <v>47</v>
      </c>
      <c r="AFZ180" s="24">
        <v>4</v>
      </c>
      <c r="AGA180" s="24">
        <v>0.52</v>
      </c>
      <c r="AGB180" s="24">
        <v>3</v>
      </c>
      <c r="AGE180" s="28"/>
      <c r="AGW180" s="24">
        <v>0</v>
      </c>
      <c r="AIH180" s="27">
        <v>1.44</v>
      </c>
      <c r="AII180" s="27">
        <v>1</v>
      </c>
      <c r="AIJ180" s="27">
        <v>1</v>
      </c>
      <c r="AIK180" s="27"/>
      <c r="AIL180" s="27">
        <f>3.3*2+0.36*2</f>
        <v>7.3199999999999994</v>
      </c>
      <c r="AIM180" s="27"/>
      <c r="AIN180" s="27"/>
      <c r="AIO180" s="27"/>
      <c r="AIP180" s="27"/>
      <c r="AIQ180" s="27"/>
      <c r="AIR180" s="27"/>
      <c r="AIS180" s="27">
        <v>5.41</v>
      </c>
      <c r="AIT180" s="27">
        <v>3.92</v>
      </c>
      <c r="AIU180" s="27"/>
      <c r="AIV180" s="27"/>
      <c r="AIW180" s="27">
        <v>0</v>
      </c>
      <c r="AIX180" s="27">
        <v>0</v>
      </c>
      <c r="AIY180" s="27">
        <v>0</v>
      </c>
      <c r="AIZ180" s="24">
        <v>0</v>
      </c>
      <c r="AJA180" s="24" t="s">
        <v>669</v>
      </c>
      <c r="AJB180" s="24">
        <v>48.5</v>
      </c>
      <c r="AJC180" s="27">
        <v>84.6</v>
      </c>
      <c r="AJD180" s="27">
        <v>83.4</v>
      </c>
      <c r="AJE180" s="27">
        <v>32.5</v>
      </c>
      <c r="AJF180" s="24">
        <v>48.7</v>
      </c>
      <c r="AJG180" s="24">
        <v>0</v>
      </c>
      <c r="AJH180" s="24">
        <v>0</v>
      </c>
      <c r="AJI180" s="24">
        <v>0</v>
      </c>
      <c r="AJJ180" s="24">
        <v>51.3</v>
      </c>
      <c r="AJK180" s="24">
        <v>0</v>
      </c>
      <c r="AJL180" s="24">
        <v>0</v>
      </c>
      <c r="AJM180" s="24">
        <v>0</v>
      </c>
      <c r="AJN180" s="24">
        <v>0</v>
      </c>
      <c r="AJO180" s="24">
        <v>0</v>
      </c>
      <c r="AJP180" s="24">
        <v>0</v>
      </c>
      <c r="AJQ180" s="24">
        <v>0</v>
      </c>
      <c r="AJR180" s="24">
        <v>0.73</v>
      </c>
      <c r="AJS180" s="24">
        <v>33.47</v>
      </c>
      <c r="AJT180" s="24">
        <v>29.96</v>
      </c>
      <c r="AJU180" s="24">
        <v>0</v>
      </c>
      <c r="AJV180" s="24">
        <v>0</v>
      </c>
      <c r="AJW180" s="24">
        <v>0</v>
      </c>
      <c r="AKJ180" s="24">
        <v>9.4</v>
      </c>
      <c r="AKK180" s="24">
        <v>1</v>
      </c>
      <c r="AKL180" s="24">
        <v>52</v>
      </c>
      <c r="AKM180" s="24">
        <v>3</v>
      </c>
      <c r="AKN180" s="24">
        <v>2.2000000000000002</v>
      </c>
      <c r="AKO180" s="24">
        <v>2</v>
      </c>
      <c r="AKV180" s="28"/>
      <c r="ALN180" s="24">
        <v>1</v>
      </c>
      <c r="ALO180" s="24">
        <v>40</v>
      </c>
      <c r="ALP180" s="24">
        <v>5</v>
      </c>
      <c r="ALQ180" s="24">
        <f>0.73+1.28+1.65*2+1.83</f>
        <v>7.14</v>
      </c>
      <c r="ALR180" s="24">
        <v>6</v>
      </c>
      <c r="ALS180" s="24">
        <v>50</v>
      </c>
      <c r="ALT180" s="24">
        <v>2</v>
      </c>
      <c r="ALU180" s="24">
        <f>0.37*2</f>
        <v>0.74</v>
      </c>
      <c r="ALV180" s="24">
        <v>6</v>
      </c>
    </row>
    <row r="181" spans="1:1024" ht="14.25" customHeight="1" x14ac:dyDescent="0.2">
      <c r="A181" s="22" t="s">
        <v>670</v>
      </c>
      <c r="B181" s="23">
        <v>42907</v>
      </c>
      <c r="C181" s="24">
        <v>1</v>
      </c>
      <c r="D181" s="25">
        <v>42801</v>
      </c>
      <c r="E181" s="23">
        <v>31252</v>
      </c>
      <c r="F181" s="14">
        <f t="shared" si="48"/>
        <v>31.909650924024639</v>
      </c>
      <c r="G181" s="14">
        <f t="shared" si="49"/>
        <v>0.29021218343600275</v>
      </c>
      <c r="H181" s="21" t="s">
        <v>306</v>
      </c>
      <c r="I181" s="21" t="s">
        <v>658</v>
      </c>
      <c r="J181" s="21" t="s">
        <v>181</v>
      </c>
      <c r="K181" s="21">
        <v>8</v>
      </c>
      <c r="L181" s="26">
        <v>54</v>
      </c>
      <c r="M181" s="24">
        <v>1.6</v>
      </c>
      <c r="N181" s="27">
        <f t="shared" si="50"/>
        <v>21.093749999999996</v>
      </c>
      <c r="O181" s="26">
        <v>1</v>
      </c>
      <c r="P181" s="26"/>
      <c r="Q181" s="26"/>
      <c r="R181" s="26">
        <v>0</v>
      </c>
      <c r="S181" s="26">
        <v>0</v>
      </c>
      <c r="T181" s="26">
        <v>0</v>
      </c>
      <c r="U181" s="26">
        <v>0</v>
      </c>
      <c r="V181" s="26">
        <v>0</v>
      </c>
      <c r="W181" s="26">
        <v>0</v>
      </c>
      <c r="X181" s="26">
        <v>0</v>
      </c>
      <c r="Y181" s="26">
        <v>1</v>
      </c>
      <c r="Z181" s="26">
        <v>1</v>
      </c>
      <c r="AA181" s="26">
        <v>40</v>
      </c>
      <c r="AB181" s="26" t="s">
        <v>441</v>
      </c>
      <c r="AC181" s="26">
        <v>1</v>
      </c>
      <c r="AD181" s="26">
        <v>6</v>
      </c>
      <c r="AE181" s="26">
        <v>0</v>
      </c>
      <c r="AF181" s="26">
        <v>0</v>
      </c>
      <c r="AG181" s="26">
        <v>0</v>
      </c>
      <c r="AH181" s="26">
        <v>0</v>
      </c>
      <c r="AI181" s="26">
        <v>2</v>
      </c>
      <c r="AJ181" s="26">
        <v>0</v>
      </c>
      <c r="AK181" s="26">
        <v>2</v>
      </c>
      <c r="AL181" s="26"/>
      <c r="AM181" s="26">
        <v>5</v>
      </c>
      <c r="AN181" s="26">
        <v>0</v>
      </c>
      <c r="AO181" s="26">
        <v>0</v>
      </c>
      <c r="AP181" s="26">
        <v>0</v>
      </c>
      <c r="AQ181" s="26">
        <v>0</v>
      </c>
      <c r="AR181" s="26">
        <v>0</v>
      </c>
      <c r="AS181" s="26">
        <v>3</v>
      </c>
      <c r="AT181" s="26">
        <v>0</v>
      </c>
      <c r="AU181" s="26">
        <v>3</v>
      </c>
      <c r="AV181" s="26">
        <v>4</v>
      </c>
      <c r="AW181" s="26">
        <v>4</v>
      </c>
      <c r="AX181" s="26">
        <v>0</v>
      </c>
      <c r="AY181" s="26">
        <v>0</v>
      </c>
      <c r="AZ181" s="26">
        <v>0</v>
      </c>
      <c r="BA181" s="26">
        <v>0</v>
      </c>
      <c r="BB181" s="26">
        <v>0</v>
      </c>
      <c r="BC181" s="26">
        <v>0</v>
      </c>
      <c r="BD181" s="26">
        <v>0</v>
      </c>
      <c r="BE181" s="26">
        <v>0</v>
      </c>
      <c r="BF181" s="26">
        <v>0</v>
      </c>
      <c r="BG181" s="26">
        <v>0</v>
      </c>
      <c r="BH181" s="26">
        <v>0</v>
      </c>
      <c r="BI181" s="26">
        <v>0</v>
      </c>
      <c r="BJ181" s="26">
        <v>0</v>
      </c>
      <c r="BK181" s="26">
        <v>0</v>
      </c>
      <c r="BL181" s="26">
        <v>0</v>
      </c>
      <c r="BM181" s="26">
        <v>0</v>
      </c>
      <c r="BN181" s="26">
        <v>0</v>
      </c>
      <c r="BO181" s="26">
        <v>0</v>
      </c>
      <c r="BP181" s="26">
        <v>0</v>
      </c>
      <c r="BQ181" s="26">
        <v>0</v>
      </c>
      <c r="BR181" s="26">
        <v>2</v>
      </c>
      <c r="BS181" s="26">
        <v>2</v>
      </c>
      <c r="BT181" s="26">
        <v>2</v>
      </c>
      <c r="BU181" s="26">
        <v>4</v>
      </c>
      <c r="BV181" s="26">
        <v>1</v>
      </c>
      <c r="BW181" s="26">
        <v>1</v>
      </c>
      <c r="BX181" s="26">
        <v>4</v>
      </c>
      <c r="BY181" s="26">
        <v>3</v>
      </c>
      <c r="BZ181" s="26">
        <v>4</v>
      </c>
      <c r="CA181" s="26">
        <v>3</v>
      </c>
      <c r="CB181" s="26">
        <v>5</v>
      </c>
      <c r="CC181" s="26">
        <v>5</v>
      </c>
      <c r="CD181" s="26">
        <v>3</v>
      </c>
      <c r="CE181" s="26">
        <v>5</v>
      </c>
      <c r="CF181" s="26">
        <v>5</v>
      </c>
      <c r="CG181" s="26">
        <v>5</v>
      </c>
      <c r="CH181" s="26">
        <v>5</v>
      </c>
      <c r="CI181" s="26">
        <v>5</v>
      </c>
      <c r="CJ181" s="26">
        <v>5</v>
      </c>
      <c r="CK181" s="26">
        <v>9</v>
      </c>
      <c r="CL181" s="24" t="s">
        <v>661</v>
      </c>
      <c r="CM181" s="24">
        <v>29</v>
      </c>
      <c r="CN181" s="27">
        <v>86.2</v>
      </c>
      <c r="CO181" s="27">
        <v>83.4</v>
      </c>
      <c r="CP181" s="27">
        <v>15.4</v>
      </c>
      <c r="CQ181" s="24">
        <v>87</v>
      </c>
      <c r="CR181" s="24">
        <v>0</v>
      </c>
      <c r="CS181" s="24">
        <v>0</v>
      </c>
      <c r="CT181" s="24">
        <v>0</v>
      </c>
      <c r="CU181" s="24">
        <v>13</v>
      </c>
      <c r="CV181" s="24">
        <v>0</v>
      </c>
      <c r="CW181" s="24">
        <v>0</v>
      </c>
      <c r="CX181" s="24">
        <v>0</v>
      </c>
      <c r="CY181" s="24">
        <v>0</v>
      </c>
      <c r="CZ181" s="24">
        <v>0</v>
      </c>
      <c r="DA181" s="24">
        <v>0</v>
      </c>
      <c r="DB181" s="24">
        <v>37.36</v>
      </c>
      <c r="DC181" s="24">
        <v>46.33</v>
      </c>
      <c r="DD181" s="24">
        <v>18.45</v>
      </c>
      <c r="DE181" s="24">
        <v>0</v>
      </c>
      <c r="DF181" s="24">
        <v>0</v>
      </c>
      <c r="DG181" s="24">
        <v>0</v>
      </c>
      <c r="DH181" s="24">
        <v>0</v>
      </c>
      <c r="DU181" s="24">
        <v>8.3000000000000007</v>
      </c>
      <c r="DV181" s="24">
        <v>0</v>
      </c>
      <c r="EG181" s="28"/>
      <c r="EY181" s="24">
        <v>1</v>
      </c>
      <c r="EZ181" s="24">
        <v>80</v>
      </c>
      <c r="FA181" s="24">
        <v>9</v>
      </c>
      <c r="FB181" s="24">
        <v>6.01</v>
      </c>
      <c r="FC181" s="24">
        <v>3</v>
      </c>
      <c r="GJ181" s="27">
        <v>1.8</v>
      </c>
      <c r="GK181" s="27">
        <v>1</v>
      </c>
      <c r="GL181" s="27">
        <v>1</v>
      </c>
      <c r="GM181" s="27"/>
      <c r="GN181" s="27">
        <v>3.6</v>
      </c>
      <c r="GO181" s="27"/>
      <c r="GP181" s="27"/>
      <c r="GQ181" s="27"/>
      <c r="GR181" s="27"/>
      <c r="GS181" s="27"/>
      <c r="GT181" s="27"/>
      <c r="GU181" s="27">
        <v>0.54</v>
      </c>
      <c r="GV181" s="27">
        <v>0.13</v>
      </c>
      <c r="GW181" s="27"/>
      <c r="GX181" s="27"/>
      <c r="GY181" s="27">
        <v>2.88</v>
      </c>
      <c r="GZ181" s="27">
        <v>6.91</v>
      </c>
      <c r="HA181" s="27">
        <v>0</v>
      </c>
      <c r="HB181" s="24">
        <v>0</v>
      </c>
      <c r="HC181" s="24" t="s">
        <v>662</v>
      </c>
      <c r="HD181" s="24">
        <v>46.5</v>
      </c>
      <c r="HE181" s="27">
        <v>69.2</v>
      </c>
      <c r="HF181" s="27">
        <v>83.4</v>
      </c>
      <c r="HG181" s="27">
        <v>28.7</v>
      </c>
      <c r="HH181" s="24">
        <v>53.82</v>
      </c>
      <c r="HI181" s="24">
        <v>0</v>
      </c>
      <c r="HJ181" s="24">
        <v>0</v>
      </c>
      <c r="HK181" s="24">
        <v>0</v>
      </c>
      <c r="HL181" s="24">
        <v>46.18</v>
      </c>
      <c r="HM181" s="24">
        <v>0</v>
      </c>
      <c r="HN181" s="24">
        <v>0</v>
      </c>
      <c r="HO181" s="24">
        <v>0</v>
      </c>
      <c r="HP181" s="24">
        <v>0</v>
      </c>
      <c r="HQ181" s="24">
        <v>0</v>
      </c>
      <c r="HR181" s="24">
        <v>0</v>
      </c>
      <c r="HS181" s="24">
        <v>0</v>
      </c>
      <c r="HT181" s="24">
        <v>5.46</v>
      </c>
      <c r="HU181" s="24">
        <v>46.31</v>
      </c>
      <c r="HV181" s="24">
        <v>1.06</v>
      </c>
      <c r="HW181" s="24">
        <v>0</v>
      </c>
      <c r="HX181" s="24">
        <v>0</v>
      </c>
      <c r="HY181" s="24">
        <v>0</v>
      </c>
      <c r="IL181" s="24">
        <v>13.3</v>
      </c>
      <c r="IM181" s="24">
        <v>1</v>
      </c>
      <c r="IN181" s="24">
        <v>52</v>
      </c>
      <c r="IO181" s="24">
        <v>23</v>
      </c>
      <c r="IP181" s="24">
        <f>7.18+2.15+0.07+0.84+0.15+0.14+0.12</f>
        <v>10.65</v>
      </c>
      <c r="IQ181" s="24">
        <v>2</v>
      </c>
      <c r="IX181" s="28"/>
      <c r="JP181" s="24">
        <v>0</v>
      </c>
      <c r="LA181" s="27">
        <v>1.39</v>
      </c>
      <c r="LB181" s="27">
        <v>1</v>
      </c>
      <c r="LC181" s="27">
        <v>1</v>
      </c>
      <c r="LD181" s="27"/>
      <c r="LE181" s="27">
        <f>1.32*2+1.62</f>
        <v>4.26</v>
      </c>
      <c r="LF181" s="27"/>
      <c r="LG181" s="27"/>
      <c r="LH181" s="27"/>
      <c r="LI181" s="27"/>
      <c r="LJ181" s="27"/>
      <c r="LK181" s="27"/>
      <c r="LL181" s="27">
        <v>0</v>
      </c>
      <c r="LM181" s="27">
        <v>0</v>
      </c>
      <c r="LN181" s="27"/>
      <c r="LO181" s="27"/>
      <c r="LP181" s="27">
        <v>2.88</v>
      </c>
      <c r="LQ181" s="27">
        <v>5.21</v>
      </c>
      <c r="LR181" s="27">
        <v>0</v>
      </c>
      <c r="LS181" s="24">
        <v>0</v>
      </c>
      <c r="LT181" s="24" t="s">
        <v>663</v>
      </c>
      <c r="LU181" s="24">
        <v>43.5</v>
      </c>
      <c r="LV181" s="27">
        <v>71.7</v>
      </c>
      <c r="LW181" s="27">
        <v>83.4</v>
      </c>
      <c r="LX181" s="27">
        <v>26.2</v>
      </c>
      <c r="LY181" s="24">
        <v>62.72</v>
      </c>
      <c r="LZ181" s="24">
        <v>0</v>
      </c>
      <c r="MA181" s="24">
        <v>0</v>
      </c>
      <c r="MB181" s="24">
        <v>0</v>
      </c>
      <c r="MC181" s="24">
        <v>37.28</v>
      </c>
      <c r="MD181" s="24">
        <v>0</v>
      </c>
      <c r="ME181" s="24">
        <v>0</v>
      </c>
      <c r="MF181" s="24">
        <v>0</v>
      </c>
      <c r="MG181" s="24">
        <v>0</v>
      </c>
      <c r="MH181" s="24">
        <v>0</v>
      </c>
      <c r="MI181" s="24">
        <v>0</v>
      </c>
      <c r="MJ181" s="24">
        <v>0</v>
      </c>
      <c r="MK181" s="24">
        <v>5.91</v>
      </c>
      <c r="ML181" s="24">
        <v>43.24</v>
      </c>
      <c r="MM181" s="24">
        <v>0.36</v>
      </c>
      <c r="MN181" s="24">
        <v>0</v>
      </c>
      <c r="MO181" s="24">
        <v>0</v>
      </c>
      <c r="MP181" s="24">
        <v>0</v>
      </c>
      <c r="NC181" s="24">
        <v>12.7</v>
      </c>
      <c r="ND181" s="24">
        <v>1</v>
      </c>
      <c r="NE181" s="24">
        <v>52</v>
      </c>
      <c r="NF181" s="24">
        <v>13</v>
      </c>
      <c r="NG181" s="24">
        <f>7.18+2.15</f>
        <v>9.33</v>
      </c>
      <c r="NH181" s="24">
        <v>2</v>
      </c>
      <c r="NO181" s="28"/>
      <c r="OG181" s="24">
        <v>0</v>
      </c>
      <c r="PR181" s="27">
        <v>1.39</v>
      </c>
      <c r="PS181" s="27">
        <v>1</v>
      </c>
      <c r="PT181" s="27">
        <v>1</v>
      </c>
      <c r="PU181" s="27"/>
      <c r="PV181" s="27">
        <f t="shared" ref="PV181:PV188" si="60">1.32*2+1.62</f>
        <v>4.26</v>
      </c>
      <c r="PW181" s="27"/>
      <c r="PX181" s="27"/>
      <c r="PY181" s="27"/>
      <c r="PZ181" s="27"/>
      <c r="QA181" s="27"/>
      <c r="QB181" s="27"/>
      <c r="QC181" s="27">
        <v>0</v>
      </c>
      <c r="QD181" s="27">
        <v>0</v>
      </c>
      <c r="QE181" s="27"/>
      <c r="QF181" s="27"/>
      <c r="QG181" s="27">
        <v>2.88</v>
      </c>
      <c r="QH181" s="27">
        <v>5.57</v>
      </c>
      <c r="QI181" s="27">
        <v>0</v>
      </c>
      <c r="QJ181" s="24">
        <v>0</v>
      </c>
      <c r="QK181" s="24" t="s">
        <v>664</v>
      </c>
      <c r="QL181" s="24">
        <v>46</v>
      </c>
      <c r="QM181" s="27">
        <v>97.8</v>
      </c>
      <c r="QN181" s="27">
        <v>83.4</v>
      </c>
      <c r="QO181" s="27">
        <v>9.8000000000000007</v>
      </c>
      <c r="QP181" s="24">
        <v>97.48</v>
      </c>
      <c r="QQ181" s="24">
        <v>0</v>
      </c>
      <c r="QR181" s="24">
        <v>1.83</v>
      </c>
      <c r="QS181" s="24">
        <v>0</v>
      </c>
      <c r="QT181" s="24">
        <v>0</v>
      </c>
      <c r="QU181" s="24">
        <v>0</v>
      </c>
      <c r="QV181" s="24">
        <v>0</v>
      </c>
      <c r="QW181" s="24">
        <v>0</v>
      </c>
      <c r="QX181" s="24">
        <v>0</v>
      </c>
      <c r="QY181" s="24">
        <v>0</v>
      </c>
      <c r="QZ181" s="24">
        <v>0</v>
      </c>
      <c r="RA181" s="24">
        <v>3.67</v>
      </c>
      <c r="RB181" s="24">
        <v>10.58</v>
      </c>
      <c r="RC181" s="24">
        <v>65.89</v>
      </c>
      <c r="RD181" s="24">
        <v>0</v>
      </c>
      <c r="RE181" s="24">
        <v>0</v>
      </c>
      <c r="RF181" s="24">
        <v>0</v>
      </c>
      <c r="RG181" s="24">
        <v>0</v>
      </c>
      <c r="RT181" s="24">
        <v>29.3</v>
      </c>
      <c r="RU181" s="24">
        <v>1</v>
      </c>
      <c r="RV181" s="24">
        <v>40</v>
      </c>
      <c r="RW181" s="24">
        <v>10</v>
      </c>
      <c r="RX181" s="24">
        <f>0.91+0.39</f>
        <v>1.3</v>
      </c>
      <c r="RY181" s="24">
        <v>2</v>
      </c>
      <c r="RZ181" s="24">
        <v>35</v>
      </c>
      <c r="SA181" s="24">
        <v>10</v>
      </c>
      <c r="SB181" s="24">
        <f>0.58+1.36</f>
        <v>1.94</v>
      </c>
      <c r="SC181" s="24">
        <v>3</v>
      </c>
      <c r="SF181" s="28"/>
      <c r="SX181" s="24">
        <v>1</v>
      </c>
      <c r="SY181" s="24">
        <v>60</v>
      </c>
      <c r="SZ181" s="24">
        <v>5</v>
      </c>
      <c r="TA181" s="24">
        <v>3.67</v>
      </c>
      <c r="TB181" s="24">
        <v>3</v>
      </c>
      <c r="TC181" s="24">
        <v>30</v>
      </c>
      <c r="TD181" s="24">
        <v>6</v>
      </c>
      <c r="TE181" s="24">
        <v>5.87</v>
      </c>
      <c r="TF181" s="24">
        <v>4</v>
      </c>
      <c r="UI181" s="27">
        <v>1.87</v>
      </c>
      <c r="UJ181" s="27">
        <v>1</v>
      </c>
      <c r="UK181" s="27">
        <v>1</v>
      </c>
      <c r="UL181" s="27"/>
      <c r="UM181" s="27">
        <f>2.04*2</f>
        <v>4.08</v>
      </c>
      <c r="UN181" s="27">
        <v>2</v>
      </c>
      <c r="UO181" s="27"/>
      <c r="UP181" s="27">
        <f>0.36*2</f>
        <v>0.72</v>
      </c>
      <c r="UQ181" s="27"/>
      <c r="UR181" s="27"/>
      <c r="US181" s="27"/>
      <c r="UT181" s="27">
        <v>5.07</v>
      </c>
      <c r="UU181" s="27">
        <v>2.33</v>
      </c>
      <c r="UV181" s="27"/>
      <c r="UW181" s="27"/>
      <c r="UX181" s="27">
        <v>0</v>
      </c>
      <c r="UY181" s="27">
        <v>0</v>
      </c>
      <c r="UZ181" s="27">
        <v>0</v>
      </c>
      <c r="VA181" s="24">
        <v>0</v>
      </c>
      <c r="VB181" s="24" t="s">
        <v>665</v>
      </c>
      <c r="VC181" s="24">
        <v>49.5</v>
      </c>
      <c r="VD181" s="27">
        <v>97.8</v>
      </c>
      <c r="VE181" s="27">
        <v>83.4</v>
      </c>
      <c r="VF181" s="27">
        <v>9.9</v>
      </c>
      <c r="VG181" s="24">
        <v>97.48</v>
      </c>
      <c r="VH181" s="24">
        <v>0</v>
      </c>
      <c r="VI181" s="24">
        <v>1.83</v>
      </c>
      <c r="VJ181" s="24">
        <v>0</v>
      </c>
      <c r="VK181" s="24">
        <v>0.68</v>
      </c>
      <c r="VL181" s="24">
        <v>0</v>
      </c>
      <c r="VM181" s="24">
        <v>0</v>
      </c>
      <c r="VN181" s="24">
        <v>0</v>
      </c>
      <c r="VO181" s="24">
        <v>0</v>
      </c>
      <c r="VP181" s="24">
        <v>0</v>
      </c>
      <c r="VQ181" s="24">
        <v>0</v>
      </c>
      <c r="VR181" s="24">
        <v>3.67</v>
      </c>
      <c r="VS181" s="24">
        <v>8.74</v>
      </c>
      <c r="VT181" s="24">
        <v>67.72</v>
      </c>
      <c r="VU181" s="24">
        <v>0</v>
      </c>
      <c r="VV181" s="24">
        <v>0</v>
      </c>
      <c r="VW181" s="24">
        <v>0</v>
      </c>
      <c r="VX181" s="24">
        <v>0</v>
      </c>
      <c r="WK181" s="24">
        <v>32.5</v>
      </c>
      <c r="WL181" s="24">
        <v>1</v>
      </c>
      <c r="WM181" s="24">
        <v>30</v>
      </c>
      <c r="WN181" s="24">
        <v>11</v>
      </c>
      <c r="WO181" s="24">
        <f>6.61+5.5</f>
        <v>12.11</v>
      </c>
      <c r="WP181" s="24">
        <v>4</v>
      </c>
      <c r="WQ181" s="24">
        <v>40</v>
      </c>
      <c r="WR181" s="24">
        <v>12</v>
      </c>
      <c r="WS181" s="24">
        <f>2.2+1.47+0.91</f>
        <v>4.58</v>
      </c>
      <c r="WT181" s="24">
        <v>2</v>
      </c>
      <c r="WU181" s="24">
        <v>35</v>
      </c>
      <c r="WV181" s="24">
        <v>10</v>
      </c>
      <c r="WW181" s="28">
        <f>1.36+0.58</f>
        <v>1.94</v>
      </c>
      <c r="WX181" s="24">
        <v>3</v>
      </c>
      <c r="WY181" s="24">
        <v>78</v>
      </c>
      <c r="WZ181" s="24">
        <v>3</v>
      </c>
      <c r="XA181" s="24">
        <v>0.39</v>
      </c>
      <c r="XB181" s="24">
        <v>2</v>
      </c>
      <c r="XO181" s="24">
        <v>0</v>
      </c>
      <c r="YZ181" s="27">
        <v>1.87</v>
      </c>
      <c r="ZA181" s="27">
        <v>1</v>
      </c>
      <c r="ZB181" s="27">
        <v>1</v>
      </c>
      <c r="ZC181" s="27"/>
      <c r="ZD181" s="27">
        <f t="shared" ref="ZD181:ZD188" si="61">2.04*2</f>
        <v>4.08</v>
      </c>
      <c r="ZE181" s="27">
        <v>2</v>
      </c>
      <c r="ZF181" s="27"/>
      <c r="ZG181" s="27">
        <v>0.7</v>
      </c>
      <c r="ZH181" s="27"/>
      <c r="ZI181" s="27"/>
      <c r="ZJ181" s="27"/>
      <c r="ZK181" s="27">
        <v>5.01</v>
      </c>
      <c r="ZL181" s="27">
        <v>1.3</v>
      </c>
      <c r="ZM181" s="27"/>
      <c r="ZN181" s="27"/>
      <c r="ZO181" s="27">
        <v>0</v>
      </c>
      <c r="ZP181" s="27">
        <v>0</v>
      </c>
      <c r="ZQ181" s="27">
        <v>0</v>
      </c>
      <c r="ZR181" s="24">
        <v>0</v>
      </c>
      <c r="ZS181" s="39">
        <v>120</v>
      </c>
      <c r="ZT181" s="24">
        <v>41</v>
      </c>
      <c r="ZU181" s="27">
        <v>75.900000000000006</v>
      </c>
      <c r="ZV181" s="27">
        <v>83.4</v>
      </c>
      <c r="ZW181" s="27">
        <v>13.8</v>
      </c>
      <c r="ZX181" s="24">
        <v>83.58</v>
      </c>
      <c r="ZY181" s="24">
        <v>0</v>
      </c>
      <c r="ZZ181" s="24">
        <v>0</v>
      </c>
      <c r="AAA181" s="24">
        <v>0</v>
      </c>
      <c r="AAB181" s="24">
        <v>9.73</v>
      </c>
      <c r="AAC181" s="24">
        <v>0</v>
      </c>
      <c r="AAD181" s="24">
        <v>6.69</v>
      </c>
      <c r="AAE181" s="24">
        <v>0</v>
      </c>
      <c r="AAF181" s="24">
        <v>0</v>
      </c>
      <c r="AAG181" s="24">
        <v>0</v>
      </c>
      <c r="AAH181" s="24">
        <v>0</v>
      </c>
      <c r="AAI181" s="24">
        <v>11.59</v>
      </c>
      <c r="AAJ181" s="24">
        <v>26.54</v>
      </c>
      <c r="AAK181" s="24">
        <v>10.81</v>
      </c>
      <c r="AAL181" s="24">
        <v>6.87</v>
      </c>
      <c r="AAM181" s="24">
        <v>0</v>
      </c>
      <c r="AAN181" s="24">
        <v>20</v>
      </c>
      <c r="AAO181" s="24">
        <v>1</v>
      </c>
      <c r="AAP181" s="24">
        <v>3</v>
      </c>
      <c r="AAR181" s="24">
        <v>4</v>
      </c>
      <c r="ABB181" s="24">
        <v>1.9</v>
      </c>
      <c r="ABC181" s="24">
        <v>1</v>
      </c>
      <c r="ABD181" s="24">
        <v>34</v>
      </c>
      <c r="ABE181" s="24">
        <v>4</v>
      </c>
      <c r="ABF181" s="24">
        <f>4.04+0.71</f>
        <v>4.75</v>
      </c>
      <c r="ABG181" s="24">
        <v>1</v>
      </c>
      <c r="ABH181" s="24">
        <v>52</v>
      </c>
      <c r="ABI181" s="24">
        <v>2</v>
      </c>
      <c r="ABJ181" s="24">
        <f>0.73+0.13</f>
        <v>0.86</v>
      </c>
      <c r="ABK181" s="24">
        <v>2</v>
      </c>
      <c r="ABN181" s="28"/>
      <c r="ACF181" s="24">
        <v>0</v>
      </c>
      <c r="ADQ181" s="27">
        <v>0</v>
      </c>
      <c r="ADR181" s="27">
        <v>0</v>
      </c>
      <c r="ADS181" s="27"/>
      <c r="ADT181" s="27"/>
      <c r="ADU181" s="27"/>
      <c r="ADV181" s="27"/>
      <c r="ADW181" s="27"/>
      <c r="ADX181" s="27"/>
      <c r="ADY181" s="27"/>
      <c r="ADZ181" s="27"/>
      <c r="AEA181" s="27"/>
      <c r="AEB181" s="27">
        <v>5.08</v>
      </c>
      <c r="AEC181" s="27">
        <v>4.75</v>
      </c>
      <c r="AED181" s="27"/>
      <c r="AEE181" s="27"/>
      <c r="AEF181" s="27">
        <v>0</v>
      </c>
      <c r="AEG181" s="27">
        <v>0</v>
      </c>
      <c r="AEH181" s="27">
        <v>0</v>
      </c>
      <c r="AEI181" s="24">
        <v>0</v>
      </c>
      <c r="AEJ181" s="24" t="s">
        <v>666</v>
      </c>
      <c r="AEK181" s="24">
        <v>27.5</v>
      </c>
      <c r="AEL181" s="27">
        <v>76.8</v>
      </c>
      <c r="AEM181" s="27">
        <v>83.4</v>
      </c>
      <c r="AEN181" s="27">
        <v>16</v>
      </c>
      <c r="AEO181" s="24">
        <v>82.97</v>
      </c>
      <c r="AEP181" s="24">
        <v>0</v>
      </c>
      <c r="AEQ181" s="24">
        <v>0.28999999999999998</v>
      </c>
      <c r="AER181" s="24">
        <v>0</v>
      </c>
      <c r="AES181" s="24">
        <v>16.739999999999998</v>
      </c>
      <c r="AET181" s="24">
        <v>0</v>
      </c>
      <c r="AEU181" s="24">
        <v>0</v>
      </c>
      <c r="AEV181" s="24">
        <v>0</v>
      </c>
      <c r="AEW181" s="24">
        <v>0</v>
      </c>
      <c r="AEX181" s="24">
        <v>0</v>
      </c>
      <c r="AEY181" s="24">
        <v>0</v>
      </c>
      <c r="AEZ181" s="24">
        <v>0</v>
      </c>
      <c r="AFA181" s="24">
        <v>1.65</v>
      </c>
      <c r="AFB181" s="24">
        <v>49.33</v>
      </c>
      <c r="AFC181" s="24">
        <v>1.23</v>
      </c>
      <c r="AFD181" s="24">
        <v>0</v>
      </c>
      <c r="AFE181" s="24">
        <v>0</v>
      </c>
      <c r="AFF181" s="24">
        <v>0</v>
      </c>
      <c r="AFS181" s="24">
        <v>8.6999999999999993</v>
      </c>
      <c r="AFT181" s="24">
        <v>1</v>
      </c>
      <c r="AFU181" s="24">
        <v>35</v>
      </c>
      <c r="AFV181" s="24">
        <v>3</v>
      </c>
      <c r="AFW181" s="24">
        <f>0.13*2+0.73</f>
        <v>0.99</v>
      </c>
      <c r="AFX181" s="24">
        <v>3</v>
      </c>
      <c r="AFY181" s="24">
        <v>47</v>
      </c>
      <c r="AFZ181" s="24">
        <v>4</v>
      </c>
      <c r="AGA181" s="24">
        <v>0.52</v>
      </c>
      <c r="AGB181" s="24">
        <v>3</v>
      </c>
      <c r="AGE181" s="28"/>
      <c r="AGW181" s="24">
        <v>0</v>
      </c>
      <c r="AIH181" s="27">
        <v>1.44</v>
      </c>
      <c r="AII181" s="27">
        <v>1</v>
      </c>
      <c r="AIJ181" s="27">
        <v>1</v>
      </c>
      <c r="AIK181" s="27"/>
      <c r="AIL181" s="27">
        <f>3.3*2+0.36*2</f>
        <v>7.3199999999999994</v>
      </c>
      <c r="AIM181" s="27"/>
      <c r="AIN181" s="27"/>
      <c r="AIO181" s="27"/>
      <c r="AIP181" s="27"/>
      <c r="AIQ181" s="27"/>
      <c r="AIR181" s="27"/>
      <c r="AIS181" s="27">
        <v>1.08</v>
      </c>
      <c r="AIT181" s="27">
        <v>0.26</v>
      </c>
      <c r="AIU181" s="27"/>
      <c r="AIV181" s="27"/>
      <c r="AIW181" s="27">
        <v>0</v>
      </c>
      <c r="AIX181" s="27">
        <v>0</v>
      </c>
      <c r="AIY181" s="27">
        <v>0</v>
      </c>
      <c r="AIZ181" s="24">
        <v>0</v>
      </c>
      <c r="AJA181" s="24" t="s">
        <v>668</v>
      </c>
      <c r="AJB181" s="24">
        <v>45</v>
      </c>
      <c r="AJC181" s="27">
        <v>68.099999999999994</v>
      </c>
      <c r="AJD181" s="27">
        <v>83.4</v>
      </c>
      <c r="AJE181" s="27">
        <v>15.3</v>
      </c>
      <c r="AJF181" s="24">
        <v>83.75</v>
      </c>
      <c r="AJG181" s="24">
        <v>0</v>
      </c>
      <c r="AJH181" s="24">
        <v>0.28999999999999998</v>
      </c>
      <c r="AJI181" s="24">
        <v>0</v>
      </c>
      <c r="AJJ181" s="24">
        <v>0</v>
      </c>
      <c r="AJK181" s="24">
        <v>0</v>
      </c>
      <c r="AJL181" s="24">
        <v>0</v>
      </c>
      <c r="AJM181" s="24">
        <v>0</v>
      </c>
      <c r="AJN181" s="24">
        <v>0</v>
      </c>
      <c r="AJO181" s="24">
        <v>0</v>
      </c>
      <c r="AJP181" s="24">
        <v>0</v>
      </c>
      <c r="AJQ181" s="24">
        <v>0</v>
      </c>
      <c r="AJR181" s="24">
        <v>5.69</v>
      </c>
      <c r="AJS181" s="24">
        <v>43.64</v>
      </c>
      <c r="AJT181" s="24">
        <v>0.45</v>
      </c>
      <c r="AJU181" s="24">
        <v>0</v>
      </c>
      <c r="AJV181" s="24">
        <v>0</v>
      </c>
      <c r="AJW181" s="24">
        <v>0</v>
      </c>
      <c r="AKJ181" s="24">
        <v>22.5</v>
      </c>
      <c r="AKK181" s="24">
        <v>1</v>
      </c>
      <c r="AKL181" s="24">
        <v>35</v>
      </c>
      <c r="AKM181" s="24">
        <v>5</v>
      </c>
      <c r="AKN181" s="24">
        <f>0.73*2+2.2+0.13*2</f>
        <v>3.92</v>
      </c>
      <c r="AKO181" s="24">
        <v>3</v>
      </c>
      <c r="AKP181" s="24">
        <v>47</v>
      </c>
      <c r="AKQ181" s="24">
        <v>4</v>
      </c>
      <c r="AKR181" s="24">
        <v>0.52</v>
      </c>
      <c r="AKS181" s="24">
        <v>3</v>
      </c>
      <c r="AKV181" s="28"/>
      <c r="ALN181" s="24">
        <v>0</v>
      </c>
    </row>
    <row r="182" spans="1:1024" x14ac:dyDescent="0.2">
      <c r="A182" s="1" t="s">
        <v>671</v>
      </c>
      <c r="B182" s="12">
        <v>42907</v>
      </c>
      <c r="C182">
        <v>2</v>
      </c>
      <c r="D182" s="13">
        <v>34656</v>
      </c>
      <c r="E182" s="12">
        <v>25438</v>
      </c>
      <c r="F182" s="14">
        <f t="shared" si="48"/>
        <v>47.827515400410675</v>
      </c>
      <c r="G182" s="14">
        <f t="shared" si="49"/>
        <v>22.590006844626966</v>
      </c>
      <c r="H182" s="15" t="s">
        <v>306</v>
      </c>
      <c r="I182" s="15" t="s">
        <v>658</v>
      </c>
      <c r="J182" s="21" t="s">
        <v>181</v>
      </c>
      <c r="K182" s="21">
        <v>8</v>
      </c>
      <c r="L182" s="19">
        <v>70</v>
      </c>
      <c r="M182">
        <v>1.7</v>
      </c>
      <c r="N182" s="16">
        <f t="shared" si="50"/>
        <v>24.221453287197235</v>
      </c>
      <c r="O182" s="19">
        <v>1</v>
      </c>
      <c r="P182" s="19">
        <v>1</v>
      </c>
      <c r="Q182" s="19" t="s">
        <v>672</v>
      </c>
      <c r="R182" s="19">
        <v>0</v>
      </c>
      <c r="S182" s="19"/>
      <c r="T182" s="19"/>
      <c r="U182" s="26">
        <v>0</v>
      </c>
      <c r="V182" s="26">
        <v>0</v>
      </c>
      <c r="W182" s="19">
        <v>0</v>
      </c>
      <c r="X182" s="19">
        <v>0</v>
      </c>
      <c r="Y182" s="19">
        <v>1</v>
      </c>
      <c r="Z182" s="19">
        <v>2</v>
      </c>
      <c r="AA182" s="19">
        <v>90</v>
      </c>
      <c r="AB182" s="19" t="s">
        <v>673</v>
      </c>
      <c r="AC182" s="19">
        <v>0</v>
      </c>
      <c r="AD182" s="19">
        <v>0</v>
      </c>
      <c r="AE182" s="19">
        <v>1</v>
      </c>
      <c r="AF182" s="19">
        <v>0</v>
      </c>
      <c r="AG182" s="19">
        <v>0</v>
      </c>
      <c r="AH182" s="19">
        <v>0</v>
      </c>
      <c r="AI182" s="19">
        <v>3</v>
      </c>
      <c r="AJ182" s="19">
        <v>1</v>
      </c>
      <c r="AK182" s="19">
        <v>1</v>
      </c>
      <c r="AL182" s="19">
        <v>7</v>
      </c>
      <c r="AM182" s="19">
        <v>0</v>
      </c>
      <c r="AN182" s="19">
        <v>3</v>
      </c>
      <c r="AO182" s="19">
        <v>3</v>
      </c>
      <c r="AP182" s="19">
        <v>3</v>
      </c>
      <c r="AQ182" s="19">
        <v>5</v>
      </c>
      <c r="AR182" s="19">
        <v>5</v>
      </c>
      <c r="AS182" s="19">
        <v>1</v>
      </c>
      <c r="AT182" s="19">
        <v>1</v>
      </c>
      <c r="AU182" s="19">
        <v>1</v>
      </c>
      <c r="AV182" s="19">
        <v>5</v>
      </c>
      <c r="AW182" s="19">
        <v>0</v>
      </c>
      <c r="AX182" s="19">
        <v>0</v>
      </c>
      <c r="AY182" s="19">
        <v>0</v>
      </c>
      <c r="AZ182" s="19">
        <v>0</v>
      </c>
      <c r="BA182" s="19">
        <v>0</v>
      </c>
      <c r="BB182" s="19">
        <v>1</v>
      </c>
      <c r="BC182" s="19">
        <v>1</v>
      </c>
      <c r="BD182" s="19">
        <v>1</v>
      </c>
      <c r="BE182" s="19">
        <v>7</v>
      </c>
      <c r="BF182" s="19">
        <v>0</v>
      </c>
      <c r="BG182" s="19">
        <v>0</v>
      </c>
      <c r="BH182" s="19">
        <v>0</v>
      </c>
      <c r="BI182" s="19">
        <v>0</v>
      </c>
      <c r="BJ182" s="19">
        <v>1</v>
      </c>
      <c r="BK182" s="19">
        <v>1</v>
      </c>
      <c r="BL182" s="19">
        <v>1</v>
      </c>
      <c r="BM182" s="19">
        <v>6</v>
      </c>
      <c r="BN182" s="19">
        <v>1</v>
      </c>
      <c r="BO182" s="19">
        <v>1</v>
      </c>
      <c r="BP182" s="19">
        <v>1</v>
      </c>
      <c r="BQ182" s="19">
        <v>5</v>
      </c>
      <c r="BR182" s="19">
        <v>4</v>
      </c>
      <c r="BS182" s="19">
        <v>3</v>
      </c>
      <c r="BT182" s="19">
        <v>5</v>
      </c>
      <c r="BU182" s="19">
        <v>5</v>
      </c>
      <c r="BV182" s="19">
        <v>4</v>
      </c>
      <c r="BW182" s="19">
        <v>4</v>
      </c>
      <c r="BX182" s="19">
        <v>5</v>
      </c>
      <c r="BY182" s="19">
        <v>5</v>
      </c>
      <c r="BZ182" s="19">
        <v>4</v>
      </c>
      <c r="CA182" s="19">
        <v>3</v>
      </c>
      <c r="CB182" s="19">
        <v>3</v>
      </c>
      <c r="CC182" s="19">
        <v>4</v>
      </c>
      <c r="CD182" s="19">
        <v>1</v>
      </c>
      <c r="CE182" s="19">
        <v>3</v>
      </c>
      <c r="CF182" s="19">
        <v>5</v>
      </c>
      <c r="CG182" s="19">
        <v>5</v>
      </c>
      <c r="CH182" s="19">
        <v>5</v>
      </c>
      <c r="CI182" s="19">
        <v>4</v>
      </c>
      <c r="CJ182" s="19">
        <v>3</v>
      </c>
      <c r="CK182" s="19">
        <v>8</v>
      </c>
      <c r="CL182" t="s">
        <v>660</v>
      </c>
      <c r="CM182">
        <v>35.5</v>
      </c>
      <c r="CN182" s="16">
        <v>93.5</v>
      </c>
      <c r="CO182" s="16">
        <v>83.4</v>
      </c>
      <c r="CP182" s="16">
        <v>18.2</v>
      </c>
      <c r="CQ182">
        <v>81.819999999999993</v>
      </c>
      <c r="CR182">
        <v>0</v>
      </c>
      <c r="CS182">
        <v>0</v>
      </c>
      <c r="CT182">
        <v>0</v>
      </c>
      <c r="CU182">
        <v>18.18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37.1</v>
      </c>
      <c r="DC182">
        <v>47.46</v>
      </c>
      <c r="DD182">
        <v>20.37</v>
      </c>
      <c r="DE182">
        <v>3.52</v>
      </c>
      <c r="DF182">
        <v>0</v>
      </c>
      <c r="DG182">
        <v>0</v>
      </c>
      <c r="DH182">
        <v>0</v>
      </c>
      <c r="DU182">
        <v>8.4</v>
      </c>
      <c r="DV182">
        <v>0</v>
      </c>
      <c r="EG182" s="18"/>
      <c r="EY182">
        <v>1</v>
      </c>
      <c r="EZ182">
        <v>80</v>
      </c>
      <c r="FA182">
        <v>9</v>
      </c>
      <c r="FB182">
        <f>2.94*2+0.13</f>
        <v>6.01</v>
      </c>
      <c r="FC182">
        <v>3</v>
      </c>
      <c r="FD182">
        <v>50</v>
      </c>
      <c r="FE182">
        <v>4</v>
      </c>
      <c r="FF182">
        <v>5.56</v>
      </c>
      <c r="FG182">
        <v>3</v>
      </c>
      <c r="GJ182" s="16">
        <v>1.69</v>
      </c>
      <c r="GK182" s="16">
        <v>1</v>
      </c>
      <c r="GL182" s="16">
        <v>1</v>
      </c>
      <c r="GM182" s="16"/>
      <c r="GN182" s="16">
        <v>3.6</v>
      </c>
      <c r="GO182" s="16"/>
      <c r="GP182" s="16"/>
      <c r="GQ182" s="16"/>
      <c r="GR182" s="16"/>
      <c r="GS182" s="16"/>
      <c r="GT182" s="16"/>
      <c r="GU182" s="16">
        <v>3.24</v>
      </c>
      <c r="GV182" s="16">
        <v>2.54</v>
      </c>
      <c r="GW182" s="16"/>
      <c r="GX182" s="16"/>
      <c r="GY182" s="16">
        <v>3.6</v>
      </c>
      <c r="GZ182" s="16">
        <v>8.8000000000000007</v>
      </c>
      <c r="HA182" s="16">
        <v>0</v>
      </c>
      <c r="HB182">
        <v>0</v>
      </c>
      <c r="HC182" t="s">
        <v>661</v>
      </c>
      <c r="HD182">
        <v>29</v>
      </c>
      <c r="HE182" s="16">
        <v>86.2</v>
      </c>
      <c r="HF182" s="16">
        <v>83.4</v>
      </c>
      <c r="HG182" s="16">
        <v>15.4</v>
      </c>
      <c r="HH182">
        <v>87</v>
      </c>
      <c r="HI182">
        <v>0</v>
      </c>
      <c r="HJ182">
        <v>0</v>
      </c>
      <c r="HK182">
        <v>0</v>
      </c>
      <c r="HL182">
        <v>13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37.36</v>
      </c>
      <c r="HT182">
        <v>46.33</v>
      </c>
      <c r="HU182">
        <v>18.45</v>
      </c>
      <c r="HV182">
        <v>0</v>
      </c>
      <c r="HW182">
        <v>0</v>
      </c>
      <c r="HX182">
        <v>0</v>
      </c>
      <c r="HY182">
        <v>0</v>
      </c>
      <c r="IL182">
        <v>8.3000000000000007</v>
      </c>
      <c r="IM182">
        <v>0</v>
      </c>
      <c r="IX182" s="18"/>
      <c r="JP182">
        <v>1</v>
      </c>
      <c r="JQ182">
        <v>80</v>
      </c>
      <c r="JR182">
        <v>9</v>
      </c>
      <c r="JS182">
        <v>6.01</v>
      </c>
      <c r="JT182">
        <v>3</v>
      </c>
      <c r="LA182" s="16">
        <v>1.8</v>
      </c>
      <c r="LB182" s="16">
        <v>1</v>
      </c>
      <c r="LC182" s="16">
        <v>1</v>
      </c>
      <c r="LD182" s="16"/>
      <c r="LE182" s="16">
        <v>3.6</v>
      </c>
      <c r="LF182" s="16"/>
      <c r="LG182" s="16"/>
      <c r="LH182" s="16"/>
      <c r="LI182" s="16"/>
      <c r="LJ182" s="16"/>
      <c r="LK182" s="16"/>
      <c r="LL182" s="16">
        <v>0.54</v>
      </c>
      <c r="LM182" s="16">
        <v>0.13</v>
      </c>
      <c r="LN182" s="16"/>
      <c r="LO182" s="16"/>
      <c r="LP182" s="16">
        <v>2.88</v>
      </c>
      <c r="LQ182" s="16">
        <v>6.91</v>
      </c>
      <c r="LR182" s="16">
        <v>0</v>
      </c>
      <c r="LS182">
        <v>0</v>
      </c>
      <c r="LT182" t="s">
        <v>662</v>
      </c>
      <c r="LU182">
        <v>46.5</v>
      </c>
      <c r="LV182" s="16">
        <v>69.2</v>
      </c>
      <c r="LW182" s="16">
        <v>83.4</v>
      </c>
      <c r="LX182" s="16">
        <v>28.7</v>
      </c>
      <c r="LY182">
        <v>53.82</v>
      </c>
      <c r="LZ182">
        <v>0</v>
      </c>
      <c r="MA182">
        <v>0</v>
      </c>
      <c r="MB182">
        <v>0</v>
      </c>
      <c r="MC182">
        <v>46.18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5.46</v>
      </c>
      <c r="ML182">
        <v>46.31</v>
      </c>
      <c r="MM182">
        <v>1.06</v>
      </c>
      <c r="MN182">
        <v>0</v>
      </c>
      <c r="MO182">
        <v>0</v>
      </c>
      <c r="MP182">
        <v>0</v>
      </c>
      <c r="NC182">
        <v>13.3</v>
      </c>
      <c r="ND182">
        <v>1</v>
      </c>
      <c r="NE182">
        <v>52</v>
      </c>
      <c r="NF182">
        <v>23</v>
      </c>
      <c r="NG182">
        <f>7.18+2.15+0.07+0.84+0.15+0.14+0.12</f>
        <v>10.65</v>
      </c>
      <c r="NH182">
        <v>2</v>
      </c>
      <c r="NO182" s="18"/>
      <c r="OG182">
        <v>0</v>
      </c>
      <c r="PR182" s="16">
        <v>1.39</v>
      </c>
      <c r="PS182" s="16">
        <v>1</v>
      </c>
      <c r="PT182" s="16">
        <v>1</v>
      </c>
      <c r="PU182" s="16"/>
      <c r="PV182" s="16">
        <f t="shared" si="60"/>
        <v>4.26</v>
      </c>
      <c r="PW182" s="16"/>
      <c r="PX182" s="16"/>
      <c r="PY182" s="16"/>
      <c r="PZ182" s="16"/>
      <c r="QA182" s="16"/>
      <c r="QB182" s="16"/>
      <c r="QC182" s="16">
        <v>0</v>
      </c>
      <c r="QD182" s="16">
        <v>0</v>
      </c>
      <c r="QE182" s="16"/>
      <c r="QF182" s="16"/>
      <c r="QG182" s="16">
        <v>2.88</v>
      </c>
      <c r="QH182" s="16">
        <v>5.21</v>
      </c>
      <c r="QI182" s="16">
        <v>0</v>
      </c>
      <c r="QJ182">
        <v>0</v>
      </c>
      <c r="QK182" t="s">
        <v>663</v>
      </c>
      <c r="QL182">
        <v>43.5</v>
      </c>
      <c r="QM182" s="16">
        <v>71.7</v>
      </c>
      <c r="QN182" s="16">
        <v>83.4</v>
      </c>
      <c r="QO182" s="16">
        <v>26.2</v>
      </c>
      <c r="QP182">
        <v>62.72</v>
      </c>
      <c r="QQ182">
        <v>0</v>
      </c>
      <c r="QR182">
        <v>0</v>
      </c>
      <c r="QS182">
        <v>0</v>
      </c>
      <c r="QT182">
        <v>37.28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5.91</v>
      </c>
      <c r="RC182">
        <v>43.24</v>
      </c>
      <c r="RD182">
        <v>0.36</v>
      </c>
      <c r="RE182">
        <v>0</v>
      </c>
      <c r="RF182">
        <v>0</v>
      </c>
      <c r="RG182">
        <v>0</v>
      </c>
      <c r="RT182">
        <v>12.7</v>
      </c>
      <c r="RU182">
        <v>1</v>
      </c>
      <c r="RV182">
        <v>52</v>
      </c>
      <c r="RW182">
        <v>13</v>
      </c>
      <c r="RX182">
        <f>7.18+2.15</f>
        <v>9.33</v>
      </c>
      <c r="RY182">
        <v>2</v>
      </c>
      <c r="SF182" s="18"/>
      <c r="SX182">
        <v>0</v>
      </c>
      <c r="UI182" s="16">
        <v>1.39</v>
      </c>
      <c r="UJ182" s="16">
        <v>1</v>
      </c>
      <c r="UK182" s="16">
        <v>1</v>
      </c>
      <c r="UL182" s="16"/>
      <c r="UM182" s="16">
        <f>1.32*2+1.62</f>
        <v>4.26</v>
      </c>
      <c r="UN182" s="16"/>
      <c r="UO182" s="16"/>
      <c r="UP182" s="16"/>
      <c r="UQ182" s="16"/>
      <c r="UR182" s="16"/>
      <c r="US182" s="16"/>
      <c r="UT182" s="16">
        <v>0</v>
      </c>
      <c r="UU182" s="16">
        <v>0</v>
      </c>
      <c r="UV182" s="16"/>
      <c r="UW182" s="16"/>
      <c r="UX182" s="16">
        <v>2.88</v>
      </c>
      <c r="UY182" s="16">
        <v>5.57</v>
      </c>
      <c r="UZ182" s="16">
        <v>0</v>
      </c>
      <c r="VA182">
        <v>0</v>
      </c>
      <c r="VB182" t="s">
        <v>664</v>
      </c>
      <c r="VC182">
        <v>46</v>
      </c>
      <c r="VD182" s="16">
        <v>97.8</v>
      </c>
      <c r="VE182" s="16">
        <v>83.4</v>
      </c>
      <c r="VF182" s="16">
        <v>9.8000000000000007</v>
      </c>
      <c r="VG182">
        <v>97.48</v>
      </c>
      <c r="VH182">
        <v>0</v>
      </c>
      <c r="VI182">
        <v>1.83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3.67</v>
      </c>
      <c r="VS182">
        <v>10.58</v>
      </c>
      <c r="VT182">
        <v>65.89</v>
      </c>
      <c r="VU182">
        <v>0</v>
      </c>
      <c r="VV182">
        <v>0</v>
      </c>
      <c r="VW182">
        <v>0</v>
      </c>
      <c r="VX182">
        <v>0</v>
      </c>
      <c r="WK182">
        <v>29.3</v>
      </c>
      <c r="WL182">
        <v>1</v>
      </c>
      <c r="WM182">
        <v>40</v>
      </c>
      <c r="WN182">
        <v>10</v>
      </c>
      <c r="WO182">
        <f>0.91+0.39</f>
        <v>1.3</v>
      </c>
      <c r="WP182">
        <v>2</v>
      </c>
      <c r="WQ182">
        <v>35</v>
      </c>
      <c r="WR182">
        <v>10</v>
      </c>
      <c r="WS182">
        <f>0.58+1.36</f>
        <v>1.94</v>
      </c>
      <c r="WT182">
        <v>3</v>
      </c>
      <c r="WW182" s="18"/>
      <c r="XO182">
        <v>1</v>
      </c>
      <c r="XP182">
        <v>60</v>
      </c>
      <c r="XQ182">
        <v>5</v>
      </c>
      <c r="XR182">
        <v>3.67</v>
      </c>
      <c r="XS182">
        <v>3</v>
      </c>
      <c r="XT182">
        <v>30</v>
      </c>
      <c r="XU182">
        <v>6</v>
      </c>
      <c r="XV182">
        <v>5.87</v>
      </c>
      <c r="XW182">
        <v>4</v>
      </c>
      <c r="YZ182" s="16">
        <v>1.87</v>
      </c>
      <c r="ZA182" s="16">
        <v>1</v>
      </c>
      <c r="ZB182" s="16">
        <v>1</v>
      </c>
      <c r="ZC182" s="16"/>
      <c r="ZD182" s="16">
        <f t="shared" si="61"/>
        <v>4.08</v>
      </c>
      <c r="ZE182" s="16">
        <v>2</v>
      </c>
      <c r="ZF182" s="16"/>
      <c r="ZG182" s="16">
        <f>0.36*2</f>
        <v>0.72</v>
      </c>
      <c r="ZH182" s="16"/>
      <c r="ZI182" s="16"/>
      <c r="ZJ182" s="16"/>
      <c r="ZK182" s="16">
        <v>5.07</v>
      </c>
      <c r="ZL182" s="16">
        <v>2.33</v>
      </c>
      <c r="ZM182" s="16"/>
      <c r="ZN182" s="16"/>
      <c r="ZO182" s="16">
        <v>0</v>
      </c>
      <c r="ZP182" s="16">
        <v>0</v>
      </c>
      <c r="ZQ182" s="16">
        <v>0</v>
      </c>
      <c r="ZR182">
        <v>0</v>
      </c>
      <c r="ZS182" t="s">
        <v>665</v>
      </c>
      <c r="ZT182">
        <v>49.5</v>
      </c>
      <c r="ZU182" s="16">
        <v>97.8</v>
      </c>
      <c r="ZV182" s="16">
        <v>83.4</v>
      </c>
      <c r="ZW182" s="16">
        <v>9.9</v>
      </c>
      <c r="ZX182">
        <v>97.48</v>
      </c>
      <c r="ZY182">
        <v>0</v>
      </c>
      <c r="ZZ182">
        <v>1.83</v>
      </c>
      <c r="AAA182">
        <v>0</v>
      </c>
      <c r="AAB182">
        <v>0.68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3.67</v>
      </c>
      <c r="AAJ182">
        <v>8.74</v>
      </c>
      <c r="AAK182">
        <v>67.72</v>
      </c>
      <c r="AAL182">
        <v>0</v>
      </c>
      <c r="AAM182">
        <v>0</v>
      </c>
      <c r="AAN182">
        <v>0</v>
      </c>
      <c r="AAO182">
        <v>0</v>
      </c>
      <c r="ABB182">
        <v>32.5</v>
      </c>
      <c r="ABC182">
        <v>1</v>
      </c>
      <c r="ABD182">
        <v>30</v>
      </c>
      <c r="ABE182">
        <v>11</v>
      </c>
      <c r="ABF182">
        <f>6.61+5.5</f>
        <v>12.11</v>
      </c>
      <c r="ABG182">
        <v>4</v>
      </c>
      <c r="ABH182">
        <v>40</v>
      </c>
      <c r="ABI182">
        <v>12</v>
      </c>
      <c r="ABJ182">
        <f>2.2+1.47+0.91</f>
        <v>4.58</v>
      </c>
      <c r="ABK182">
        <v>2</v>
      </c>
      <c r="ABL182">
        <v>35</v>
      </c>
      <c r="ABM182">
        <v>10</v>
      </c>
      <c r="ABN182" s="18">
        <f>1.36+0.58</f>
        <v>1.94</v>
      </c>
      <c r="ABO182">
        <v>3</v>
      </c>
      <c r="ABP182">
        <v>78</v>
      </c>
      <c r="ABQ182">
        <v>3</v>
      </c>
      <c r="ABR182">
        <v>0.39</v>
      </c>
      <c r="ABS182">
        <v>2</v>
      </c>
      <c r="ACF182">
        <v>0</v>
      </c>
      <c r="ADQ182" s="16">
        <v>1.87</v>
      </c>
      <c r="ADR182" s="16">
        <v>1</v>
      </c>
      <c r="ADS182" s="16">
        <v>1</v>
      </c>
      <c r="ADT182" s="16"/>
      <c r="ADU182" s="16">
        <f>2.04*2</f>
        <v>4.08</v>
      </c>
      <c r="ADV182" s="16">
        <v>2</v>
      </c>
      <c r="ADW182" s="16"/>
      <c r="ADX182" s="16">
        <v>0.7</v>
      </c>
      <c r="ADY182" s="16"/>
      <c r="ADZ182" s="16"/>
      <c r="AEA182" s="16"/>
      <c r="AEB182" s="16">
        <v>5.01</v>
      </c>
      <c r="AEC182" s="16">
        <v>1.3</v>
      </c>
      <c r="AED182" s="16"/>
      <c r="AEE182" s="16"/>
      <c r="AEF182" s="16">
        <v>0</v>
      </c>
      <c r="AEG182" s="16">
        <v>0</v>
      </c>
      <c r="AEH182" s="16">
        <v>0</v>
      </c>
      <c r="AEI182">
        <v>0</v>
      </c>
      <c r="AEJ182" s="38">
        <v>120</v>
      </c>
      <c r="AEK182">
        <v>41</v>
      </c>
      <c r="AEL182" s="16">
        <v>75.900000000000006</v>
      </c>
      <c r="AEM182" s="16">
        <v>83.4</v>
      </c>
      <c r="AEN182" s="16">
        <v>13.8</v>
      </c>
      <c r="AEO182">
        <v>83.58</v>
      </c>
      <c r="AEP182">
        <v>0</v>
      </c>
      <c r="AEQ182">
        <v>0</v>
      </c>
      <c r="AER182">
        <v>0</v>
      </c>
      <c r="AES182">
        <v>9.73</v>
      </c>
      <c r="AET182">
        <v>0</v>
      </c>
      <c r="AEU182">
        <v>6.69</v>
      </c>
      <c r="AEV182">
        <v>0</v>
      </c>
      <c r="AEW182">
        <v>0</v>
      </c>
      <c r="AEX182">
        <v>0</v>
      </c>
      <c r="AEY182">
        <v>0</v>
      </c>
      <c r="AEZ182">
        <v>11.59</v>
      </c>
      <c r="AFA182">
        <v>26.54</v>
      </c>
      <c r="AFB182">
        <v>10.81</v>
      </c>
      <c r="AFC182">
        <v>6.87</v>
      </c>
      <c r="AFD182">
        <v>0</v>
      </c>
      <c r="AFE182">
        <v>20</v>
      </c>
      <c r="AFF182">
        <v>1</v>
      </c>
      <c r="AFG182">
        <v>3</v>
      </c>
      <c r="AFI182">
        <v>4</v>
      </c>
      <c r="AFS182">
        <v>1.9</v>
      </c>
      <c r="AFT182">
        <v>1</v>
      </c>
      <c r="AFU182">
        <v>34</v>
      </c>
      <c r="AFV182">
        <v>4</v>
      </c>
      <c r="AFW182">
        <f>4.04+0.71</f>
        <v>4.75</v>
      </c>
      <c r="AFX182">
        <v>1</v>
      </c>
      <c r="AFY182">
        <v>52</v>
      </c>
      <c r="AFZ182">
        <v>2</v>
      </c>
      <c r="AGA182">
        <f>0.73+0.13</f>
        <v>0.86</v>
      </c>
      <c r="AGB182">
        <v>2</v>
      </c>
      <c r="AGE182" s="18"/>
      <c r="AGW182">
        <v>0</v>
      </c>
      <c r="AIH182" s="16">
        <v>0</v>
      </c>
      <c r="AII182" s="16">
        <v>0</v>
      </c>
      <c r="AIJ182" s="16"/>
      <c r="AIK182" s="16"/>
      <c r="AIL182" s="16"/>
      <c r="AIM182" s="16"/>
      <c r="AIN182" s="16"/>
      <c r="AIO182" s="16"/>
      <c r="AIP182" s="16"/>
      <c r="AIQ182" s="16"/>
      <c r="AIR182" s="16"/>
      <c r="AIS182" s="16">
        <v>5.08</v>
      </c>
      <c r="AIT182" s="16">
        <v>4.75</v>
      </c>
      <c r="AIU182" s="16"/>
      <c r="AIV182" s="16"/>
      <c r="AIW182" s="16">
        <v>0</v>
      </c>
      <c r="AIX182" s="16">
        <v>0</v>
      </c>
      <c r="AIY182" s="16">
        <v>0</v>
      </c>
      <c r="AIZ182">
        <v>0</v>
      </c>
      <c r="AJA182" t="s">
        <v>666</v>
      </c>
      <c r="AJB182">
        <v>27.5</v>
      </c>
      <c r="AJC182" s="16">
        <v>76.8</v>
      </c>
      <c r="AJD182" s="16">
        <v>83.4</v>
      </c>
      <c r="AJE182" s="16">
        <v>16</v>
      </c>
      <c r="AJF182">
        <v>82.97</v>
      </c>
      <c r="AJG182">
        <v>0</v>
      </c>
      <c r="AJH182">
        <v>0.28999999999999998</v>
      </c>
      <c r="AJI182">
        <v>0</v>
      </c>
      <c r="AJJ182">
        <v>16.739999999999998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1.65</v>
      </c>
      <c r="AJS182">
        <v>49.33</v>
      </c>
      <c r="AJT182">
        <v>1.23</v>
      </c>
      <c r="AJU182">
        <v>0</v>
      </c>
      <c r="AJV182">
        <v>0</v>
      </c>
      <c r="AJW182">
        <v>0</v>
      </c>
      <c r="AKJ182">
        <v>8.6999999999999993</v>
      </c>
      <c r="AKK182">
        <v>1</v>
      </c>
      <c r="AKL182">
        <v>35</v>
      </c>
      <c r="AKM182">
        <v>3</v>
      </c>
      <c r="AKN182">
        <f>0.13*2+0.73</f>
        <v>0.99</v>
      </c>
      <c r="AKO182">
        <v>3</v>
      </c>
      <c r="AKP182">
        <v>47</v>
      </c>
      <c r="AKQ182">
        <v>4</v>
      </c>
      <c r="AKR182">
        <v>0.52</v>
      </c>
      <c r="AKS182">
        <v>3</v>
      </c>
      <c r="AKV182" s="18"/>
      <c r="ALN182">
        <v>0</v>
      </c>
    </row>
    <row r="183" spans="1:1024" x14ac:dyDescent="0.2">
      <c r="A183" s="1" t="s">
        <v>674</v>
      </c>
      <c r="B183" s="12">
        <v>42907</v>
      </c>
      <c r="C183">
        <v>2</v>
      </c>
      <c r="D183" s="13">
        <v>40301</v>
      </c>
      <c r="E183" s="12">
        <v>31865</v>
      </c>
      <c r="F183" s="14">
        <f t="shared" si="48"/>
        <v>30.231348391512661</v>
      </c>
      <c r="G183" s="14">
        <f t="shared" si="49"/>
        <v>7.1348391512662559</v>
      </c>
      <c r="H183" s="15" t="s">
        <v>306</v>
      </c>
      <c r="I183" s="15" t="s">
        <v>658</v>
      </c>
      <c r="J183" s="21" t="s">
        <v>181</v>
      </c>
      <c r="K183" s="21">
        <v>8</v>
      </c>
      <c r="L183" s="19">
        <v>80</v>
      </c>
      <c r="M183">
        <v>1.73</v>
      </c>
      <c r="N183" s="16">
        <f t="shared" si="50"/>
        <v>26.729927495071667</v>
      </c>
      <c r="O183" s="19">
        <v>0</v>
      </c>
      <c r="P183" s="19">
        <v>0</v>
      </c>
      <c r="Q183" s="19">
        <v>0</v>
      </c>
      <c r="R183" s="19">
        <v>0</v>
      </c>
      <c r="S183" s="19">
        <v>0</v>
      </c>
      <c r="T183" s="19">
        <v>0</v>
      </c>
      <c r="U183" s="26">
        <v>0</v>
      </c>
      <c r="V183" s="26">
        <v>0</v>
      </c>
      <c r="W183" s="19">
        <v>0</v>
      </c>
      <c r="X183" s="19">
        <v>0</v>
      </c>
      <c r="Y183" s="19">
        <v>1</v>
      </c>
      <c r="Z183" s="19">
        <v>1</v>
      </c>
      <c r="AA183" s="19">
        <v>30</v>
      </c>
      <c r="AB183" s="19" t="s">
        <v>445</v>
      </c>
      <c r="AC183" s="19">
        <v>1</v>
      </c>
      <c r="AD183" s="19">
        <v>10</v>
      </c>
      <c r="AE183" s="19">
        <v>0</v>
      </c>
      <c r="AF183" s="19">
        <v>0</v>
      </c>
      <c r="AG183" s="19">
        <v>0</v>
      </c>
      <c r="AH183" s="19">
        <v>0</v>
      </c>
      <c r="AI183" s="19">
        <v>1</v>
      </c>
      <c r="AJ183" s="19">
        <v>0</v>
      </c>
      <c r="AK183" s="19"/>
      <c r="AL183" s="19"/>
      <c r="AM183" s="19"/>
      <c r="AN183" s="19">
        <v>1</v>
      </c>
      <c r="AO183" s="19">
        <v>0</v>
      </c>
      <c r="AP183" s="19"/>
      <c r="AQ183" s="19"/>
      <c r="AR183" s="19"/>
      <c r="AS183" s="19">
        <v>1</v>
      </c>
      <c r="AT183" s="19">
        <v>0</v>
      </c>
      <c r="AU183" s="19">
        <v>1</v>
      </c>
      <c r="AV183" s="19">
        <v>8</v>
      </c>
      <c r="AW183" s="19">
        <v>0</v>
      </c>
      <c r="AX183" s="19">
        <v>0</v>
      </c>
      <c r="AY183" s="19">
        <v>0</v>
      </c>
      <c r="AZ183" s="19">
        <v>0</v>
      </c>
      <c r="BA183" s="19">
        <v>0</v>
      </c>
      <c r="BB183" s="19">
        <v>0</v>
      </c>
      <c r="BC183" s="19">
        <v>0</v>
      </c>
      <c r="BD183" s="19">
        <v>0</v>
      </c>
      <c r="BE183" s="19">
        <v>0</v>
      </c>
      <c r="BF183" s="19">
        <v>0</v>
      </c>
      <c r="BG183" s="19">
        <v>0</v>
      </c>
      <c r="BH183" s="19">
        <v>0</v>
      </c>
      <c r="BI183" s="19">
        <v>0</v>
      </c>
      <c r="BJ183" s="19">
        <v>0</v>
      </c>
      <c r="BK183" s="19">
        <v>0</v>
      </c>
      <c r="BL183" s="19">
        <v>0</v>
      </c>
      <c r="BM183" s="19">
        <v>0</v>
      </c>
      <c r="BN183" s="19">
        <v>0</v>
      </c>
      <c r="BO183" s="19">
        <v>0</v>
      </c>
      <c r="BP183" s="19">
        <v>0</v>
      </c>
      <c r="BQ183" s="19">
        <v>0</v>
      </c>
      <c r="BR183" s="19">
        <v>4</v>
      </c>
      <c r="BS183" s="19">
        <v>3</v>
      </c>
      <c r="BT183" s="19">
        <v>5</v>
      </c>
      <c r="BU183" s="19">
        <v>5</v>
      </c>
      <c r="BV183" s="19">
        <v>4</v>
      </c>
      <c r="BW183" s="19">
        <v>5</v>
      </c>
      <c r="BX183" s="19">
        <v>4</v>
      </c>
      <c r="BY183" s="19">
        <v>4</v>
      </c>
      <c r="BZ183" s="19">
        <v>1</v>
      </c>
      <c r="CA183" s="19">
        <v>1</v>
      </c>
      <c r="CB183" s="19">
        <v>3</v>
      </c>
      <c r="CC183" s="19">
        <v>5</v>
      </c>
      <c r="CD183" s="19">
        <v>3</v>
      </c>
      <c r="CE183" s="19">
        <v>3</v>
      </c>
      <c r="CF183" s="19">
        <v>3</v>
      </c>
      <c r="CG183" s="19">
        <v>5</v>
      </c>
      <c r="CH183" s="19">
        <v>2</v>
      </c>
      <c r="CI183" s="19">
        <v>3</v>
      </c>
      <c r="CJ183" s="19">
        <v>2</v>
      </c>
      <c r="CK183" s="19">
        <v>8</v>
      </c>
      <c r="CL183" t="s">
        <v>660</v>
      </c>
      <c r="CM183">
        <v>35.5</v>
      </c>
      <c r="CN183" s="16">
        <v>93.5</v>
      </c>
      <c r="CO183" s="16">
        <v>83.4</v>
      </c>
      <c r="CP183" s="16">
        <v>18.2</v>
      </c>
      <c r="CQ183">
        <v>81.819999999999993</v>
      </c>
      <c r="CR183">
        <v>0</v>
      </c>
      <c r="CS183">
        <v>0</v>
      </c>
      <c r="CT183">
        <v>0</v>
      </c>
      <c r="CU183">
        <v>18.18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37.1</v>
      </c>
      <c r="DC183">
        <v>47.46</v>
      </c>
      <c r="DD183">
        <v>20.37</v>
      </c>
      <c r="DE183">
        <v>3.52</v>
      </c>
      <c r="DF183">
        <v>0</v>
      </c>
      <c r="DG183">
        <v>0</v>
      </c>
      <c r="DH183">
        <v>0</v>
      </c>
      <c r="DU183">
        <v>8.4</v>
      </c>
      <c r="DV183">
        <v>0</v>
      </c>
      <c r="EG183" s="18"/>
      <c r="EY183">
        <v>1</v>
      </c>
      <c r="EZ183">
        <v>80</v>
      </c>
      <c r="FA183">
        <v>9</v>
      </c>
      <c r="FB183">
        <f>2.94*2+0.13</f>
        <v>6.01</v>
      </c>
      <c r="FC183">
        <v>3</v>
      </c>
      <c r="FD183">
        <v>50</v>
      </c>
      <c r="FE183">
        <v>4</v>
      </c>
      <c r="FF183">
        <v>5.56</v>
      </c>
      <c r="FG183">
        <v>3</v>
      </c>
      <c r="GJ183" s="16">
        <v>1.69</v>
      </c>
      <c r="GK183" s="16">
        <v>1</v>
      </c>
      <c r="GL183" s="16">
        <v>1</v>
      </c>
      <c r="GM183" s="16"/>
      <c r="GN183" s="16">
        <v>3.6</v>
      </c>
      <c r="GO183" s="16"/>
      <c r="GP183" s="16"/>
      <c r="GQ183" s="16"/>
      <c r="GR183" s="16"/>
      <c r="GS183" s="16"/>
      <c r="GT183" s="16"/>
      <c r="GU183" s="16">
        <v>3.24</v>
      </c>
      <c r="GV183" s="16">
        <v>2.54</v>
      </c>
      <c r="GW183" s="16"/>
      <c r="GX183" s="16"/>
      <c r="GY183" s="16">
        <v>3.6</v>
      </c>
      <c r="GZ183" s="16">
        <v>8.8000000000000007</v>
      </c>
      <c r="HA183" s="16">
        <v>0</v>
      </c>
      <c r="HB183">
        <v>0</v>
      </c>
      <c r="HC183" t="s">
        <v>661</v>
      </c>
      <c r="HD183">
        <v>29</v>
      </c>
      <c r="HE183" s="16">
        <v>86.2</v>
      </c>
      <c r="HF183" s="16">
        <v>83.4</v>
      </c>
      <c r="HG183" s="16">
        <v>15.4</v>
      </c>
      <c r="HH183">
        <v>87</v>
      </c>
      <c r="HI183">
        <v>0</v>
      </c>
      <c r="HJ183">
        <v>0</v>
      </c>
      <c r="HK183">
        <v>0</v>
      </c>
      <c r="HL183">
        <v>13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37.36</v>
      </c>
      <c r="HT183">
        <v>46.33</v>
      </c>
      <c r="HU183">
        <v>18.45</v>
      </c>
      <c r="HV183">
        <v>0</v>
      </c>
      <c r="HW183">
        <v>0</v>
      </c>
      <c r="HX183">
        <v>0</v>
      </c>
      <c r="HY183">
        <v>0</v>
      </c>
      <c r="IL183">
        <v>8.3000000000000007</v>
      </c>
      <c r="IM183">
        <v>0</v>
      </c>
      <c r="IX183" s="18"/>
      <c r="JP183">
        <v>1</v>
      </c>
      <c r="JQ183">
        <v>80</v>
      </c>
      <c r="JR183">
        <v>9</v>
      </c>
      <c r="JS183">
        <v>6.01</v>
      </c>
      <c r="JT183">
        <v>3</v>
      </c>
      <c r="LA183" s="16">
        <v>1.8</v>
      </c>
      <c r="LB183" s="16">
        <v>1</v>
      </c>
      <c r="LC183" s="16">
        <v>1</v>
      </c>
      <c r="LD183" s="16"/>
      <c r="LE183" s="16">
        <v>3.6</v>
      </c>
      <c r="LF183" s="16"/>
      <c r="LG183" s="16"/>
      <c r="LH183" s="16"/>
      <c r="LI183" s="16"/>
      <c r="LJ183" s="16"/>
      <c r="LK183" s="16"/>
      <c r="LL183" s="16">
        <v>0.54</v>
      </c>
      <c r="LM183" s="16">
        <v>0.13</v>
      </c>
      <c r="LN183" s="16"/>
      <c r="LO183" s="16"/>
      <c r="LP183" s="16">
        <v>2.88</v>
      </c>
      <c r="LQ183" s="16">
        <v>6.91</v>
      </c>
      <c r="LR183" s="16">
        <v>0</v>
      </c>
      <c r="LS183">
        <v>0</v>
      </c>
      <c r="LT183" t="s">
        <v>662</v>
      </c>
      <c r="LU183">
        <v>46.5</v>
      </c>
      <c r="LV183" s="16">
        <v>69.2</v>
      </c>
      <c r="LW183" s="16">
        <v>83.4</v>
      </c>
      <c r="LX183" s="16">
        <v>28.7</v>
      </c>
      <c r="LY183">
        <v>53.82</v>
      </c>
      <c r="LZ183">
        <v>0</v>
      </c>
      <c r="MA183">
        <v>0</v>
      </c>
      <c r="MB183">
        <v>0</v>
      </c>
      <c r="MC183">
        <v>46.18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5.46</v>
      </c>
      <c r="ML183">
        <v>46.31</v>
      </c>
      <c r="MM183">
        <v>1.06</v>
      </c>
      <c r="MN183">
        <v>0</v>
      </c>
      <c r="MO183">
        <v>0</v>
      </c>
      <c r="MP183">
        <v>0</v>
      </c>
      <c r="NC183">
        <v>13.3</v>
      </c>
      <c r="ND183">
        <v>1</v>
      </c>
      <c r="NE183">
        <v>52</v>
      </c>
      <c r="NF183">
        <v>23</v>
      </c>
      <c r="NG183">
        <f>7.18+2.15+0.07+0.84+0.15+0.14+0.12</f>
        <v>10.65</v>
      </c>
      <c r="NH183">
        <v>2</v>
      </c>
      <c r="NO183" s="18"/>
      <c r="OG183">
        <v>0</v>
      </c>
      <c r="PR183" s="16">
        <v>1.39</v>
      </c>
      <c r="PS183" s="16">
        <v>1</v>
      </c>
      <c r="PT183" s="16">
        <v>1</v>
      </c>
      <c r="PU183" s="16"/>
      <c r="PV183" s="16">
        <f t="shared" si="60"/>
        <v>4.26</v>
      </c>
      <c r="PW183" s="16"/>
      <c r="PX183" s="16"/>
      <c r="PY183" s="16"/>
      <c r="PZ183" s="16"/>
      <c r="QA183" s="16"/>
      <c r="QB183" s="16"/>
      <c r="QC183" s="16">
        <v>0</v>
      </c>
      <c r="QD183" s="16">
        <v>0</v>
      </c>
      <c r="QE183" s="16"/>
      <c r="QF183" s="16"/>
      <c r="QG183" s="16">
        <v>2.88</v>
      </c>
      <c r="QH183" s="16">
        <v>5.21</v>
      </c>
      <c r="QI183" s="16">
        <v>0</v>
      </c>
      <c r="QJ183">
        <v>0</v>
      </c>
      <c r="QK183" t="s">
        <v>663</v>
      </c>
      <c r="QL183">
        <v>43.5</v>
      </c>
      <c r="QM183" s="16">
        <v>71.7</v>
      </c>
      <c r="QN183" s="16">
        <v>83.4</v>
      </c>
      <c r="QO183" s="16">
        <v>26.2</v>
      </c>
      <c r="QP183">
        <v>62.72</v>
      </c>
      <c r="QQ183">
        <v>0</v>
      </c>
      <c r="QR183">
        <v>0</v>
      </c>
      <c r="QS183">
        <v>0</v>
      </c>
      <c r="QT183">
        <v>37.28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5.91</v>
      </c>
      <c r="RC183">
        <v>43.24</v>
      </c>
      <c r="RD183">
        <v>0.36</v>
      </c>
      <c r="RE183">
        <v>0</v>
      </c>
      <c r="RF183">
        <v>0</v>
      </c>
      <c r="RG183">
        <v>0</v>
      </c>
      <c r="RT183">
        <v>12.7</v>
      </c>
      <c r="RU183">
        <v>1</v>
      </c>
      <c r="RV183">
        <v>52</v>
      </c>
      <c r="RW183">
        <v>13</v>
      </c>
      <c r="RX183">
        <f>7.18+2.15</f>
        <v>9.33</v>
      </c>
      <c r="RY183">
        <v>2</v>
      </c>
      <c r="SF183" s="18"/>
      <c r="SX183">
        <v>0</v>
      </c>
      <c r="UI183" s="16">
        <v>1.39</v>
      </c>
      <c r="UJ183" s="16">
        <v>1</v>
      </c>
      <c r="UK183" s="16">
        <v>1</v>
      </c>
      <c r="UL183" s="16"/>
      <c r="UM183" s="16">
        <f>1.32*2+1.62</f>
        <v>4.26</v>
      </c>
      <c r="UN183" s="16"/>
      <c r="UO183" s="16"/>
      <c r="UP183" s="16"/>
      <c r="UQ183" s="16"/>
      <c r="UR183" s="16"/>
      <c r="US183" s="16"/>
      <c r="UT183" s="16">
        <v>0</v>
      </c>
      <c r="UU183" s="16">
        <v>0</v>
      </c>
      <c r="UV183" s="16"/>
      <c r="UW183" s="16"/>
      <c r="UX183" s="16">
        <v>2.88</v>
      </c>
      <c r="UY183" s="16">
        <v>5.57</v>
      </c>
      <c r="UZ183" s="16">
        <v>0</v>
      </c>
      <c r="VA183">
        <v>0</v>
      </c>
      <c r="VB183" t="s">
        <v>664</v>
      </c>
      <c r="VC183">
        <v>46</v>
      </c>
      <c r="VD183" s="16">
        <v>97.8</v>
      </c>
      <c r="VE183" s="16">
        <v>83.4</v>
      </c>
      <c r="VF183" s="16">
        <v>9.8000000000000007</v>
      </c>
      <c r="VG183">
        <v>97.48</v>
      </c>
      <c r="VH183">
        <v>0</v>
      </c>
      <c r="VI183">
        <v>1.83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3.67</v>
      </c>
      <c r="VS183">
        <v>10.58</v>
      </c>
      <c r="VT183">
        <v>65.89</v>
      </c>
      <c r="VU183">
        <v>0</v>
      </c>
      <c r="VV183">
        <v>0</v>
      </c>
      <c r="VW183">
        <v>0</v>
      </c>
      <c r="VX183">
        <v>0</v>
      </c>
      <c r="WK183">
        <v>29.3</v>
      </c>
      <c r="WL183">
        <v>1</v>
      </c>
      <c r="WM183">
        <v>40</v>
      </c>
      <c r="WN183">
        <v>10</v>
      </c>
      <c r="WO183">
        <f>0.91+0.39</f>
        <v>1.3</v>
      </c>
      <c r="WP183">
        <v>2</v>
      </c>
      <c r="WQ183">
        <v>35</v>
      </c>
      <c r="WR183">
        <v>10</v>
      </c>
      <c r="WS183">
        <f>0.58+1.36</f>
        <v>1.94</v>
      </c>
      <c r="WT183">
        <v>3</v>
      </c>
      <c r="WW183" s="18"/>
      <c r="XO183">
        <v>1</v>
      </c>
      <c r="XP183">
        <v>60</v>
      </c>
      <c r="XQ183">
        <v>5</v>
      </c>
      <c r="XR183">
        <v>3.67</v>
      </c>
      <c r="XS183">
        <v>3</v>
      </c>
      <c r="XT183">
        <v>30</v>
      </c>
      <c r="XU183">
        <v>6</v>
      </c>
      <c r="XV183">
        <v>5.87</v>
      </c>
      <c r="XW183">
        <v>4</v>
      </c>
      <c r="YZ183" s="16">
        <v>1.87</v>
      </c>
      <c r="ZA183" s="16">
        <v>1</v>
      </c>
      <c r="ZB183" s="16">
        <v>1</v>
      </c>
      <c r="ZC183" s="16"/>
      <c r="ZD183" s="16">
        <f t="shared" si="61"/>
        <v>4.08</v>
      </c>
      <c r="ZE183" s="16">
        <v>2</v>
      </c>
      <c r="ZF183" s="16"/>
      <c r="ZG183" s="16">
        <f>0.36*2</f>
        <v>0.72</v>
      </c>
      <c r="ZH183" s="16"/>
      <c r="ZI183" s="16"/>
      <c r="ZJ183" s="16"/>
      <c r="ZK183" s="16">
        <v>5.07</v>
      </c>
      <c r="ZL183" s="16">
        <v>2.33</v>
      </c>
      <c r="ZM183" s="16"/>
      <c r="ZN183" s="16"/>
      <c r="ZO183" s="16">
        <v>0</v>
      </c>
      <c r="ZP183" s="16">
        <v>0</v>
      </c>
      <c r="ZQ183" s="16">
        <v>0</v>
      </c>
      <c r="ZR183">
        <v>0</v>
      </c>
      <c r="ZS183" t="s">
        <v>665</v>
      </c>
      <c r="ZT183">
        <v>49.5</v>
      </c>
      <c r="ZU183" s="16">
        <v>97.8</v>
      </c>
      <c r="ZV183" s="16">
        <v>83.4</v>
      </c>
      <c r="ZW183" s="16">
        <v>9.9</v>
      </c>
      <c r="ZX183">
        <v>97.48</v>
      </c>
      <c r="ZY183">
        <v>0</v>
      </c>
      <c r="ZZ183">
        <v>1.83</v>
      </c>
      <c r="AAA183">
        <v>0</v>
      </c>
      <c r="AAB183">
        <v>0.68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3.67</v>
      </c>
      <c r="AAJ183">
        <v>8.74</v>
      </c>
      <c r="AAK183">
        <v>67.72</v>
      </c>
      <c r="AAL183">
        <v>0</v>
      </c>
      <c r="AAM183">
        <v>0</v>
      </c>
      <c r="AAN183">
        <v>0</v>
      </c>
      <c r="AAO183">
        <v>0</v>
      </c>
      <c r="ABB183">
        <v>32.5</v>
      </c>
      <c r="ABC183">
        <v>1</v>
      </c>
      <c r="ABD183">
        <v>30</v>
      </c>
      <c r="ABE183">
        <v>11</v>
      </c>
      <c r="ABF183">
        <f>6.61+5.5</f>
        <v>12.11</v>
      </c>
      <c r="ABG183">
        <v>4</v>
      </c>
      <c r="ABH183">
        <v>40</v>
      </c>
      <c r="ABI183">
        <v>12</v>
      </c>
      <c r="ABJ183">
        <f>2.2+1.47+0.91</f>
        <v>4.58</v>
      </c>
      <c r="ABK183">
        <v>2</v>
      </c>
      <c r="ABL183">
        <v>35</v>
      </c>
      <c r="ABM183">
        <v>10</v>
      </c>
      <c r="ABN183" s="18">
        <f>1.36+0.58</f>
        <v>1.94</v>
      </c>
      <c r="ABO183">
        <v>3</v>
      </c>
      <c r="ABP183">
        <v>78</v>
      </c>
      <c r="ABQ183">
        <v>3</v>
      </c>
      <c r="ABR183">
        <v>0.39</v>
      </c>
      <c r="ABS183">
        <v>2</v>
      </c>
      <c r="ACF183">
        <v>0</v>
      </c>
      <c r="ADQ183" s="16">
        <v>1.87</v>
      </c>
      <c r="ADR183" s="16">
        <v>1</v>
      </c>
      <c r="ADS183" s="16">
        <v>1</v>
      </c>
      <c r="ADT183" s="16"/>
      <c r="ADU183" s="16">
        <f>2.04*2</f>
        <v>4.08</v>
      </c>
      <c r="ADV183" s="16">
        <v>2</v>
      </c>
      <c r="ADW183" s="16"/>
      <c r="ADX183" s="16">
        <v>0.7</v>
      </c>
      <c r="ADY183" s="16"/>
      <c r="ADZ183" s="16"/>
      <c r="AEA183" s="16"/>
      <c r="AEB183" s="16">
        <v>5.01</v>
      </c>
      <c r="AEC183" s="16">
        <v>1.3</v>
      </c>
      <c r="AED183" s="16"/>
      <c r="AEE183" s="16"/>
      <c r="AEF183" s="16">
        <v>0</v>
      </c>
      <c r="AEG183" s="16">
        <v>0</v>
      </c>
      <c r="AEH183" s="16">
        <v>0</v>
      </c>
      <c r="AEI183">
        <v>0</v>
      </c>
      <c r="AEJ183" s="38">
        <v>120</v>
      </c>
      <c r="AEK183">
        <v>41</v>
      </c>
      <c r="AEL183" s="16">
        <v>75.900000000000006</v>
      </c>
      <c r="AEM183" s="16">
        <v>83.4</v>
      </c>
      <c r="AEN183" s="16">
        <v>13.8</v>
      </c>
      <c r="AEO183">
        <v>83.58</v>
      </c>
      <c r="AEP183">
        <v>0</v>
      </c>
      <c r="AEQ183">
        <v>0</v>
      </c>
      <c r="AER183">
        <v>0</v>
      </c>
      <c r="AES183">
        <v>9.73</v>
      </c>
      <c r="AET183">
        <v>0</v>
      </c>
      <c r="AEU183">
        <v>6.69</v>
      </c>
      <c r="AEV183">
        <v>0</v>
      </c>
      <c r="AEW183">
        <v>0</v>
      </c>
      <c r="AEX183">
        <v>0</v>
      </c>
      <c r="AEY183">
        <v>0</v>
      </c>
      <c r="AEZ183">
        <v>11.59</v>
      </c>
      <c r="AFA183">
        <v>26.54</v>
      </c>
      <c r="AFB183">
        <v>10.81</v>
      </c>
      <c r="AFC183">
        <v>6.87</v>
      </c>
      <c r="AFD183">
        <v>0</v>
      </c>
      <c r="AFE183">
        <v>20</v>
      </c>
      <c r="AFF183">
        <v>1</v>
      </c>
      <c r="AFG183">
        <v>3</v>
      </c>
      <c r="AFI183">
        <v>4</v>
      </c>
      <c r="AFS183">
        <v>1.9</v>
      </c>
      <c r="AFT183">
        <v>1</v>
      </c>
      <c r="AFU183">
        <v>34</v>
      </c>
      <c r="AFV183">
        <v>4</v>
      </c>
      <c r="AFW183">
        <f>4.04+0.71</f>
        <v>4.75</v>
      </c>
      <c r="AFX183">
        <v>1</v>
      </c>
      <c r="AFY183">
        <v>52</v>
      </c>
      <c r="AFZ183">
        <v>2</v>
      </c>
      <c r="AGA183">
        <f>0.73+0.13</f>
        <v>0.86</v>
      </c>
      <c r="AGB183">
        <v>2</v>
      </c>
      <c r="AGE183" s="18"/>
      <c r="AGW183">
        <v>0</v>
      </c>
      <c r="AIH183" s="16">
        <v>0</v>
      </c>
      <c r="AII183" s="16">
        <v>0</v>
      </c>
      <c r="AIJ183" s="16"/>
      <c r="AIK183" s="16"/>
      <c r="AIL183" s="16"/>
      <c r="AIM183" s="16"/>
      <c r="AIN183" s="16"/>
      <c r="AIO183" s="16"/>
      <c r="AIP183" s="16"/>
      <c r="AIQ183" s="16"/>
      <c r="AIR183" s="16"/>
      <c r="AIS183" s="16">
        <v>5.08</v>
      </c>
      <c r="AIT183" s="16">
        <v>4.75</v>
      </c>
      <c r="AIU183" s="16"/>
      <c r="AIV183" s="16"/>
      <c r="AIW183" s="16">
        <v>0</v>
      </c>
      <c r="AIX183" s="16">
        <v>0</v>
      </c>
      <c r="AIY183" s="16">
        <v>0</v>
      </c>
      <c r="AIZ183">
        <v>0</v>
      </c>
      <c r="AJA183" t="s">
        <v>666</v>
      </c>
      <c r="AJB183">
        <v>27.5</v>
      </c>
      <c r="AJC183" s="16">
        <v>76.8</v>
      </c>
      <c r="AJD183" s="16">
        <v>83.4</v>
      </c>
      <c r="AJE183" s="16">
        <v>16</v>
      </c>
      <c r="AJF183">
        <v>82.97</v>
      </c>
      <c r="AJG183">
        <v>0</v>
      </c>
      <c r="AJH183">
        <v>0.28999999999999998</v>
      </c>
      <c r="AJI183">
        <v>0</v>
      </c>
      <c r="AJJ183">
        <v>16.739999999999998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1.65</v>
      </c>
      <c r="AJS183">
        <v>49.33</v>
      </c>
      <c r="AJT183">
        <v>1.23</v>
      </c>
      <c r="AJU183">
        <v>0</v>
      </c>
      <c r="AJV183">
        <v>0</v>
      </c>
      <c r="AJW183">
        <v>0</v>
      </c>
      <c r="AKJ183">
        <v>8.6999999999999993</v>
      </c>
      <c r="AKK183">
        <v>1</v>
      </c>
      <c r="AKL183">
        <v>35</v>
      </c>
      <c r="AKM183">
        <v>3</v>
      </c>
      <c r="AKN183">
        <f>0.13*2+0.73</f>
        <v>0.99</v>
      </c>
      <c r="AKO183">
        <v>3</v>
      </c>
      <c r="AKP183">
        <v>47</v>
      </c>
      <c r="AKQ183">
        <v>4</v>
      </c>
      <c r="AKR183">
        <v>0.52</v>
      </c>
      <c r="AKS183">
        <v>3</v>
      </c>
      <c r="AKV183" s="18"/>
      <c r="ALN183">
        <v>0</v>
      </c>
    </row>
    <row r="184" spans="1:1024" ht="14.25" customHeight="1" x14ac:dyDescent="0.2">
      <c r="A184" s="1" t="s">
        <v>675</v>
      </c>
      <c r="B184" s="12">
        <v>42906</v>
      </c>
      <c r="C184">
        <v>1</v>
      </c>
      <c r="D184" s="13">
        <v>40462</v>
      </c>
      <c r="E184" s="12">
        <v>30936</v>
      </c>
      <c r="F184" s="14">
        <f t="shared" si="48"/>
        <v>32.772073921971256</v>
      </c>
      <c r="G184" s="14">
        <f t="shared" si="49"/>
        <v>6.6913073237508556</v>
      </c>
      <c r="H184" s="15" t="s">
        <v>306</v>
      </c>
      <c r="I184" s="15" t="s">
        <v>658</v>
      </c>
      <c r="J184" s="21" t="s">
        <v>181</v>
      </c>
      <c r="K184" s="21">
        <v>8</v>
      </c>
      <c r="L184" s="19">
        <v>65</v>
      </c>
      <c r="M184">
        <v>1.56</v>
      </c>
      <c r="N184" s="16">
        <f t="shared" si="50"/>
        <v>26.709401709401707</v>
      </c>
      <c r="O184" s="19">
        <v>0</v>
      </c>
      <c r="P184" s="19">
        <v>0</v>
      </c>
      <c r="Q184" s="19">
        <v>0</v>
      </c>
      <c r="R184" s="19">
        <v>0</v>
      </c>
      <c r="S184" s="19">
        <v>0</v>
      </c>
      <c r="T184" s="19">
        <v>0</v>
      </c>
      <c r="U184" s="26">
        <v>0</v>
      </c>
      <c r="V184" s="26">
        <v>0</v>
      </c>
      <c r="W184" s="19">
        <v>1</v>
      </c>
      <c r="X184" s="19">
        <v>0</v>
      </c>
      <c r="Y184" s="19">
        <v>0</v>
      </c>
      <c r="Z184" s="19">
        <v>0</v>
      </c>
      <c r="AA184" s="19">
        <v>0</v>
      </c>
      <c r="AB184" s="19">
        <v>0</v>
      </c>
      <c r="AC184" s="19">
        <v>1</v>
      </c>
      <c r="AD184" s="19">
        <v>10</v>
      </c>
      <c r="AE184" s="19">
        <v>1</v>
      </c>
      <c r="AF184" s="19">
        <v>0</v>
      </c>
      <c r="AG184" s="19">
        <v>0</v>
      </c>
      <c r="AH184" s="19">
        <v>0</v>
      </c>
      <c r="AI184" s="19">
        <v>1</v>
      </c>
      <c r="AJ184" s="19">
        <v>1</v>
      </c>
      <c r="AK184" s="19">
        <v>1</v>
      </c>
      <c r="AL184" s="19">
        <v>9</v>
      </c>
      <c r="AM184" s="19">
        <v>0</v>
      </c>
      <c r="AN184" s="19">
        <v>0</v>
      </c>
      <c r="AO184" s="19">
        <v>0</v>
      </c>
      <c r="AP184" s="19">
        <v>0</v>
      </c>
      <c r="AQ184" s="19">
        <v>0</v>
      </c>
      <c r="AR184" s="19">
        <v>0</v>
      </c>
      <c r="AS184" s="19">
        <v>3</v>
      </c>
      <c r="AT184" s="19">
        <v>3</v>
      </c>
      <c r="AU184" s="19">
        <v>3</v>
      </c>
      <c r="AV184" s="19"/>
      <c r="AW184" s="19">
        <v>8</v>
      </c>
      <c r="AX184" s="19">
        <v>1</v>
      </c>
      <c r="AY184" s="19"/>
      <c r="AZ184" s="19"/>
      <c r="BA184" s="19"/>
      <c r="BB184" s="19">
        <v>1</v>
      </c>
      <c r="BC184" s="19">
        <v>1</v>
      </c>
      <c r="BD184" s="19">
        <v>1</v>
      </c>
      <c r="BE184" s="19">
        <v>10</v>
      </c>
      <c r="BF184" s="19">
        <v>1</v>
      </c>
      <c r="BG184" s="19">
        <v>1</v>
      </c>
      <c r="BH184" s="19">
        <v>1</v>
      </c>
      <c r="BI184" s="19">
        <v>10</v>
      </c>
      <c r="BJ184" s="19">
        <v>0</v>
      </c>
      <c r="BK184" s="19">
        <v>0</v>
      </c>
      <c r="BL184" s="19">
        <v>0</v>
      </c>
      <c r="BM184" s="19">
        <v>0</v>
      </c>
      <c r="BN184" s="19">
        <v>0</v>
      </c>
      <c r="BO184" s="19">
        <v>0</v>
      </c>
      <c r="BP184" s="19">
        <v>0</v>
      </c>
      <c r="BQ184" s="19">
        <v>0</v>
      </c>
      <c r="BR184" s="19">
        <v>4</v>
      </c>
      <c r="BS184" s="19">
        <v>3</v>
      </c>
      <c r="BT184" s="19">
        <v>5</v>
      </c>
      <c r="BU184" s="19">
        <v>5</v>
      </c>
      <c r="BV184" s="19">
        <v>5</v>
      </c>
      <c r="BW184" s="19">
        <v>5</v>
      </c>
      <c r="BX184" s="19">
        <v>4</v>
      </c>
      <c r="BY184" s="19">
        <v>4</v>
      </c>
      <c r="BZ184" s="19">
        <v>3</v>
      </c>
      <c r="CA184" s="19">
        <v>3</v>
      </c>
      <c r="CB184" s="19">
        <v>3</v>
      </c>
      <c r="CC184" s="19">
        <v>5</v>
      </c>
      <c r="CD184" s="19">
        <v>4</v>
      </c>
      <c r="CE184" s="19">
        <v>5</v>
      </c>
      <c r="CF184" s="19">
        <v>5</v>
      </c>
      <c r="CG184" s="19">
        <v>5</v>
      </c>
      <c r="CH184" s="19">
        <v>3</v>
      </c>
      <c r="CI184" s="19">
        <v>3</v>
      </c>
      <c r="CJ184" s="19">
        <v>3</v>
      </c>
      <c r="CK184" s="19">
        <v>8</v>
      </c>
      <c r="CL184" t="s">
        <v>660</v>
      </c>
      <c r="CM184">
        <v>35.5</v>
      </c>
      <c r="CN184" s="16">
        <v>93.5</v>
      </c>
      <c r="CO184" s="16">
        <v>83.4</v>
      </c>
      <c r="CP184" s="16">
        <v>18.2</v>
      </c>
      <c r="CQ184">
        <v>81.819999999999993</v>
      </c>
      <c r="CR184">
        <v>0</v>
      </c>
      <c r="CS184">
        <v>0</v>
      </c>
      <c r="CT184">
        <v>0</v>
      </c>
      <c r="CU184">
        <v>18.18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37.1</v>
      </c>
      <c r="DC184">
        <v>47.46</v>
      </c>
      <c r="DD184">
        <v>20.37</v>
      </c>
      <c r="DE184">
        <v>3.52</v>
      </c>
      <c r="DF184">
        <v>0</v>
      </c>
      <c r="DG184">
        <v>0</v>
      </c>
      <c r="DH184">
        <v>0</v>
      </c>
      <c r="DU184">
        <v>8.4</v>
      </c>
      <c r="DV184">
        <v>0</v>
      </c>
      <c r="EG184" s="18"/>
      <c r="EY184">
        <v>1</v>
      </c>
      <c r="EZ184">
        <v>80</v>
      </c>
      <c r="FA184">
        <v>9</v>
      </c>
      <c r="FB184">
        <f>2.94*2+0.13</f>
        <v>6.01</v>
      </c>
      <c r="FC184">
        <v>3</v>
      </c>
      <c r="FD184">
        <v>50</v>
      </c>
      <c r="FE184">
        <v>4</v>
      </c>
      <c r="FF184">
        <v>5.56</v>
      </c>
      <c r="FG184">
        <v>3</v>
      </c>
      <c r="GJ184" s="16">
        <v>1.69</v>
      </c>
      <c r="GK184" s="16">
        <v>1</v>
      </c>
      <c r="GL184" s="16">
        <v>1</v>
      </c>
      <c r="GM184" s="16"/>
      <c r="GN184" s="16">
        <v>3.6</v>
      </c>
      <c r="GO184" s="16"/>
      <c r="GP184" s="16"/>
      <c r="GQ184" s="16"/>
      <c r="GR184" s="16"/>
      <c r="GS184" s="16"/>
      <c r="GT184" s="16"/>
      <c r="GU184" s="16">
        <v>3.24</v>
      </c>
      <c r="GV184" s="16">
        <v>2.54</v>
      </c>
      <c r="GW184" s="16"/>
      <c r="GX184" s="16"/>
      <c r="GY184" s="16">
        <v>3.6</v>
      </c>
      <c r="GZ184" s="16">
        <v>8.8000000000000007</v>
      </c>
      <c r="HA184" s="16">
        <v>0</v>
      </c>
      <c r="HB184">
        <v>0</v>
      </c>
      <c r="HC184" t="s">
        <v>661</v>
      </c>
      <c r="HD184">
        <v>29</v>
      </c>
      <c r="HE184" s="16">
        <v>86.2</v>
      </c>
      <c r="HF184" s="16">
        <v>83.4</v>
      </c>
      <c r="HG184" s="16">
        <v>15.4</v>
      </c>
      <c r="HH184">
        <v>87</v>
      </c>
      <c r="HI184">
        <v>0</v>
      </c>
      <c r="HJ184">
        <v>0</v>
      </c>
      <c r="HK184">
        <v>0</v>
      </c>
      <c r="HL184">
        <v>13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37.36</v>
      </c>
      <c r="HT184">
        <v>46.33</v>
      </c>
      <c r="HU184">
        <v>18.45</v>
      </c>
      <c r="HV184">
        <v>0</v>
      </c>
      <c r="HW184">
        <v>0</v>
      </c>
      <c r="HX184">
        <v>0</v>
      </c>
      <c r="HY184">
        <v>0</v>
      </c>
      <c r="IL184">
        <v>8.3000000000000007</v>
      </c>
      <c r="IM184">
        <v>0</v>
      </c>
      <c r="IX184" s="18"/>
      <c r="JP184">
        <v>1</v>
      </c>
      <c r="JQ184">
        <v>80</v>
      </c>
      <c r="JR184">
        <v>9</v>
      </c>
      <c r="JS184">
        <v>6.01</v>
      </c>
      <c r="JT184">
        <v>3</v>
      </c>
      <c r="LA184" s="16">
        <v>1.8</v>
      </c>
      <c r="LB184" s="16">
        <v>1</v>
      </c>
      <c r="LC184" s="16">
        <v>1</v>
      </c>
      <c r="LD184" s="16"/>
      <c r="LE184" s="16">
        <v>3.6</v>
      </c>
      <c r="LF184" s="16"/>
      <c r="LG184" s="16"/>
      <c r="LH184" s="16"/>
      <c r="LI184" s="16"/>
      <c r="LJ184" s="16"/>
      <c r="LK184" s="16"/>
      <c r="LL184" s="16">
        <v>0.54</v>
      </c>
      <c r="LM184" s="16">
        <v>0.13</v>
      </c>
      <c r="LN184" s="16"/>
      <c r="LO184" s="16"/>
      <c r="LP184" s="16">
        <v>2.88</v>
      </c>
      <c r="LQ184" s="16">
        <v>6.91</v>
      </c>
      <c r="LR184" s="16">
        <v>0</v>
      </c>
      <c r="LS184">
        <v>0</v>
      </c>
      <c r="LT184" t="s">
        <v>662</v>
      </c>
      <c r="LU184">
        <v>46.5</v>
      </c>
      <c r="LV184" s="16">
        <v>69.2</v>
      </c>
      <c r="LW184" s="16">
        <v>83.4</v>
      </c>
      <c r="LX184" s="16">
        <v>28.7</v>
      </c>
      <c r="LY184">
        <v>53.82</v>
      </c>
      <c r="LZ184">
        <v>0</v>
      </c>
      <c r="MA184">
        <v>0</v>
      </c>
      <c r="MB184">
        <v>0</v>
      </c>
      <c r="MC184">
        <v>46.18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5.46</v>
      </c>
      <c r="ML184">
        <v>46.31</v>
      </c>
      <c r="MM184">
        <v>1.06</v>
      </c>
      <c r="MN184">
        <v>0</v>
      </c>
      <c r="MO184">
        <v>0</v>
      </c>
      <c r="MP184">
        <v>0</v>
      </c>
      <c r="NC184">
        <v>13.3</v>
      </c>
      <c r="ND184">
        <v>1</v>
      </c>
      <c r="NE184">
        <v>52</v>
      </c>
      <c r="NF184">
        <v>23</v>
      </c>
      <c r="NG184">
        <f>7.18+2.15+0.07+0.84+0.15+0.14+0.12</f>
        <v>10.65</v>
      </c>
      <c r="NH184">
        <v>2</v>
      </c>
      <c r="NO184" s="18"/>
      <c r="OG184">
        <v>0</v>
      </c>
      <c r="PR184" s="16">
        <v>1.39</v>
      </c>
      <c r="PS184" s="16">
        <v>1</v>
      </c>
      <c r="PT184" s="16">
        <v>1</v>
      </c>
      <c r="PU184" s="16"/>
      <c r="PV184" s="16">
        <f t="shared" si="60"/>
        <v>4.26</v>
      </c>
      <c r="PW184" s="16"/>
      <c r="PX184" s="16"/>
      <c r="PY184" s="16"/>
      <c r="PZ184" s="16"/>
      <c r="QA184" s="16"/>
      <c r="QB184" s="16"/>
      <c r="QC184" s="16">
        <v>0</v>
      </c>
      <c r="QD184" s="16">
        <v>0</v>
      </c>
      <c r="QE184" s="16"/>
      <c r="QF184" s="16"/>
      <c r="QG184" s="16">
        <v>2.88</v>
      </c>
      <c r="QH184" s="16">
        <v>5.21</v>
      </c>
      <c r="QI184" s="16">
        <v>0</v>
      </c>
      <c r="QJ184">
        <v>0</v>
      </c>
      <c r="QK184" t="s">
        <v>663</v>
      </c>
      <c r="QL184">
        <v>43.5</v>
      </c>
      <c r="QM184" s="16">
        <v>71.7</v>
      </c>
      <c r="QN184" s="16">
        <v>83.4</v>
      </c>
      <c r="QO184" s="16">
        <v>26.2</v>
      </c>
      <c r="QP184">
        <v>62.72</v>
      </c>
      <c r="QQ184">
        <v>0</v>
      </c>
      <c r="QR184">
        <v>0</v>
      </c>
      <c r="QS184">
        <v>0</v>
      </c>
      <c r="QT184">
        <v>37.28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5.91</v>
      </c>
      <c r="RC184">
        <v>43.24</v>
      </c>
      <c r="RD184">
        <v>0.36</v>
      </c>
      <c r="RE184">
        <v>0</v>
      </c>
      <c r="RF184">
        <v>0</v>
      </c>
      <c r="RG184">
        <v>0</v>
      </c>
      <c r="RT184">
        <v>12.7</v>
      </c>
      <c r="RU184">
        <v>1</v>
      </c>
      <c r="RV184">
        <v>52</v>
      </c>
      <c r="RW184">
        <v>13</v>
      </c>
      <c r="RX184">
        <f>7.18+2.15</f>
        <v>9.33</v>
      </c>
      <c r="RY184">
        <v>2</v>
      </c>
      <c r="SF184" s="18"/>
      <c r="SX184">
        <v>0</v>
      </c>
      <c r="UI184" s="16">
        <v>1.39</v>
      </c>
      <c r="UJ184" s="16">
        <v>1</v>
      </c>
      <c r="UK184" s="16">
        <v>1</v>
      </c>
      <c r="UL184" s="16"/>
      <c r="UM184" s="16">
        <f>1.32*2+1.62</f>
        <v>4.26</v>
      </c>
      <c r="UN184" s="16"/>
      <c r="UO184" s="16"/>
      <c r="UP184" s="16"/>
      <c r="UQ184" s="16"/>
      <c r="UR184" s="16"/>
      <c r="US184" s="16"/>
      <c r="UT184" s="16">
        <v>0</v>
      </c>
      <c r="UU184" s="16">
        <v>0</v>
      </c>
      <c r="UV184" s="16"/>
      <c r="UW184" s="16"/>
      <c r="UX184" s="16">
        <v>2.88</v>
      </c>
      <c r="UY184" s="16">
        <v>5.57</v>
      </c>
      <c r="UZ184" s="16">
        <v>0</v>
      </c>
      <c r="VA184">
        <v>0</v>
      </c>
      <c r="VB184" t="s">
        <v>664</v>
      </c>
      <c r="VC184">
        <v>46</v>
      </c>
      <c r="VD184" s="16">
        <v>97.8</v>
      </c>
      <c r="VE184" s="16">
        <v>83.4</v>
      </c>
      <c r="VF184" s="16">
        <v>9.8000000000000007</v>
      </c>
      <c r="VG184">
        <v>97.48</v>
      </c>
      <c r="VH184">
        <v>0</v>
      </c>
      <c r="VI184">
        <v>1.83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3.67</v>
      </c>
      <c r="VS184">
        <v>10.58</v>
      </c>
      <c r="VT184">
        <v>65.89</v>
      </c>
      <c r="VU184">
        <v>0</v>
      </c>
      <c r="VV184">
        <v>0</v>
      </c>
      <c r="VW184">
        <v>0</v>
      </c>
      <c r="VX184">
        <v>0</v>
      </c>
      <c r="WK184">
        <v>29.3</v>
      </c>
      <c r="WL184">
        <v>1</v>
      </c>
      <c r="WM184">
        <v>40</v>
      </c>
      <c r="WN184">
        <v>10</v>
      </c>
      <c r="WO184">
        <f>0.91+0.39</f>
        <v>1.3</v>
      </c>
      <c r="WP184">
        <v>2</v>
      </c>
      <c r="WQ184">
        <v>35</v>
      </c>
      <c r="WR184">
        <v>10</v>
      </c>
      <c r="WS184">
        <f>0.58+1.36</f>
        <v>1.94</v>
      </c>
      <c r="WT184">
        <v>3</v>
      </c>
      <c r="WW184" s="18"/>
      <c r="XO184">
        <v>1</v>
      </c>
      <c r="XP184">
        <v>60</v>
      </c>
      <c r="XQ184">
        <v>5</v>
      </c>
      <c r="XR184">
        <v>3.67</v>
      </c>
      <c r="XS184">
        <v>3</v>
      </c>
      <c r="XT184">
        <v>30</v>
      </c>
      <c r="XU184">
        <v>6</v>
      </c>
      <c r="XV184">
        <v>5.87</v>
      </c>
      <c r="XW184">
        <v>4</v>
      </c>
      <c r="YZ184" s="16">
        <v>1.87</v>
      </c>
      <c r="ZA184" s="16">
        <v>1</v>
      </c>
      <c r="ZB184" s="16">
        <v>1</v>
      </c>
      <c r="ZC184" s="16"/>
      <c r="ZD184" s="16">
        <f t="shared" si="61"/>
        <v>4.08</v>
      </c>
      <c r="ZE184" s="16">
        <v>2</v>
      </c>
      <c r="ZF184" s="16"/>
      <c r="ZG184" s="16">
        <f>0.36*2</f>
        <v>0.72</v>
      </c>
      <c r="ZH184" s="16"/>
      <c r="ZI184" s="16"/>
      <c r="ZJ184" s="16"/>
      <c r="ZK184" s="16">
        <v>5.07</v>
      </c>
      <c r="ZL184" s="16">
        <v>2.33</v>
      </c>
      <c r="ZM184" s="16"/>
      <c r="ZN184" s="16"/>
      <c r="ZO184" s="16">
        <v>0</v>
      </c>
      <c r="ZP184" s="16">
        <v>0</v>
      </c>
      <c r="ZQ184" s="16">
        <v>0</v>
      </c>
      <c r="ZR184">
        <v>0</v>
      </c>
      <c r="ZS184" t="s">
        <v>665</v>
      </c>
      <c r="ZT184">
        <v>49.5</v>
      </c>
      <c r="ZU184" s="16">
        <v>97.8</v>
      </c>
      <c r="ZV184" s="16">
        <v>83.4</v>
      </c>
      <c r="ZW184" s="16">
        <v>9.9</v>
      </c>
      <c r="ZX184">
        <v>97.48</v>
      </c>
      <c r="ZY184">
        <v>0</v>
      </c>
      <c r="ZZ184">
        <v>1.83</v>
      </c>
      <c r="AAA184">
        <v>0</v>
      </c>
      <c r="AAB184">
        <v>0.68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3.67</v>
      </c>
      <c r="AAJ184">
        <v>8.74</v>
      </c>
      <c r="AAK184">
        <v>67.72</v>
      </c>
      <c r="AAL184">
        <v>0</v>
      </c>
      <c r="AAM184">
        <v>0</v>
      </c>
      <c r="AAN184">
        <v>0</v>
      </c>
      <c r="AAO184">
        <v>0</v>
      </c>
      <c r="ABB184">
        <v>32.5</v>
      </c>
      <c r="ABC184">
        <v>1</v>
      </c>
      <c r="ABD184">
        <v>30</v>
      </c>
      <c r="ABE184">
        <v>11</v>
      </c>
      <c r="ABF184">
        <f>6.61+5.5</f>
        <v>12.11</v>
      </c>
      <c r="ABG184">
        <v>4</v>
      </c>
      <c r="ABH184">
        <v>40</v>
      </c>
      <c r="ABI184">
        <v>12</v>
      </c>
      <c r="ABJ184">
        <f>2.2+1.47+0.91</f>
        <v>4.58</v>
      </c>
      <c r="ABK184">
        <v>2</v>
      </c>
      <c r="ABL184">
        <v>35</v>
      </c>
      <c r="ABM184">
        <v>10</v>
      </c>
      <c r="ABN184" s="18">
        <f>1.36+0.58</f>
        <v>1.94</v>
      </c>
      <c r="ABO184">
        <v>3</v>
      </c>
      <c r="ABP184">
        <v>78</v>
      </c>
      <c r="ABQ184">
        <v>3</v>
      </c>
      <c r="ABR184">
        <v>0.39</v>
      </c>
      <c r="ABS184">
        <v>2</v>
      </c>
      <c r="ACF184">
        <v>0</v>
      </c>
      <c r="ADQ184" s="16">
        <v>1.87</v>
      </c>
      <c r="ADR184" s="16">
        <v>1</v>
      </c>
      <c r="ADS184" s="16">
        <v>1</v>
      </c>
      <c r="ADT184" s="16"/>
      <c r="ADU184" s="16">
        <f>2.04*2</f>
        <v>4.08</v>
      </c>
      <c r="ADV184" s="16">
        <v>2</v>
      </c>
      <c r="ADW184" s="16"/>
      <c r="ADX184" s="16">
        <v>0.7</v>
      </c>
      <c r="ADY184" s="16"/>
      <c r="ADZ184" s="16"/>
      <c r="AEA184" s="16"/>
      <c r="AEB184" s="16">
        <v>5.01</v>
      </c>
      <c r="AEC184" s="16">
        <v>1.3</v>
      </c>
      <c r="AED184" s="16"/>
      <c r="AEE184" s="16"/>
      <c r="AEF184" s="16">
        <v>0</v>
      </c>
      <c r="AEG184" s="16">
        <v>0</v>
      </c>
      <c r="AEH184" s="16">
        <v>0</v>
      </c>
      <c r="AEI184">
        <v>0</v>
      </c>
      <c r="AEJ184" s="38">
        <v>120</v>
      </c>
      <c r="AEK184">
        <v>41</v>
      </c>
      <c r="AEL184" s="16">
        <v>75.900000000000006</v>
      </c>
      <c r="AEM184" s="16">
        <v>83.4</v>
      </c>
      <c r="AEN184" s="16">
        <v>13.8</v>
      </c>
      <c r="AEO184">
        <v>83.58</v>
      </c>
      <c r="AEP184">
        <v>0</v>
      </c>
      <c r="AEQ184">
        <v>0</v>
      </c>
      <c r="AER184">
        <v>0</v>
      </c>
      <c r="AES184">
        <v>9.73</v>
      </c>
      <c r="AET184">
        <v>0</v>
      </c>
      <c r="AEU184">
        <v>6.69</v>
      </c>
      <c r="AEV184">
        <v>0</v>
      </c>
      <c r="AEW184">
        <v>0</v>
      </c>
      <c r="AEX184">
        <v>0</v>
      </c>
      <c r="AEY184">
        <v>0</v>
      </c>
      <c r="AEZ184">
        <v>11.59</v>
      </c>
      <c r="AFA184">
        <v>26.54</v>
      </c>
      <c r="AFB184">
        <v>10.81</v>
      </c>
      <c r="AFC184">
        <v>6.87</v>
      </c>
      <c r="AFD184">
        <v>0</v>
      </c>
      <c r="AFE184">
        <v>20</v>
      </c>
      <c r="AFF184">
        <v>1</v>
      </c>
      <c r="AFG184">
        <v>3</v>
      </c>
      <c r="AFI184">
        <v>4</v>
      </c>
      <c r="AFS184">
        <v>1.9</v>
      </c>
      <c r="AFT184">
        <v>1</v>
      </c>
      <c r="AFU184">
        <v>34</v>
      </c>
      <c r="AFV184">
        <v>4</v>
      </c>
      <c r="AFW184">
        <f>4.04+0.71</f>
        <v>4.75</v>
      </c>
      <c r="AFX184">
        <v>1</v>
      </c>
      <c r="AFY184">
        <v>52</v>
      </c>
      <c r="AFZ184">
        <v>2</v>
      </c>
      <c r="AGA184">
        <f>0.73+0.13</f>
        <v>0.86</v>
      </c>
      <c r="AGB184">
        <v>2</v>
      </c>
      <c r="AGE184" s="18"/>
      <c r="AGW184">
        <v>0</v>
      </c>
      <c r="AIH184" s="16">
        <v>0</v>
      </c>
      <c r="AII184" s="16">
        <v>0</v>
      </c>
      <c r="AIJ184" s="16"/>
      <c r="AIK184" s="16"/>
      <c r="AIL184" s="16"/>
      <c r="AIM184" s="16"/>
      <c r="AIN184" s="16"/>
      <c r="AIO184" s="16"/>
      <c r="AIP184" s="16"/>
      <c r="AIQ184" s="16"/>
      <c r="AIR184" s="16"/>
      <c r="AIS184" s="16">
        <v>5.08</v>
      </c>
      <c r="AIT184" s="16">
        <v>4.75</v>
      </c>
      <c r="AIU184" s="16"/>
      <c r="AIV184" s="16"/>
      <c r="AIW184" s="16">
        <v>0</v>
      </c>
      <c r="AIX184" s="16">
        <v>0</v>
      </c>
      <c r="AIY184" s="16">
        <v>0</v>
      </c>
      <c r="AIZ184">
        <v>0</v>
      </c>
      <c r="AJA184" t="s">
        <v>666</v>
      </c>
      <c r="AJB184">
        <v>27.5</v>
      </c>
      <c r="AJC184" s="16">
        <v>76.8</v>
      </c>
      <c r="AJD184" s="16">
        <v>83.4</v>
      </c>
      <c r="AJE184" s="16">
        <v>16</v>
      </c>
      <c r="AJF184">
        <v>82.97</v>
      </c>
      <c r="AJG184">
        <v>0</v>
      </c>
      <c r="AJH184">
        <v>0.28999999999999998</v>
      </c>
      <c r="AJI184">
        <v>0</v>
      </c>
      <c r="AJJ184">
        <v>16.739999999999998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1.65</v>
      </c>
      <c r="AJS184">
        <v>49.33</v>
      </c>
      <c r="AJT184">
        <v>1.23</v>
      </c>
      <c r="AJU184">
        <v>0</v>
      </c>
      <c r="AJV184">
        <v>0</v>
      </c>
      <c r="AJW184">
        <v>0</v>
      </c>
      <c r="AKJ184">
        <v>8.6999999999999993</v>
      </c>
      <c r="AKK184">
        <v>1</v>
      </c>
      <c r="AKL184">
        <v>35</v>
      </c>
      <c r="AKM184">
        <v>3</v>
      </c>
      <c r="AKN184">
        <f>0.13*2+0.73</f>
        <v>0.99</v>
      </c>
      <c r="AKO184">
        <v>3</v>
      </c>
      <c r="AKP184">
        <v>47</v>
      </c>
      <c r="AKQ184">
        <v>4</v>
      </c>
      <c r="AKR184">
        <v>0.52</v>
      </c>
      <c r="AKS184">
        <v>3</v>
      </c>
      <c r="AKV184" s="18"/>
      <c r="ALN184">
        <v>0</v>
      </c>
    </row>
    <row r="185" spans="1:1024" ht="14.25" customHeight="1" x14ac:dyDescent="0.2">
      <c r="A185" s="1" t="s">
        <v>676</v>
      </c>
      <c r="B185" s="12">
        <v>42906</v>
      </c>
      <c r="C185">
        <v>1</v>
      </c>
      <c r="D185" s="13">
        <v>42797</v>
      </c>
      <c r="E185" s="12">
        <v>31347</v>
      </c>
      <c r="F185" s="14">
        <f t="shared" si="48"/>
        <v>31.646817248459961</v>
      </c>
      <c r="G185" s="14">
        <f t="shared" si="49"/>
        <v>0.29842573579739906</v>
      </c>
      <c r="H185" s="15" t="s">
        <v>306</v>
      </c>
      <c r="I185" s="15" t="s">
        <v>658</v>
      </c>
      <c r="J185" s="21" t="s">
        <v>181</v>
      </c>
      <c r="K185" s="21">
        <v>8</v>
      </c>
      <c r="L185" s="19">
        <v>56</v>
      </c>
      <c r="M185">
        <v>1.56</v>
      </c>
      <c r="N185" s="16">
        <f t="shared" si="50"/>
        <v>23.011176857330703</v>
      </c>
      <c r="O185" s="19">
        <v>0</v>
      </c>
      <c r="P185" s="19">
        <v>0</v>
      </c>
      <c r="Q185" s="19">
        <v>0</v>
      </c>
      <c r="R185" s="19">
        <v>0</v>
      </c>
      <c r="S185" s="19">
        <v>0</v>
      </c>
      <c r="T185" s="19">
        <v>0</v>
      </c>
      <c r="U185" s="26">
        <v>0</v>
      </c>
      <c r="V185" s="26">
        <v>0</v>
      </c>
      <c r="W185" s="19">
        <v>0</v>
      </c>
      <c r="X185" s="19">
        <v>0</v>
      </c>
      <c r="Y185" s="19">
        <v>1</v>
      </c>
      <c r="Z185" s="19">
        <v>3</v>
      </c>
      <c r="AA185" s="19">
        <v>60</v>
      </c>
      <c r="AB185" s="19" t="s">
        <v>215</v>
      </c>
      <c r="AC185" s="19">
        <v>1</v>
      </c>
      <c r="AD185" s="19">
        <v>6</v>
      </c>
      <c r="AE185" s="19">
        <v>1</v>
      </c>
      <c r="AF185" s="19">
        <v>0</v>
      </c>
      <c r="AG185" s="19">
        <v>0</v>
      </c>
      <c r="AH185" s="19">
        <v>0</v>
      </c>
      <c r="AI185" s="19">
        <v>3</v>
      </c>
      <c r="AJ185" s="19">
        <v>0</v>
      </c>
      <c r="AK185" s="19">
        <v>3</v>
      </c>
      <c r="AL185" s="19"/>
      <c r="AM185" s="19"/>
      <c r="AN185" s="19">
        <v>3</v>
      </c>
      <c r="AO185" s="19">
        <v>0</v>
      </c>
      <c r="AP185" s="19">
        <v>0</v>
      </c>
      <c r="AQ185" s="19">
        <v>0</v>
      </c>
      <c r="AR185" s="19">
        <v>0</v>
      </c>
      <c r="AS185" s="19">
        <v>3</v>
      </c>
      <c r="AT185" s="19">
        <v>0</v>
      </c>
      <c r="AU185" s="19">
        <v>0</v>
      </c>
      <c r="AV185" s="19">
        <v>0</v>
      </c>
      <c r="AW185" s="19">
        <v>0</v>
      </c>
      <c r="AX185" s="19">
        <v>0</v>
      </c>
      <c r="AY185" s="19">
        <v>0</v>
      </c>
      <c r="AZ185" s="19">
        <v>0</v>
      </c>
      <c r="BA185" s="19">
        <v>0</v>
      </c>
      <c r="BB185" s="19">
        <v>1</v>
      </c>
      <c r="BC185" s="19">
        <v>0</v>
      </c>
      <c r="BD185" s="19">
        <v>0</v>
      </c>
      <c r="BE185" s="19">
        <v>0</v>
      </c>
      <c r="BF185" s="19">
        <v>0</v>
      </c>
      <c r="BG185" s="19">
        <v>0</v>
      </c>
      <c r="BH185" s="19">
        <v>0</v>
      </c>
      <c r="BI185" s="19">
        <v>0</v>
      </c>
      <c r="BJ185" s="19">
        <v>1</v>
      </c>
      <c r="BK185" s="19">
        <v>0</v>
      </c>
      <c r="BL185" s="19">
        <v>0</v>
      </c>
      <c r="BM185" s="19">
        <v>0</v>
      </c>
      <c r="BN185" s="19">
        <v>1</v>
      </c>
      <c r="BO185" s="19">
        <v>0</v>
      </c>
      <c r="BP185" s="19"/>
      <c r="BQ185" s="19"/>
      <c r="BR185" s="19">
        <v>1</v>
      </c>
      <c r="BS185" s="19">
        <v>1</v>
      </c>
      <c r="BT185" s="19">
        <v>3</v>
      </c>
      <c r="BU185" s="19">
        <v>5</v>
      </c>
      <c r="BV185" s="19">
        <v>3</v>
      </c>
      <c r="BW185" s="19">
        <v>1</v>
      </c>
      <c r="BX185" s="19">
        <v>5</v>
      </c>
      <c r="BY185" s="19">
        <v>5</v>
      </c>
      <c r="BZ185" s="19">
        <v>4</v>
      </c>
      <c r="CA185" s="19">
        <v>5</v>
      </c>
      <c r="CB185" s="19">
        <v>5</v>
      </c>
      <c r="CC185" s="19">
        <v>5</v>
      </c>
      <c r="CD185" s="19">
        <v>1</v>
      </c>
      <c r="CE185" s="19">
        <v>5</v>
      </c>
      <c r="CF185" s="19">
        <v>5</v>
      </c>
      <c r="CG185" s="19">
        <v>5</v>
      </c>
      <c r="CH185" s="19">
        <v>5</v>
      </c>
      <c r="CI185" s="19">
        <v>5</v>
      </c>
      <c r="CJ185" s="19">
        <v>5</v>
      </c>
      <c r="CK185" s="19">
        <v>10</v>
      </c>
      <c r="CL185" t="s">
        <v>661</v>
      </c>
      <c r="CM185">
        <v>29</v>
      </c>
      <c r="CN185" s="16">
        <v>86.2</v>
      </c>
      <c r="CO185" s="16">
        <v>83.4</v>
      </c>
      <c r="CP185" s="16">
        <v>15.4</v>
      </c>
      <c r="CQ185">
        <v>87</v>
      </c>
      <c r="CR185">
        <v>0</v>
      </c>
      <c r="CS185">
        <v>0</v>
      </c>
      <c r="CT185">
        <v>0</v>
      </c>
      <c r="CU185">
        <v>13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37.36</v>
      </c>
      <c r="DC185">
        <v>46.33</v>
      </c>
      <c r="DD185">
        <v>18.45</v>
      </c>
      <c r="DE185">
        <v>0</v>
      </c>
      <c r="DF185">
        <v>0</v>
      </c>
      <c r="DG185">
        <v>0</v>
      </c>
      <c r="DH185">
        <v>0</v>
      </c>
      <c r="DU185">
        <v>8.3000000000000007</v>
      </c>
      <c r="DV185">
        <v>0</v>
      </c>
      <c r="EG185" s="18"/>
      <c r="EY185">
        <v>1</v>
      </c>
      <c r="EZ185">
        <v>80</v>
      </c>
      <c r="FA185">
        <v>9</v>
      </c>
      <c r="FB185">
        <v>6.01</v>
      </c>
      <c r="FC185">
        <v>3</v>
      </c>
      <c r="GJ185" s="16">
        <v>1.8</v>
      </c>
      <c r="GK185" s="16">
        <v>1</v>
      </c>
      <c r="GL185" s="16">
        <v>1</v>
      </c>
      <c r="GM185" s="16"/>
      <c r="GN185" s="16">
        <v>3.6</v>
      </c>
      <c r="GO185" s="16"/>
      <c r="GP185" s="16"/>
      <c r="GQ185" s="16"/>
      <c r="GR185" s="16"/>
      <c r="GS185" s="16"/>
      <c r="GT185" s="16"/>
      <c r="GU185" s="16">
        <v>0.54</v>
      </c>
      <c r="GV185" s="16">
        <v>0.13</v>
      </c>
      <c r="GW185" s="16"/>
      <c r="GX185" s="16"/>
      <c r="GY185" s="16">
        <v>2.88</v>
      </c>
      <c r="GZ185" s="16">
        <v>6.91</v>
      </c>
      <c r="HA185" s="16">
        <v>0</v>
      </c>
      <c r="HB185">
        <v>0</v>
      </c>
      <c r="HC185" t="s">
        <v>662</v>
      </c>
      <c r="HD185">
        <v>46.5</v>
      </c>
      <c r="HE185" s="16">
        <v>69.2</v>
      </c>
      <c r="HF185" s="16">
        <v>83.4</v>
      </c>
      <c r="HG185" s="16">
        <v>28.7</v>
      </c>
      <c r="HH185">
        <v>53.82</v>
      </c>
      <c r="HI185">
        <v>0</v>
      </c>
      <c r="HJ185">
        <v>0</v>
      </c>
      <c r="HK185">
        <v>0</v>
      </c>
      <c r="HL185">
        <v>46.18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5.46</v>
      </c>
      <c r="HU185">
        <v>46.31</v>
      </c>
      <c r="HV185">
        <v>1.06</v>
      </c>
      <c r="HW185">
        <v>0</v>
      </c>
      <c r="HX185">
        <v>0</v>
      </c>
      <c r="HY185">
        <v>0</v>
      </c>
      <c r="IL185">
        <v>13.3</v>
      </c>
      <c r="IM185">
        <v>1</v>
      </c>
      <c r="IN185">
        <v>52</v>
      </c>
      <c r="IO185">
        <v>23</v>
      </c>
      <c r="IP185">
        <f>7.18+2.15+0.07+0.84+0.15+0.14+0.12</f>
        <v>10.65</v>
      </c>
      <c r="IQ185">
        <v>2</v>
      </c>
      <c r="IX185" s="18"/>
      <c r="JP185">
        <v>0</v>
      </c>
      <c r="LA185" s="16">
        <v>1.39</v>
      </c>
      <c r="LB185" s="16">
        <v>1</v>
      </c>
      <c r="LC185" s="16">
        <v>1</v>
      </c>
      <c r="LD185" s="16"/>
      <c r="LE185" s="16">
        <f>1.32*2+1.62</f>
        <v>4.26</v>
      </c>
      <c r="LF185" s="16"/>
      <c r="LG185" s="16"/>
      <c r="LH185" s="16"/>
      <c r="LI185" s="16"/>
      <c r="LJ185" s="16"/>
      <c r="LK185" s="16"/>
      <c r="LL185" s="16">
        <v>0</v>
      </c>
      <c r="LM185" s="16">
        <v>0</v>
      </c>
      <c r="LN185" s="16"/>
      <c r="LO185" s="16"/>
      <c r="LP185" s="16">
        <v>2.88</v>
      </c>
      <c r="LQ185" s="16">
        <v>5.21</v>
      </c>
      <c r="LR185" s="16">
        <v>0</v>
      </c>
      <c r="LS185">
        <v>0</v>
      </c>
      <c r="LT185" t="s">
        <v>663</v>
      </c>
      <c r="LU185">
        <v>43.5</v>
      </c>
      <c r="LV185" s="16">
        <v>71.7</v>
      </c>
      <c r="LW185" s="16">
        <v>83.4</v>
      </c>
      <c r="LX185" s="16">
        <v>26.2</v>
      </c>
      <c r="LY185">
        <v>62.72</v>
      </c>
      <c r="LZ185">
        <v>0</v>
      </c>
      <c r="MA185">
        <v>0</v>
      </c>
      <c r="MB185">
        <v>0</v>
      </c>
      <c r="MC185">
        <v>37.28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5.91</v>
      </c>
      <c r="ML185">
        <v>43.24</v>
      </c>
      <c r="MM185">
        <v>0.36</v>
      </c>
      <c r="MN185">
        <v>0</v>
      </c>
      <c r="MO185">
        <v>0</v>
      </c>
      <c r="MP185">
        <v>0</v>
      </c>
      <c r="NC185">
        <v>12.7</v>
      </c>
      <c r="ND185">
        <v>1</v>
      </c>
      <c r="NE185">
        <v>52</v>
      </c>
      <c r="NF185">
        <v>13</v>
      </c>
      <c r="NG185">
        <f>7.18+2.15</f>
        <v>9.33</v>
      </c>
      <c r="NH185">
        <v>2</v>
      </c>
      <c r="NO185" s="18"/>
      <c r="OG185">
        <v>0</v>
      </c>
      <c r="PR185" s="16">
        <v>1.39</v>
      </c>
      <c r="PS185" s="16">
        <v>1</v>
      </c>
      <c r="PT185" s="16">
        <v>1</v>
      </c>
      <c r="PU185" s="16"/>
      <c r="PV185" s="16">
        <f t="shared" si="60"/>
        <v>4.26</v>
      </c>
      <c r="PW185" s="16"/>
      <c r="PX185" s="16"/>
      <c r="PY185" s="16"/>
      <c r="PZ185" s="16"/>
      <c r="QA185" s="16"/>
      <c r="QB185" s="16"/>
      <c r="QC185" s="16">
        <v>0</v>
      </c>
      <c r="QD185" s="16">
        <v>0</v>
      </c>
      <c r="QE185" s="16"/>
      <c r="QF185" s="16"/>
      <c r="QG185" s="16">
        <v>2.88</v>
      </c>
      <c r="QH185" s="16">
        <v>5.57</v>
      </c>
      <c r="QI185" s="16">
        <v>0</v>
      </c>
      <c r="QJ185">
        <v>0</v>
      </c>
      <c r="QK185" t="s">
        <v>664</v>
      </c>
      <c r="QL185">
        <v>46</v>
      </c>
      <c r="QM185" s="16">
        <v>97.8</v>
      </c>
      <c r="QN185" s="16">
        <v>83.4</v>
      </c>
      <c r="QO185" s="16">
        <v>9.8000000000000007</v>
      </c>
      <c r="QP185">
        <v>97.48</v>
      </c>
      <c r="QQ185">
        <v>0</v>
      </c>
      <c r="QR185">
        <v>1.83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3.67</v>
      </c>
      <c r="RB185">
        <v>10.58</v>
      </c>
      <c r="RC185">
        <v>65.89</v>
      </c>
      <c r="RD185">
        <v>0</v>
      </c>
      <c r="RE185">
        <v>0</v>
      </c>
      <c r="RF185">
        <v>0</v>
      </c>
      <c r="RG185">
        <v>0</v>
      </c>
      <c r="RT185">
        <v>29.3</v>
      </c>
      <c r="RU185">
        <v>1</v>
      </c>
      <c r="RV185">
        <v>40</v>
      </c>
      <c r="RW185">
        <v>10</v>
      </c>
      <c r="RX185">
        <f>0.91+0.39</f>
        <v>1.3</v>
      </c>
      <c r="RY185">
        <v>2</v>
      </c>
      <c r="RZ185">
        <v>35</v>
      </c>
      <c r="SA185">
        <v>10</v>
      </c>
      <c r="SB185">
        <f>0.58+1.36</f>
        <v>1.94</v>
      </c>
      <c r="SC185">
        <v>3</v>
      </c>
      <c r="SF185" s="18"/>
      <c r="SX185">
        <v>1</v>
      </c>
      <c r="SY185">
        <v>60</v>
      </c>
      <c r="SZ185">
        <v>5</v>
      </c>
      <c r="TA185">
        <v>3.67</v>
      </c>
      <c r="TB185">
        <v>3</v>
      </c>
      <c r="TC185">
        <v>30</v>
      </c>
      <c r="TD185">
        <v>6</v>
      </c>
      <c r="TE185">
        <v>5.87</v>
      </c>
      <c r="TF185">
        <v>4</v>
      </c>
      <c r="UI185" s="16">
        <v>1.87</v>
      </c>
      <c r="UJ185" s="16">
        <v>1</v>
      </c>
      <c r="UK185" s="16">
        <v>1</v>
      </c>
      <c r="UL185" s="16"/>
      <c r="UM185" s="16">
        <f>2.04*2</f>
        <v>4.08</v>
      </c>
      <c r="UN185" s="16">
        <v>2</v>
      </c>
      <c r="UO185" s="16"/>
      <c r="UP185" s="16">
        <f>0.36*2</f>
        <v>0.72</v>
      </c>
      <c r="UQ185" s="16"/>
      <c r="UR185" s="16"/>
      <c r="US185" s="16"/>
      <c r="UT185" s="16">
        <v>5.07</v>
      </c>
      <c r="UU185" s="16">
        <v>2.33</v>
      </c>
      <c r="UV185" s="16"/>
      <c r="UW185" s="16"/>
      <c r="UX185" s="16">
        <v>0</v>
      </c>
      <c r="UY185" s="16">
        <v>0</v>
      </c>
      <c r="UZ185" s="16">
        <v>0</v>
      </c>
      <c r="VA185">
        <v>0</v>
      </c>
      <c r="VB185" t="s">
        <v>665</v>
      </c>
      <c r="VC185">
        <v>49.5</v>
      </c>
      <c r="VD185" s="16">
        <v>97.8</v>
      </c>
      <c r="VE185" s="16">
        <v>83.4</v>
      </c>
      <c r="VF185" s="16">
        <v>9.9</v>
      </c>
      <c r="VG185">
        <v>97.48</v>
      </c>
      <c r="VH185">
        <v>0</v>
      </c>
      <c r="VI185">
        <v>1.83</v>
      </c>
      <c r="VJ185">
        <v>0</v>
      </c>
      <c r="VK185">
        <v>0.68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3.67</v>
      </c>
      <c r="VS185">
        <v>8.74</v>
      </c>
      <c r="VT185">
        <v>67.72</v>
      </c>
      <c r="VU185">
        <v>0</v>
      </c>
      <c r="VV185">
        <v>0</v>
      </c>
      <c r="VW185">
        <v>0</v>
      </c>
      <c r="VX185">
        <v>0</v>
      </c>
      <c r="WK185">
        <v>32.5</v>
      </c>
      <c r="WL185">
        <v>1</v>
      </c>
      <c r="WM185">
        <v>30</v>
      </c>
      <c r="WN185">
        <v>11</v>
      </c>
      <c r="WO185">
        <f>6.61+5.5</f>
        <v>12.11</v>
      </c>
      <c r="WP185">
        <v>4</v>
      </c>
      <c r="WQ185">
        <v>40</v>
      </c>
      <c r="WR185">
        <v>12</v>
      </c>
      <c r="WS185">
        <f>2.2+1.47+0.91</f>
        <v>4.58</v>
      </c>
      <c r="WT185">
        <v>2</v>
      </c>
      <c r="WU185">
        <v>35</v>
      </c>
      <c r="WV185">
        <v>10</v>
      </c>
      <c r="WW185" s="18">
        <f>1.36+0.58</f>
        <v>1.94</v>
      </c>
      <c r="WX185">
        <v>3</v>
      </c>
      <c r="WY185">
        <v>78</v>
      </c>
      <c r="WZ185">
        <v>3</v>
      </c>
      <c r="XA185">
        <v>0.39</v>
      </c>
      <c r="XB185">
        <v>2</v>
      </c>
      <c r="XO185">
        <v>0</v>
      </c>
      <c r="YZ185" s="16">
        <v>1.87</v>
      </c>
      <c r="ZA185" s="16">
        <v>1</v>
      </c>
      <c r="ZB185" s="16">
        <v>1</v>
      </c>
      <c r="ZC185" s="16"/>
      <c r="ZD185" s="16">
        <f t="shared" si="61"/>
        <v>4.08</v>
      </c>
      <c r="ZE185" s="16">
        <v>2</v>
      </c>
      <c r="ZF185" s="16"/>
      <c r="ZG185" s="16">
        <v>0.7</v>
      </c>
      <c r="ZH185" s="16"/>
      <c r="ZI185" s="16"/>
      <c r="ZJ185" s="16"/>
      <c r="ZK185" s="16">
        <v>5.01</v>
      </c>
      <c r="ZL185" s="16">
        <v>1.3</v>
      </c>
      <c r="ZM185" s="16"/>
      <c r="ZN185" s="16"/>
      <c r="ZO185" s="16">
        <v>0</v>
      </c>
      <c r="ZP185" s="16">
        <v>0</v>
      </c>
      <c r="ZQ185" s="16">
        <v>0</v>
      </c>
      <c r="ZR185">
        <v>0</v>
      </c>
      <c r="ZS185" s="38">
        <v>120</v>
      </c>
      <c r="ZT185">
        <v>41</v>
      </c>
      <c r="ZU185" s="16">
        <v>75.900000000000006</v>
      </c>
      <c r="ZV185" s="16">
        <v>83.4</v>
      </c>
      <c r="ZW185" s="16">
        <v>13.8</v>
      </c>
      <c r="ZX185">
        <v>83.58</v>
      </c>
      <c r="ZY185">
        <v>0</v>
      </c>
      <c r="ZZ185">
        <v>0</v>
      </c>
      <c r="AAA185">
        <v>0</v>
      </c>
      <c r="AAB185">
        <v>9.73</v>
      </c>
      <c r="AAC185">
        <v>0</v>
      </c>
      <c r="AAD185">
        <v>6.69</v>
      </c>
      <c r="AAE185">
        <v>0</v>
      </c>
      <c r="AAF185">
        <v>0</v>
      </c>
      <c r="AAG185">
        <v>0</v>
      </c>
      <c r="AAH185">
        <v>0</v>
      </c>
      <c r="AAI185">
        <v>11.59</v>
      </c>
      <c r="AAJ185">
        <v>26.54</v>
      </c>
      <c r="AAK185">
        <v>10.81</v>
      </c>
      <c r="AAL185">
        <v>6.87</v>
      </c>
      <c r="AAM185">
        <v>0</v>
      </c>
      <c r="AAN185">
        <v>20</v>
      </c>
      <c r="AAO185">
        <v>1</v>
      </c>
      <c r="AAP185">
        <v>3</v>
      </c>
      <c r="AAR185">
        <v>4</v>
      </c>
      <c r="ABB185">
        <v>1.9</v>
      </c>
      <c r="ABC185">
        <v>1</v>
      </c>
      <c r="ABD185">
        <v>34</v>
      </c>
      <c r="ABE185">
        <v>4</v>
      </c>
      <c r="ABF185">
        <f>4.04+0.71</f>
        <v>4.75</v>
      </c>
      <c r="ABG185">
        <v>1</v>
      </c>
      <c r="ABH185">
        <v>52</v>
      </c>
      <c r="ABI185">
        <v>2</v>
      </c>
      <c r="ABJ185">
        <f>0.73+0.13</f>
        <v>0.86</v>
      </c>
      <c r="ABK185">
        <v>2</v>
      </c>
      <c r="ABN185" s="18"/>
      <c r="ACF185">
        <v>0</v>
      </c>
      <c r="ADQ185" s="16">
        <v>0</v>
      </c>
      <c r="ADR185" s="16">
        <v>0</v>
      </c>
      <c r="ADS185" s="16"/>
      <c r="ADT185" s="16"/>
      <c r="ADU185" s="16"/>
      <c r="ADV185" s="16"/>
      <c r="ADW185" s="16"/>
      <c r="ADX185" s="16"/>
      <c r="ADY185" s="16"/>
      <c r="ADZ185" s="16"/>
      <c r="AEA185" s="16"/>
      <c r="AEB185" s="16">
        <v>5.08</v>
      </c>
      <c r="AEC185" s="16">
        <v>4.75</v>
      </c>
      <c r="AED185" s="16"/>
      <c r="AEE185" s="16"/>
      <c r="AEF185" s="16">
        <v>0</v>
      </c>
      <c r="AEG185" s="16">
        <v>0</v>
      </c>
      <c r="AEH185" s="16">
        <v>0</v>
      </c>
      <c r="AEI185">
        <v>0</v>
      </c>
      <c r="AEJ185" t="s">
        <v>666</v>
      </c>
      <c r="AEK185">
        <v>27.5</v>
      </c>
      <c r="AEL185" s="16">
        <v>76.8</v>
      </c>
      <c r="AEM185" s="16">
        <v>83.4</v>
      </c>
      <c r="AEN185" s="16">
        <v>16</v>
      </c>
      <c r="AEO185">
        <v>82.97</v>
      </c>
      <c r="AEP185">
        <v>0</v>
      </c>
      <c r="AEQ185">
        <v>0.28999999999999998</v>
      </c>
      <c r="AER185">
        <v>0</v>
      </c>
      <c r="AES185">
        <v>16.739999999999998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1.65</v>
      </c>
      <c r="AFB185">
        <v>49.33</v>
      </c>
      <c r="AFC185">
        <v>1.23</v>
      </c>
      <c r="AFD185">
        <v>0</v>
      </c>
      <c r="AFE185">
        <v>0</v>
      </c>
      <c r="AFF185">
        <v>0</v>
      </c>
      <c r="AFS185">
        <v>8.6999999999999993</v>
      </c>
      <c r="AFT185">
        <v>1</v>
      </c>
      <c r="AFU185">
        <v>35</v>
      </c>
      <c r="AFV185">
        <v>3</v>
      </c>
      <c r="AFW185">
        <f>0.13*2+0.73</f>
        <v>0.99</v>
      </c>
      <c r="AFX185">
        <v>3</v>
      </c>
      <c r="AFY185">
        <v>47</v>
      </c>
      <c r="AFZ185">
        <v>4</v>
      </c>
      <c r="AGA185">
        <v>0.52</v>
      </c>
      <c r="AGB185">
        <v>3</v>
      </c>
      <c r="AGE185" s="18"/>
      <c r="AGW185">
        <v>0</v>
      </c>
      <c r="AIH185" s="16">
        <v>1.44</v>
      </c>
      <c r="AII185" s="16">
        <v>1</v>
      </c>
      <c r="AIJ185" s="16">
        <v>1</v>
      </c>
      <c r="AIK185" s="16"/>
      <c r="AIL185" s="16">
        <f>3.3*2+0.36*2</f>
        <v>7.3199999999999994</v>
      </c>
      <c r="AIM185" s="16"/>
      <c r="AIN185" s="16"/>
      <c r="AIO185" s="16"/>
      <c r="AIP185" s="16"/>
      <c r="AIQ185" s="16"/>
      <c r="AIR185" s="16"/>
      <c r="AIS185" s="16">
        <v>1.08</v>
      </c>
      <c r="AIT185" s="16">
        <v>0.26</v>
      </c>
      <c r="AIU185" s="16"/>
      <c r="AIV185" s="16"/>
      <c r="AIW185" s="16">
        <v>0</v>
      </c>
      <c r="AIX185" s="16">
        <v>0</v>
      </c>
      <c r="AIY185" s="16">
        <v>0</v>
      </c>
      <c r="AIZ185">
        <v>0</v>
      </c>
      <c r="AJA185" t="s">
        <v>668</v>
      </c>
      <c r="AJB185">
        <v>45</v>
      </c>
      <c r="AJC185" s="16">
        <v>68.099999999999994</v>
      </c>
      <c r="AJD185" s="16">
        <v>83.4</v>
      </c>
      <c r="AJE185" s="16">
        <v>15.3</v>
      </c>
      <c r="AJF185">
        <v>83.75</v>
      </c>
      <c r="AJG185">
        <v>0</v>
      </c>
      <c r="AJH185">
        <v>0.28999999999999998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5.69</v>
      </c>
      <c r="AJS185">
        <v>43.64</v>
      </c>
      <c r="AJT185">
        <v>0.45</v>
      </c>
      <c r="AJU185">
        <v>0</v>
      </c>
      <c r="AJV185">
        <v>0</v>
      </c>
      <c r="AJW185">
        <v>0</v>
      </c>
      <c r="AKJ185">
        <v>22.5</v>
      </c>
      <c r="AKK185">
        <v>1</v>
      </c>
      <c r="AKL185">
        <v>35</v>
      </c>
      <c r="AKM185">
        <v>5</v>
      </c>
      <c r="AKN185">
        <f>0.73*2+2.2+0.13*2</f>
        <v>3.92</v>
      </c>
      <c r="AKO185">
        <v>3</v>
      </c>
      <c r="AKP185">
        <v>47</v>
      </c>
      <c r="AKQ185">
        <v>4</v>
      </c>
      <c r="AKR185">
        <v>0.52</v>
      </c>
      <c r="AKS185">
        <v>3</v>
      </c>
      <c r="AKV185" s="18"/>
      <c r="ALN185">
        <v>0</v>
      </c>
    </row>
    <row r="186" spans="1:1024" ht="14.25" customHeight="1" x14ac:dyDescent="0.2">
      <c r="A186" s="1" t="s">
        <v>677</v>
      </c>
      <c r="B186" s="12">
        <v>42907</v>
      </c>
      <c r="C186">
        <v>1</v>
      </c>
      <c r="D186" s="13">
        <v>42793</v>
      </c>
      <c r="E186" s="12">
        <v>32807</v>
      </c>
      <c r="F186" s="14">
        <f t="shared" si="48"/>
        <v>27.652292950034223</v>
      </c>
      <c r="G186" s="14">
        <f t="shared" si="49"/>
        <v>0.31211498973305957</v>
      </c>
      <c r="H186" s="15" t="s">
        <v>306</v>
      </c>
      <c r="I186" s="15" t="s">
        <v>658</v>
      </c>
      <c r="J186" s="21" t="s">
        <v>181</v>
      </c>
      <c r="K186" s="21">
        <v>8</v>
      </c>
      <c r="L186" s="19"/>
      <c r="M186">
        <v>1.63</v>
      </c>
      <c r="N186" s="16">
        <f t="shared" si="50"/>
        <v>0</v>
      </c>
      <c r="O186" s="19">
        <v>0</v>
      </c>
      <c r="P186" s="19">
        <v>0</v>
      </c>
      <c r="Q186" s="19">
        <v>0</v>
      </c>
      <c r="R186" s="19">
        <v>0</v>
      </c>
      <c r="S186" s="19">
        <v>0</v>
      </c>
      <c r="T186" s="19">
        <v>0</v>
      </c>
      <c r="U186" s="26">
        <v>0</v>
      </c>
      <c r="V186" s="26">
        <v>0</v>
      </c>
      <c r="W186" s="19">
        <v>0</v>
      </c>
      <c r="X186" s="19">
        <v>0</v>
      </c>
      <c r="Y186" s="19">
        <v>1</v>
      </c>
      <c r="Z186" s="19">
        <v>1</v>
      </c>
      <c r="AA186" s="19">
        <v>60</v>
      </c>
      <c r="AB186" s="19" t="s">
        <v>678</v>
      </c>
      <c r="AC186" s="19">
        <v>1</v>
      </c>
      <c r="AD186" s="19">
        <v>10</v>
      </c>
      <c r="AE186" s="19">
        <v>0</v>
      </c>
      <c r="AF186" s="19">
        <v>0</v>
      </c>
      <c r="AG186" s="19">
        <v>0</v>
      </c>
      <c r="AH186" s="19">
        <v>0</v>
      </c>
      <c r="AI186" s="19"/>
      <c r="AJ186" s="19"/>
      <c r="AK186" s="19"/>
      <c r="AL186" s="19"/>
      <c r="AM186" s="19"/>
      <c r="AN186" s="19">
        <v>0</v>
      </c>
      <c r="AO186" s="19"/>
      <c r="AP186" s="19"/>
      <c r="AQ186" s="19"/>
      <c r="AR186" s="19"/>
      <c r="AS186" s="19">
        <v>3</v>
      </c>
      <c r="AT186" s="19">
        <v>0</v>
      </c>
      <c r="AU186" s="19">
        <v>0</v>
      </c>
      <c r="AV186" s="19">
        <v>0</v>
      </c>
      <c r="AW186" s="19">
        <v>0</v>
      </c>
      <c r="AX186" s="19">
        <v>0</v>
      </c>
      <c r="AY186" s="19">
        <v>0</v>
      </c>
      <c r="AZ186" s="19">
        <v>0</v>
      </c>
      <c r="BA186" s="19">
        <v>0</v>
      </c>
      <c r="BB186" s="19">
        <v>1</v>
      </c>
      <c r="BC186" s="19">
        <v>0</v>
      </c>
      <c r="BD186" s="19">
        <v>0</v>
      </c>
      <c r="BE186" s="19">
        <v>0</v>
      </c>
      <c r="BF186" s="19">
        <v>0</v>
      </c>
      <c r="BG186" s="19">
        <v>0</v>
      </c>
      <c r="BH186" s="19">
        <v>0</v>
      </c>
      <c r="BI186" s="19">
        <v>0</v>
      </c>
      <c r="BJ186" s="19">
        <v>0</v>
      </c>
      <c r="BK186" s="19">
        <v>0</v>
      </c>
      <c r="BL186" s="19">
        <v>0</v>
      </c>
      <c r="BM186" s="19">
        <v>0</v>
      </c>
      <c r="BN186" s="19">
        <v>1</v>
      </c>
      <c r="BO186" s="19">
        <v>0</v>
      </c>
      <c r="BP186" s="19">
        <v>0</v>
      </c>
      <c r="BQ186" s="19">
        <v>0</v>
      </c>
      <c r="BR186" s="19">
        <v>1</v>
      </c>
      <c r="BS186" s="19">
        <v>1</v>
      </c>
      <c r="BT186" s="19">
        <v>2</v>
      </c>
      <c r="BU186" s="19">
        <v>3</v>
      </c>
      <c r="BV186" s="19">
        <v>2</v>
      </c>
      <c r="BW186" s="19">
        <v>1</v>
      </c>
      <c r="BX186" s="19">
        <v>2</v>
      </c>
      <c r="BY186" s="19">
        <v>3</v>
      </c>
      <c r="BZ186" s="19">
        <v>4</v>
      </c>
      <c r="CA186" s="19">
        <v>5</v>
      </c>
      <c r="CB186" s="19">
        <v>5</v>
      </c>
      <c r="CC186" s="19">
        <v>5</v>
      </c>
      <c r="CD186" s="19">
        <v>5</v>
      </c>
      <c r="CE186" s="19">
        <v>4</v>
      </c>
      <c r="CF186" s="19">
        <v>5</v>
      </c>
      <c r="CG186" s="19">
        <v>5</v>
      </c>
      <c r="CH186" s="19">
        <v>4</v>
      </c>
      <c r="CI186" s="19">
        <v>5</v>
      </c>
      <c r="CJ186" s="19">
        <v>5</v>
      </c>
      <c r="CK186" s="19">
        <v>8</v>
      </c>
      <c r="CL186" t="s">
        <v>661</v>
      </c>
      <c r="CM186">
        <v>29</v>
      </c>
      <c r="CN186" s="16">
        <v>86.2</v>
      </c>
      <c r="CO186" s="16">
        <v>83.4</v>
      </c>
      <c r="CP186" s="16">
        <v>15.4</v>
      </c>
      <c r="CQ186">
        <v>87</v>
      </c>
      <c r="CR186">
        <v>0</v>
      </c>
      <c r="CS186">
        <v>0</v>
      </c>
      <c r="CT186">
        <v>0</v>
      </c>
      <c r="CU186">
        <v>13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37.36</v>
      </c>
      <c r="DC186">
        <v>46.33</v>
      </c>
      <c r="DD186">
        <v>18.45</v>
      </c>
      <c r="DE186">
        <v>0</v>
      </c>
      <c r="DF186">
        <v>0</v>
      </c>
      <c r="DG186">
        <v>0</v>
      </c>
      <c r="DH186">
        <v>0</v>
      </c>
      <c r="DU186">
        <v>8.3000000000000007</v>
      </c>
      <c r="DV186">
        <v>0</v>
      </c>
      <c r="EG186" s="18"/>
      <c r="EY186">
        <v>1</v>
      </c>
      <c r="EZ186">
        <v>80</v>
      </c>
      <c r="FA186">
        <v>9</v>
      </c>
      <c r="FB186">
        <v>6.01</v>
      </c>
      <c r="FC186">
        <v>3</v>
      </c>
      <c r="GJ186" s="16">
        <v>1.8</v>
      </c>
      <c r="GK186" s="16">
        <v>1</v>
      </c>
      <c r="GL186" s="16">
        <v>1</v>
      </c>
      <c r="GM186" s="16"/>
      <c r="GN186" s="16">
        <v>3.6</v>
      </c>
      <c r="GO186" s="16"/>
      <c r="GP186" s="16"/>
      <c r="GQ186" s="16"/>
      <c r="GR186" s="16"/>
      <c r="GS186" s="16"/>
      <c r="GT186" s="16"/>
      <c r="GU186" s="16">
        <v>0.54</v>
      </c>
      <c r="GV186" s="16">
        <v>0.13</v>
      </c>
      <c r="GW186" s="16"/>
      <c r="GX186" s="16"/>
      <c r="GY186" s="16">
        <v>2.88</v>
      </c>
      <c r="GZ186" s="16">
        <v>6.91</v>
      </c>
      <c r="HA186" s="16">
        <v>0</v>
      </c>
      <c r="HB186">
        <v>0</v>
      </c>
      <c r="HC186" t="s">
        <v>662</v>
      </c>
      <c r="HD186">
        <v>46.5</v>
      </c>
      <c r="HE186" s="16">
        <v>69.2</v>
      </c>
      <c r="HF186" s="16">
        <v>83.4</v>
      </c>
      <c r="HG186" s="16">
        <v>28.7</v>
      </c>
      <c r="HH186">
        <v>53.82</v>
      </c>
      <c r="HI186">
        <v>0</v>
      </c>
      <c r="HJ186">
        <v>0</v>
      </c>
      <c r="HK186">
        <v>0</v>
      </c>
      <c r="HL186">
        <v>46.18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5.46</v>
      </c>
      <c r="HU186">
        <v>46.31</v>
      </c>
      <c r="HV186">
        <v>1.06</v>
      </c>
      <c r="HW186">
        <v>0</v>
      </c>
      <c r="HX186">
        <v>0</v>
      </c>
      <c r="HY186">
        <v>0</v>
      </c>
      <c r="IL186">
        <v>13.3</v>
      </c>
      <c r="IM186">
        <v>1</v>
      </c>
      <c r="IN186">
        <v>52</v>
      </c>
      <c r="IO186">
        <v>23</v>
      </c>
      <c r="IP186">
        <f>7.18+2.15+0.07+0.84+0.15+0.14+0.12</f>
        <v>10.65</v>
      </c>
      <c r="IQ186">
        <v>2</v>
      </c>
      <c r="IX186" s="18"/>
      <c r="JP186">
        <v>0</v>
      </c>
      <c r="LA186" s="16">
        <v>1.39</v>
      </c>
      <c r="LB186" s="16">
        <v>1</v>
      </c>
      <c r="LC186" s="16">
        <v>1</v>
      </c>
      <c r="LD186" s="16"/>
      <c r="LE186" s="16">
        <f>1.32*2+1.62</f>
        <v>4.26</v>
      </c>
      <c r="LF186" s="16"/>
      <c r="LG186" s="16"/>
      <c r="LH186" s="16"/>
      <c r="LI186" s="16"/>
      <c r="LJ186" s="16"/>
      <c r="LK186" s="16"/>
      <c r="LL186" s="16">
        <v>0</v>
      </c>
      <c r="LM186" s="16">
        <v>0</v>
      </c>
      <c r="LN186" s="16"/>
      <c r="LO186" s="16"/>
      <c r="LP186" s="16">
        <v>2.88</v>
      </c>
      <c r="LQ186" s="16">
        <v>5.21</v>
      </c>
      <c r="LR186" s="16">
        <v>0</v>
      </c>
      <c r="LS186">
        <v>0</v>
      </c>
      <c r="LT186" t="s">
        <v>663</v>
      </c>
      <c r="LU186">
        <v>43.5</v>
      </c>
      <c r="LV186" s="16">
        <v>71.7</v>
      </c>
      <c r="LW186" s="16">
        <v>83.4</v>
      </c>
      <c r="LX186" s="16">
        <v>26.2</v>
      </c>
      <c r="LY186">
        <v>62.72</v>
      </c>
      <c r="LZ186">
        <v>0</v>
      </c>
      <c r="MA186">
        <v>0</v>
      </c>
      <c r="MB186">
        <v>0</v>
      </c>
      <c r="MC186">
        <v>37.28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5.91</v>
      </c>
      <c r="ML186">
        <v>43.24</v>
      </c>
      <c r="MM186">
        <v>0.36</v>
      </c>
      <c r="MN186">
        <v>0</v>
      </c>
      <c r="MO186">
        <v>0</v>
      </c>
      <c r="MP186">
        <v>0</v>
      </c>
      <c r="NC186">
        <v>12.7</v>
      </c>
      <c r="ND186">
        <v>1</v>
      </c>
      <c r="NE186">
        <v>52</v>
      </c>
      <c r="NF186">
        <v>13</v>
      </c>
      <c r="NG186">
        <f>7.18+2.15</f>
        <v>9.33</v>
      </c>
      <c r="NH186">
        <v>2</v>
      </c>
      <c r="NO186" s="18"/>
      <c r="OG186">
        <v>0</v>
      </c>
      <c r="PR186" s="16">
        <v>1.39</v>
      </c>
      <c r="PS186" s="16">
        <v>1</v>
      </c>
      <c r="PT186" s="16">
        <v>1</v>
      </c>
      <c r="PU186" s="16"/>
      <c r="PV186" s="16">
        <f t="shared" si="60"/>
        <v>4.26</v>
      </c>
      <c r="PW186" s="16"/>
      <c r="PX186" s="16"/>
      <c r="PY186" s="16"/>
      <c r="PZ186" s="16"/>
      <c r="QA186" s="16"/>
      <c r="QB186" s="16"/>
      <c r="QC186" s="16">
        <v>0</v>
      </c>
      <c r="QD186" s="16">
        <v>0</v>
      </c>
      <c r="QE186" s="16"/>
      <c r="QF186" s="16"/>
      <c r="QG186" s="16">
        <v>2.88</v>
      </c>
      <c r="QH186" s="16">
        <v>5.57</v>
      </c>
      <c r="QI186" s="16">
        <v>0</v>
      </c>
      <c r="QJ186">
        <v>0</v>
      </c>
      <c r="QK186" t="s">
        <v>664</v>
      </c>
      <c r="QL186">
        <v>46</v>
      </c>
      <c r="QM186" s="16">
        <v>97.8</v>
      </c>
      <c r="QN186" s="16">
        <v>83.4</v>
      </c>
      <c r="QO186" s="16">
        <v>9.8000000000000007</v>
      </c>
      <c r="QP186">
        <v>97.48</v>
      </c>
      <c r="QQ186">
        <v>0</v>
      </c>
      <c r="QR186">
        <v>1.83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3.67</v>
      </c>
      <c r="RB186">
        <v>10.58</v>
      </c>
      <c r="RC186">
        <v>65.89</v>
      </c>
      <c r="RD186">
        <v>0</v>
      </c>
      <c r="RE186">
        <v>0</v>
      </c>
      <c r="RF186">
        <v>0</v>
      </c>
      <c r="RG186">
        <v>0</v>
      </c>
      <c r="RT186">
        <v>29.3</v>
      </c>
      <c r="RU186">
        <v>1</v>
      </c>
      <c r="RV186">
        <v>40</v>
      </c>
      <c r="RW186">
        <v>10</v>
      </c>
      <c r="RX186">
        <f>0.91+0.39</f>
        <v>1.3</v>
      </c>
      <c r="RY186">
        <v>2</v>
      </c>
      <c r="RZ186">
        <v>35</v>
      </c>
      <c r="SA186">
        <v>10</v>
      </c>
      <c r="SB186">
        <f>0.58+1.36</f>
        <v>1.94</v>
      </c>
      <c r="SC186">
        <v>3</v>
      </c>
      <c r="SF186" s="18"/>
      <c r="SX186">
        <v>1</v>
      </c>
      <c r="SY186">
        <v>60</v>
      </c>
      <c r="SZ186">
        <v>5</v>
      </c>
      <c r="TA186">
        <v>3.67</v>
      </c>
      <c r="TB186">
        <v>3</v>
      </c>
      <c r="TC186">
        <v>30</v>
      </c>
      <c r="TD186">
        <v>6</v>
      </c>
      <c r="TE186">
        <v>5.87</v>
      </c>
      <c r="TF186">
        <v>4</v>
      </c>
      <c r="UI186" s="16">
        <v>1.87</v>
      </c>
      <c r="UJ186" s="16">
        <v>1</v>
      </c>
      <c r="UK186" s="16">
        <v>1</v>
      </c>
      <c r="UL186" s="16"/>
      <c r="UM186" s="16">
        <f>2.04*2</f>
        <v>4.08</v>
      </c>
      <c r="UN186" s="16">
        <v>2</v>
      </c>
      <c r="UO186" s="16"/>
      <c r="UP186" s="16">
        <f>0.36*2</f>
        <v>0.72</v>
      </c>
      <c r="UQ186" s="16"/>
      <c r="UR186" s="16"/>
      <c r="US186" s="16"/>
      <c r="UT186" s="16">
        <v>5.07</v>
      </c>
      <c r="UU186" s="16">
        <v>2.33</v>
      </c>
      <c r="UV186" s="16"/>
      <c r="UW186" s="16"/>
      <c r="UX186" s="16">
        <v>0</v>
      </c>
      <c r="UY186" s="16">
        <v>0</v>
      </c>
      <c r="UZ186" s="16">
        <v>0</v>
      </c>
      <c r="VA186">
        <v>0</v>
      </c>
      <c r="VB186" t="s">
        <v>665</v>
      </c>
      <c r="VC186">
        <v>49.5</v>
      </c>
      <c r="VD186" s="16">
        <v>97.8</v>
      </c>
      <c r="VE186" s="16">
        <v>83.4</v>
      </c>
      <c r="VF186" s="16">
        <v>9.9</v>
      </c>
      <c r="VG186">
        <v>97.48</v>
      </c>
      <c r="VH186">
        <v>0</v>
      </c>
      <c r="VI186">
        <v>1.83</v>
      </c>
      <c r="VJ186">
        <v>0</v>
      </c>
      <c r="VK186">
        <v>0.68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3.67</v>
      </c>
      <c r="VS186">
        <v>8.74</v>
      </c>
      <c r="VT186">
        <v>67.72</v>
      </c>
      <c r="VU186">
        <v>0</v>
      </c>
      <c r="VV186">
        <v>0</v>
      </c>
      <c r="VW186">
        <v>0</v>
      </c>
      <c r="VX186">
        <v>0</v>
      </c>
      <c r="WK186">
        <v>32.5</v>
      </c>
      <c r="WL186">
        <v>1</v>
      </c>
      <c r="WM186">
        <v>30</v>
      </c>
      <c r="WN186">
        <v>11</v>
      </c>
      <c r="WO186">
        <f>6.61+5.5</f>
        <v>12.11</v>
      </c>
      <c r="WP186">
        <v>4</v>
      </c>
      <c r="WQ186">
        <v>40</v>
      </c>
      <c r="WR186">
        <v>12</v>
      </c>
      <c r="WS186">
        <f>2.2+1.47+0.91</f>
        <v>4.58</v>
      </c>
      <c r="WT186">
        <v>2</v>
      </c>
      <c r="WU186">
        <v>35</v>
      </c>
      <c r="WV186">
        <v>10</v>
      </c>
      <c r="WW186" s="18">
        <f>1.36+0.58</f>
        <v>1.94</v>
      </c>
      <c r="WX186">
        <v>3</v>
      </c>
      <c r="WY186">
        <v>78</v>
      </c>
      <c r="WZ186">
        <v>3</v>
      </c>
      <c r="XA186">
        <v>0.39</v>
      </c>
      <c r="XB186">
        <v>2</v>
      </c>
      <c r="XO186">
        <v>0</v>
      </c>
      <c r="YZ186" s="16">
        <v>1.87</v>
      </c>
      <c r="ZA186" s="16">
        <v>1</v>
      </c>
      <c r="ZB186" s="16">
        <v>1</v>
      </c>
      <c r="ZC186" s="16"/>
      <c r="ZD186" s="16">
        <f t="shared" si="61"/>
        <v>4.08</v>
      </c>
      <c r="ZE186" s="16">
        <v>2</v>
      </c>
      <c r="ZF186" s="16"/>
      <c r="ZG186" s="16">
        <v>0.7</v>
      </c>
      <c r="ZH186" s="16"/>
      <c r="ZI186" s="16"/>
      <c r="ZJ186" s="16"/>
      <c r="ZK186" s="16">
        <v>5.01</v>
      </c>
      <c r="ZL186" s="16">
        <v>1.3</v>
      </c>
      <c r="ZM186" s="16"/>
      <c r="ZN186" s="16"/>
      <c r="ZO186" s="16">
        <v>0</v>
      </c>
      <c r="ZP186" s="16">
        <v>0</v>
      </c>
      <c r="ZQ186" s="16">
        <v>0</v>
      </c>
      <c r="ZR186">
        <v>0</v>
      </c>
      <c r="ZS186" s="38">
        <v>120</v>
      </c>
      <c r="ZT186">
        <v>41</v>
      </c>
      <c r="ZU186" s="16">
        <v>75.900000000000006</v>
      </c>
      <c r="ZV186" s="16">
        <v>83.4</v>
      </c>
      <c r="ZW186" s="16">
        <v>13.8</v>
      </c>
      <c r="ZX186">
        <v>83.58</v>
      </c>
      <c r="ZY186">
        <v>0</v>
      </c>
      <c r="ZZ186">
        <v>0</v>
      </c>
      <c r="AAA186">
        <v>0</v>
      </c>
      <c r="AAB186">
        <v>9.73</v>
      </c>
      <c r="AAC186">
        <v>0</v>
      </c>
      <c r="AAD186">
        <v>6.69</v>
      </c>
      <c r="AAE186">
        <v>0</v>
      </c>
      <c r="AAF186">
        <v>0</v>
      </c>
      <c r="AAG186">
        <v>0</v>
      </c>
      <c r="AAH186">
        <v>0</v>
      </c>
      <c r="AAI186">
        <v>11.59</v>
      </c>
      <c r="AAJ186">
        <v>26.54</v>
      </c>
      <c r="AAK186">
        <v>10.81</v>
      </c>
      <c r="AAL186">
        <v>6.87</v>
      </c>
      <c r="AAM186">
        <v>0</v>
      </c>
      <c r="AAN186">
        <v>20</v>
      </c>
      <c r="AAO186">
        <v>1</v>
      </c>
      <c r="AAP186">
        <v>3</v>
      </c>
      <c r="AAR186">
        <v>4</v>
      </c>
      <c r="ABB186">
        <v>1.9</v>
      </c>
      <c r="ABC186">
        <v>1</v>
      </c>
      <c r="ABD186">
        <v>34</v>
      </c>
      <c r="ABE186">
        <v>4</v>
      </c>
      <c r="ABF186">
        <f>4.04+0.71</f>
        <v>4.75</v>
      </c>
      <c r="ABG186">
        <v>1</v>
      </c>
      <c r="ABH186">
        <v>52</v>
      </c>
      <c r="ABI186">
        <v>2</v>
      </c>
      <c r="ABJ186">
        <f>0.73+0.13</f>
        <v>0.86</v>
      </c>
      <c r="ABK186">
        <v>2</v>
      </c>
      <c r="ABN186" s="18"/>
      <c r="ACF186">
        <v>0</v>
      </c>
      <c r="ADQ186" s="16">
        <v>0</v>
      </c>
      <c r="ADR186" s="16">
        <v>0</v>
      </c>
      <c r="ADS186" s="16"/>
      <c r="ADT186" s="16"/>
      <c r="ADU186" s="16"/>
      <c r="ADV186" s="16"/>
      <c r="ADW186" s="16"/>
      <c r="ADX186" s="16"/>
      <c r="ADY186" s="16"/>
      <c r="ADZ186" s="16"/>
      <c r="AEA186" s="16"/>
      <c r="AEB186" s="16">
        <v>5.08</v>
      </c>
      <c r="AEC186" s="16">
        <v>4.75</v>
      </c>
      <c r="AED186" s="16"/>
      <c r="AEE186" s="16"/>
      <c r="AEF186" s="16">
        <v>0</v>
      </c>
      <c r="AEG186" s="16">
        <v>0</v>
      </c>
      <c r="AEH186" s="16">
        <v>0</v>
      </c>
      <c r="AEI186">
        <v>0</v>
      </c>
      <c r="AEJ186" t="s">
        <v>666</v>
      </c>
      <c r="AEK186">
        <v>27.5</v>
      </c>
      <c r="AEL186" s="16">
        <v>76.8</v>
      </c>
      <c r="AEM186" s="16">
        <v>83.4</v>
      </c>
      <c r="AEN186" s="16">
        <v>16</v>
      </c>
      <c r="AEO186">
        <v>82.97</v>
      </c>
      <c r="AEP186">
        <v>0</v>
      </c>
      <c r="AEQ186">
        <v>0.28999999999999998</v>
      </c>
      <c r="AER186">
        <v>0</v>
      </c>
      <c r="AES186">
        <v>16.739999999999998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1.65</v>
      </c>
      <c r="AFB186">
        <v>49.33</v>
      </c>
      <c r="AFC186">
        <v>1.23</v>
      </c>
      <c r="AFD186">
        <v>0</v>
      </c>
      <c r="AFE186">
        <v>0</v>
      </c>
      <c r="AFF186">
        <v>0</v>
      </c>
      <c r="AFS186">
        <v>8.6999999999999993</v>
      </c>
      <c r="AFT186">
        <v>1</v>
      </c>
      <c r="AFU186">
        <v>35</v>
      </c>
      <c r="AFV186">
        <v>3</v>
      </c>
      <c r="AFW186">
        <f>0.13*2+0.73</f>
        <v>0.99</v>
      </c>
      <c r="AFX186">
        <v>3</v>
      </c>
      <c r="AFY186">
        <v>47</v>
      </c>
      <c r="AFZ186">
        <v>4</v>
      </c>
      <c r="AGA186">
        <v>0.52</v>
      </c>
      <c r="AGB186">
        <v>3</v>
      </c>
      <c r="AGE186" s="18"/>
      <c r="AGW186">
        <v>0</v>
      </c>
      <c r="AIH186" s="16">
        <v>1.44</v>
      </c>
      <c r="AII186" s="16">
        <v>1</v>
      </c>
      <c r="AIJ186" s="16">
        <v>1</v>
      </c>
      <c r="AIK186" s="16"/>
      <c r="AIL186" s="16">
        <f>3.3*2+0.36*2</f>
        <v>7.3199999999999994</v>
      </c>
      <c r="AIM186" s="16"/>
      <c r="AIN186" s="16"/>
      <c r="AIO186" s="16"/>
      <c r="AIP186" s="16"/>
      <c r="AIQ186" s="16"/>
      <c r="AIR186" s="16"/>
      <c r="AIS186" s="16">
        <v>1.08</v>
      </c>
      <c r="AIT186" s="16">
        <v>0.26</v>
      </c>
      <c r="AIU186" s="16"/>
      <c r="AIV186" s="16"/>
      <c r="AIW186" s="16">
        <v>0</v>
      </c>
      <c r="AIX186" s="16">
        <v>0</v>
      </c>
      <c r="AIY186" s="16">
        <v>0</v>
      </c>
      <c r="AIZ186">
        <v>0</v>
      </c>
      <c r="AJA186" t="s">
        <v>668</v>
      </c>
      <c r="AJB186">
        <v>45</v>
      </c>
      <c r="AJC186" s="16">
        <v>68.099999999999994</v>
      </c>
      <c r="AJD186" s="16">
        <v>83.4</v>
      </c>
      <c r="AJE186" s="16">
        <v>15.3</v>
      </c>
      <c r="AJF186">
        <v>83.75</v>
      </c>
      <c r="AJG186">
        <v>0</v>
      </c>
      <c r="AJH186">
        <v>0.28999999999999998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5.69</v>
      </c>
      <c r="AJS186">
        <v>43.64</v>
      </c>
      <c r="AJT186">
        <v>0.45</v>
      </c>
      <c r="AJU186">
        <v>0</v>
      </c>
      <c r="AJV186">
        <v>0</v>
      </c>
      <c r="AJW186">
        <v>0</v>
      </c>
      <c r="AKJ186">
        <v>22.5</v>
      </c>
      <c r="AKK186">
        <v>1</v>
      </c>
      <c r="AKL186">
        <v>35</v>
      </c>
      <c r="AKM186">
        <v>5</v>
      </c>
      <c r="AKN186">
        <f>0.73*2+2.2+0.13*2</f>
        <v>3.92</v>
      </c>
      <c r="AKO186">
        <v>3</v>
      </c>
      <c r="AKP186">
        <v>47</v>
      </c>
      <c r="AKQ186">
        <v>4</v>
      </c>
      <c r="AKR186">
        <v>0.52</v>
      </c>
      <c r="AKS186">
        <v>3</v>
      </c>
      <c r="AKV186" s="18"/>
      <c r="ALN186">
        <v>0</v>
      </c>
    </row>
    <row r="187" spans="1:1024" x14ac:dyDescent="0.2">
      <c r="A187" s="1" t="s">
        <v>679</v>
      </c>
      <c r="B187" s="12">
        <v>42907</v>
      </c>
      <c r="C187">
        <v>2</v>
      </c>
      <c r="D187" s="13">
        <v>35744</v>
      </c>
      <c r="E187" s="12">
        <v>26592</v>
      </c>
      <c r="F187" s="14">
        <f t="shared" si="48"/>
        <v>44.668035592060235</v>
      </c>
      <c r="G187" s="14">
        <f t="shared" si="49"/>
        <v>19.611225188227241</v>
      </c>
      <c r="H187" s="15" t="s">
        <v>306</v>
      </c>
      <c r="I187" s="15" t="s">
        <v>658</v>
      </c>
      <c r="J187" s="21" t="s">
        <v>181</v>
      </c>
      <c r="K187" s="21">
        <v>8</v>
      </c>
      <c r="L187" s="19">
        <v>58</v>
      </c>
      <c r="M187">
        <v>1.68</v>
      </c>
      <c r="N187" s="16">
        <f t="shared" si="50"/>
        <v>20.549886621315196</v>
      </c>
      <c r="O187" s="19">
        <v>0</v>
      </c>
      <c r="P187" s="19">
        <v>0</v>
      </c>
      <c r="Q187" s="19">
        <v>0</v>
      </c>
      <c r="R187" s="19">
        <v>0</v>
      </c>
      <c r="S187" s="19">
        <v>0</v>
      </c>
      <c r="T187" s="19">
        <v>0</v>
      </c>
      <c r="U187" s="26">
        <v>0</v>
      </c>
      <c r="V187" s="26">
        <v>0</v>
      </c>
      <c r="W187" s="19">
        <v>1</v>
      </c>
      <c r="X187" s="19">
        <v>0</v>
      </c>
      <c r="Y187" s="19">
        <v>0</v>
      </c>
      <c r="Z187" s="19">
        <v>0</v>
      </c>
      <c r="AA187" s="19">
        <v>0</v>
      </c>
      <c r="AB187" s="19">
        <v>0</v>
      </c>
      <c r="AC187" s="19">
        <v>0</v>
      </c>
      <c r="AD187" s="19">
        <v>0</v>
      </c>
      <c r="AE187" s="19">
        <v>1</v>
      </c>
      <c r="AF187" s="19"/>
      <c r="AG187" s="19"/>
      <c r="AH187" s="19"/>
      <c r="AI187" s="19"/>
      <c r="AJ187" s="19"/>
      <c r="AK187" s="19"/>
      <c r="AL187" s="19"/>
      <c r="AM187" s="19"/>
      <c r="AN187" s="19">
        <v>1</v>
      </c>
      <c r="AO187" s="19">
        <v>1</v>
      </c>
      <c r="AP187" s="19"/>
      <c r="AQ187" s="19"/>
      <c r="AR187" s="19"/>
      <c r="AS187" s="19">
        <v>3</v>
      </c>
      <c r="AT187" s="19">
        <v>0</v>
      </c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>
        <v>1</v>
      </c>
      <c r="BK187" s="19">
        <v>1</v>
      </c>
      <c r="BL187" s="19">
        <v>1</v>
      </c>
      <c r="BM187" s="19">
        <v>4</v>
      </c>
      <c r="BN187" s="19"/>
      <c r="BO187" s="19"/>
      <c r="BP187" s="19"/>
      <c r="BQ187" s="19"/>
      <c r="BR187" s="19">
        <v>3</v>
      </c>
      <c r="BS187" s="19">
        <v>2</v>
      </c>
      <c r="BT187" s="19">
        <v>4</v>
      </c>
      <c r="BU187" s="19">
        <v>4</v>
      </c>
      <c r="BV187" s="19">
        <v>3</v>
      </c>
      <c r="BW187" s="19">
        <v>3</v>
      </c>
      <c r="BX187" s="19">
        <v>2</v>
      </c>
      <c r="BY187" s="19">
        <v>3</v>
      </c>
      <c r="BZ187" s="19">
        <v>2</v>
      </c>
      <c r="CA187" s="19">
        <v>2</v>
      </c>
      <c r="CB187" s="19">
        <v>4</v>
      </c>
      <c r="CC187" s="19">
        <v>5</v>
      </c>
      <c r="CD187" s="19">
        <v>2</v>
      </c>
      <c r="CE187" s="19">
        <v>4</v>
      </c>
      <c r="CF187" s="19">
        <v>4</v>
      </c>
      <c r="CG187" s="19">
        <v>4</v>
      </c>
      <c r="CH187" s="19">
        <v>4</v>
      </c>
      <c r="CI187" s="19">
        <v>4</v>
      </c>
      <c r="CJ187" s="19">
        <v>4</v>
      </c>
      <c r="CK187" s="19">
        <v>7</v>
      </c>
      <c r="CL187" t="s">
        <v>660</v>
      </c>
      <c r="CM187">
        <v>35.5</v>
      </c>
      <c r="CN187" s="16">
        <v>93.5</v>
      </c>
      <c r="CO187" s="16">
        <v>83.4</v>
      </c>
      <c r="CP187" s="16">
        <v>18.2</v>
      </c>
      <c r="CQ187">
        <v>81.819999999999993</v>
      </c>
      <c r="CR187">
        <v>0</v>
      </c>
      <c r="CS187">
        <v>0</v>
      </c>
      <c r="CT187">
        <v>0</v>
      </c>
      <c r="CU187">
        <v>18.18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37.1</v>
      </c>
      <c r="DC187">
        <v>47.46</v>
      </c>
      <c r="DD187">
        <v>20.37</v>
      </c>
      <c r="DE187">
        <v>3.52</v>
      </c>
      <c r="DF187">
        <v>0</v>
      </c>
      <c r="DG187">
        <v>0</v>
      </c>
      <c r="DH187">
        <v>0</v>
      </c>
      <c r="DU187">
        <v>8.4</v>
      </c>
      <c r="DV187">
        <v>0</v>
      </c>
      <c r="EG187" s="18"/>
      <c r="EY187">
        <v>1</v>
      </c>
      <c r="EZ187">
        <v>80</v>
      </c>
      <c r="FA187">
        <v>9</v>
      </c>
      <c r="FB187">
        <f>2.94*2+0.13</f>
        <v>6.01</v>
      </c>
      <c r="FC187">
        <v>3</v>
      </c>
      <c r="FD187">
        <v>50</v>
      </c>
      <c r="FE187">
        <v>4</v>
      </c>
      <c r="FF187">
        <v>5.56</v>
      </c>
      <c r="FG187">
        <v>3</v>
      </c>
      <c r="GJ187" s="16">
        <v>1.69</v>
      </c>
      <c r="GK187" s="16">
        <v>1</v>
      </c>
      <c r="GL187" s="16">
        <v>1</v>
      </c>
      <c r="GM187" s="16"/>
      <c r="GN187" s="16">
        <v>3.6</v>
      </c>
      <c r="GO187" s="16"/>
      <c r="GP187" s="16"/>
      <c r="GQ187" s="16"/>
      <c r="GR187" s="16"/>
      <c r="GS187" s="16"/>
      <c r="GT187" s="16"/>
      <c r="GU187" s="16">
        <v>3.24</v>
      </c>
      <c r="GV187" s="16">
        <v>2.54</v>
      </c>
      <c r="GW187" s="16"/>
      <c r="GX187" s="16"/>
      <c r="GY187" s="16">
        <v>3.6</v>
      </c>
      <c r="GZ187" s="16">
        <v>8.8000000000000007</v>
      </c>
      <c r="HA187" s="16">
        <v>0</v>
      </c>
      <c r="HB187">
        <v>0</v>
      </c>
      <c r="HC187" t="s">
        <v>661</v>
      </c>
      <c r="HD187">
        <v>29</v>
      </c>
      <c r="HE187" s="16">
        <v>86.2</v>
      </c>
      <c r="HF187" s="16">
        <v>83.4</v>
      </c>
      <c r="HG187" s="16">
        <v>15.4</v>
      </c>
      <c r="HH187">
        <v>87</v>
      </c>
      <c r="HI187">
        <v>0</v>
      </c>
      <c r="HJ187">
        <v>0</v>
      </c>
      <c r="HK187">
        <v>0</v>
      </c>
      <c r="HL187">
        <v>13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37.36</v>
      </c>
      <c r="HT187">
        <v>46.33</v>
      </c>
      <c r="HU187">
        <v>18.45</v>
      </c>
      <c r="HV187">
        <v>0</v>
      </c>
      <c r="HW187">
        <v>0</v>
      </c>
      <c r="HX187">
        <v>0</v>
      </c>
      <c r="HY187">
        <v>0</v>
      </c>
      <c r="IL187">
        <v>8.3000000000000007</v>
      </c>
      <c r="IM187">
        <v>0</v>
      </c>
      <c r="IX187" s="18"/>
      <c r="JP187">
        <v>1</v>
      </c>
      <c r="JQ187">
        <v>80</v>
      </c>
      <c r="JR187">
        <v>9</v>
      </c>
      <c r="JS187">
        <v>6.01</v>
      </c>
      <c r="JT187">
        <v>3</v>
      </c>
      <c r="LA187" s="16">
        <v>1.8</v>
      </c>
      <c r="LB187" s="16">
        <v>1</v>
      </c>
      <c r="LC187" s="16">
        <v>1</v>
      </c>
      <c r="LD187" s="16"/>
      <c r="LE187" s="16">
        <v>3.6</v>
      </c>
      <c r="LF187" s="16"/>
      <c r="LG187" s="16"/>
      <c r="LH187" s="16"/>
      <c r="LI187" s="16"/>
      <c r="LJ187" s="16"/>
      <c r="LK187" s="16"/>
      <c r="LL187" s="16">
        <v>0.54</v>
      </c>
      <c r="LM187" s="16">
        <v>0.13</v>
      </c>
      <c r="LN187" s="16"/>
      <c r="LO187" s="16"/>
      <c r="LP187" s="16">
        <v>2.88</v>
      </c>
      <c r="LQ187" s="16">
        <v>6.91</v>
      </c>
      <c r="LR187" s="16">
        <v>0</v>
      </c>
      <c r="LS187">
        <v>0</v>
      </c>
      <c r="LT187" t="s">
        <v>662</v>
      </c>
      <c r="LU187">
        <v>46.5</v>
      </c>
      <c r="LV187" s="16">
        <v>69.2</v>
      </c>
      <c r="LW187" s="16">
        <v>83.4</v>
      </c>
      <c r="LX187" s="16">
        <v>28.7</v>
      </c>
      <c r="LY187">
        <v>53.82</v>
      </c>
      <c r="LZ187">
        <v>0</v>
      </c>
      <c r="MA187">
        <v>0</v>
      </c>
      <c r="MB187">
        <v>0</v>
      </c>
      <c r="MC187">
        <v>46.18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5.46</v>
      </c>
      <c r="ML187">
        <v>46.31</v>
      </c>
      <c r="MM187">
        <v>1.06</v>
      </c>
      <c r="MN187">
        <v>0</v>
      </c>
      <c r="MO187">
        <v>0</v>
      </c>
      <c r="MP187">
        <v>0</v>
      </c>
      <c r="NC187">
        <v>13.3</v>
      </c>
      <c r="ND187">
        <v>1</v>
      </c>
      <c r="NE187">
        <v>52</v>
      </c>
      <c r="NF187">
        <v>23</v>
      </c>
      <c r="NG187">
        <f>7.18+2.15+0.07+0.84+0.15+0.14+0.12</f>
        <v>10.65</v>
      </c>
      <c r="NH187">
        <v>2</v>
      </c>
      <c r="NO187" s="18"/>
      <c r="OG187">
        <v>0</v>
      </c>
      <c r="PR187" s="16">
        <v>1.39</v>
      </c>
      <c r="PS187" s="16">
        <v>1</v>
      </c>
      <c r="PT187" s="16">
        <v>1</v>
      </c>
      <c r="PU187" s="16"/>
      <c r="PV187" s="16">
        <f t="shared" si="60"/>
        <v>4.26</v>
      </c>
      <c r="PW187" s="16"/>
      <c r="PX187" s="16"/>
      <c r="PY187" s="16"/>
      <c r="PZ187" s="16"/>
      <c r="QA187" s="16"/>
      <c r="QB187" s="16"/>
      <c r="QC187" s="16">
        <v>0</v>
      </c>
      <c r="QD187" s="16">
        <v>0</v>
      </c>
      <c r="QE187" s="16"/>
      <c r="QF187" s="16"/>
      <c r="QG187" s="16">
        <v>2.88</v>
      </c>
      <c r="QH187" s="16">
        <v>5.21</v>
      </c>
      <c r="QI187" s="16">
        <v>0</v>
      </c>
      <c r="QJ187">
        <v>0</v>
      </c>
      <c r="QK187" t="s">
        <v>663</v>
      </c>
      <c r="QL187">
        <v>43.5</v>
      </c>
      <c r="QM187" s="16">
        <v>71.7</v>
      </c>
      <c r="QN187" s="16">
        <v>83.4</v>
      </c>
      <c r="QO187" s="16">
        <v>26.2</v>
      </c>
      <c r="QP187">
        <v>62.72</v>
      </c>
      <c r="QQ187">
        <v>0</v>
      </c>
      <c r="QR187">
        <v>0</v>
      </c>
      <c r="QS187">
        <v>0</v>
      </c>
      <c r="QT187">
        <v>37.28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5.91</v>
      </c>
      <c r="RC187">
        <v>43.24</v>
      </c>
      <c r="RD187">
        <v>0.36</v>
      </c>
      <c r="RE187">
        <v>0</v>
      </c>
      <c r="RF187">
        <v>0</v>
      </c>
      <c r="RG187">
        <v>0</v>
      </c>
      <c r="RT187">
        <v>12.7</v>
      </c>
      <c r="RU187">
        <v>1</v>
      </c>
      <c r="RV187">
        <v>52</v>
      </c>
      <c r="RW187">
        <v>13</v>
      </c>
      <c r="RX187">
        <f>7.18+2.15</f>
        <v>9.33</v>
      </c>
      <c r="RY187">
        <v>2</v>
      </c>
      <c r="SF187" s="18"/>
      <c r="SX187">
        <v>0</v>
      </c>
      <c r="UI187" s="16">
        <v>1.39</v>
      </c>
      <c r="UJ187" s="16">
        <v>1</v>
      </c>
      <c r="UK187" s="16">
        <v>1</v>
      </c>
      <c r="UL187" s="16"/>
      <c r="UM187" s="16">
        <f>1.32*2+1.62</f>
        <v>4.26</v>
      </c>
      <c r="UN187" s="16"/>
      <c r="UO187" s="16"/>
      <c r="UP187" s="16"/>
      <c r="UQ187" s="16"/>
      <c r="UR187" s="16"/>
      <c r="US187" s="16"/>
      <c r="UT187" s="16">
        <v>0</v>
      </c>
      <c r="UU187" s="16">
        <v>0</v>
      </c>
      <c r="UV187" s="16"/>
      <c r="UW187" s="16"/>
      <c r="UX187" s="16">
        <v>2.88</v>
      </c>
      <c r="UY187" s="16">
        <v>5.57</v>
      </c>
      <c r="UZ187" s="16">
        <v>0</v>
      </c>
      <c r="VA187">
        <v>0</v>
      </c>
      <c r="VB187" t="s">
        <v>664</v>
      </c>
      <c r="VC187">
        <v>46</v>
      </c>
      <c r="VD187" s="16">
        <v>97.8</v>
      </c>
      <c r="VE187" s="16">
        <v>83.4</v>
      </c>
      <c r="VF187" s="16">
        <v>9.8000000000000007</v>
      </c>
      <c r="VG187">
        <v>97.48</v>
      </c>
      <c r="VH187">
        <v>0</v>
      </c>
      <c r="VI187">
        <v>1.83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3.67</v>
      </c>
      <c r="VS187">
        <v>10.58</v>
      </c>
      <c r="VT187">
        <v>65.89</v>
      </c>
      <c r="VU187">
        <v>0</v>
      </c>
      <c r="VV187">
        <v>0</v>
      </c>
      <c r="VW187">
        <v>0</v>
      </c>
      <c r="VX187">
        <v>0</v>
      </c>
      <c r="WK187">
        <v>29.3</v>
      </c>
      <c r="WL187">
        <v>1</v>
      </c>
      <c r="WM187">
        <v>40</v>
      </c>
      <c r="WN187">
        <v>10</v>
      </c>
      <c r="WO187">
        <f>0.91+0.39</f>
        <v>1.3</v>
      </c>
      <c r="WP187">
        <v>2</v>
      </c>
      <c r="WQ187">
        <v>35</v>
      </c>
      <c r="WR187">
        <v>10</v>
      </c>
      <c r="WS187">
        <f>0.58+1.36</f>
        <v>1.94</v>
      </c>
      <c r="WT187">
        <v>3</v>
      </c>
      <c r="WW187" s="18"/>
      <c r="XO187">
        <v>1</v>
      </c>
      <c r="XP187">
        <v>60</v>
      </c>
      <c r="XQ187">
        <v>5</v>
      </c>
      <c r="XR187">
        <v>3.67</v>
      </c>
      <c r="XS187">
        <v>3</v>
      </c>
      <c r="XT187">
        <v>30</v>
      </c>
      <c r="XU187">
        <v>6</v>
      </c>
      <c r="XV187">
        <v>5.87</v>
      </c>
      <c r="XW187">
        <v>4</v>
      </c>
      <c r="YZ187" s="16">
        <v>1.87</v>
      </c>
      <c r="ZA187" s="16">
        <v>1</v>
      </c>
      <c r="ZB187" s="16">
        <v>1</v>
      </c>
      <c r="ZC187" s="16"/>
      <c r="ZD187" s="16">
        <f t="shared" si="61"/>
        <v>4.08</v>
      </c>
      <c r="ZE187" s="16">
        <v>2</v>
      </c>
      <c r="ZF187" s="16"/>
      <c r="ZG187" s="16">
        <f>0.36*2</f>
        <v>0.72</v>
      </c>
      <c r="ZH187" s="16"/>
      <c r="ZI187" s="16"/>
      <c r="ZJ187" s="16"/>
      <c r="ZK187" s="16">
        <v>5.07</v>
      </c>
      <c r="ZL187" s="16">
        <v>2.33</v>
      </c>
      <c r="ZM187" s="16"/>
      <c r="ZN187" s="16"/>
      <c r="ZO187" s="16">
        <v>0</v>
      </c>
      <c r="ZP187" s="16">
        <v>0</v>
      </c>
      <c r="ZQ187" s="16">
        <v>0</v>
      </c>
      <c r="ZR187">
        <v>0</v>
      </c>
      <c r="ZS187" t="s">
        <v>665</v>
      </c>
      <c r="ZT187">
        <v>49.5</v>
      </c>
      <c r="ZU187" s="16">
        <v>97.8</v>
      </c>
      <c r="ZV187" s="16">
        <v>83.4</v>
      </c>
      <c r="ZW187" s="16">
        <v>9.9</v>
      </c>
      <c r="ZX187">
        <v>97.48</v>
      </c>
      <c r="ZY187">
        <v>0</v>
      </c>
      <c r="ZZ187">
        <v>1.83</v>
      </c>
      <c r="AAA187">
        <v>0</v>
      </c>
      <c r="AAB187">
        <v>0.68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3.67</v>
      </c>
      <c r="AAJ187">
        <v>8.74</v>
      </c>
      <c r="AAK187">
        <v>67.72</v>
      </c>
      <c r="AAL187">
        <v>0</v>
      </c>
      <c r="AAM187">
        <v>0</v>
      </c>
      <c r="AAN187">
        <v>0</v>
      </c>
      <c r="AAO187">
        <v>0</v>
      </c>
      <c r="ABB187">
        <v>32.5</v>
      </c>
      <c r="ABC187">
        <v>1</v>
      </c>
      <c r="ABD187">
        <v>30</v>
      </c>
      <c r="ABE187">
        <v>11</v>
      </c>
      <c r="ABF187">
        <f>6.61+5.5</f>
        <v>12.11</v>
      </c>
      <c r="ABG187">
        <v>4</v>
      </c>
      <c r="ABH187">
        <v>40</v>
      </c>
      <c r="ABI187">
        <v>12</v>
      </c>
      <c r="ABJ187">
        <f>2.2+1.47+0.91</f>
        <v>4.58</v>
      </c>
      <c r="ABK187">
        <v>2</v>
      </c>
      <c r="ABL187">
        <v>35</v>
      </c>
      <c r="ABM187">
        <v>10</v>
      </c>
      <c r="ABN187" s="18">
        <f>1.36+0.58</f>
        <v>1.94</v>
      </c>
      <c r="ABO187">
        <v>3</v>
      </c>
      <c r="ABP187">
        <v>78</v>
      </c>
      <c r="ABQ187">
        <v>3</v>
      </c>
      <c r="ABR187">
        <v>0.39</v>
      </c>
      <c r="ABS187">
        <v>2</v>
      </c>
      <c r="ACF187">
        <v>0</v>
      </c>
      <c r="ADQ187" s="16">
        <v>1.87</v>
      </c>
      <c r="ADR187" s="16">
        <v>1</v>
      </c>
      <c r="ADS187" s="16">
        <v>1</v>
      </c>
      <c r="ADT187" s="16"/>
      <c r="ADU187" s="16">
        <f>2.04*2</f>
        <v>4.08</v>
      </c>
      <c r="ADV187" s="16">
        <v>2</v>
      </c>
      <c r="ADW187" s="16"/>
      <c r="ADX187" s="16">
        <v>0.7</v>
      </c>
      <c r="ADY187" s="16"/>
      <c r="ADZ187" s="16"/>
      <c r="AEA187" s="16"/>
      <c r="AEB187" s="16">
        <v>5.01</v>
      </c>
      <c r="AEC187" s="16">
        <v>1.3</v>
      </c>
      <c r="AED187" s="16"/>
      <c r="AEE187" s="16"/>
      <c r="AEF187" s="16">
        <v>0</v>
      </c>
      <c r="AEG187" s="16">
        <v>0</v>
      </c>
      <c r="AEH187" s="16">
        <v>0</v>
      </c>
      <c r="AEI187">
        <v>0</v>
      </c>
      <c r="AEJ187" s="38">
        <v>120</v>
      </c>
      <c r="AEK187">
        <v>41</v>
      </c>
      <c r="AEL187" s="16">
        <v>75.900000000000006</v>
      </c>
      <c r="AEM187" s="16">
        <v>83.4</v>
      </c>
      <c r="AEN187" s="16">
        <v>13.8</v>
      </c>
      <c r="AEO187">
        <v>83.58</v>
      </c>
      <c r="AEP187">
        <v>0</v>
      </c>
      <c r="AEQ187">
        <v>0</v>
      </c>
      <c r="AER187">
        <v>0</v>
      </c>
      <c r="AES187">
        <v>9.73</v>
      </c>
      <c r="AET187">
        <v>0</v>
      </c>
      <c r="AEU187">
        <v>6.69</v>
      </c>
      <c r="AEV187">
        <v>0</v>
      </c>
      <c r="AEW187">
        <v>0</v>
      </c>
      <c r="AEX187">
        <v>0</v>
      </c>
      <c r="AEY187">
        <v>0</v>
      </c>
      <c r="AEZ187">
        <v>11.59</v>
      </c>
      <c r="AFA187">
        <v>26.54</v>
      </c>
      <c r="AFB187">
        <v>10.81</v>
      </c>
      <c r="AFC187">
        <v>6.87</v>
      </c>
      <c r="AFD187">
        <v>0</v>
      </c>
      <c r="AFE187">
        <v>20</v>
      </c>
      <c r="AFF187">
        <v>1</v>
      </c>
      <c r="AFG187">
        <v>3</v>
      </c>
      <c r="AFI187">
        <v>4</v>
      </c>
      <c r="AFS187">
        <v>1.9</v>
      </c>
      <c r="AFT187">
        <v>1</v>
      </c>
      <c r="AFU187">
        <v>34</v>
      </c>
      <c r="AFV187">
        <v>4</v>
      </c>
      <c r="AFW187">
        <f>4.04+0.71</f>
        <v>4.75</v>
      </c>
      <c r="AFX187">
        <v>1</v>
      </c>
      <c r="AFY187">
        <v>52</v>
      </c>
      <c r="AFZ187">
        <v>2</v>
      </c>
      <c r="AGA187">
        <f>0.73+0.13</f>
        <v>0.86</v>
      </c>
      <c r="AGB187">
        <v>2</v>
      </c>
      <c r="AGE187" s="18"/>
      <c r="AGW187">
        <v>0</v>
      </c>
      <c r="AIH187" s="16">
        <v>0</v>
      </c>
      <c r="AII187" s="16">
        <v>0</v>
      </c>
      <c r="AIJ187" s="16"/>
      <c r="AIK187" s="16"/>
      <c r="AIL187" s="16"/>
      <c r="AIM187" s="16"/>
      <c r="AIN187" s="16"/>
      <c r="AIO187" s="16"/>
      <c r="AIP187" s="16"/>
      <c r="AIQ187" s="16"/>
      <c r="AIR187" s="16"/>
      <c r="AIS187" s="16">
        <v>5.08</v>
      </c>
      <c r="AIT187" s="16">
        <v>4.75</v>
      </c>
      <c r="AIU187" s="16"/>
      <c r="AIV187" s="16"/>
      <c r="AIW187" s="16">
        <v>0</v>
      </c>
      <c r="AIX187" s="16">
        <v>0</v>
      </c>
      <c r="AIY187" s="16">
        <v>0</v>
      </c>
      <c r="AIZ187">
        <v>0</v>
      </c>
      <c r="AJA187" t="s">
        <v>666</v>
      </c>
      <c r="AJB187">
        <v>27.5</v>
      </c>
      <c r="AJC187" s="16">
        <v>76.8</v>
      </c>
      <c r="AJD187" s="16">
        <v>83.4</v>
      </c>
      <c r="AJE187" s="16">
        <v>16</v>
      </c>
      <c r="AJF187">
        <v>82.97</v>
      </c>
      <c r="AJG187">
        <v>0</v>
      </c>
      <c r="AJH187">
        <v>0.28999999999999998</v>
      </c>
      <c r="AJI187">
        <v>0</v>
      </c>
      <c r="AJJ187">
        <v>16.739999999999998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1.65</v>
      </c>
      <c r="AJS187">
        <v>49.33</v>
      </c>
      <c r="AJT187">
        <v>1.23</v>
      </c>
      <c r="AJU187">
        <v>0</v>
      </c>
      <c r="AJV187">
        <v>0</v>
      </c>
      <c r="AJW187">
        <v>0</v>
      </c>
      <c r="AKJ187">
        <v>8.6999999999999993</v>
      </c>
      <c r="AKK187">
        <v>1</v>
      </c>
      <c r="AKL187">
        <v>35</v>
      </c>
      <c r="AKM187">
        <v>3</v>
      </c>
      <c r="AKN187">
        <f>0.13*2+0.73</f>
        <v>0.99</v>
      </c>
      <c r="AKO187">
        <v>3</v>
      </c>
      <c r="AKP187">
        <v>47</v>
      </c>
      <c r="AKQ187">
        <v>4</v>
      </c>
      <c r="AKR187">
        <v>0.52</v>
      </c>
      <c r="AKS187">
        <v>3</v>
      </c>
      <c r="AKV187" s="18"/>
      <c r="ALN187">
        <v>0</v>
      </c>
    </row>
    <row r="188" spans="1:1024" x14ac:dyDescent="0.2">
      <c r="A188" s="1" t="s">
        <v>680</v>
      </c>
      <c r="B188" s="12">
        <v>42906</v>
      </c>
      <c r="C188">
        <v>2</v>
      </c>
      <c r="D188" s="13">
        <v>42793</v>
      </c>
      <c r="E188" s="12">
        <v>34692</v>
      </c>
      <c r="F188" s="14">
        <f t="shared" si="48"/>
        <v>22.488706365503081</v>
      </c>
      <c r="G188" s="14">
        <f t="shared" si="49"/>
        <v>0.30937713894592744</v>
      </c>
      <c r="H188" s="15" t="s">
        <v>306</v>
      </c>
      <c r="I188" s="15" t="s">
        <v>658</v>
      </c>
      <c r="J188" s="21" t="s">
        <v>181</v>
      </c>
      <c r="K188" s="21">
        <v>8</v>
      </c>
      <c r="L188" s="19">
        <v>63</v>
      </c>
      <c r="M188">
        <v>1.77</v>
      </c>
      <c r="N188" s="16">
        <f t="shared" si="50"/>
        <v>20.109164033323754</v>
      </c>
      <c r="O188" s="19">
        <v>0</v>
      </c>
      <c r="P188" s="19">
        <v>0</v>
      </c>
      <c r="Q188" s="19">
        <v>0</v>
      </c>
      <c r="R188" s="19">
        <v>0</v>
      </c>
      <c r="S188" s="19">
        <v>0</v>
      </c>
      <c r="T188" s="19">
        <v>0</v>
      </c>
      <c r="U188" s="26">
        <v>0</v>
      </c>
      <c r="V188" s="26">
        <v>0</v>
      </c>
      <c r="W188" s="19">
        <v>0</v>
      </c>
      <c r="X188" s="19">
        <v>0</v>
      </c>
      <c r="Y188" s="19">
        <v>1</v>
      </c>
      <c r="Z188" s="19">
        <v>2</v>
      </c>
      <c r="AA188" s="19">
        <v>60</v>
      </c>
      <c r="AB188" s="19" t="s">
        <v>308</v>
      </c>
      <c r="AC188" s="19">
        <v>0</v>
      </c>
      <c r="AD188" s="19">
        <v>0</v>
      </c>
      <c r="AE188" s="19">
        <v>0</v>
      </c>
      <c r="AF188" s="19">
        <v>0</v>
      </c>
      <c r="AG188" s="19">
        <v>0</v>
      </c>
      <c r="AH188" s="19">
        <v>0</v>
      </c>
      <c r="AI188" s="19">
        <v>0</v>
      </c>
      <c r="AJ188" s="19">
        <v>0</v>
      </c>
      <c r="AK188" s="19">
        <v>0</v>
      </c>
      <c r="AL188" s="19">
        <v>0</v>
      </c>
      <c r="AM188" s="19">
        <v>0</v>
      </c>
      <c r="AN188" s="19">
        <v>0</v>
      </c>
      <c r="AO188" s="19">
        <v>0</v>
      </c>
      <c r="AP188" s="19">
        <v>0</v>
      </c>
      <c r="AQ188" s="19">
        <v>0</v>
      </c>
      <c r="AR188" s="19">
        <v>0</v>
      </c>
      <c r="AS188" s="19">
        <v>0</v>
      </c>
      <c r="AT188" s="19">
        <v>0</v>
      </c>
      <c r="AU188" s="19">
        <v>0</v>
      </c>
      <c r="AV188" s="19">
        <v>0</v>
      </c>
      <c r="AW188" s="19">
        <v>0</v>
      </c>
      <c r="AX188" s="19">
        <v>0</v>
      </c>
      <c r="AY188" s="19">
        <v>0</v>
      </c>
      <c r="AZ188" s="19">
        <v>0</v>
      </c>
      <c r="BA188" s="19">
        <v>0</v>
      </c>
      <c r="BB188" s="19">
        <v>0</v>
      </c>
      <c r="BC188" s="19"/>
      <c r="BD188" s="19"/>
      <c r="BE188" s="19"/>
      <c r="BF188" s="19">
        <v>0</v>
      </c>
      <c r="BG188" s="19">
        <v>0</v>
      </c>
      <c r="BH188" s="19">
        <v>0</v>
      </c>
      <c r="BI188" s="19">
        <v>0</v>
      </c>
      <c r="BJ188" s="19">
        <v>0</v>
      </c>
      <c r="BK188" s="19">
        <v>0</v>
      </c>
      <c r="BL188" s="19">
        <v>0</v>
      </c>
      <c r="BM188" s="19">
        <v>0</v>
      </c>
      <c r="BN188" s="19">
        <v>0</v>
      </c>
      <c r="BO188" s="19">
        <v>0</v>
      </c>
      <c r="BP188" s="19">
        <v>0</v>
      </c>
      <c r="BQ188" s="19">
        <v>0</v>
      </c>
      <c r="BR188" s="19">
        <v>1</v>
      </c>
      <c r="BS188" s="19">
        <v>5</v>
      </c>
      <c r="BT188" s="19">
        <v>3</v>
      </c>
      <c r="BU188" s="19">
        <v>5</v>
      </c>
      <c r="BV188" s="19">
        <v>3</v>
      </c>
      <c r="BW188" s="19">
        <v>3</v>
      </c>
      <c r="BX188" s="19">
        <v>5</v>
      </c>
      <c r="BY188" s="19">
        <v>5</v>
      </c>
      <c r="BZ188" s="19">
        <v>3</v>
      </c>
      <c r="CA188" s="19">
        <v>4</v>
      </c>
      <c r="CB188" s="19">
        <v>5</v>
      </c>
      <c r="CC188" s="19">
        <v>5</v>
      </c>
      <c r="CD188" s="19">
        <v>1</v>
      </c>
      <c r="CE188" s="19">
        <v>5</v>
      </c>
      <c r="CF188" s="19">
        <v>5</v>
      </c>
      <c r="CG188" s="19">
        <v>5</v>
      </c>
      <c r="CH188" s="19">
        <v>5</v>
      </c>
      <c r="CI188" s="19">
        <v>5</v>
      </c>
      <c r="CJ188" s="19">
        <v>4</v>
      </c>
      <c r="CK188" s="19">
        <v>10</v>
      </c>
      <c r="CL188" t="s">
        <v>660</v>
      </c>
      <c r="CM188">
        <v>35.5</v>
      </c>
      <c r="CN188" s="16">
        <v>93.5</v>
      </c>
      <c r="CO188" s="16">
        <v>83.4</v>
      </c>
      <c r="CP188" s="16">
        <v>18.2</v>
      </c>
      <c r="CQ188">
        <v>81.819999999999993</v>
      </c>
      <c r="CR188">
        <v>0</v>
      </c>
      <c r="CS188">
        <v>0</v>
      </c>
      <c r="CT188">
        <v>0</v>
      </c>
      <c r="CU188">
        <v>18.18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37.1</v>
      </c>
      <c r="DC188">
        <v>47.46</v>
      </c>
      <c r="DD188">
        <v>20.37</v>
      </c>
      <c r="DE188">
        <v>3.52</v>
      </c>
      <c r="DF188">
        <v>0</v>
      </c>
      <c r="DG188">
        <v>0</v>
      </c>
      <c r="DH188">
        <v>0</v>
      </c>
      <c r="DU188">
        <v>8.4</v>
      </c>
      <c r="DV188">
        <v>0</v>
      </c>
      <c r="EG188" s="18"/>
      <c r="EY188">
        <v>1</v>
      </c>
      <c r="EZ188">
        <v>80</v>
      </c>
      <c r="FA188">
        <v>9</v>
      </c>
      <c r="FB188">
        <f>2.94*2+0.13</f>
        <v>6.01</v>
      </c>
      <c r="FC188">
        <v>3</v>
      </c>
      <c r="FD188">
        <v>50</v>
      </c>
      <c r="FE188">
        <v>4</v>
      </c>
      <c r="FF188">
        <v>5.56</v>
      </c>
      <c r="FG188">
        <v>3</v>
      </c>
      <c r="GJ188" s="16">
        <v>1.69</v>
      </c>
      <c r="GK188" s="16">
        <v>1</v>
      </c>
      <c r="GL188" s="16">
        <v>1</v>
      </c>
      <c r="GM188" s="16"/>
      <c r="GN188" s="16">
        <v>3.6</v>
      </c>
      <c r="GO188" s="16"/>
      <c r="GP188" s="16"/>
      <c r="GQ188" s="16"/>
      <c r="GR188" s="16"/>
      <c r="GS188" s="16"/>
      <c r="GT188" s="16"/>
      <c r="GU188" s="16">
        <v>3.24</v>
      </c>
      <c r="GV188" s="16">
        <v>2.54</v>
      </c>
      <c r="GW188" s="16"/>
      <c r="GX188" s="16"/>
      <c r="GY188" s="16">
        <v>3.6</v>
      </c>
      <c r="GZ188" s="16">
        <v>8.8000000000000007</v>
      </c>
      <c r="HA188" s="16">
        <v>0</v>
      </c>
      <c r="HB188">
        <v>0</v>
      </c>
      <c r="HC188" t="s">
        <v>661</v>
      </c>
      <c r="HD188">
        <v>29</v>
      </c>
      <c r="HE188" s="16">
        <v>86.2</v>
      </c>
      <c r="HF188" s="16">
        <v>83.4</v>
      </c>
      <c r="HG188" s="16">
        <v>15.4</v>
      </c>
      <c r="HH188">
        <v>87</v>
      </c>
      <c r="HI188">
        <v>0</v>
      </c>
      <c r="HJ188">
        <v>0</v>
      </c>
      <c r="HK188">
        <v>0</v>
      </c>
      <c r="HL188">
        <v>13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37.36</v>
      </c>
      <c r="HT188">
        <v>46.33</v>
      </c>
      <c r="HU188">
        <v>18.45</v>
      </c>
      <c r="HV188">
        <v>0</v>
      </c>
      <c r="HW188">
        <v>0</v>
      </c>
      <c r="HX188">
        <v>0</v>
      </c>
      <c r="HY188">
        <v>0</v>
      </c>
      <c r="IL188">
        <v>8.3000000000000007</v>
      </c>
      <c r="IM188">
        <v>0</v>
      </c>
      <c r="IX188" s="18"/>
      <c r="JP188">
        <v>1</v>
      </c>
      <c r="JQ188">
        <v>80</v>
      </c>
      <c r="JR188">
        <v>9</v>
      </c>
      <c r="JS188">
        <v>6.01</v>
      </c>
      <c r="JT188">
        <v>3</v>
      </c>
      <c r="LA188" s="16">
        <v>1.8</v>
      </c>
      <c r="LB188" s="16">
        <v>1</v>
      </c>
      <c r="LC188" s="16">
        <v>1</v>
      </c>
      <c r="LD188" s="16"/>
      <c r="LE188" s="16">
        <v>3.6</v>
      </c>
      <c r="LF188" s="16"/>
      <c r="LG188" s="16"/>
      <c r="LH188" s="16"/>
      <c r="LI188" s="16"/>
      <c r="LJ188" s="16"/>
      <c r="LK188" s="16"/>
      <c r="LL188" s="16">
        <v>0.54</v>
      </c>
      <c r="LM188" s="16">
        <v>0.13</v>
      </c>
      <c r="LN188" s="16"/>
      <c r="LO188" s="16"/>
      <c r="LP188" s="16">
        <v>2.88</v>
      </c>
      <c r="LQ188" s="16">
        <v>6.91</v>
      </c>
      <c r="LR188" s="16">
        <v>0</v>
      </c>
      <c r="LS188">
        <v>0</v>
      </c>
      <c r="LT188" t="s">
        <v>662</v>
      </c>
      <c r="LU188">
        <v>46.5</v>
      </c>
      <c r="LV188" s="16">
        <v>69.2</v>
      </c>
      <c r="LW188" s="16">
        <v>83.4</v>
      </c>
      <c r="LX188" s="16">
        <v>28.7</v>
      </c>
      <c r="LY188">
        <v>53.82</v>
      </c>
      <c r="LZ188">
        <v>0</v>
      </c>
      <c r="MA188">
        <v>0</v>
      </c>
      <c r="MB188">
        <v>0</v>
      </c>
      <c r="MC188">
        <v>46.18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5.46</v>
      </c>
      <c r="ML188">
        <v>46.31</v>
      </c>
      <c r="MM188">
        <v>1.06</v>
      </c>
      <c r="MN188">
        <v>0</v>
      </c>
      <c r="MO188">
        <v>0</v>
      </c>
      <c r="MP188">
        <v>0</v>
      </c>
      <c r="NC188">
        <v>13.3</v>
      </c>
      <c r="ND188">
        <v>1</v>
      </c>
      <c r="NE188">
        <v>52</v>
      </c>
      <c r="NF188">
        <v>23</v>
      </c>
      <c r="NG188">
        <f>7.18+2.15+0.07+0.84+0.15+0.14+0.12</f>
        <v>10.65</v>
      </c>
      <c r="NH188">
        <v>2</v>
      </c>
      <c r="NO188" s="18"/>
      <c r="OG188">
        <v>0</v>
      </c>
      <c r="PR188" s="16">
        <v>1.39</v>
      </c>
      <c r="PS188" s="16">
        <v>1</v>
      </c>
      <c r="PT188" s="16">
        <v>1</v>
      </c>
      <c r="PU188" s="16"/>
      <c r="PV188" s="16">
        <f t="shared" si="60"/>
        <v>4.26</v>
      </c>
      <c r="PW188" s="16"/>
      <c r="PX188" s="16"/>
      <c r="PY188" s="16"/>
      <c r="PZ188" s="16"/>
      <c r="QA188" s="16"/>
      <c r="QB188" s="16"/>
      <c r="QC188" s="16">
        <v>0</v>
      </c>
      <c r="QD188" s="16">
        <v>0</v>
      </c>
      <c r="QE188" s="16"/>
      <c r="QF188" s="16"/>
      <c r="QG188" s="16">
        <v>2.88</v>
      </c>
      <c r="QH188" s="16">
        <v>5.21</v>
      </c>
      <c r="QI188" s="16">
        <v>0</v>
      </c>
      <c r="QJ188">
        <v>0</v>
      </c>
      <c r="QK188" t="s">
        <v>663</v>
      </c>
      <c r="QL188">
        <v>43.5</v>
      </c>
      <c r="QM188" s="16">
        <v>71.7</v>
      </c>
      <c r="QN188" s="16">
        <v>83.4</v>
      </c>
      <c r="QO188" s="16">
        <v>26.2</v>
      </c>
      <c r="QP188">
        <v>62.72</v>
      </c>
      <c r="QQ188">
        <v>0</v>
      </c>
      <c r="QR188">
        <v>0</v>
      </c>
      <c r="QS188">
        <v>0</v>
      </c>
      <c r="QT188">
        <v>37.28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5.91</v>
      </c>
      <c r="RC188">
        <v>43.24</v>
      </c>
      <c r="RD188">
        <v>0.36</v>
      </c>
      <c r="RE188">
        <v>0</v>
      </c>
      <c r="RF188">
        <v>0</v>
      </c>
      <c r="RG188">
        <v>0</v>
      </c>
      <c r="RT188">
        <v>12.7</v>
      </c>
      <c r="RU188">
        <v>1</v>
      </c>
      <c r="RV188">
        <v>52</v>
      </c>
      <c r="RW188">
        <v>13</v>
      </c>
      <c r="RX188">
        <f>7.18+2.15</f>
        <v>9.33</v>
      </c>
      <c r="RY188">
        <v>2</v>
      </c>
      <c r="SF188" s="18"/>
      <c r="SX188">
        <v>0</v>
      </c>
      <c r="UI188" s="16">
        <v>1.39</v>
      </c>
      <c r="UJ188" s="16">
        <v>1</v>
      </c>
      <c r="UK188" s="16">
        <v>1</v>
      </c>
      <c r="UL188" s="16"/>
      <c r="UM188" s="16">
        <f>1.32*2+1.62</f>
        <v>4.26</v>
      </c>
      <c r="UN188" s="16"/>
      <c r="UO188" s="16"/>
      <c r="UP188" s="16"/>
      <c r="UQ188" s="16"/>
      <c r="UR188" s="16"/>
      <c r="US188" s="16"/>
      <c r="UT188" s="16">
        <v>0</v>
      </c>
      <c r="UU188" s="16">
        <v>0</v>
      </c>
      <c r="UV188" s="16"/>
      <c r="UW188" s="16"/>
      <c r="UX188" s="16">
        <v>2.88</v>
      </c>
      <c r="UY188" s="16">
        <v>5.57</v>
      </c>
      <c r="UZ188" s="16">
        <v>0</v>
      </c>
      <c r="VA188">
        <v>0</v>
      </c>
      <c r="VB188" t="s">
        <v>664</v>
      </c>
      <c r="VC188">
        <v>46</v>
      </c>
      <c r="VD188" s="16">
        <v>97.8</v>
      </c>
      <c r="VE188" s="16">
        <v>83.4</v>
      </c>
      <c r="VF188" s="16">
        <v>9.8000000000000007</v>
      </c>
      <c r="VG188">
        <v>97.48</v>
      </c>
      <c r="VH188">
        <v>0</v>
      </c>
      <c r="VI188">
        <v>1.83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3.67</v>
      </c>
      <c r="VS188">
        <v>10.58</v>
      </c>
      <c r="VT188">
        <v>65.89</v>
      </c>
      <c r="VU188">
        <v>0</v>
      </c>
      <c r="VV188">
        <v>0</v>
      </c>
      <c r="VW188">
        <v>0</v>
      </c>
      <c r="VX188">
        <v>0</v>
      </c>
      <c r="WK188">
        <v>29.3</v>
      </c>
      <c r="WL188">
        <v>1</v>
      </c>
      <c r="WM188">
        <v>40</v>
      </c>
      <c r="WN188">
        <v>10</v>
      </c>
      <c r="WO188">
        <f>0.91+0.39</f>
        <v>1.3</v>
      </c>
      <c r="WP188">
        <v>2</v>
      </c>
      <c r="WQ188">
        <v>35</v>
      </c>
      <c r="WR188">
        <v>10</v>
      </c>
      <c r="WS188">
        <f>0.58+1.36</f>
        <v>1.94</v>
      </c>
      <c r="WT188">
        <v>3</v>
      </c>
      <c r="WW188" s="18"/>
      <c r="XO188">
        <v>1</v>
      </c>
      <c r="XP188">
        <v>60</v>
      </c>
      <c r="XQ188">
        <v>5</v>
      </c>
      <c r="XR188">
        <v>3.67</v>
      </c>
      <c r="XS188">
        <v>3</v>
      </c>
      <c r="XT188">
        <v>30</v>
      </c>
      <c r="XU188">
        <v>6</v>
      </c>
      <c r="XV188">
        <v>5.87</v>
      </c>
      <c r="XW188">
        <v>4</v>
      </c>
      <c r="YZ188" s="16">
        <v>1.87</v>
      </c>
      <c r="ZA188" s="16">
        <v>1</v>
      </c>
      <c r="ZB188" s="16">
        <v>1</v>
      </c>
      <c r="ZC188" s="16"/>
      <c r="ZD188" s="16">
        <f t="shared" si="61"/>
        <v>4.08</v>
      </c>
      <c r="ZE188" s="16">
        <v>2</v>
      </c>
      <c r="ZF188" s="16"/>
      <c r="ZG188" s="16">
        <f>0.36*2</f>
        <v>0.72</v>
      </c>
      <c r="ZH188" s="16"/>
      <c r="ZI188" s="16"/>
      <c r="ZJ188" s="16"/>
      <c r="ZK188" s="16">
        <v>5.07</v>
      </c>
      <c r="ZL188" s="16">
        <v>2.33</v>
      </c>
      <c r="ZM188" s="16"/>
      <c r="ZN188" s="16"/>
      <c r="ZO188" s="16">
        <v>0</v>
      </c>
      <c r="ZP188" s="16">
        <v>0</v>
      </c>
      <c r="ZQ188" s="16">
        <v>0</v>
      </c>
      <c r="ZR188">
        <v>0</v>
      </c>
      <c r="ZS188" t="s">
        <v>665</v>
      </c>
      <c r="ZT188">
        <v>49.5</v>
      </c>
      <c r="ZU188" s="16">
        <v>97.8</v>
      </c>
      <c r="ZV188" s="16">
        <v>83.4</v>
      </c>
      <c r="ZW188" s="16">
        <v>9.9</v>
      </c>
      <c r="ZX188">
        <v>97.48</v>
      </c>
      <c r="ZY188">
        <v>0</v>
      </c>
      <c r="ZZ188">
        <v>1.83</v>
      </c>
      <c r="AAA188">
        <v>0</v>
      </c>
      <c r="AAB188">
        <v>0.68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3.67</v>
      </c>
      <c r="AAJ188">
        <v>8.74</v>
      </c>
      <c r="AAK188">
        <v>67.72</v>
      </c>
      <c r="AAL188">
        <v>0</v>
      </c>
      <c r="AAM188">
        <v>0</v>
      </c>
      <c r="AAN188">
        <v>0</v>
      </c>
      <c r="AAO188">
        <v>0</v>
      </c>
      <c r="ABB188">
        <v>32.5</v>
      </c>
      <c r="ABC188">
        <v>1</v>
      </c>
      <c r="ABD188">
        <v>30</v>
      </c>
      <c r="ABE188">
        <v>11</v>
      </c>
      <c r="ABF188">
        <f>6.61+5.5</f>
        <v>12.11</v>
      </c>
      <c r="ABG188">
        <v>4</v>
      </c>
      <c r="ABH188">
        <v>40</v>
      </c>
      <c r="ABI188">
        <v>12</v>
      </c>
      <c r="ABJ188">
        <f>2.2+1.47+0.91</f>
        <v>4.58</v>
      </c>
      <c r="ABK188">
        <v>2</v>
      </c>
      <c r="ABL188">
        <v>35</v>
      </c>
      <c r="ABM188">
        <v>10</v>
      </c>
      <c r="ABN188" s="18">
        <f>1.36+0.58</f>
        <v>1.94</v>
      </c>
      <c r="ABO188">
        <v>3</v>
      </c>
      <c r="ABP188">
        <v>78</v>
      </c>
      <c r="ABQ188">
        <v>3</v>
      </c>
      <c r="ABR188">
        <v>0.39</v>
      </c>
      <c r="ABS188">
        <v>2</v>
      </c>
      <c r="ACF188">
        <v>0</v>
      </c>
      <c r="ADQ188" s="16">
        <v>1.87</v>
      </c>
      <c r="ADR188" s="16">
        <v>1</v>
      </c>
      <c r="ADS188" s="16">
        <v>1</v>
      </c>
      <c r="ADT188" s="16"/>
      <c r="ADU188" s="16">
        <f>2.04*2</f>
        <v>4.08</v>
      </c>
      <c r="ADV188" s="16">
        <v>2</v>
      </c>
      <c r="ADW188" s="16"/>
      <c r="ADX188" s="16">
        <v>0.7</v>
      </c>
      <c r="ADY188" s="16"/>
      <c r="ADZ188" s="16"/>
      <c r="AEA188" s="16"/>
      <c r="AEB188" s="16">
        <v>5.01</v>
      </c>
      <c r="AEC188" s="16">
        <v>1.3</v>
      </c>
      <c r="AED188" s="16"/>
      <c r="AEE188" s="16"/>
      <c r="AEF188" s="16">
        <v>0</v>
      </c>
      <c r="AEG188" s="16">
        <v>0</v>
      </c>
      <c r="AEH188" s="16">
        <v>0</v>
      </c>
      <c r="AEI188">
        <v>0</v>
      </c>
      <c r="AEJ188" s="38">
        <v>120</v>
      </c>
      <c r="AEK188">
        <v>41</v>
      </c>
      <c r="AEL188" s="16">
        <v>75.900000000000006</v>
      </c>
      <c r="AEM188" s="16">
        <v>83.4</v>
      </c>
      <c r="AEN188" s="16">
        <v>13.8</v>
      </c>
      <c r="AEO188">
        <v>83.58</v>
      </c>
      <c r="AEP188">
        <v>0</v>
      </c>
      <c r="AEQ188">
        <v>0</v>
      </c>
      <c r="AER188">
        <v>0</v>
      </c>
      <c r="AES188">
        <v>9.73</v>
      </c>
      <c r="AET188">
        <v>0</v>
      </c>
      <c r="AEU188">
        <v>6.69</v>
      </c>
      <c r="AEV188">
        <v>0</v>
      </c>
      <c r="AEW188">
        <v>0</v>
      </c>
      <c r="AEX188">
        <v>0</v>
      </c>
      <c r="AEY188">
        <v>0</v>
      </c>
      <c r="AEZ188">
        <v>11.59</v>
      </c>
      <c r="AFA188">
        <v>26.54</v>
      </c>
      <c r="AFB188">
        <v>10.81</v>
      </c>
      <c r="AFC188">
        <v>6.87</v>
      </c>
      <c r="AFD188">
        <v>0</v>
      </c>
      <c r="AFE188">
        <v>20</v>
      </c>
      <c r="AFF188">
        <v>1</v>
      </c>
      <c r="AFG188">
        <v>3</v>
      </c>
      <c r="AFI188">
        <v>4</v>
      </c>
      <c r="AFS188">
        <v>1.9</v>
      </c>
      <c r="AFT188">
        <v>1</v>
      </c>
      <c r="AFU188">
        <v>34</v>
      </c>
      <c r="AFV188">
        <v>4</v>
      </c>
      <c r="AFW188">
        <f>4.04+0.71</f>
        <v>4.75</v>
      </c>
      <c r="AFX188">
        <v>1</v>
      </c>
      <c r="AFY188">
        <v>52</v>
      </c>
      <c r="AFZ188">
        <v>2</v>
      </c>
      <c r="AGA188">
        <f>0.73+0.13</f>
        <v>0.86</v>
      </c>
      <c r="AGB188">
        <v>2</v>
      </c>
      <c r="AGE188" s="18"/>
      <c r="AGW188">
        <v>0</v>
      </c>
      <c r="AIH188" s="16">
        <v>0</v>
      </c>
      <c r="AII188" s="16">
        <v>0</v>
      </c>
      <c r="AIJ188" s="16"/>
      <c r="AIK188" s="16"/>
      <c r="AIL188" s="16"/>
      <c r="AIM188" s="16"/>
      <c r="AIN188" s="16"/>
      <c r="AIO188" s="16"/>
      <c r="AIP188" s="16"/>
      <c r="AIQ188" s="16"/>
      <c r="AIR188" s="16"/>
      <c r="AIS188" s="16">
        <v>5.08</v>
      </c>
      <c r="AIT188" s="16">
        <v>4.75</v>
      </c>
      <c r="AIU188" s="16"/>
      <c r="AIV188" s="16"/>
      <c r="AIW188" s="16">
        <v>0</v>
      </c>
      <c r="AIX188" s="16">
        <v>0</v>
      </c>
      <c r="AIY188" s="16">
        <v>0</v>
      </c>
      <c r="AIZ188">
        <v>0</v>
      </c>
      <c r="AJA188" t="s">
        <v>666</v>
      </c>
      <c r="AJB188">
        <v>27.5</v>
      </c>
      <c r="AJC188" s="16">
        <v>76.8</v>
      </c>
      <c r="AJD188" s="16">
        <v>83.4</v>
      </c>
      <c r="AJE188" s="16">
        <v>16</v>
      </c>
      <c r="AJF188">
        <v>82.97</v>
      </c>
      <c r="AJG188">
        <v>0</v>
      </c>
      <c r="AJH188">
        <v>0.28999999999999998</v>
      </c>
      <c r="AJI188">
        <v>0</v>
      </c>
      <c r="AJJ188">
        <v>16.739999999999998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1.65</v>
      </c>
      <c r="AJS188">
        <v>49.33</v>
      </c>
      <c r="AJT188">
        <v>1.23</v>
      </c>
      <c r="AJU188">
        <v>0</v>
      </c>
      <c r="AJV188">
        <v>0</v>
      </c>
      <c r="AJW188">
        <v>0</v>
      </c>
      <c r="AKJ188">
        <v>8.6999999999999993</v>
      </c>
      <c r="AKK188">
        <v>1</v>
      </c>
      <c r="AKL188">
        <v>35</v>
      </c>
      <c r="AKM188">
        <v>3</v>
      </c>
      <c r="AKN188">
        <f>0.13*2+0.73</f>
        <v>0.99</v>
      </c>
      <c r="AKO188">
        <v>3</v>
      </c>
      <c r="AKP188">
        <v>47</v>
      </c>
      <c r="AKQ188">
        <v>4</v>
      </c>
      <c r="AKR188">
        <v>0.52</v>
      </c>
      <c r="AKS188">
        <v>3</v>
      </c>
      <c r="AKV188" s="18"/>
      <c r="ALN188">
        <v>0</v>
      </c>
    </row>
    <row r="189" spans="1:1024" s="24" customFormat="1" x14ac:dyDescent="0.2">
      <c r="A189" s="22" t="s">
        <v>681</v>
      </c>
      <c r="B189" s="23">
        <v>42905</v>
      </c>
      <c r="C189" s="24">
        <v>1</v>
      </c>
      <c r="D189" s="25">
        <v>39622</v>
      </c>
      <c r="E189" s="23">
        <v>27380</v>
      </c>
      <c r="F189" s="14">
        <f t="shared" si="48"/>
        <v>42.505133470225871</v>
      </c>
      <c r="G189" s="14">
        <f t="shared" si="49"/>
        <v>8.988364134154688</v>
      </c>
      <c r="H189" s="21" t="s">
        <v>228</v>
      </c>
      <c r="I189" s="21" t="s">
        <v>240</v>
      </c>
      <c r="J189" s="21" t="s">
        <v>181</v>
      </c>
      <c r="K189" s="21">
        <v>8</v>
      </c>
      <c r="L189" s="26">
        <v>57</v>
      </c>
      <c r="M189" s="24">
        <v>1.57</v>
      </c>
      <c r="N189" s="27">
        <f t="shared" si="50"/>
        <v>23.124670372023203</v>
      </c>
      <c r="O189" s="26">
        <v>1</v>
      </c>
      <c r="P189" s="26"/>
      <c r="Q189" s="26"/>
      <c r="R189" s="26">
        <v>0</v>
      </c>
      <c r="S189" s="26">
        <v>0</v>
      </c>
      <c r="T189" s="26">
        <v>0</v>
      </c>
      <c r="U189" s="26">
        <v>0</v>
      </c>
      <c r="V189" s="26">
        <v>0</v>
      </c>
      <c r="W189" s="26">
        <v>1</v>
      </c>
      <c r="X189" s="26">
        <v>0</v>
      </c>
      <c r="Y189" s="26">
        <v>1</v>
      </c>
      <c r="Z189" s="26">
        <v>1</v>
      </c>
      <c r="AA189" s="26">
        <v>90</v>
      </c>
      <c r="AB189" s="26" t="s">
        <v>682</v>
      </c>
      <c r="AC189" s="26">
        <v>1</v>
      </c>
      <c r="AD189" s="26">
        <v>8</v>
      </c>
      <c r="AE189" s="26">
        <v>0</v>
      </c>
      <c r="AF189" s="26">
        <v>0</v>
      </c>
      <c r="AG189" s="26">
        <v>0</v>
      </c>
      <c r="AH189" s="26">
        <v>0</v>
      </c>
      <c r="AI189" s="26">
        <v>1</v>
      </c>
      <c r="AJ189" s="26">
        <v>1</v>
      </c>
      <c r="AK189" s="26">
        <v>1</v>
      </c>
      <c r="AL189" s="26">
        <v>5</v>
      </c>
      <c r="AM189" s="26">
        <v>0</v>
      </c>
      <c r="AN189" s="26">
        <v>1</v>
      </c>
      <c r="AO189" s="26">
        <v>1</v>
      </c>
      <c r="AP189" s="26">
        <v>1</v>
      </c>
      <c r="AQ189" s="26">
        <v>5</v>
      </c>
      <c r="AR189" s="26">
        <v>0</v>
      </c>
      <c r="AS189" s="26">
        <v>1</v>
      </c>
      <c r="AT189" s="26">
        <v>1</v>
      </c>
      <c r="AU189" s="26">
        <v>1</v>
      </c>
      <c r="AV189" s="26">
        <v>6</v>
      </c>
      <c r="AW189" s="26">
        <v>0</v>
      </c>
      <c r="AX189" s="26">
        <v>0</v>
      </c>
      <c r="AY189" s="26">
        <v>0</v>
      </c>
      <c r="AZ189" s="26">
        <v>0</v>
      </c>
      <c r="BA189" s="26">
        <v>0</v>
      </c>
      <c r="BB189" s="26">
        <v>1</v>
      </c>
      <c r="BC189" s="26">
        <v>1</v>
      </c>
      <c r="BD189" s="26">
        <v>1</v>
      </c>
      <c r="BE189" s="26">
        <v>6</v>
      </c>
      <c r="BF189" s="26">
        <v>0</v>
      </c>
      <c r="BG189" s="26">
        <v>0</v>
      </c>
      <c r="BH189" s="26">
        <v>0</v>
      </c>
      <c r="BI189" s="26">
        <v>0</v>
      </c>
      <c r="BJ189" s="26">
        <v>0</v>
      </c>
      <c r="BK189" s="26">
        <v>0</v>
      </c>
      <c r="BL189" s="26">
        <v>0</v>
      </c>
      <c r="BM189" s="26">
        <v>0</v>
      </c>
      <c r="BN189" s="26">
        <v>0</v>
      </c>
      <c r="BO189" s="26">
        <v>0</v>
      </c>
      <c r="BP189" s="26">
        <v>0</v>
      </c>
      <c r="BQ189" s="26">
        <v>0</v>
      </c>
      <c r="BR189" s="26">
        <v>4</v>
      </c>
      <c r="BS189" s="26">
        <v>3</v>
      </c>
      <c r="BT189" s="26">
        <v>5</v>
      </c>
      <c r="BU189" s="26">
        <v>5</v>
      </c>
      <c r="BV189" s="26">
        <v>3</v>
      </c>
      <c r="BW189" s="26">
        <v>5</v>
      </c>
      <c r="BX189" s="26">
        <v>3</v>
      </c>
      <c r="BY189" s="26">
        <v>4</v>
      </c>
      <c r="BZ189" s="26">
        <v>5</v>
      </c>
      <c r="CA189" s="26">
        <v>5</v>
      </c>
      <c r="CB189" s="26">
        <v>5</v>
      </c>
      <c r="CC189" s="26">
        <v>4</v>
      </c>
      <c r="CD189" s="26">
        <v>3</v>
      </c>
      <c r="CE189" s="26">
        <v>3</v>
      </c>
      <c r="CF189" s="26">
        <v>4</v>
      </c>
      <c r="CG189" s="26">
        <v>4</v>
      </c>
      <c r="CH189" s="26">
        <v>3</v>
      </c>
      <c r="CI189" s="26">
        <v>4</v>
      </c>
      <c r="CJ189" s="26">
        <v>3</v>
      </c>
      <c r="CK189" s="26">
        <v>7</v>
      </c>
      <c r="CL189" s="24" t="s">
        <v>244</v>
      </c>
      <c r="CM189" s="24">
        <v>24.5</v>
      </c>
      <c r="CN189" s="27">
        <v>84.2</v>
      </c>
      <c r="CO189" s="27">
        <v>80.400000000000006</v>
      </c>
      <c r="CP189" s="27">
        <v>11.9</v>
      </c>
      <c r="CQ189" s="24">
        <v>97.51</v>
      </c>
      <c r="CR189" s="24">
        <v>0</v>
      </c>
      <c r="CS189" s="24">
        <v>2.4900000000000002</v>
      </c>
      <c r="CT189" s="24">
        <v>0</v>
      </c>
      <c r="CU189" s="24">
        <v>0</v>
      </c>
      <c r="CV189" s="24">
        <v>0</v>
      </c>
      <c r="CW189" s="24">
        <v>0</v>
      </c>
      <c r="CX189" s="24">
        <v>0</v>
      </c>
      <c r="CY189" s="24">
        <v>0</v>
      </c>
      <c r="CZ189" s="24">
        <v>0</v>
      </c>
      <c r="DA189" s="24">
        <v>0</v>
      </c>
      <c r="DB189" s="24">
        <v>0</v>
      </c>
      <c r="DC189" s="24">
        <v>3.13</v>
      </c>
      <c r="DD189" s="24">
        <v>26.34</v>
      </c>
      <c r="DE189" s="24">
        <v>45.74</v>
      </c>
      <c r="DF189" s="24">
        <v>0</v>
      </c>
      <c r="DG189" s="24">
        <v>0</v>
      </c>
      <c r="DH189" s="24">
        <v>0</v>
      </c>
      <c r="DU189" s="24">
        <v>0</v>
      </c>
      <c r="DV189" s="24">
        <v>0</v>
      </c>
      <c r="EG189" s="28"/>
      <c r="EY189" s="24">
        <v>0</v>
      </c>
      <c r="GJ189" s="27">
        <v>6.4</v>
      </c>
      <c r="GK189" s="27">
        <v>1</v>
      </c>
      <c r="GL189" s="27">
        <v>2</v>
      </c>
      <c r="GM189" s="27"/>
      <c r="GN189" s="27">
        <f>1.24*2</f>
        <v>2.48</v>
      </c>
      <c r="GO189" s="27">
        <v>1</v>
      </c>
      <c r="GP189" s="27"/>
      <c r="GQ189" s="27">
        <f>1.24*3+0.62+0.93+3.18+1.59+3.73+7.46</f>
        <v>21.23</v>
      </c>
      <c r="GR189" s="27"/>
      <c r="GS189" s="27"/>
      <c r="GT189" s="27"/>
      <c r="GU189" s="27">
        <v>1.61</v>
      </c>
      <c r="GV189" s="27">
        <v>1.46</v>
      </c>
      <c r="GW189" s="27"/>
      <c r="GX189" s="27"/>
      <c r="GY189" s="27">
        <v>0</v>
      </c>
      <c r="GZ189" s="27">
        <v>0</v>
      </c>
      <c r="HA189" s="27">
        <v>0</v>
      </c>
      <c r="HB189" s="24">
        <v>0</v>
      </c>
      <c r="HC189" s="24" t="s">
        <v>246</v>
      </c>
      <c r="HD189" s="24">
        <v>27</v>
      </c>
      <c r="HE189" s="27">
        <v>72</v>
      </c>
      <c r="HF189" s="27">
        <v>80.400000000000006</v>
      </c>
      <c r="HG189" s="27">
        <v>19.2</v>
      </c>
      <c r="HH189" s="24">
        <v>86.83</v>
      </c>
      <c r="HI189" s="24">
        <v>0</v>
      </c>
      <c r="HJ189" s="24">
        <v>0</v>
      </c>
      <c r="HK189" s="24">
        <v>0</v>
      </c>
      <c r="HL189" s="24">
        <v>13.17</v>
      </c>
      <c r="HM189" s="24">
        <v>0</v>
      </c>
      <c r="HN189" s="24">
        <v>0</v>
      </c>
      <c r="HO189" s="24">
        <v>0</v>
      </c>
      <c r="HP189" s="24">
        <v>0</v>
      </c>
      <c r="HQ189" s="24">
        <v>0</v>
      </c>
      <c r="HR189" s="24">
        <v>0</v>
      </c>
      <c r="HS189" s="24">
        <v>18.28</v>
      </c>
      <c r="HT189" s="24">
        <v>16.809999999999999</v>
      </c>
      <c r="HU189" s="24">
        <v>9.64</v>
      </c>
      <c r="HV189" s="24">
        <v>19.739999999999998</v>
      </c>
      <c r="HW189" s="24">
        <v>0</v>
      </c>
      <c r="HX189" s="24">
        <v>0</v>
      </c>
      <c r="HY189" s="24">
        <v>0</v>
      </c>
      <c r="IL189" s="24">
        <v>0</v>
      </c>
      <c r="IM189" s="24">
        <v>0</v>
      </c>
      <c r="IX189" s="28"/>
      <c r="JP189" s="24">
        <v>0</v>
      </c>
      <c r="LA189" s="27">
        <v>1.43</v>
      </c>
      <c r="LB189" s="27">
        <v>1</v>
      </c>
      <c r="LC189" s="27">
        <v>1</v>
      </c>
      <c r="LD189" s="27"/>
      <c r="LE189" s="27">
        <f>6.34+2.11+0.08+0.37</f>
        <v>8.8999999999999986</v>
      </c>
      <c r="LF189" s="27"/>
      <c r="LG189" s="27"/>
      <c r="LH189" s="27"/>
      <c r="LI189" s="27"/>
      <c r="LJ189" s="27"/>
      <c r="LK189" s="27"/>
      <c r="LL189" s="27">
        <v>3.5</v>
      </c>
      <c r="LM189" s="27">
        <v>3.5</v>
      </c>
      <c r="LN189" s="27"/>
      <c r="LO189" s="27"/>
      <c r="LP189" s="27">
        <v>0</v>
      </c>
      <c r="LQ189" s="27">
        <v>0</v>
      </c>
      <c r="LR189" s="27">
        <v>0</v>
      </c>
      <c r="LS189" s="24">
        <v>0</v>
      </c>
      <c r="LT189" s="24" t="s">
        <v>247</v>
      </c>
      <c r="LU189" s="24">
        <v>37</v>
      </c>
      <c r="LV189" s="27">
        <v>79.2</v>
      </c>
      <c r="LW189" s="27">
        <v>80.400000000000006</v>
      </c>
      <c r="LX189" s="27">
        <v>12.1</v>
      </c>
      <c r="LY189" s="24">
        <v>96.75</v>
      </c>
      <c r="LZ189" s="24">
        <v>0</v>
      </c>
      <c r="MA189" s="24">
        <v>0</v>
      </c>
      <c r="MB189" s="24">
        <v>0</v>
      </c>
      <c r="MC189" s="24">
        <v>3.25</v>
      </c>
      <c r="MD189" s="24">
        <v>0</v>
      </c>
      <c r="ME189" s="24">
        <v>0</v>
      </c>
      <c r="MF189" s="24">
        <v>0</v>
      </c>
      <c r="MG189" s="24">
        <v>0</v>
      </c>
      <c r="MH189" s="24">
        <v>0</v>
      </c>
      <c r="MI189" s="24">
        <v>0</v>
      </c>
      <c r="MJ189" s="24">
        <v>9.06</v>
      </c>
      <c r="MK189" s="24">
        <v>18.149999999999999</v>
      </c>
      <c r="ML189" s="24">
        <v>25.66</v>
      </c>
      <c r="MM189" s="24">
        <v>15.61</v>
      </c>
      <c r="MN189" s="24">
        <v>0</v>
      </c>
      <c r="MO189" s="24">
        <v>0</v>
      </c>
      <c r="MP189" s="24">
        <v>0</v>
      </c>
      <c r="NC189" s="24">
        <v>17.8</v>
      </c>
      <c r="ND189" s="24">
        <v>1</v>
      </c>
      <c r="NE189" s="24">
        <v>47</v>
      </c>
      <c r="NF189" s="24">
        <v>3</v>
      </c>
      <c r="NG189" s="24">
        <v>2.2799999999999998</v>
      </c>
      <c r="NH189" s="24">
        <v>3</v>
      </c>
      <c r="NI189" s="24">
        <v>26</v>
      </c>
      <c r="NJ189" s="24">
        <v>1</v>
      </c>
      <c r="NK189" s="24">
        <v>0.76</v>
      </c>
      <c r="NL189" s="24">
        <v>2</v>
      </c>
      <c r="NO189" s="28"/>
      <c r="OG189" s="24">
        <v>0</v>
      </c>
      <c r="PR189" s="27">
        <v>1.27</v>
      </c>
      <c r="PS189" s="27">
        <v>1</v>
      </c>
      <c r="PT189" s="27">
        <v>1</v>
      </c>
      <c r="PU189" s="27"/>
      <c r="PV189" s="27">
        <f>6.34+1.06</f>
        <v>7.4</v>
      </c>
      <c r="PW189" s="27"/>
      <c r="PX189" s="27"/>
      <c r="PY189" s="27"/>
      <c r="PZ189" s="27"/>
      <c r="QA189" s="27"/>
      <c r="QB189" s="27"/>
      <c r="QC189" s="27">
        <v>2.86</v>
      </c>
      <c r="QD189" s="27">
        <v>2.86</v>
      </c>
      <c r="QE189" s="27"/>
      <c r="QF189" s="27"/>
      <c r="QG189" s="27">
        <v>0</v>
      </c>
      <c r="QH189" s="27">
        <v>0</v>
      </c>
      <c r="QI189" s="27">
        <v>0</v>
      </c>
      <c r="QJ189" s="24">
        <v>0</v>
      </c>
      <c r="QK189" s="24" t="s">
        <v>683</v>
      </c>
      <c r="QL189" s="24">
        <v>38</v>
      </c>
      <c r="QM189" s="27">
        <v>88.8</v>
      </c>
      <c r="QN189" s="27">
        <v>80.400000000000006</v>
      </c>
      <c r="QO189" s="27">
        <v>9.1999999999999993</v>
      </c>
      <c r="QP189" s="24">
        <v>98.76</v>
      </c>
      <c r="QQ189" s="24">
        <v>0</v>
      </c>
      <c r="QR189" s="24">
        <v>0.56999999999999995</v>
      </c>
      <c r="QS189" s="24">
        <v>0.67</v>
      </c>
      <c r="QT189" s="24">
        <v>0</v>
      </c>
      <c r="QU189" s="24">
        <v>0</v>
      </c>
      <c r="QV189" s="24">
        <v>0</v>
      </c>
      <c r="QW189" s="24">
        <v>0</v>
      </c>
      <c r="QX189" s="24">
        <v>0</v>
      </c>
      <c r="QY189" s="24">
        <v>0</v>
      </c>
      <c r="QZ189" s="24">
        <v>0</v>
      </c>
      <c r="RA189" s="24">
        <v>0</v>
      </c>
      <c r="RB189" s="24">
        <v>7.89</v>
      </c>
      <c r="RC189" s="24">
        <v>42.56</v>
      </c>
      <c r="RD189" s="24">
        <v>9.85</v>
      </c>
      <c r="RE189" s="24">
        <v>0</v>
      </c>
      <c r="RF189" s="24">
        <v>15.8</v>
      </c>
      <c r="RG189" s="24">
        <v>1</v>
      </c>
      <c r="RH189" s="24">
        <v>3</v>
      </c>
      <c r="RJ189" s="24">
        <v>1</v>
      </c>
      <c r="RN189" s="24">
        <v>3</v>
      </c>
      <c r="RP189" s="24">
        <v>1</v>
      </c>
      <c r="RT189" s="24">
        <v>0.6</v>
      </c>
      <c r="RU189" s="24">
        <v>1</v>
      </c>
      <c r="RV189" s="24">
        <v>23</v>
      </c>
      <c r="RW189" s="24">
        <v>1</v>
      </c>
      <c r="RX189" s="24">
        <v>0.05</v>
      </c>
      <c r="RY189" s="24">
        <v>3</v>
      </c>
      <c r="RZ189" s="24">
        <v>35</v>
      </c>
      <c r="SA189" s="24">
        <v>2</v>
      </c>
      <c r="SB189" s="24">
        <v>0.18</v>
      </c>
      <c r="SC189" s="24">
        <v>3</v>
      </c>
      <c r="SF189" s="28"/>
      <c r="SX189" s="24">
        <v>0</v>
      </c>
      <c r="UI189" s="27">
        <v>2.69</v>
      </c>
      <c r="UJ189" s="27">
        <v>1</v>
      </c>
      <c r="UK189" s="27">
        <v>1</v>
      </c>
      <c r="UL189" s="27"/>
      <c r="UM189" s="27">
        <f>2.11*4+1.86</f>
        <v>10.299999999999999</v>
      </c>
      <c r="UN189" s="27"/>
      <c r="UO189" s="27"/>
      <c r="UP189" s="27"/>
      <c r="UQ189" s="27"/>
      <c r="UR189" s="27"/>
      <c r="US189" s="27"/>
      <c r="UT189" s="27">
        <v>6.26</v>
      </c>
      <c r="UU189" s="27">
        <v>17.05</v>
      </c>
      <c r="UV189" s="27"/>
      <c r="UW189" s="27"/>
      <c r="UX189" s="27">
        <v>0</v>
      </c>
      <c r="UY189" s="27">
        <v>0</v>
      </c>
      <c r="UZ189" s="27">
        <v>0</v>
      </c>
      <c r="VA189" s="24">
        <v>0</v>
      </c>
      <c r="VB189" s="24" t="s">
        <v>684</v>
      </c>
      <c r="VC189" s="24">
        <v>37.5</v>
      </c>
      <c r="VD189" s="27">
        <v>88.7</v>
      </c>
      <c r="VE189" s="27">
        <v>80.400000000000006</v>
      </c>
      <c r="VF189" s="27">
        <v>11.3</v>
      </c>
      <c r="VG189" s="24">
        <v>16.12</v>
      </c>
      <c r="VH189" s="24">
        <v>0</v>
      </c>
      <c r="VI189" s="24">
        <v>0</v>
      </c>
      <c r="VJ189" s="24">
        <v>0</v>
      </c>
      <c r="VK189" s="24">
        <v>0</v>
      </c>
      <c r="VL189" s="24">
        <v>0</v>
      </c>
      <c r="VM189" s="24">
        <v>83.88</v>
      </c>
      <c r="VN189" s="24">
        <v>0</v>
      </c>
      <c r="VO189" s="24">
        <v>0</v>
      </c>
      <c r="VP189" s="24">
        <v>0</v>
      </c>
      <c r="VQ189" s="24">
        <v>0</v>
      </c>
      <c r="VR189" s="24">
        <v>0</v>
      </c>
      <c r="VS189" s="24">
        <v>43.66</v>
      </c>
      <c r="VT189" s="24">
        <v>0</v>
      </c>
      <c r="VU189" s="24">
        <v>0</v>
      </c>
      <c r="VV189" s="24">
        <v>0</v>
      </c>
      <c r="VW189" s="24">
        <v>0</v>
      </c>
      <c r="VX189" s="24">
        <v>0</v>
      </c>
      <c r="WK189" s="24">
        <v>14</v>
      </c>
      <c r="WL189" s="24">
        <v>1</v>
      </c>
      <c r="WM189" s="24">
        <v>70</v>
      </c>
      <c r="WN189" s="24">
        <v>2</v>
      </c>
      <c r="WO189" s="24">
        <v>1.34</v>
      </c>
      <c r="WP189" s="24">
        <v>3</v>
      </c>
      <c r="WW189" s="28"/>
      <c r="XO189" s="24">
        <v>0</v>
      </c>
      <c r="YZ189" s="27">
        <v>5.5</v>
      </c>
      <c r="ZA189" s="27">
        <v>1</v>
      </c>
      <c r="ZB189" s="27">
        <v>1</v>
      </c>
      <c r="ZC189" s="27"/>
      <c r="ZD189" s="27">
        <f>1.14+1.9+1.14+0.67+0.2+0.2</f>
        <v>5.25</v>
      </c>
      <c r="ZE189" s="27">
        <v>2</v>
      </c>
      <c r="ZF189" s="27"/>
      <c r="ZG189" s="27">
        <v>2.13</v>
      </c>
      <c r="ZH189" s="27"/>
      <c r="ZI189" s="27"/>
      <c r="ZJ189" s="27"/>
      <c r="ZK189" s="27">
        <v>5.64</v>
      </c>
      <c r="ZL189" s="27">
        <v>11.15</v>
      </c>
      <c r="ZM189" s="27"/>
      <c r="ZN189" s="27"/>
      <c r="ZO189" s="27">
        <v>0</v>
      </c>
      <c r="ZP189" s="27">
        <v>0</v>
      </c>
      <c r="ZQ189" s="27">
        <v>0.57999999999999996</v>
      </c>
      <c r="ZR189" s="24">
        <v>0</v>
      </c>
      <c r="ZS189" s="24" t="s">
        <v>685</v>
      </c>
      <c r="ZT189" s="24">
        <v>41.5</v>
      </c>
      <c r="ZU189" s="27">
        <v>84.1</v>
      </c>
      <c r="ZV189" s="27">
        <v>80.400000000000006</v>
      </c>
      <c r="ZW189" s="27">
        <v>11.2</v>
      </c>
      <c r="ZX189" s="24">
        <v>13.46</v>
      </c>
      <c r="ZY189" s="24">
        <v>0</v>
      </c>
      <c r="ZZ189" s="24">
        <v>0</v>
      </c>
      <c r="AAA189" s="24">
        <v>0</v>
      </c>
      <c r="AAB189" s="24">
        <v>0</v>
      </c>
      <c r="AAC189" s="24">
        <v>0</v>
      </c>
      <c r="AAD189" s="24">
        <v>86.54</v>
      </c>
      <c r="AAE189" s="24">
        <v>0</v>
      </c>
      <c r="AAF189" s="24">
        <v>0</v>
      </c>
      <c r="AAG189" s="24">
        <v>0</v>
      </c>
      <c r="AAH189" s="24">
        <v>0</v>
      </c>
      <c r="AAI189" s="24">
        <v>0</v>
      </c>
      <c r="AAJ189" s="24">
        <v>0</v>
      </c>
      <c r="AAK189" s="24">
        <v>39.200000000000003</v>
      </c>
      <c r="AAL189" s="24">
        <v>0</v>
      </c>
      <c r="AAM189" s="24">
        <v>0</v>
      </c>
      <c r="AAN189" s="24">
        <v>0</v>
      </c>
      <c r="AAO189" s="24">
        <v>0</v>
      </c>
      <c r="ABB189" s="24">
        <v>18.899999999999999</v>
      </c>
      <c r="ABC189" s="24">
        <v>1</v>
      </c>
      <c r="ABD189" s="24">
        <v>70</v>
      </c>
      <c r="ABE189" s="24">
        <v>3</v>
      </c>
      <c r="ABF189" s="24">
        <f>1.14+0.47+0.2</f>
        <v>1.8099999999999998</v>
      </c>
      <c r="ABG189" s="24">
        <v>3</v>
      </c>
      <c r="ABN189" s="28"/>
      <c r="ACF189" s="24">
        <v>0</v>
      </c>
      <c r="ADQ189" s="27">
        <v>5.5</v>
      </c>
      <c r="ADR189" s="27">
        <v>1</v>
      </c>
      <c r="ADS189" s="27">
        <v>1</v>
      </c>
      <c r="ADT189" s="27"/>
      <c r="ADU189" s="27">
        <f>1.14*2+1.9+0.67+0.27+0.13</f>
        <v>5.2499999999999991</v>
      </c>
      <c r="ADV189" s="27">
        <v>2</v>
      </c>
      <c r="ADW189" s="27"/>
      <c r="ADX189" s="27">
        <v>2.13</v>
      </c>
      <c r="ADY189" s="27"/>
      <c r="ADZ189" s="27"/>
      <c r="AEA189" s="27"/>
      <c r="AEB189" s="27">
        <v>5.09</v>
      </c>
      <c r="AEC189" s="27">
        <v>5.83</v>
      </c>
      <c r="AED189" s="27"/>
      <c r="AEE189" s="27"/>
      <c r="AEF189" s="27">
        <v>0</v>
      </c>
      <c r="AEG189" s="27">
        <v>0</v>
      </c>
      <c r="AEH189" s="27">
        <v>0.45</v>
      </c>
      <c r="AEI189" s="24">
        <v>0</v>
      </c>
      <c r="AEJ189" s="33"/>
      <c r="AEK189" s="21"/>
      <c r="AEL189" s="21"/>
      <c r="AEN189" s="33"/>
      <c r="AEO189" s="33"/>
      <c r="AER189" s="33"/>
      <c r="AES189" s="21"/>
      <c r="AET189" s="21"/>
      <c r="AEV189" s="33"/>
      <c r="AEW189" s="33"/>
      <c r="AEZ189" s="33"/>
      <c r="AFA189" s="21"/>
      <c r="AFB189" s="21"/>
      <c r="AFD189" s="33"/>
      <c r="AFE189" s="33"/>
      <c r="AFH189" s="33"/>
      <c r="AFI189" s="21"/>
      <c r="AFJ189" s="21"/>
      <c r="AFL189" s="33"/>
      <c r="AFM189" s="33"/>
      <c r="AFP189" s="33"/>
      <c r="AFQ189" s="21"/>
      <c r="AFR189" s="21"/>
      <c r="AFT189" s="33"/>
      <c r="AFU189" s="33"/>
      <c r="AFX189" s="33"/>
      <c r="AFY189" s="21"/>
      <c r="AFZ189" s="21"/>
      <c r="AGB189" s="33"/>
      <c r="AGC189" s="33"/>
      <c r="AGF189" s="33"/>
      <c r="AGG189" s="21"/>
      <c r="AGH189" s="21"/>
      <c r="AGJ189" s="33"/>
      <c r="AGK189" s="33"/>
      <c r="AGN189" s="33"/>
      <c r="AGO189" s="21"/>
      <c r="AGP189" s="21"/>
      <c r="AGR189" s="33"/>
      <c r="AGS189" s="33"/>
      <c r="AGV189" s="33"/>
      <c r="AGW189" s="21"/>
      <c r="AGX189" s="21"/>
      <c r="AGZ189" s="33"/>
      <c r="AHA189" s="33"/>
      <c r="AHD189" s="33"/>
      <c r="AHE189" s="21"/>
      <c r="AHF189" s="21"/>
      <c r="AHH189" s="33"/>
      <c r="AHI189" s="33"/>
      <c r="AHL189" s="33"/>
      <c r="AHM189" s="21"/>
      <c r="AHN189" s="21"/>
      <c r="AHP189" s="33"/>
      <c r="AHQ189" s="33"/>
      <c r="AHT189" s="33"/>
      <c r="AHU189" s="21"/>
      <c r="AHV189" s="21"/>
      <c r="AHX189" s="33"/>
      <c r="AHY189" s="33"/>
      <c r="AIB189" s="33"/>
      <c r="AIC189" s="21"/>
      <c r="AID189" s="21"/>
      <c r="AIF189" s="33"/>
      <c r="AIG189" s="33"/>
      <c r="AIJ189" s="33"/>
      <c r="AIK189" s="21"/>
      <c r="AIL189" s="21"/>
      <c r="AIN189" s="33"/>
      <c r="AIO189" s="33"/>
      <c r="AIR189" s="33"/>
      <c r="AIS189" s="21"/>
      <c r="AIT189" s="21"/>
      <c r="AIV189" s="33"/>
      <c r="AIW189" s="33"/>
      <c r="AIZ189" s="33"/>
      <c r="AJA189" s="21"/>
      <c r="AJB189" s="21"/>
      <c r="AJD189" s="33"/>
      <c r="AJE189" s="33"/>
      <c r="AJH189" s="33"/>
      <c r="AJI189" s="21"/>
      <c r="AJJ189" s="21"/>
      <c r="AJL189" s="33"/>
      <c r="AJM189" s="33"/>
      <c r="AJP189" s="33"/>
      <c r="AJQ189" s="21"/>
      <c r="AJR189" s="21"/>
      <c r="AJT189" s="33"/>
      <c r="AJU189" s="33"/>
      <c r="AJX189" s="33"/>
      <c r="AJY189" s="21"/>
      <c r="AJZ189" s="21"/>
      <c r="AKB189" s="33"/>
      <c r="AKC189" s="33"/>
      <c r="AKF189" s="33"/>
      <c r="AKG189" s="21"/>
      <c r="AKH189" s="21"/>
      <c r="AKJ189" s="33"/>
      <c r="AKK189" s="33"/>
      <c r="AKN189" s="33"/>
      <c r="AKO189" s="21"/>
      <c r="AKP189" s="21"/>
      <c r="AKR189" s="33"/>
      <c r="AKS189" s="33"/>
      <c r="AKV189" s="33"/>
      <c r="AKW189" s="21"/>
      <c r="AKX189" s="21"/>
      <c r="AKZ189" s="33"/>
      <c r="ALA189" s="33"/>
      <c r="ALD189" s="33"/>
      <c r="ALE189" s="21"/>
      <c r="ALF189" s="21"/>
      <c r="ALH189" s="33"/>
      <c r="ALI189" s="33"/>
      <c r="ALL189" s="33"/>
      <c r="ALM189" s="21"/>
      <c r="ALN189" s="21"/>
      <c r="ALP189" s="33"/>
      <c r="ALQ189" s="33"/>
      <c r="ALT189" s="33"/>
      <c r="ALU189" s="21"/>
      <c r="ALV189" s="21"/>
      <c r="ALX189" s="33"/>
      <c r="ALY189" s="33"/>
      <c r="AMB189" s="33"/>
      <c r="AMC189" s="21"/>
      <c r="AMD189" s="21"/>
      <c r="AMF189" s="33"/>
      <c r="AMG189" s="33"/>
      <c r="AMJ189" s="33"/>
    </row>
    <row r="190" spans="1:1024" x14ac:dyDescent="0.2">
      <c r="A190" s="37" t="s">
        <v>686</v>
      </c>
      <c r="B190" s="23">
        <v>42905</v>
      </c>
      <c r="C190" s="24">
        <v>2</v>
      </c>
      <c r="D190" s="25">
        <v>42849</v>
      </c>
      <c r="E190" s="23">
        <v>34094</v>
      </c>
      <c r="F190" s="14">
        <f t="shared" si="48"/>
        <v>24.123203285420946</v>
      </c>
      <c r="G190" s="14">
        <f t="shared" si="49"/>
        <v>0.15331964407939766</v>
      </c>
      <c r="H190" s="21" t="s">
        <v>228</v>
      </c>
      <c r="I190" s="21" t="s">
        <v>240</v>
      </c>
      <c r="J190" s="21" t="s">
        <v>181</v>
      </c>
      <c r="K190" s="21">
        <v>8</v>
      </c>
      <c r="L190" s="26">
        <v>87</v>
      </c>
      <c r="M190" s="24">
        <v>2.02</v>
      </c>
      <c r="N190" s="27">
        <f t="shared" si="50"/>
        <v>21.32143907460053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6">
        <v>0</v>
      </c>
      <c r="V190" s="26">
        <v>0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6">
        <v>1</v>
      </c>
      <c r="AD190" s="26">
        <v>10</v>
      </c>
      <c r="AE190" s="26">
        <v>0</v>
      </c>
      <c r="AF190" s="26">
        <v>0</v>
      </c>
      <c r="AG190" s="26">
        <v>0</v>
      </c>
      <c r="AH190" s="26">
        <v>0</v>
      </c>
      <c r="AI190" s="26">
        <v>0</v>
      </c>
      <c r="AJ190" s="26">
        <v>0</v>
      </c>
      <c r="AK190" s="26">
        <v>0</v>
      </c>
      <c r="AL190" s="26">
        <v>0</v>
      </c>
      <c r="AM190" s="26">
        <v>0</v>
      </c>
      <c r="AN190" s="26">
        <v>0</v>
      </c>
      <c r="AO190" s="26"/>
      <c r="AP190" s="26"/>
      <c r="AQ190" s="26"/>
      <c r="AR190" s="26"/>
      <c r="AS190" s="26">
        <v>0</v>
      </c>
      <c r="AT190" s="26">
        <v>0</v>
      </c>
      <c r="AU190" s="26">
        <v>0</v>
      </c>
      <c r="AV190" s="26">
        <v>0</v>
      </c>
      <c r="AW190" s="26">
        <v>0</v>
      </c>
      <c r="AX190" s="26">
        <v>0</v>
      </c>
      <c r="AY190" s="26">
        <v>0</v>
      </c>
      <c r="AZ190" s="26">
        <v>0</v>
      </c>
      <c r="BA190" s="26">
        <v>0</v>
      </c>
      <c r="BB190" s="26">
        <v>0</v>
      </c>
      <c r="BC190" s="26">
        <v>0</v>
      </c>
      <c r="BD190" s="26">
        <v>0</v>
      </c>
      <c r="BE190" s="26">
        <v>0</v>
      </c>
      <c r="BF190" s="26">
        <v>0</v>
      </c>
      <c r="BG190" s="26">
        <v>0</v>
      </c>
      <c r="BH190" s="26">
        <v>0</v>
      </c>
      <c r="BI190" s="26">
        <v>0</v>
      </c>
      <c r="BJ190" s="26">
        <v>0</v>
      </c>
      <c r="BK190" s="26">
        <v>0</v>
      </c>
      <c r="BL190" s="26">
        <v>0</v>
      </c>
      <c r="BM190" s="26">
        <v>0</v>
      </c>
      <c r="BN190" s="26">
        <v>0</v>
      </c>
      <c r="BO190" s="26">
        <v>0</v>
      </c>
      <c r="BP190" s="26">
        <v>0</v>
      </c>
      <c r="BQ190" s="26">
        <v>0</v>
      </c>
      <c r="BR190" s="26">
        <v>1</v>
      </c>
      <c r="BS190" s="26">
        <v>1</v>
      </c>
      <c r="BT190" s="26">
        <v>2</v>
      </c>
      <c r="BU190" s="26">
        <v>5</v>
      </c>
      <c r="BV190" s="26">
        <v>1</v>
      </c>
      <c r="BW190" s="26">
        <v>1</v>
      </c>
      <c r="BX190" s="26">
        <v>1</v>
      </c>
      <c r="BY190" s="26">
        <v>1</v>
      </c>
      <c r="BZ190" s="26">
        <v>5</v>
      </c>
      <c r="CA190" s="26">
        <v>5</v>
      </c>
      <c r="CB190" s="26">
        <v>5</v>
      </c>
      <c r="CC190" s="26">
        <v>5</v>
      </c>
      <c r="CD190" s="26">
        <v>4</v>
      </c>
      <c r="CE190" s="26">
        <v>5</v>
      </c>
      <c r="CF190" s="26">
        <v>4</v>
      </c>
      <c r="CG190" s="26">
        <v>5</v>
      </c>
      <c r="CH190" s="26">
        <v>5</v>
      </c>
      <c r="CI190" s="26">
        <v>5</v>
      </c>
      <c r="CJ190" s="26">
        <v>5</v>
      </c>
      <c r="CK190" s="26">
        <v>6</v>
      </c>
      <c r="CL190" s="24" t="s">
        <v>242</v>
      </c>
      <c r="CM190" s="24">
        <v>36.5</v>
      </c>
      <c r="CN190" s="27">
        <v>88.3</v>
      </c>
      <c r="CO190" s="27">
        <v>80.400000000000006</v>
      </c>
      <c r="CP190" s="27">
        <v>28.2</v>
      </c>
      <c r="CQ190" s="24">
        <v>73.819999999999993</v>
      </c>
      <c r="CR190" s="24">
        <v>0</v>
      </c>
      <c r="CS190" s="24">
        <v>25.61</v>
      </c>
      <c r="CT190" s="24">
        <v>0</v>
      </c>
      <c r="CU190" s="24">
        <v>0.56999999999999995</v>
      </c>
      <c r="CV190" s="24">
        <v>0</v>
      </c>
      <c r="CW190" s="24">
        <v>0</v>
      </c>
      <c r="CX190" s="24">
        <v>0</v>
      </c>
      <c r="CY190" s="24">
        <v>0</v>
      </c>
      <c r="CZ190" s="24">
        <v>0</v>
      </c>
      <c r="DA190" s="24">
        <v>0</v>
      </c>
      <c r="DB190" s="24">
        <v>1.17</v>
      </c>
      <c r="DC190" s="24">
        <v>31.76</v>
      </c>
      <c r="DD190" s="24">
        <v>23.3</v>
      </c>
      <c r="DE190" s="24">
        <v>26.08</v>
      </c>
      <c r="DF190" s="24">
        <v>0</v>
      </c>
      <c r="DG190" s="24">
        <v>0</v>
      </c>
      <c r="DH190" s="24">
        <v>0</v>
      </c>
      <c r="DI190" s="24"/>
      <c r="DJ190" s="24"/>
      <c r="DK190" s="24"/>
      <c r="DL190" s="24"/>
      <c r="DM190" s="24"/>
      <c r="DN190" s="24"/>
      <c r="DO190" s="24"/>
      <c r="DP190" s="24"/>
      <c r="DQ190" s="24"/>
      <c r="DR190" s="24"/>
      <c r="DS190" s="24"/>
      <c r="DT190" s="24"/>
      <c r="DU190" s="24">
        <v>2.1</v>
      </c>
      <c r="DV190" s="24">
        <v>1</v>
      </c>
      <c r="DW190" s="24">
        <v>47</v>
      </c>
      <c r="DX190" s="24">
        <v>2</v>
      </c>
      <c r="DY190" s="24">
        <v>0.27</v>
      </c>
      <c r="DZ190" s="24">
        <v>3</v>
      </c>
      <c r="EG190" s="28"/>
      <c r="EY190" s="24">
        <v>0</v>
      </c>
      <c r="GJ190" s="27">
        <v>1.9</v>
      </c>
      <c r="GK190" s="27">
        <v>1</v>
      </c>
      <c r="GL190" s="27">
        <v>1</v>
      </c>
      <c r="GM190" s="27"/>
      <c r="GN190" s="27">
        <f>5.29*3</f>
        <v>15.870000000000001</v>
      </c>
      <c r="GO190" s="27"/>
      <c r="GP190" s="27"/>
      <c r="GQ190" s="27"/>
      <c r="GR190" s="27"/>
      <c r="GS190" s="27"/>
      <c r="GT190" s="27"/>
      <c r="GU190" s="27">
        <v>0.56999999999999995</v>
      </c>
      <c r="GV190" s="27">
        <v>0.56000000000000005</v>
      </c>
      <c r="GW190" s="27"/>
      <c r="GX190" s="27"/>
      <c r="GY190" s="27">
        <v>0</v>
      </c>
      <c r="GZ190" s="27">
        <v>0</v>
      </c>
      <c r="HA190" s="27">
        <v>0</v>
      </c>
      <c r="HB190" s="24">
        <v>0</v>
      </c>
      <c r="HC190" s="24" t="s">
        <v>243</v>
      </c>
      <c r="HD190" s="24">
        <v>38</v>
      </c>
      <c r="HE190" s="27">
        <v>87.8</v>
      </c>
      <c r="HF190" s="27">
        <v>80.400000000000006</v>
      </c>
      <c r="HG190" s="27">
        <v>29.1</v>
      </c>
      <c r="HH190" s="24">
        <v>71.17</v>
      </c>
      <c r="HI190" s="24">
        <v>0</v>
      </c>
      <c r="HJ190" s="24">
        <v>25.61</v>
      </c>
      <c r="HK190" s="24">
        <v>0</v>
      </c>
      <c r="HL190" s="24">
        <v>3.22</v>
      </c>
      <c r="HM190" s="24">
        <v>0</v>
      </c>
      <c r="HN190" s="24">
        <v>0</v>
      </c>
      <c r="HO190" s="24">
        <v>0</v>
      </c>
      <c r="HP190" s="24">
        <v>0</v>
      </c>
      <c r="HQ190" s="24">
        <v>0</v>
      </c>
      <c r="HR190" s="24">
        <v>0</v>
      </c>
      <c r="HS190" s="24">
        <v>1.08</v>
      </c>
      <c r="HT190" s="24">
        <v>31.76</v>
      </c>
      <c r="HU190" s="24">
        <v>22.19</v>
      </c>
      <c r="HV190" s="24">
        <v>26.38</v>
      </c>
      <c r="HW190" s="24">
        <v>0</v>
      </c>
      <c r="HX190" s="24">
        <v>0</v>
      </c>
      <c r="HY190" s="24">
        <v>0</v>
      </c>
      <c r="IL190" s="24">
        <v>2.1</v>
      </c>
      <c r="IM190" s="24">
        <v>1</v>
      </c>
      <c r="IN190" s="24">
        <v>47</v>
      </c>
      <c r="IO190" s="24">
        <v>2</v>
      </c>
      <c r="IP190" s="24">
        <v>0.27</v>
      </c>
      <c r="IQ190" s="24">
        <v>3</v>
      </c>
      <c r="IX190" s="28"/>
      <c r="JP190" s="24">
        <v>0</v>
      </c>
      <c r="LA190" s="27">
        <v>1.9</v>
      </c>
      <c r="LB190" s="27">
        <v>1</v>
      </c>
      <c r="LC190" s="27">
        <v>1</v>
      </c>
      <c r="LD190" s="27"/>
      <c r="LE190" s="27">
        <f>5.29*3</f>
        <v>15.870000000000001</v>
      </c>
      <c r="LF190" s="27"/>
      <c r="LG190" s="27"/>
      <c r="LH190" s="27"/>
      <c r="LI190" s="27"/>
      <c r="LJ190" s="27"/>
      <c r="LK190" s="27"/>
      <c r="LL190" s="27">
        <v>1.1200000000000001</v>
      </c>
      <c r="LM190" s="27">
        <v>0.27</v>
      </c>
      <c r="LN190" s="27"/>
      <c r="LO190" s="27"/>
      <c r="LP190" s="27">
        <v>0</v>
      </c>
      <c r="LQ190" s="27">
        <v>0</v>
      </c>
      <c r="LR190" s="27">
        <v>0</v>
      </c>
      <c r="LS190" s="24">
        <v>0</v>
      </c>
      <c r="LT190" s="24" t="s">
        <v>247</v>
      </c>
      <c r="LU190" s="24">
        <v>37</v>
      </c>
      <c r="LV190" s="27">
        <v>79.2</v>
      </c>
      <c r="LW190" s="27">
        <v>80.400000000000006</v>
      </c>
      <c r="LX190" s="27">
        <v>12.1</v>
      </c>
      <c r="LY190" s="24">
        <v>96.75</v>
      </c>
      <c r="LZ190" s="24">
        <v>0</v>
      </c>
      <c r="MA190" s="24">
        <v>0</v>
      </c>
      <c r="MB190" s="24">
        <v>0</v>
      </c>
      <c r="MC190" s="24">
        <v>3.25</v>
      </c>
      <c r="MD190" s="24">
        <v>0</v>
      </c>
      <c r="ME190" s="24">
        <v>0</v>
      </c>
      <c r="MF190" s="24">
        <v>0</v>
      </c>
      <c r="MG190" s="24">
        <v>0</v>
      </c>
      <c r="MH190" s="24">
        <v>0</v>
      </c>
      <c r="MI190" s="24">
        <v>0</v>
      </c>
      <c r="MJ190" s="24">
        <v>9.06</v>
      </c>
      <c r="MK190" s="24">
        <v>18.149999999999999</v>
      </c>
      <c r="ML190" s="24">
        <v>25.66</v>
      </c>
      <c r="MM190" s="24">
        <v>15.61</v>
      </c>
      <c r="MN190" s="24">
        <v>0</v>
      </c>
      <c r="MO190" s="24">
        <v>0</v>
      </c>
      <c r="MP190" s="24">
        <v>0</v>
      </c>
      <c r="NC190" s="24">
        <v>17.8</v>
      </c>
      <c r="ND190" s="24">
        <v>1</v>
      </c>
      <c r="NE190" s="24">
        <v>47</v>
      </c>
      <c r="NF190" s="24">
        <v>3</v>
      </c>
      <c r="NG190" s="24">
        <v>2.2799999999999998</v>
      </c>
      <c r="NH190" s="24">
        <v>3</v>
      </c>
      <c r="NI190" s="24">
        <v>26</v>
      </c>
      <c r="NJ190" s="24">
        <v>1</v>
      </c>
      <c r="NK190" s="24">
        <v>0.76</v>
      </c>
      <c r="NL190" s="24">
        <v>2</v>
      </c>
      <c r="NO190" s="28"/>
      <c r="OG190" s="24">
        <v>0</v>
      </c>
      <c r="PR190" s="27">
        <v>1.27</v>
      </c>
      <c r="PS190" s="27">
        <v>1</v>
      </c>
      <c r="PT190" s="27">
        <v>1</v>
      </c>
      <c r="PU190" s="27"/>
      <c r="PV190" s="27">
        <f>6.34+1.06</f>
        <v>7.4</v>
      </c>
      <c r="PW190" s="27"/>
      <c r="PX190" s="27"/>
      <c r="PY190" s="27"/>
      <c r="PZ190" s="27"/>
      <c r="QA190" s="27"/>
      <c r="QB190" s="27"/>
      <c r="QC190" s="27">
        <v>2.86</v>
      </c>
      <c r="QD190" s="27">
        <v>2.86</v>
      </c>
      <c r="QE190" s="27"/>
      <c r="QF190" s="27"/>
      <c r="QG190" s="27">
        <v>0</v>
      </c>
      <c r="QH190" s="27">
        <v>0</v>
      </c>
      <c r="QI190" s="27">
        <v>0</v>
      </c>
      <c r="QJ190" s="24">
        <v>0</v>
      </c>
      <c r="QK190" s="24" t="s">
        <v>247</v>
      </c>
      <c r="QL190" s="24">
        <v>37</v>
      </c>
      <c r="QM190" s="27">
        <v>79.2</v>
      </c>
      <c r="QN190" s="27">
        <v>80.400000000000006</v>
      </c>
      <c r="QO190" s="27">
        <v>12.1</v>
      </c>
      <c r="QP190" s="24">
        <v>96.75</v>
      </c>
      <c r="QQ190" s="24">
        <v>0</v>
      </c>
      <c r="QR190" s="24">
        <v>0</v>
      </c>
      <c r="QS190" s="24">
        <v>0</v>
      </c>
      <c r="QT190" s="24">
        <v>3.25</v>
      </c>
      <c r="QU190" s="24">
        <v>0</v>
      </c>
      <c r="QV190" s="24">
        <v>0</v>
      </c>
      <c r="QW190" s="24">
        <v>0</v>
      </c>
      <c r="QX190" s="24">
        <v>0</v>
      </c>
      <c r="QY190" s="24">
        <v>0</v>
      </c>
      <c r="QZ190" s="24">
        <v>0</v>
      </c>
      <c r="RA190" s="24">
        <v>9.06</v>
      </c>
      <c r="RB190" s="24">
        <v>18.149999999999999</v>
      </c>
      <c r="RC190" s="24">
        <v>25.66</v>
      </c>
      <c r="RD190" s="24">
        <v>15.61</v>
      </c>
      <c r="RE190" s="24">
        <v>0</v>
      </c>
      <c r="RF190" s="24">
        <v>0</v>
      </c>
      <c r="RG190" s="24">
        <v>0</v>
      </c>
      <c r="RT190" s="24">
        <v>17.8</v>
      </c>
      <c r="RU190" s="24">
        <v>1</v>
      </c>
      <c r="RV190" s="24">
        <v>47</v>
      </c>
      <c r="RW190" s="24">
        <v>3</v>
      </c>
      <c r="RX190" s="24">
        <v>2.2799999999999998</v>
      </c>
      <c r="RY190" s="24">
        <v>3</v>
      </c>
      <c r="RZ190" s="24">
        <v>26</v>
      </c>
      <c r="SA190" s="24">
        <v>1</v>
      </c>
      <c r="SB190" s="24">
        <v>0.76</v>
      </c>
      <c r="SC190" s="24">
        <v>2</v>
      </c>
      <c r="SF190" s="28"/>
      <c r="SX190" s="24">
        <v>0</v>
      </c>
      <c r="UI190" s="27">
        <v>1.27</v>
      </c>
      <c r="UJ190" s="27">
        <v>1</v>
      </c>
      <c r="UK190" s="27">
        <v>1</v>
      </c>
      <c r="UL190" s="27"/>
      <c r="UM190" s="27">
        <f>6.34+1.06</f>
        <v>7.4</v>
      </c>
      <c r="UN190" s="27"/>
      <c r="UO190" s="27"/>
      <c r="UP190" s="27"/>
      <c r="UQ190" s="27"/>
      <c r="UR190" s="27"/>
      <c r="US190" s="27"/>
      <c r="UT190" s="27">
        <v>2.86</v>
      </c>
      <c r="UU190" s="27">
        <v>2.86</v>
      </c>
      <c r="UV190" s="27"/>
      <c r="UW190" s="27"/>
      <c r="UX190" s="27">
        <v>0</v>
      </c>
      <c r="UY190" s="27">
        <v>0</v>
      </c>
      <c r="UZ190" s="27">
        <v>0</v>
      </c>
      <c r="VA190" s="24">
        <v>0</v>
      </c>
      <c r="VB190" s="24" t="s">
        <v>248</v>
      </c>
      <c r="VC190" s="24">
        <v>33</v>
      </c>
      <c r="VD190" s="27">
        <v>122.1</v>
      </c>
      <c r="VE190" s="27">
        <v>80.400000000000006</v>
      </c>
      <c r="VF190" s="27">
        <v>14.1</v>
      </c>
      <c r="VG190" s="24">
        <v>91.87</v>
      </c>
      <c r="VH190" s="24">
        <v>0</v>
      </c>
      <c r="VI190" s="24">
        <v>5.85</v>
      </c>
      <c r="VJ190" s="24">
        <v>0</v>
      </c>
      <c r="VK190" s="24">
        <v>2.2799999999999998</v>
      </c>
      <c r="VL190" s="24">
        <v>0</v>
      </c>
      <c r="VM190" s="24">
        <v>0</v>
      </c>
      <c r="VN190" s="24">
        <v>0</v>
      </c>
      <c r="VO190" s="24">
        <v>0</v>
      </c>
      <c r="VP190" s="24">
        <v>0</v>
      </c>
      <c r="VQ190" s="24">
        <v>0</v>
      </c>
      <c r="VR190" s="24">
        <v>0</v>
      </c>
      <c r="VS190" s="24">
        <v>23.39</v>
      </c>
      <c r="VT190" s="24">
        <v>10.3</v>
      </c>
      <c r="VU190" s="24">
        <v>49.9</v>
      </c>
      <c r="VV190" s="24">
        <v>0</v>
      </c>
      <c r="VW190" s="24">
        <v>0</v>
      </c>
      <c r="VX190" s="24">
        <v>0</v>
      </c>
      <c r="WK190" s="24">
        <v>0</v>
      </c>
      <c r="WL190" s="24">
        <v>1</v>
      </c>
      <c r="WM190" s="24">
        <v>34</v>
      </c>
      <c r="WN190" s="24">
        <v>1</v>
      </c>
      <c r="WO190" s="24">
        <v>1.1399999999999999</v>
      </c>
      <c r="WP190" s="24">
        <v>1</v>
      </c>
      <c r="WW190" s="28"/>
      <c r="XO190" s="24">
        <v>0</v>
      </c>
      <c r="YZ190" s="27">
        <v>4.78</v>
      </c>
      <c r="ZA190" s="27">
        <v>1</v>
      </c>
      <c r="ZB190" s="27">
        <v>1</v>
      </c>
      <c r="ZC190" s="27"/>
      <c r="ZD190" s="27">
        <v>4.2300000000000004</v>
      </c>
      <c r="ZE190" s="27">
        <v>2</v>
      </c>
      <c r="ZF190" s="27"/>
      <c r="ZG190" s="27">
        <f>1.14+9.52+1.68</f>
        <v>12.34</v>
      </c>
      <c r="ZH190" s="27"/>
      <c r="ZI190" s="27"/>
      <c r="ZJ190" s="27"/>
      <c r="ZK190" s="27">
        <v>10.43</v>
      </c>
      <c r="ZL190" s="27">
        <v>22.43</v>
      </c>
      <c r="ZM190" s="27"/>
      <c r="ZN190" s="27"/>
      <c r="ZO190" s="27">
        <v>0</v>
      </c>
      <c r="ZP190" s="27">
        <v>0</v>
      </c>
      <c r="ZQ190" s="27">
        <v>0</v>
      </c>
      <c r="ZR190" s="24">
        <v>0</v>
      </c>
      <c r="ZS190" s="24" t="s">
        <v>249</v>
      </c>
      <c r="ZT190" s="24">
        <v>25</v>
      </c>
      <c r="ZU190" s="27">
        <v>87.3</v>
      </c>
      <c r="ZV190" s="27">
        <v>80.400000000000006</v>
      </c>
      <c r="ZW190" s="27">
        <v>8.8000000000000007</v>
      </c>
      <c r="ZX190" s="24">
        <v>100</v>
      </c>
      <c r="ZY190" s="24">
        <v>0</v>
      </c>
      <c r="ZZ190" s="24">
        <v>0</v>
      </c>
      <c r="AAA190" s="24">
        <v>0</v>
      </c>
      <c r="AAB190" s="24">
        <v>0</v>
      </c>
      <c r="AAC190" s="24">
        <v>0</v>
      </c>
      <c r="AAD190" s="24">
        <v>0</v>
      </c>
      <c r="AAE190" s="24">
        <v>0</v>
      </c>
      <c r="AAF190" s="24">
        <v>0</v>
      </c>
      <c r="AAG190" s="24">
        <v>0</v>
      </c>
      <c r="AAH190" s="24">
        <v>0</v>
      </c>
      <c r="AAI190" s="24">
        <v>0</v>
      </c>
      <c r="AAJ190" s="24">
        <v>11.94</v>
      </c>
      <c r="AAK190" s="24">
        <v>34.17</v>
      </c>
      <c r="AAL190" s="24">
        <v>24.72</v>
      </c>
      <c r="AAM190" s="24">
        <v>0</v>
      </c>
      <c r="AAN190" s="24">
        <v>6.9</v>
      </c>
      <c r="AAO190" s="24">
        <v>3</v>
      </c>
      <c r="AAP190" s="24">
        <v>50</v>
      </c>
      <c r="AAR190" s="24">
        <v>2</v>
      </c>
      <c r="AAV190" s="24">
        <v>50</v>
      </c>
      <c r="AAX190" s="24">
        <v>2</v>
      </c>
      <c r="ABB190" s="24">
        <v>0</v>
      </c>
      <c r="ABC190" s="24">
        <v>0</v>
      </c>
      <c r="ABN190" s="28"/>
      <c r="ACF190" s="24">
        <v>1</v>
      </c>
      <c r="ACG190" s="24">
        <v>50</v>
      </c>
      <c r="ACH190" s="24">
        <v>1</v>
      </c>
      <c r="ACI190" s="24">
        <v>1.86</v>
      </c>
      <c r="ACJ190" s="24">
        <v>3</v>
      </c>
      <c r="ADQ190" s="27">
        <v>0.75</v>
      </c>
      <c r="ADR190" s="27">
        <v>1</v>
      </c>
      <c r="ADS190" s="27">
        <v>1</v>
      </c>
      <c r="ADT190" s="27"/>
      <c r="ADU190" s="27">
        <f>12.69+1.68</f>
        <v>14.37</v>
      </c>
      <c r="ADV190" s="27"/>
      <c r="ADW190" s="27"/>
      <c r="ADX190" s="27"/>
      <c r="ADY190" s="27"/>
      <c r="ADZ190" s="27"/>
      <c r="AEA190" s="27"/>
      <c r="AEB190" s="27">
        <v>5.16</v>
      </c>
      <c r="AEC190" s="27">
        <v>2.2799999999999998</v>
      </c>
      <c r="AED190" s="27"/>
      <c r="AEE190" s="27"/>
      <c r="AEF190" s="27">
        <v>0</v>
      </c>
      <c r="AEG190" s="27">
        <v>0</v>
      </c>
      <c r="AEH190" s="27">
        <v>0</v>
      </c>
      <c r="AEI190" s="24">
        <v>0</v>
      </c>
      <c r="AEJ190" s="24" t="s">
        <v>582</v>
      </c>
      <c r="AEK190" s="24">
        <v>31.5</v>
      </c>
      <c r="AEL190" s="27">
        <v>78.3</v>
      </c>
      <c r="AEM190" s="27">
        <v>80.400000000000006</v>
      </c>
      <c r="AEN190" s="27">
        <v>15.4</v>
      </c>
      <c r="AEO190" s="24">
        <v>93.39</v>
      </c>
      <c r="AEP190" s="24">
        <v>0.76</v>
      </c>
      <c r="AEQ190" s="24">
        <v>5.85</v>
      </c>
      <c r="AER190" s="24">
        <v>0</v>
      </c>
      <c r="AES190" s="24">
        <v>0</v>
      </c>
      <c r="AET190" s="24">
        <v>0</v>
      </c>
      <c r="AEU190" s="24">
        <v>0</v>
      </c>
      <c r="AEV190" s="24">
        <v>0</v>
      </c>
      <c r="AEW190" s="24">
        <v>0</v>
      </c>
      <c r="AEX190" s="24">
        <v>0</v>
      </c>
      <c r="AEY190" s="24">
        <v>0</v>
      </c>
      <c r="AEZ190" s="24">
        <v>0</v>
      </c>
      <c r="AFA190" s="24">
        <v>0</v>
      </c>
      <c r="AFB190" s="24">
        <v>18.87</v>
      </c>
      <c r="AFC190" s="24">
        <v>44.71</v>
      </c>
      <c r="AFD190" s="24">
        <v>0</v>
      </c>
      <c r="AFE190" s="24">
        <v>0</v>
      </c>
      <c r="AFF190" s="24">
        <v>0</v>
      </c>
      <c r="AFS190" s="24">
        <v>0</v>
      </c>
      <c r="AFT190" s="24">
        <v>0</v>
      </c>
      <c r="AGE190" s="28"/>
      <c r="AGW190" s="24">
        <v>0</v>
      </c>
      <c r="AIH190" s="27">
        <v>4.4800000000000004</v>
      </c>
      <c r="AII190" s="27">
        <v>1</v>
      </c>
      <c r="AIJ190" s="27">
        <v>2</v>
      </c>
      <c r="AIK190" s="27"/>
      <c r="AIL190" s="27">
        <f>6.34+1.12</f>
        <v>7.46</v>
      </c>
      <c r="AIM190" s="27"/>
      <c r="AIN190" s="27"/>
      <c r="AIO190" s="27"/>
      <c r="AIP190" s="27"/>
      <c r="AIQ190" s="27"/>
      <c r="AIR190" s="27"/>
      <c r="AIS190" s="27">
        <v>8.48</v>
      </c>
      <c r="AIT190" s="27">
        <v>26.48</v>
      </c>
      <c r="AIU190" s="27"/>
      <c r="AIV190" s="27"/>
      <c r="AIW190" s="27">
        <v>0</v>
      </c>
      <c r="AIX190" s="27">
        <v>0</v>
      </c>
      <c r="AIY190" s="27">
        <v>0</v>
      </c>
      <c r="AIZ190" s="24">
        <v>0</v>
      </c>
      <c r="AJA190" s="24" t="s">
        <v>684</v>
      </c>
      <c r="AJB190" s="24">
        <v>37.5</v>
      </c>
      <c r="AJC190" s="27">
        <v>88.7</v>
      </c>
      <c r="AJD190" s="27">
        <v>80.400000000000006</v>
      </c>
      <c r="AJE190" s="27">
        <v>11.3</v>
      </c>
      <c r="AJF190" s="24">
        <v>16.12</v>
      </c>
      <c r="AJG190" s="24">
        <v>0</v>
      </c>
      <c r="AJH190" s="24">
        <v>0</v>
      </c>
      <c r="AJI190" s="24">
        <v>0</v>
      </c>
      <c r="AJJ190" s="24">
        <v>0</v>
      </c>
      <c r="AJK190" s="24">
        <v>0</v>
      </c>
      <c r="AJL190" s="24">
        <v>83.88</v>
      </c>
      <c r="AJM190" s="24">
        <v>0</v>
      </c>
      <c r="AJN190" s="24">
        <v>0</v>
      </c>
      <c r="AJO190" s="24">
        <v>0</v>
      </c>
      <c r="AJP190" s="24">
        <v>0</v>
      </c>
      <c r="AJQ190" s="24">
        <v>0</v>
      </c>
      <c r="AJR190" s="24">
        <v>43.66</v>
      </c>
      <c r="AJS190" s="24">
        <v>0</v>
      </c>
      <c r="AJT190" s="24">
        <v>0</v>
      </c>
      <c r="AJU190" s="24">
        <v>0</v>
      </c>
      <c r="AJV190" s="24">
        <v>0</v>
      </c>
      <c r="AJW190" s="24">
        <v>0</v>
      </c>
      <c r="AKJ190" s="24">
        <v>14</v>
      </c>
      <c r="AKK190" s="24">
        <v>1</v>
      </c>
      <c r="AKL190" s="24">
        <v>70</v>
      </c>
      <c r="AKM190" s="24">
        <v>2</v>
      </c>
      <c r="AKN190" s="24">
        <v>1.34</v>
      </c>
      <c r="AKO190" s="24">
        <v>3</v>
      </c>
      <c r="AKV190" s="28"/>
      <c r="ALN190" s="24">
        <v>0</v>
      </c>
    </row>
    <row r="191" spans="1:1024" x14ac:dyDescent="0.2">
      <c r="A191" s="1" t="s">
        <v>687</v>
      </c>
      <c r="B191" s="12">
        <v>42887</v>
      </c>
      <c r="C191">
        <v>1</v>
      </c>
      <c r="D191" s="13">
        <v>42811</v>
      </c>
      <c r="E191" s="12">
        <v>28636</v>
      </c>
      <c r="F191" s="14">
        <f t="shared" si="48"/>
        <v>39.017111567419576</v>
      </c>
      <c r="G191" s="14">
        <f t="shared" si="49"/>
        <v>0.20807665982203971</v>
      </c>
      <c r="H191" s="15" t="s">
        <v>228</v>
      </c>
      <c r="I191" s="15" t="s">
        <v>240</v>
      </c>
      <c r="J191" s="15" t="s">
        <v>181</v>
      </c>
      <c r="K191" s="21">
        <v>8</v>
      </c>
      <c r="L191" s="19">
        <v>80</v>
      </c>
      <c r="M191">
        <v>1.65</v>
      </c>
      <c r="N191" s="16">
        <f t="shared" si="50"/>
        <v>29.384756657483933</v>
      </c>
      <c r="O191" s="19">
        <v>0</v>
      </c>
      <c r="P191" s="19">
        <v>0</v>
      </c>
      <c r="Q191" s="19">
        <v>0</v>
      </c>
      <c r="R191" s="26">
        <v>0</v>
      </c>
      <c r="S191" s="26">
        <v>0</v>
      </c>
      <c r="T191" s="26">
        <v>0</v>
      </c>
      <c r="U191" s="19">
        <v>1</v>
      </c>
      <c r="V191" s="19">
        <v>8</v>
      </c>
      <c r="W191" s="19">
        <v>0</v>
      </c>
      <c r="X191" s="19">
        <v>0</v>
      </c>
      <c r="Y191" s="19">
        <v>0</v>
      </c>
      <c r="Z191" s="19">
        <v>0</v>
      </c>
      <c r="AA191" s="19">
        <v>0</v>
      </c>
      <c r="AB191" s="19">
        <v>0</v>
      </c>
      <c r="AC191" s="19">
        <v>0</v>
      </c>
      <c r="AD191" s="19">
        <v>0</v>
      </c>
      <c r="AE191" s="19">
        <v>0</v>
      </c>
      <c r="AF191" s="19">
        <v>0</v>
      </c>
      <c r="AG191" s="19">
        <v>0</v>
      </c>
      <c r="AH191" s="19">
        <v>0</v>
      </c>
      <c r="AI191" s="19">
        <v>0</v>
      </c>
      <c r="AJ191" s="19">
        <v>0</v>
      </c>
      <c r="AK191" s="19">
        <v>0</v>
      </c>
      <c r="AL191" s="19">
        <v>0</v>
      </c>
      <c r="AM191" s="19">
        <v>0</v>
      </c>
      <c r="AN191" s="19">
        <v>1</v>
      </c>
      <c r="AO191" s="19">
        <v>0</v>
      </c>
      <c r="AP191" s="19">
        <v>0</v>
      </c>
      <c r="AQ191" s="19">
        <v>0</v>
      </c>
      <c r="AR191" s="19">
        <v>0</v>
      </c>
      <c r="AS191" s="19">
        <v>3</v>
      </c>
      <c r="AT191" s="19">
        <v>0</v>
      </c>
      <c r="AU191" s="19">
        <v>3</v>
      </c>
      <c r="AV191" s="19">
        <v>3</v>
      </c>
      <c r="AW191" s="19">
        <v>3</v>
      </c>
      <c r="AX191" s="19">
        <v>0</v>
      </c>
      <c r="AY191" s="19">
        <v>0</v>
      </c>
      <c r="AZ191" s="19">
        <v>0</v>
      </c>
      <c r="BA191" s="19">
        <v>0</v>
      </c>
      <c r="BB191" s="19">
        <v>1</v>
      </c>
      <c r="BC191" s="19">
        <v>0</v>
      </c>
      <c r="BD191" s="19">
        <v>1</v>
      </c>
      <c r="BE191" s="19">
        <v>3</v>
      </c>
      <c r="BF191" s="19">
        <v>0</v>
      </c>
      <c r="BG191" s="19">
        <v>0</v>
      </c>
      <c r="BH191" s="19">
        <v>0</v>
      </c>
      <c r="BI191" s="19">
        <v>0</v>
      </c>
      <c r="BJ191" s="19">
        <v>1</v>
      </c>
      <c r="BK191" s="19">
        <v>0</v>
      </c>
      <c r="BL191" s="19">
        <v>1</v>
      </c>
      <c r="BM191" s="19">
        <v>3</v>
      </c>
      <c r="BN191" s="19">
        <v>1</v>
      </c>
      <c r="BO191" s="19">
        <v>0</v>
      </c>
      <c r="BP191" s="19">
        <v>0</v>
      </c>
      <c r="BQ191" s="19">
        <v>0</v>
      </c>
      <c r="BR191" s="19">
        <v>2</v>
      </c>
      <c r="BS191" s="19">
        <v>2</v>
      </c>
      <c r="BT191" s="19">
        <v>3</v>
      </c>
      <c r="BU191" s="19">
        <v>5</v>
      </c>
      <c r="BV191" s="19">
        <v>1</v>
      </c>
      <c r="BW191" s="19">
        <v>2</v>
      </c>
      <c r="BX191" s="19">
        <v>1</v>
      </c>
      <c r="BY191" s="19">
        <v>4</v>
      </c>
      <c r="BZ191" s="19">
        <v>3</v>
      </c>
      <c r="CA191" s="19">
        <v>2</v>
      </c>
      <c r="CB191" s="19">
        <v>5</v>
      </c>
      <c r="CC191" s="19">
        <v>5</v>
      </c>
      <c r="CD191" s="19">
        <v>3</v>
      </c>
      <c r="CE191" s="19">
        <v>4</v>
      </c>
      <c r="CF191" s="19">
        <v>4</v>
      </c>
      <c r="CG191" s="19">
        <v>5</v>
      </c>
      <c r="CH191" s="19">
        <v>3</v>
      </c>
      <c r="CI191" s="19">
        <v>4</v>
      </c>
      <c r="CJ191" s="19">
        <v>3</v>
      </c>
      <c r="CK191" s="19">
        <v>10</v>
      </c>
      <c r="CL191" s="24" t="s">
        <v>242</v>
      </c>
      <c r="CM191" s="24">
        <v>36.5</v>
      </c>
      <c r="CN191" s="27">
        <v>88.3</v>
      </c>
      <c r="CO191" s="27">
        <v>80.400000000000006</v>
      </c>
      <c r="CP191" s="27">
        <v>28.2</v>
      </c>
      <c r="CQ191" s="24">
        <v>73.819999999999993</v>
      </c>
      <c r="CR191" s="24">
        <v>0</v>
      </c>
      <c r="CS191" s="24">
        <v>25.61</v>
      </c>
      <c r="CT191" s="24">
        <v>0</v>
      </c>
      <c r="CU191" s="24">
        <v>0.56999999999999995</v>
      </c>
      <c r="CV191" s="24">
        <v>0</v>
      </c>
      <c r="CW191" s="24">
        <v>0</v>
      </c>
      <c r="CX191" s="24">
        <v>0</v>
      </c>
      <c r="CY191" s="24">
        <v>0</v>
      </c>
      <c r="CZ191" s="24">
        <v>0</v>
      </c>
      <c r="DA191" s="24">
        <v>0</v>
      </c>
      <c r="DB191" s="24">
        <v>1.17</v>
      </c>
      <c r="DC191" s="24">
        <v>31.76</v>
      </c>
      <c r="DD191" s="24">
        <v>23.3</v>
      </c>
      <c r="DE191" s="24">
        <v>26.08</v>
      </c>
      <c r="DF191" s="24">
        <v>0</v>
      </c>
      <c r="DG191" s="24">
        <v>0</v>
      </c>
      <c r="DH191" s="24">
        <v>0</v>
      </c>
      <c r="DU191" s="24">
        <v>2.1</v>
      </c>
      <c r="DV191" s="24">
        <v>1</v>
      </c>
      <c r="DW191" s="24">
        <v>47</v>
      </c>
      <c r="DX191" s="24">
        <v>2</v>
      </c>
      <c r="DY191" s="24">
        <v>0.27</v>
      </c>
      <c r="DZ191" s="24">
        <v>3</v>
      </c>
      <c r="EG191" s="28"/>
      <c r="EY191" s="24">
        <v>0</v>
      </c>
      <c r="GJ191" s="27">
        <v>1.9</v>
      </c>
      <c r="GK191" s="27">
        <v>1</v>
      </c>
      <c r="GL191" s="27">
        <v>1</v>
      </c>
      <c r="GM191" s="27"/>
      <c r="GN191" s="27">
        <f>5.29*3</f>
        <v>15.870000000000001</v>
      </c>
      <c r="GO191" s="27"/>
      <c r="GP191" s="27"/>
      <c r="GQ191" s="27"/>
      <c r="GR191" s="27"/>
      <c r="GS191" s="27"/>
      <c r="GT191" s="27"/>
      <c r="GU191" s="27">
        <v>0.56999999999999995</v>
      </c>
      <c r="GV191" s="27">
        <v>0.56000000000000005</v>
      </c>
      <c r="GW191" s="27"/>
      <c r="GX191" s="27"/>
      <c r="GY191" s="27">
        <v>0</v>
      </c>
      <c r="GZ191" s="27">
        <v>0</v>
      </c>
      <c r="HA191" s="27">
        <v>0</v>
      </c>
      <c r="HB191" s="24">
        <v>0</v>
      </c>
      <c r="HC191" s="24" t="s">
        <v>243</v>
      </c>
      <c r="HD191" s="24">
        <v>38</v>
      </c>
      <c r="HE191" s="27">
        <v>87.8</v>
      </c>
      <c r="HF191" s="27">
        <v>80.400000000000006</v>
      </c>
      <c r="HG191" s="27">
        <v>29.1</v>
      </c>
      <c r="HH191" s="24">
        <v>71.17</v>
      </c>
      <c r="HI191" s="24">
        <v>0</v>
      </c>
      <c r="HJ191" s="24">
        <v>25.61</v>
      </c>
      <c r="HK191" s="24">
        <v>0</v>
      </c>
      <c r="HL191" s="24">
        <v>3.22</v>
      </c>
      <c r="HM191" s="24">
        <v>0</v>
      </c>
      <c r="HN191" s="24">
        <v>0</v>
      </c>
      <c r="HO191" s="24">
        <v>0</v>
      </c>
      <c r="HP191" s="24">
        <v>0</v>
      </c>
      <c r="HQ191" s="24">
        <v>0</v>
      </c>
      <c r="HR191" s="24">
        <v>0</v>
      </c>
      <c r="HS191" s="24">
        <v>1.08</v>
      </c>
      <c r="HT191" s="24">
        <v>31.76</v>
      </c>
      <c r="HU191" s="24">
        <v>22.19</v>
      </c>
      <c r="HV191" s="24">
        <v>26.38</v>
      </c>
      <c r="HW191" s="24">
        <v>0</v>
      </c>
      <c r="HX191" s="24">
        <v>0</v>
      </c>
      <c r="HY191" s="24">
        <v>0</v>
      </c>
      <c r="IL191" s="24">
        <v>2.1</v>
      </c>
      <c r="IM191" s="24">
        <v>1</v>
      </c>
      <c r="IN191" s="24">
        <v>47</v>
      </c>
      <c r="IO191" s="24">
        <v>2</v>
      </c>
      <c r="IP191" s="24">
        <v>0.27</v>
      </c>
      <c r="IQ191" s="24">
        <v>3</v>
      </c>
      <c r="IX191" s="28"/>
      <c r="JP191" s="24">
        <v>0</v>
      </c>
      <c r="LA191" s="27">
        <v>1.9</v>
      </c>
      <c r="LB191" s="27">
        <v>1</v>
      </c>
      <c r="LC191" s="27">
        <v>1</v>
      </c>
      <c r="LD191" s="27"/>
      <c r="LE191" s="27">
        <f>5.29*3</f>
        <v>15.870000000000001</v>
      </c>
      <c r="LF191" s="27"/>
      <c r="LG191" s="27"/>
      <c r="LH191" s="27"/>
      <c r="LI191" s="27"/>
      <c r="LJ191" s="27"/>
      <c r="LK191" s="27"/>
      <c r="LL191" s="27">
        <v>1.1200000000000001</v>
      </c>
      <c r="LM191" s="27">
        <v>0.27</v>
      </c>
      <c r="LN191" s="27"/>
      <c r="LO191" s="27"/>
      <c r="LP191" s="27">
        <v>0</v>
      </c>
      <c r="LQ191" s="27">
        <v>0</v>
      </c>
      <c r="LR191" s="27">
        <v>0</v>
      </c>
      <c r="LS191" s="24">
        <v>0</v>
      </c>
      <c r="LT191" s="24" t="s">
        <v>244</v>
      </c>
      <c r="LU191" s="24">
        <v>24.5</v>
      </c>
      <c r="LV191" s="27">
        <v>84.2</v>
      </c>
      <c r="LW191" s="27">
        <v>80.400000000000006</v>
      </c>
      <c r="LX191" s="27">
        <v>11.9</v>
      </c>
      <c r="LY191" s="24">
        <v>97.51</v>
      </c>
      <c r="LZ191" s="24">
        <v>0</v>
      </c>
      <c r="MA191" s="24">
        <v>2.4900000000000002</v>
      </c>
      <c r="MB191" s="24">
        <v>0</v>
      </c>
      <c r="MC191" s="24">
        <v>0</v>
      </c>
      <c r="MD191" s="24">
        <v>0</v>
      </c>
      <c r="ME191" s="24">
        <v>0</v>
      </c>
      <c r="MF191" s="24">
        <v>0</v>
      </c>
      <c r="MG191" s="24">
        <v>0</v>
      </c>
      <c r="MH191" s="24">
        <v>0</v>
      </c>
      <c r="MI191" s="24">
        <v>0</v>
      </c>
      <c r="MJ191" s="24">
        <v>0</v>
      </c>
      <c r="MK191" s="24">
        <v>3.13</v>
      </c>
      <c r="ML191" s="24">
        <v>26.34</v>
      </c>
      <c r="MM191" s="24">
        <v>45.74</v>
      </c>
      <c r="MN191" s="24">
        <v>0</v>
      </c>
      <c r="MO191" s="24">
        <v>0</v>
      </c>
      <c r="MP191" s="24">
        <v>0</v>
      </c>
      <c r="NC191" s="24">
        <v>0</v>
      </c>
      <c r="ND191" s="24">
        <v>0</v>
      </c>
      <c r="NO191" s="28"/>
      <c r="OG191" s="24">
        <v>0</v>
      </c>
      <c r="PR191" s="27">
        <v>6.4</v>
      </c>
      <c r="PS191" s="27">
        <v>1</v>
      </c>
      <c r="PT191" s="27">
        <v>2</v>
      </c>
      <c r="PU191" s="27"/>
      <c r="PV191" s="27">
        <f>1.24*2</f>
        <v>2.48</v>
      </c>
      <c r="PW191" s="27">
        <v>1</v>
      </c>
      <c r="PX191" s="27"/>
      <c r="PY191" s="27">
        <f>1.24*3+0.62+0.93+3.18+1.59+3.73+7.46</f>
        <v>21.23</v>
      </c>
      <c r="PZ191" s="27"/>
      <c r="QA191" s="27"/>
      <c r="QB191" s="27"/>
      <c r="QC191" s="27">
        <v>1.61</v>
      </c>
      <c r="QD191" s="27">
        <v>1.46</v>
      </c>
      <c r="QE191" s="27"/>
      <c r="QF191" s="27"/>
      <c r="QG191" s="27">
        <v>0</v>
      </c>
      <c r="QH191" s="27">
        <v>0</v>
      </c>
      <c r="QI191" s="27">
        <v>0</v>
      </c>
      <c r="QJ191" s="24">
        <v>0</v>
      </c>
      <c r="QK191" s="24" t="s">
        <v>245</v>
      </c>
      <c r="QL191" s="24">
        <v>19.5</v>
      </c>
      <c r="QM191" s="27">
        <v>76</v>
      </c>
      <c r="QN191" s="27">
        <v>80.400000000000006</v>
      </c>
      <c r="QO191" s="27">
        <v>10.9</v>
      </c>
      <c r="QP191" s="24">
        <v>99.87</v>
      </c>
      <c r="QQ191" s="24">
        <v>0</v>
      </c>
      <c r="QR191" s="24">
        <v>0</v>
      </c>
      <c r="QS191" s="24">
        <v>0</v>
      </c>
      <c r="QT191" s="24">
        <v>0.13</v>
      </c>
      <c r="QU191" s="24">
        <v>0</v>
      </c>
      <c r="QV191" s="24">
        <v>0</v>
      </c>
      <c r="QW191" s="24">
        <v>0</v>
      </c>
      <c r="QX191" s="24">
        <v>0</v>
      </c>
      <c r="QY191" s="24">
        <v>0</v>
      </c>
      <c r="QZ191" s="24">
        <v>0</v>
      </c>
      <c r="RA191" s="24">
        <v>0.1</v>
      </c>
      <c r="RB191" s="24">
        <v>0</v>
      </c>
      <c r="RC191" s="24">
        <v>17.25</v>
      </c>
      <c r="RD191" s="24">
        <v>40.01</v>
      </c>
      <c r="RE191" s="24">
        <v>0</v>
      </c>
      <c r="RF191" s="24">
        <v>0</v>
      </c>
      <c r="RG191" s="24">
        <v>0</v>
      </c>
      <c r="RT191" s="24">
        <v>4.5</v>
      </c>
      <c r="RU191" s="24">
        <v>1</v>
      </c>
      <c r="RV191" s="24">
        <v>34</v>
      </c>
      <c r="RW191" s="24">
        <v>2</v>
      </c>
      <c r="RX191" s="24">
        <v>0.13</v>
      </c>
      <c r="RY191" s="24">
        <v>1</v>
      </c>
      <c r="RZ191" s="24">
        <v>52</v>
      </c>
      <c r="SA191" s="24">
        <v>2</v>
      </c>
      <c r="SB191" s="24">
        <v>1.52</v>
      </c>
      <c r="SC191" s="24">
        <v>2</v>
      </c>
      <c r="SF191" s="28"/>
      <c r="SX191" s="24">
        <v>1</v>
      </c>
      <c r="SY191" s="24">
        <v>70</v>
      </c>
      <c r="SZ191" s="24">
        <v>7</v>
      </c>
      <c r="TA191" s="24">
        <v>0.7</v>
      </c>
      <c r="TB191" s="24">
        <v>3</v>
      </c>
      <c r="UI191" s="27">
        <v>0.72</v>
      </c>
      <c r="UJ191" s="27">
        <v>1</v>
      </c>
      <c r="UK191" s="27">
        <v>1</v>
      </c>
      <c r="UL191" s="27"/>
      <c r="UM191" s="27">
        <f>1.15+0.56+0.29</f>
        <v>2</v>
      </c>
      <c r="UN191" s="27"/>
      <c r="UO191" s="27"/>
      <c r="UP191" s="27"/>
      <c r="UQ191" s="27"/>
      <c r="UR191" s="27"/>
      <c r="US191" s="27"/>
      <c r="UT191" s="27">
        <v>0.17</v>
      </c>
      <c r="UU191" s="27">
        <v>0.17</v>
      </c>
      <c r="UV191" s="27"/>
      <c r="UW191" s="27"/>
      <c r="UX191" s="27">
        <v>0</v>
      </c>
      <c r="UY191" s="27">
        <v>0</v>
      </c>
      <c r="UZ191" s="27">
        <v>0</v>
      </c>
      <c r="VA191" s="24">
        <v>0</v>
      </c>
      <c r="VB191" s="24" t="s">
        <v>246</v>
      </c>
      <c r="VC191" s="24">
        <v>27</v>
      </c>
      <c r="VD191" s="27">
        <v>72</v>
      </c>
      <c r="VE191" s="27">
        <v>80.400000000000006</v>
      </c>
      <c r="VF191" s="27">
        <v>19.2</v>
      </c>
      <c r="VG191" s="24">
        <v>86.83</v>
      </c>
      <c r="VH191" s="24">
        <v>0</v>
      </c>
      <c r="VI191" s="24">
        <v>0</v>
      </c>
      <c r="VJ191" s="24">
        <v>0</v>
      </c>
      <c r="VK191" s="24">
        <v>13.17</v>
      </c>
      <c r="VL191" s="24">
        <v>0</v>
      </c>
      <c r="VM191" s="24">
        <v>0</v>
      </c>
      <c r="VN191" s="24">
        <v>0</v>
      </c>
      <c r="VO191" s="24">
        <v>0</v>
      </c>
      <c r="VP191" s="24">
        <v>0</v>
      </c>
      <c r="VQ191" s="24">
        <v>0</v>
      </c>
      <c r="VR191" s="24">
        <v>18.28</v>
      </c>
      <c r="VS191" s="24">
        <v>16.809999999999999</v>
      </c>
      <c r="VT191" s="24">
        <v>9.64</v>
      </c>
      <c r="VU191" s="24">
        <v>19.739999999999998</v>
      </c>
      <c r="VV191" s="24">
        <v>0</v>
      </c>
      <c r="VW191" s="24">
        <v>0</v>
      </c>
      <c r="VX191" s="24">
        <v>0</v>
      </c>
      <c r="WK191" s="24">
        <v>0</v>
      </c>
      <c r="WL191" s="24">
        <v>0</v>
      </c>
      <c r="WW191" s="28"/>
      <c r="XO191" s="24">
        <v>0</v>
      </c>
      <c r="YZ191" s="27">
        <v>1.43</v>
      </c>
      <c r="ZA191" s="27">
        <v>1</v>
      </c>
      <c r="ZB191" s="27">
        <v>1</v>
      </c>
      <c r="ZC191" s="27"/>
      <c r="ZD191" s="27">
        <f>6.34+2.11+0.08+0.37</f>
        <v>8.8999999999999986</v>
      </c>
      <c r="ZE191" s="27"/>
      <c r="ZF191" s="27"/>
      <c r="ZG191" s="27"/>
      <c r="ZH191" s="27"/>
      <c r="ZI191" s="27"/>
      <c r="ZJ191" s="27"/>
      <c r="ZK191" s="27">
        <v>3.5</v>
      </c>
      <c r="ZL191" s="27">
        <v>3.5</v>
      </c>
      <c r="ZM191" s="27"/>
      <c r="ZN191" s="27"/>
      <c r="ZO191" s="27">
        <v>0</v>
      </c>
      <c r="ZP191" s="27">
        <v>0</v>
      </c>
      <c r="ZQ191" s="27">
        <v>0</v>
      </c>
      <c r="ZR191" s="24">
        <v>0</v>
      </c>
      <c r="ZS191" s="24" t="s">
        <v>247</v>
      </c>
      <c r="ZT191" s="24">
        <v>37</v>
      </c>
      <c r="ZU191" s="27">
        <v>79.2</v>
      </c>
      <c r="ZV191" s="27">
        <v>80.400000000000006</v>
      </c>
      <c r="ZW191" s="27">
        <v>12.1</v>
      </c>
      <c r="ZX191" s="24">
        <v>96.75</v>
      </c>
      <c r="ZY191" s="24">
        <v>0</v>
      </c>
      <c r="ZZ191" s="24">
        <v>0</v>
      </c>
      <c r="AAA191" s="24">
        <v>0</v>
      </c>
      <c r="AAB191" s="24">
        <v>3.25</v>
      </c>
      <c r="AAC191" s="24">
        <v>0</v>
      </c>
      <c r="AAD191" s="24">
        <v>0</v>
      </c>
      <c r="AAE191" s="24">
        <v>0</v>
      </c>
      <c r="AAF191" s="24">
        <v>0</v>
      </c>
      <c r="AAG191" s="24">
        <v>0</v>
      </c>
      <c r="AAH191" s="24">
        <v>0</v>
      </c>
      <c r="AAI191" s="24">
        <v>9.06</v>
      </c>
      <c r="AAJ191" s="24">
        <v>18.149999999999999</v>
      </c>
      <c r="AAK191" s="24">
        <v>25.66</v>
      </c>
      <c r="AAL191" s="24">
        <v>15.61</v>
      </c>
      <c r="AAM191" s="24">
        <v>0</v>
      </c>
      <c r="AAN191" s="24">
        <v>0</v>
      </c>
      <c r="AAO191" s="24">
        <v>0</v>
      </c>
      <c r="ABB191" s="24">
        <v>17.8</v>
      </c>
      <c r="ABC191" s="24">
        <v>1</v>
      </c>
      <c r="ABD191" s="24">
        <v>47</v>
      </c>
      <c r="ABE191" s="24">
        <v>3</v>
      </c>
      <c r="ABF191" s="24">
        <v>2.2799999999999998</v>
      </c>
      <c r="ABG191" s="24">
        <v>3</v>
      </c>
      <c r="ABH191" s="24">
        <v>26</v>
      </c>
      <c r="ABI191" s="24">
        <v>1</v>
      </c>
      <c r="ABJ191" s="24">
        <v>0.76</v>
      </c>
      <c r="ABK191" s="24">
        <v>2</v>
      </c>
      <c r="ABN191" s="28"/>
      <c r="ACF191" s="24">
        <v>0</v>
      </c>
      <c r="ADQ191" s="27">
        <v>1.27</v>
      </c>
      <c r="ADR191" s="27">
        <v>1</v>
      </c>
      <c r="ADS191" s="27">
        <v>1</v>
      </c>
      <c r="ADT191" s="27"/>
      <c r="ADU191" s="27">
        <f>6.34+1.06</f>
        <v>7.4</v>
      </c>
      <c r="ADV191" s="27"/>
      <c r="ADW191" s="27"/>
      <c r="ADX191" s="27"/>
      <c r="ADY191" s="27"/>
      <c r="ADZ191" s="27"/>
      <c r="AEA191" s="27"/>
      <c r="AEB191" s="27">
        <v>2.86</v>
      </c>
      <c r="AEC191" s="27">
        <v>2.86</v>
      </c>
      <c r="AED191" s="27"/>
      <c r="AEE191" s="27"/>
      <c r="AEF191" s="27">
        <v>0</v>
      </c>
      <c r="AEG191" s="27">
        <v>0</v>
      </c>
      <c r="AEH191" s="27">
        <v>0</v>
      </c>
      <c r="AEI191" s="24">
        <v>0</v>
      </c>
      <c r="AEJ191" s="24" t="s">
        <v>248</v>
      </c>
      <c r="AEK191" s="24">
        <v>33</v>
      </c>
      <c r="AEL191" s="27">
        <v>122.1</v>
      </c>
      <c r="AEM191" s="27">
        <v>80.400000000000006</v>
      </c>
      <c r="AEN191" s="27">
        <v>14.1</v>
      </c>
      <c r="AEO191" s="24">
        <v>91.87</v>
      </c>
      <c r="AEP191" s="24">
        <v>0</v>
      </c>
      <c r="AEQ191" s="24">
        <v>5.85</v>
      </c>
      <c r="AER191" s="24">
        <v>0</v>
      </c>
      <c r="AES191" s="24">
        <v>2.2799999999999998</v>
      </c>
      <c r="AET191" s="24">
        <v>0</v>
      </c>
      <c r="AEU191" s="24">
        <v>0</v>
      </c>
      <c r="AEV191" s="24">
        <v>0</v>
      </c>
      <c r="AEW191" s="24">
        <v>0</v>
      </c>
      <c r="AEX191" s="24">
        <v>0</v>
      </c>
      <c r="AEY191" s="24">
        <v>0</v>
      </c>
      <c r="AEZ191" s="24">
        <v>0</v>
      </c>
      <c r="AFA191" s="24">
        <v>23.39</v>
      </c>
      <c r="AFB191" s="24">
        <v>10.3</v>
      </c>
      <c r="AFC191" s="24">
        <v>49.9</v>
      </c>
      <c r="AFD191" s="24">
        <v>0</v>
      </c>
      <c r="AFE191" s="24">
        <v>0</v>
      </c>
      <c r="AFF191" s="24">
        <v>0</v>
      </c>
      <c r="AFS191" s="24">
        <v>0</v>
      </c>
      <c r="AFT191" s="24">
        <v>1</v>
      </c>
      <c r="AFU191" s="24">
        <v>34</v>
      </c>
      <c r="AFV191" s="24">
        <v>1</v>
      </c>
      <c r="AFW191" s="24">
        <v>1.1399999999999999</v>
      </c>
      <c r="AFX191" s="24">
        <v>1</v>
      </c>
      <c r="AGE191" s="28"/>
      <c r="AGW191" s="24">
        <v>0</v>
      </c>
      <c r="AIH191" s="27">
        <v>4.78</v>
      </c>
      <c r="AII191" s="27">
        <v>1</v>
      </c>
      <c r="AIJ191" s="27">
        <v>1</v>
      </c>
      <c r="AIK191" s="27"/>
      <c r="AIL191" s="27">
        <v>4.2300000000000004</v>
      </c>
      <c r="AIM191" s="27">
        <v>2</v>
      </c>
      <c r="AIN191" s="27"/>
      <c r="AIO191" s="27">
        <f>1.14+9.52+1.68</f>
        <v>12.34</v>
      </c>
      <c r="AIP191" s="27"/>
      <c r="AIQ191" s="27"/>
      <c r="AIR191" s="27"/>
      <c r="AIS191" s="27">
        <v>10.43</v>
      </c>
      <c r="AIT191" s="27">
        <v>22.43</v>
      </c>
      <c r="AIU191" s="27"/>
      <c r="AIV191" s="27"/>
      <c r="AIW191" s="27">
        <v>0</v>
      </c>
      <c r="AIX191" s="27">
        <v>0</v>
      </c>
      <c r="AIY191" s="27">
        <v>0</v>
      </c>
      <c r="AIZ191" s="24">
        <v>0</v>
      </c>
      <c r="AJA191" s="24" t="s">
        <v>249</v>
      </c>
      <c r="AJB191" s="24">
        <v>25</v>
      </c>
      <c r="AJC191" s="27">
        <v>87.3</v>
      </c>
      <c r="AJD191" s="27">
        <v>80.400000000000006</v>
      </c>
      <c r="AJE191" s="27">
        <v>8.8000000000000007</v>
      </c>
      <c r="AJF191" s="24">
        <v>100</v>
      </c>
      <c r="AJG191" s="24">
        <v>0</v>
      </c>
      <c r="AJH191" s="24">
        <v>0</v>
      </c>
      <c r="AJI191" s="24">
        <v>0</v>
      </c>
      <c r="AJJ191" s="24">
        <v>0</v>
      </c>
      <c r="AJK191" s="24">
        <v>0</v>
      </c>
      <c r="AJL191" s="24">
        <v>0</v>
      </c>
      <c r="AJM191" s="24">
        <v>0</v>
      </c>
      <c r="AJN191" s="24">
        <v>0</v>
      </c>
      <c r="AJO191" s="24">
        <v>0</v>
      </c>
      <c r="AJP191" s="24">
        <v>0</v>
      </c>
      <c r="AJQ191" s="24">
        <v>0</v>
      </c>
      <c r="AJR191" s="24">
        <v>11.94</v>
      </c>
      <c r="AJS191" s="24">
        <v>34.17</v>
      </c>
      <c r="AJT191" s="24">
        <v>24.72</v>
      </c>
      <c r="AJU191" s="24">
        <v>0</v>
      </c>
      <c r="AJV191" s="24">
        <v>6.9</v>
      </c>
      <c r="AJW191" s="24">
        <v>3</v>
      </c>
      <c r="AJX191" s="24">
        <v>50</v>
      </c>
      <c r="AJZ191" s="24">
        <v>2</v>
      </c>
      <c r="AKD191" s="24">
        <v>50</v>
      </c>
      <c r="AKF191" s="24">
        <v>2</v>
      </c>
      <c r="AKJ191" s="24">
        <v>0</v>
      </c>
      <c r="AKK191" s="24">
        <v>0</v>
      </c>
      <c r="AKV191" s="28"/>
      <c r="ALN191" s="24">
        <v>1</v>
      </c>
      <c r="ALO191" s="24">
        <v>50</v>
      </c>
      <c r="ALP191" s="24">
        <v>1</v>
      </c>
      <c r="ALQ191" s="24">
        <v>1.86</v>
      </c>
      <c r="ALR191" s="24">
        <v>3</v>
      </c>
    </row>
    <row r="192" spans="1:1024" x14ac:dyDescent="0.2">
      <c r="A192" s="22" t="s">
        <v>688</v>
      </c>
      <c r="B192" s="23">
        <v>42903</v>
      </c>
      <c r="C192" s="24">
        <v>2</v>
      </c>
      <c r="D192" s="25">
        <v>42814</v>
      </c>
      <c r="E192" s="23">
        <v>30369</v>
      </c>
      <c r="F192" s="14">
        <f t="shared" si="48"/>
        <v>34.31622176591376</v>
      </c>
      <c r="G192" s="14">
        <f t="shared" si="49"/>
        <v>0.24366872005475701</v>
      </c>
      <c r="H192" s="21" t="s">
        <v>306</v>
      </c>
      <c r="I192" s="21" t="s">
        <v>689</v>
      </c>
      <c r="J192" s="21" t="s">
        <v>181</v>
      </c>
      <c r="K192" s="21">
        <v>8</v>
      </c>
      <c r="L192" s="26">
        <v>109</v>
      </c>
      <c r="M192" s="24">
        <v>1.75</v>
      </c>
      <c r="N192" s="27">
        <f t="shared" si="50"/>
        <v>35.591836734693878</v>
      </c>
      <c r="O192" s="26">
        <v>0</v>
      </c>
      <c r="P192" s="26">
        <v>0</v>
      </c>
      <c r="Q192" s="26">
        <v>0</v>
      </c>
      <c r="R192" s="26">
        <v>0</v>
      </c>
      <c r="S192" s="26">
        <v>0</v>
      </c>
      <c r="T192" s="26">
        <v>0</v>
      </c>
      <c r="U192" s="26">
        <v>1</v>
      </c>
      <c r="V192" s="26">
        <v>6</v>
      </c>
      <c r="W192" s="26">
        <v>1</v>
      </c>
      <c r="X192" s="26">
        <v>0</v>
      </c>
      <c r="Y192" s="26">
        <v>0</v>
      </c>
      <c r="Z192" s="26">
        <v>0</v>
      </c>
      <c r="AA192" s="26">
        <v>0</v>
      </c>
      <c r="AB192" s="26">
        <v>0</v>
      </c>
      <c r="AC192" s="26">
        <v>0</v>
      </c>
      <c r="AD192" s="26">
        <v>0</v>
      </c>
      <c r="AE192" s="26">
        <v>1</v>
      </c>
      <c r="AF192" s="26">
        <v>0</v>
      </c>
      <c r="AG192" s="26">
        <v>1</v>
      </c>
      <c r="AH192" s="26">
        <v>4</v>
      </c>
      <c r="AI192" s="26">
        <v>0</v>
      </c>
      <c r="AJ192" s="26">
        <v>0</v>
      </c>
      <c r="AK192" s="26">
        <v>0</v>
      </c>
      <c r="AL192" s="26">
        <v>0</v>
      </c>
      <c r="AM192" s="26">
        <v>0</v>
      </c>
      <c r="AN192" s="26">
        <v>1</v>
      </c>
      <c r="AO192" s="26">
        <v>0</v>
      </c>
      <c r="AP192" s="26">
        <v>0</v>
      </c>
      <c r="AQ192" s="26">
        <v>0</v>
      </c>
      <c r="AR192" s="26">
        <v>0</v>
      </c>
      <c r="AS192" s="26">
        <v>1</v>
      </c>
      <c r="AT192" s="26">
        <v>1</v>
      </c>
      <c r="AU192" s="26">
        <v>0</v>
      </c>
      <c r="AV192" s="26">
        <v>0</v>
      </c>
      <c r="AW192" s="26">
        <v>0</v>
      </c>
      <c r="AX192" s="26">
        <v>0</v>
      </c>
      <c r="AY192" s="26">
        <v>0</v>
      </c>
      <c r="AZ192" s="26">
        <v>0</v>
      </c>
      <c r="BA192" s="26">
        <v>0</v>
      </c>
      <c r="BB192" s="26">
        <v>1</v>
      </c>
      <c r="BC192" s="26">
        <v>1</v>
      </c>
      <c r="BD192" s="26">
        <v>0</v>
      </c>
      <c r="BE192" s="26">
        <v>0</v>
      </c>
      <c r="BF192" s="26">
        <v>0</v>
      </c>
      <c r="BG192" s="26">
        <v>0</v>
      </c>
      <c r="BH192" s="26">
        <v>0</v>
      </c>
      <c r="BI192" s="26">
        <v>0</v>
      </c>
      <c r="BJ192" s="26">
        <v>1</v>
      </c>
      <c r="BK192" s="26">
        <v>0</v>
      </c>
      <c r="BL192" s="26">
        <v>0</v>
      </c>
      <c r="BM192" s="26">
        <v>0</v>
      </c>
      <c r="BN192" s="26">
        <v>0</v>
      </c>
      <c r="BO192" s="26">
        <v>0</v>
      </c>
      <c r="BP192" s="26">
        <v>0</v>
      </c>
      <c r="BQ192" s="26">
        <v>0</v>
      </c>
      <c r="BR192" s="26">
        <v>1</v>
      </c>
      <c r="BS192" s="26">
        <v>2</v>
      </c>
      <c r="BT192" s="26">
        <v>4</v>
      </c>
      <c r="BU192" s="26">
        <v>5</v>
      </c>
      <c r="BV192" s="26">
        <v>3</v>
      </c>
      <c r="BW192" s="26">
        <v>1</v>
      </c>
      <c r="BX192" s="26">
        <v>5</v>
      </c>
      <c r="BY192" s="26">
        <v>4</v>
      </c>
      <c r="BZ192" s="26">
        <v>5</v>
      </c>
      <c r="CA192" s="26">
        <v>4</v>
      </c>
      <c r="CB192" s="26">
        <v>4</v>
      </c>
      <c r="CC192" s="26">
        <v>4</v>
      </c>
      <c r="CD192" s="26">
        <v>4</v>
      </c>
      <c r="CE192" s="26">
        <v>5</v>
      </c>
      <c r="CF192" s="26">
        <v>4</v>
      </c>
      <c r="CG192" s="26">
        <v>5</v>
      </c>
      <c r="CH192" s="26">
        <v>5</v>
      </c>
      <c r="CI192" s="26">
        <v>5</v>
      </c>
      <c r="CJ192" s="26">
        <v>4</v>
      </c>
      <c r="CK192" s="26">
        <v>8</v>
      </c>
      <c r="CL192" s="24" t="s">
        <v>690</v>
      </c>
      <c r="CM192" s="24">
        <v>38</v>
      </c>
      <c r="CN192" s="27">
        <v>85.5</v>
      </c>
      <c r="CO192" s="27">
        <v>83.4</v>
      </c>
      <c r="CP192" s="27">
        <v>28.7</v>
      </c>
      <c r="CQ192" s="24">
        <v>61.84</v>
      </c>
      <c r="CR192" s="24">
        <v>0</v>
      </c>
      <c r="CS192" s="24">
        <v>0</v>
      </c>
      <c r="CT192" s="24">
        <v>0</v>
      </c>
      <c r="CU192" s="24">
        <v>37.42</v>
      </c>
      <c r="CV192" s="24">
        <v>0</v>
      </c>
      <c r="CW192" s="24">
        <v>0.73</v>
      </c>
      <c r="CX192" s="24">
        <v>0</v>
      </c>
      <c r="CY192" s="24">
        <v>0</v>
      </c>
      <c r="CZ192" s="24">
        <v>0.74</v>
      </c>
      <c r="DA192" s="24">
        <v>0</v>
      </c>
      <c r="DB192" s="24">
        <v>7.34</v>
      </c>
      <c r="DC192" s="24">
        <v>25.37</v>
      </c>
      <c r="DD192" s="24">
        <v>15.03</v>
      </c>
      <c r="DE192" s="24">
        <v>30.09</v>
      </c>
      <c r="DF192" s="24">
        <v>0</v>
      </c>
      <c r="DG192" s="24">
        <v>0</v>
      </c>
      <c r="DH192" s="24">
        <v>0</v>
      </c>
      <c r="DU192" s="24">
        <v>1.7</v>
      </c>
      <c r="DV192" s="24">
        <v>0</v>
      </c>
      <c r="EG192" s="28"/>
      <c r="EY192" s="24">
        <v>1</v>
      </c>
      <c r="EZ192" s="24">
        <v>50</v>
      </c>
      <c r="FA192" s="24">
        <v>4</v>
      </c>
      <c r="FB192" s="24">
        <v>0.46</v>
      </c>
      <c r="FC192" s="24">
        <v>6</v>
      </c>
      <c r="FD192" s="24">
        <v>40</v>
      </c>
      <c r="FE192" s="24">
        <v>10</v>
      </c>
      <c r="FF192" s="24">
        <f>0.17*2+0.06+0.07</f>
        <v>0.47000000000000003</v>
      </c>
      <c r="FG192" s="24">
        <v>1</v>
      </c>
      <c r="FH192" s="24">
        <v>40</v>
      </c>
      <c r="FI192" s="24">
        <v>10</v>
      </c>
      <c r="FJ192" s="24">
        <f>0.17*2+0.07*2+0.03</f>
        <v>0.51</v>
      </c>
      <c r="FK192" s="24">
        <v>6</v>
      </c>
      <c r="FL192" s="24">
        <v>60</v>
      </c>
      <c r="FM192" s="24">
        <v>6</v>
      </c>
      <c r="FN192" s="24">
        <f>4.4*2+0.39*2+0.26</f>
        <v>9.84</v>
      </c>
      <c r="FO192" s="24">
        <v>3</v>
      </c>
      <c r="GJ192" s="27">
        <v>1.55</v>
      </c>
      <c r="GK192" s="27">
        <v>1</v>
      </c>
      <c r="GL192" s="27">
        <v>1</v>
      </c>
      <c r="GM192" s="27"/>
      <c r="GN192" s="27">
        <f>1.65*2</f>
        <v>3.3</v>
      </c>
      <c r="GO192" s="27">
        <v>2</v>
      </c>
      <c r="GP192" s="27"/>
      <c r="GQ192" s="27">
        <v>0.54</v>
      </c>
      <c r="GR192" s="27"/>
      <c r="GS192" s="27"/>
      <c r="GT192" s="27"/>
      <c r="GU192" s="27">
        <v>5.74</v>
      </c>
      <c r="GV192" s="27">
        <v>3.64</v>
      </c>
      <c r="GW192" s="27"/>
      <c r="GX192" s="27"/>
      <c r="GY192" s="27">
        <v>0</v>
      </c>
      <c r="GZ192" s="27">
        <v>0</v>
      </c>
      <c r="HA192" s="27">
        <v>0</v>
      </c>
      <c r="HB192" s="24">
        <v>0</v>
      </c>
      <c r="HC192" s="24" t="s">
        <v>691</v>
      </c>
      <c r="HD192" s="24">
        <v>63.5</v>
      </c>
      <c r="HE192" s="27">
        <v>98.9</v>
      </c>
      <c r="HF192" s="27">
        <v>83.4</v>
      </c>
      <c r="HG192" s="27">
        <v>51</v>
      </c>
      <c r="HH192" s="24">
        <v>53.65</v>
      </c>
      <c r="HI192" s="24">
        <v>0</v>
      </c>
      <c r="HJ192" s="24">
        <v>11.99</v>
      </c>
      <c r="HK192" s="24">
        <v>24.1</v>
      </c>
      <c r="HL192" s="24">
        <v>10.26</v>
      </c>
      <c r="HM192" s="24">
        <v>0</v>
      </c>
      <c r="HN192" s="24">
        <v>0</v>
      </c>
      <c r="HO192" s="24">
        <v>0</v>
      </c>
      <c r="HP192" s="24">
        <v>0</v>
      </c>
      <c r="HQ192" s="24">
        <v>0</v>
      </c>
      <c r="HR192" s="24">
        <v>0</v>
      </c>
      <c r="HS192" s="24">
        <v>9.1</v>
      </c>
      <c r="HT192" s="24">
        <v>26.31</v>
      </c>
      <c r="HU192" s="24">
        <v>5.53</v>
      </c>
      <c r="HV192" s="24">
        <v>0.94</v>
      </c>
      <c r="HW192" s="24">
        <v>0</v>
      </c>
      <c r="HX192" s="24">
        <v>0</v>
      </c>
      <c r="HY192" s="24">
        <v>0</v>
      </c>
      <c r="IL192" s="24">
        <v>6.1</v>
      </c>
      <c r="IM192" s="24">
        <v>0</v>
      </c>
      <c r="IX192" s="28"/>
      <c r="JP192" s="24">
        <v>1</v>
      </c>
      <c r="JQ192" s="24">
        <v>50</v>
      </c>
      <c r="JR192" s="24">
        <v>1</v>
      </c>
      <c r="JS192" s="24">
        <v>0.39</v>
      </c>
      <c r="JT192" s="24">
        <v>3</v>
      </c>
      <c r="JU192" s="24">
        <v>50</v>
      </c>
      <c r="JV192" s="24">
        <v>2</v>
      </c>
      <c r="JW192" s="24">
        <f>0.19+0.23</f>
        <v>0.42000000000000004</v>
      </c>
      <c r="JX192" s="24">
        <v>4</v>
      </c>
      <c r="JY192" s="24">
        <v>60</v>
      </c>
      <c r="JZ192" s="24">
        <v>12</v>
      </c>
      <c r="KA192" s="24">
        <f>0.78*2</f>
        <v>1.56</v>
      </c>
      <c r="KB192" s="24">
        <v>6</v>
      </c>
      <c r="LA192" s="27">
        <v>5.39</v>
      </c>
      <c r="LB192" s="27">
        <v>1</v>
      </c>
      <c r="LC192" s="27">
        <v>1</v>
      </c>
      <c r="LD192" s="27"/>
      <c r="LE192" s="27">
        <f>2.04*3+0.36*2</f>
        <v>6.84</v>
      </c>
      <c r="LF192" s="27">
        <v>2</v>
      </c>
      <c r="LG192" s="27"/>
      <c r="LH192" s="27">
        <f>0.72*2+0.36</f>
        <v>1.7999999999999998</v>
      </c>
      <c r="LI192" s="27">
        <v>3</v>
      </c>
      <c r="LJ192" s="27"/>
      <c r="LK192" s="27">
        <v>0.5</v>
      </c>
      <c r="LL192" s="27">
        <v>0.94</v>
      </c>
      <c r="LM192" s="27">
        <v>0.94</v>
      </c>
      <c r="LN192" s="27"/>
      <c r="LO192" s="27"/>
      <c r="LP192" s="27">
        <v>0</v>
      </c>
      <c r="LQ192" s="27">
        <v>0</v>
      </c>
      <c r="LR192" s="27">
        <v>0</v>
      </c>
      <c r="LS192" s="24">
        <v>0</v>
      </c>
      <c r="LT192" s="24" t="s">
        <v>692</v>
      </c>
      <c r="LU192" s="24">
        <v>30.5</v>
      </c>
      <c r="LV192" s="27">
        <v>69.11</v>
      </c>
      <c r="LW192" s="27">
        <v>83.4</v>
      </c>
      <c r="LX192" s="27">
        <v>18.100000000000001</v>
      </c>
      <c r="LY192" s="24">
        <v>79.03</v>
      </c>
      <c r="LZ192" s="24">
        <v>0.45</v>
      </c>
      <c r="MA192" s="24">
        <v>0</v>
      </c>
      <c r="MB192" s="24">
        <v>0</v>
      </c>
      <c r="MC192" s="24">
        <v>20.52</v>
      </c>
      <c r="MD192" s="24">
        <v>0</v>
      </c>
      <c r="ME192" s="24">
        <v>0</v>
      </c>
      <c r="MF192" s="24">
        <v>0</v>
      </c>
      <c r="MG192" s="24">
        <v>0</v>
      </c>
      <c r="MH192" s="24">
        <v>0</v>
      </c>
      <c r="MI192" s="24">
        <v>0</v>
      </c>
      <c r="MJ192" s="24">
        <v>0</v>
      </c>
      <c r="MK192" s="24">
        <v>12.58</v>
      </c>
      <c r="ML192" s="24">
        <v>17.940000000000001</v>
      </c>
      <c r="MM192" s="24">
        <v>18.04</v>
      </c>
      <c r="MN192" s="24">
        <v>0</v>
      </c>
      <c r="MO192" s="24">
        <v>0</v>
      </c>
      <c r="MP192" s="24">
        <v>0</v>
      </c>
      <c r="NC192" s="24">
        <v>8.1</v>
      </c>
      <c r="ND192" s="24">
        <v>1</v>
      </c>
      <c r="NE192" s="24">
        <v>35</v>
      </c>
      <c r="NF192" s="24">
        <v>4</v>
      </c>
      <c r="NG192" s="24">
        <f>2.2+0.39</f>
        <v>2.5900000000000003</v>
      </c>
      <c r="NH192" s="24">
        <v>3</v>
      </c>
      <c r="NO192" s="28"/>
      <c r="OG192" s="24">
        <v>1</v>
      </c>
      <c r="OH192" s="24">
        <v>60</v>
      </c>
      <c r="OI192" s="24">
        <v>1</v>
      </c>
      <c r="OJ192" s="24">
        <v>0.73</v>
      </c>
      <c r="OK192" s="24">
        <v>3</v>
      </c>
      <c r="PR192" s="27">
        <v>3.89</v>
      </c>
      <c r="PS192" s="27">
        <v>1</v>
      </c>
      <c r="PT192" s="27">
        <v>1</v>
      </c>
      <c r="PU192" s="27"/>
      <c r="PV192" s="27">
        <f>0.14*2+0.21*2</f>
        <v>0.7</v>
      </c>
      <c r="PW192" s="27">
        <v>2</v>
      </c>
      <c r="PX192" s="27"/>
      <c r="PY192" s="27">
        <f>1.65*2</f>
        <v>3.3</v>
      </c>
      <c r="PZ192" s="27"/>
      <c r="QA192" s="27"/>
      <c r="QB192" s="27"/>
      <c r="QC192" s="27">
        <v>0</v>
      </c>
      <c r="QD192" s="27">
        <v>0</v>
      </c>
      <c r="QE192" s="27"/>
      <c r="QF192" s="27"/>
      <c r="QG192" s="27">
        <v>0</v>
      </c>
      <c r="QH192" s="27">
        <v>0</v>
      </c>
      <c r="QI192" s="27">
        <v>0</v>
      </c>
      <c r="QJ192" s="24">
        <v>0</v>
      </c>
      <c r="QK192" s="24" t="s">
        <v>693</v>
      </c>
      <c r="QL192" s="24">
        <v>33.5</v>
      </c>
      <c r="QM192" s="27">
        <v>92.3</v>
      </c>
      <c r="QN192" s="27">
        <v>83.4</v>
      </c>
      <c r="QO192" s="27">
        <v>19.8</v>
      </c>
      <c r="QP192" s="24">
        <v>72.02</v>
      </c>
      <c r="QQ192" s="24">
        <v>2.2000000000000002</v>
      </c>
      <c r="QR192" s="24">
        <v>7.75</v>
      </c>
      <c r="QS192" s="24">
        <v>0</v>
      </c>
      <c r="QT192" s="24">
        <v>5.49</v>
      </c>
      <c r="QU192" s="24">
        <v>0</v>
      </c>
      <c r="QV192" s="24">
        <v>6.84</v>
      </c>
      <c r="QW192" s="24">
        <v>0</v>
      </c>
      <c r="QX192" s="24">
        <v>0</v>
      </c>
      <c r="QY192" s="24">
        <v>0</v>
      </c>
      <c r="QZ192" s="24">
        <v>0</v>
      </c>
      <c r="RA192" s="24">
        <v>7.13</v>
      </c>
      <c r="RB192" s="24">
        <v>54.84</v>
      </c>
      <c r="RC192" s="24">
        <v>10.130000000000001</v>
      </c>
      <c r="RD192" s="24">
        <v>3.36</v>
      </c>
      <c r="RE192" s="24">
        <v>5.7</v>
      </c>
      <c r="RF192" s="24">
        <v>0</v>
      </c>
      <c r="RG192" s="24">
        <v>0</v>
      </c>
      <c r="RP192" s="24">
        <v>2</v>
      </c>
      <c r="RT192" s="24">
        <v>3.4</v>
      </c>
      <c r="RU192" s="24">
        <v>1</v>
      </c>
      <c r="RV192" s="24">
        <v>34</v>
      </c>
      <c r="RW192" s="24">
        <v>1</v>
      </c>
      <c r="RX192" s="24">
        <v>1.28</v>
      </c>
      <c r="RY192" s="24">
        <v>1</v>
      </c>
      <c r="RZ192" s="24">
        <v>52</v>
      </c>
      <c r="SA192" s="24">
        <v>1</v>
      </c>
      <c r="SB192" s="24">
        <v>0.73</v>
      </c>
      <c r="SC192" s="24">
        <v>2</v>
      </c>
      <c r="SD192" s="24">
        <v>30</v>
      </c>
      <c r="SE192" s="24">
        <v>1</v>
      </c>
      <c r="SF192" s="28">
        <v>0.13</v>
      </c>
      <c r="SG192" s="24">
        <v>3</v>
      </c>
      <c r="SX192" s="24">
        <v>1</v>
      </c>
      <c r="SY192" s="24">
        <v>40</v>
      </c>
      <c r="SZ192" s="24">
        <v>1</v>
      </c>
      <c r="TA192" s="24">
        <v>1.83</v>
      </c>
      <c r="TB192" s="24">
        <v>6</v>
      </c>
      <c r="TC192" s="24">
        <v>40</v>
      </c>
      <c r="TD192" s="24">
        <v>1</v>
      </c>
      <c r="TE192" s="24">
        <v>1.65</v>
      </c>
      <c r="TF192" s="24">
        <v>3</v>
      </c>
      <c r="TG192" s="24">
        <v>40</v>
      </c>
      <c r="TH192" s="24">
        <v>1</v>
      </c>
      <c r="TI192" s="24">
        <v>1.83</v>
      </c>
      <c r="TJ192" s="24">
        <v>4</v>
      </c>
      <c r="TK192" s="24">
        <v>40</v>
      </c>
      <c r="TL192" s="24">
        <v>4</v>
      </c>
      <c r="TM192" s="24">
        <v>0.26</v>
      </c>
      <c r="TN192" s="24">
        <v>1</v>
      </c>
      <c r="UI192" s="27">
        <v>3.89</v>
      </c>
      <c r="UJ192" s="27">
        <v>1</v>
      </c>
      <c r="UK192" s="27">
        <v>1</v>
      </c>
      <c r="UL192" s="27"/>
      <c r="UM192" s="27">
        <f>0.36*2</f>
        <v>0.72</v>
      </c>
      <c r="UN192" s="27">
        <v>2</v>
      </c>
      <c r="UO192" s="27"/>
      <c r="UP192" s="27">
        <f>2.04*2</f>
        <v>4.08</v>
      </c>
      <c r="UQ192" s="27"/>
      <c r="UR192" s="27"/>
      <c r="US192" s="27"/>
      <c r="UT192" s="27">
        <v>3.27</v>
      </c>
      <c r="UU192" s="27">
        <v>2.46</v>
      </c>
      <c r="UV192" s="27"/>
      <c r="UW192" s="27"/>
      <c r="UX192" s="27">
        <v>2.88</v>
      </c>
      <c r="UY192" s="27">
        <v>4.1399999999999997</v>
      </c>
      <c r="UZ192" s="27">
        <v>0</v>
      </c>
      <c r="VA192" s="24">
        <v>0</v>
      </c>
      <c r="VB192" s="24" t="s">
        <v>694</v>
      </c>
      <c r="VC192" s="24">
        <v>40</v>
      </c>
      <c r="VD192" s="27">
        <v>78.099999999999994</v>
      </c>
      <c r="VE192" s="27">
        <v>83.4</v>
      </c>
      <c r="VF192" s="27">
        <v>34.6</v>
      </c>
      <c r="VG192" s="24">
        <v>66.599999999999994</v>
      </c>
      <c r="VH192" s="24">
        <v>0</v>
      </c>
      <c r="VI192" s="24">
        <v>18.54</v>
      </c>
      <c r="VJ192" s="24">
        <v>7.52</v>
      </c>
      <c r="VK192" s="24">
        <v>0</v>
      </c>
      <c r="VL192" s="24">
        <v>0</v>
      </c>
      <c r="VM192" s="24">
        <v>0</v>
      </c>
      <c r="VN192" s="24">
        <v>0</v>
      </c>
      <c r="VO192" s="24">
        <v>0</v>
      </c>
      <c r="VP192" s="24">
        <v>0</v>
      </c>
      <c r="VQ192" s="24">
        <v>0</v>
      </c>
      <c r="VR192" s="24">
        <v>0</v>
      </c>
      <c r="VS192" s="24">
        <v>28.45</v>
      </c>
      <c r="VT192" s="24">
        <v>20.45</v>
      </c>
      <c r="VU192" s="24">
        <v>0.01</v>
      </c>
      <c r="VV192" s="24">
        <v>7.34</v>
      </c>
      <c r="VW192" s="24">
        <v>0</v>
      </c>
      <c r="VX192" s="24">
        <v>0</v>
      </c>
      <c r="WK192" s="24">
        <v>0</v>
      </c>
      <c r="WL192" s="24">
        <v>0</v>
      </c>
      <c r="WW192" s="28"/>
      <c r="XO192" s="24">
        <v>1</v>
      </c>
      <c r="XP192" s="24">
        <v>40</v>
      </c>
      <c r="XQ192" s="24">
        <v>1</v>
      </c>
      <c r="XR192" s="24">
        <v>0.73</v>
      </c>
      <c r="XS192" s="24">
        <v>3</v>
      </c>
      <c r="YZ192" s="27">
        <v>1.22</v>
      </c>
      <c r="ZA192" s="27">
        <v>1</v>
      </c>
      <c r="ZB192" s="27">
        <v>1</v>
      </c>
      <c r="ZC192" s="27"/>
      <c r="ZD192" s="27">
        <f>1.65+3.3</f>
        <v>4.9499999999999993</v>
      </c>
      <c r="ZE192" s="27"/>
      <c r="ZF192" s="27"/>
      <c r="ZG192" s="27"/>
      <c r="ZH192" s="27"/>
      <c r="ZI192" s="27"/>
      <c r="ZJ192" s="27"/>
      <c r="ZK192" s="27">
        <v>1.1000000000000001</v>
      </c>
      <c r="ZL192" s="27">
        <v>1.1000000000000001</v>
      </c>
      <c r="ZM192" s="27"/>
      <c r="ZN192" s="27"/>
      <c r="ZO192" s="27">
        <v>2.88</v>
      </c>
      <c r="ZP192" s="27">
        <v>6.79</v>
      </c>
      <c r="ZQ192" s="27">
        <v>0</v>
      </c>
      <c r="ZR192" s="24">
        <v>0</v>
      </c>
      <c r="ZS192" s="24" t="s">
        <v>695</v>
      </c>
      <c r="ZT192" s="24">
        <v>34</v>
      </c>
      <c r="ZU192" s="27">
        <v>59.4</v>
      </c>
      <c r="ZV192" s="27">
        <v>83.4</v>
      </c>
      <c r="ZW192" s="27">
        <v>9.1</v>
      </c>
      <c r="ZX192" s="24">
        <v>92.63</v>
      </c>
      <c r="ZY192" s="24">
        <v>0</v>
      </c>
      <c r="ZZ192" s="24">
        <v>0.36</v>
      </c>
      <c r="AAA192" s="24">
        <v>0</v>
      </c>
      <c r="AAB192" s="24">
        <v>7.01</v>
      </c>
      <c r="AAC192" s="24">
        <v>0</v>
      </c>
      <c r="AAD192" s="24">
        <v>0</v>
      </c>
      <c r="AAE192" s="24">
        <v>0</v>
      </c>
      <c r="AAF192" s="24">
        <v>0</v>
      </c>
      <c r="AAG192" s="24">
        <v>0</v>
      </c>
      <c r="AAH192" s="24">
        <v>0</v>
      </c>
      <c r="AAI192" s="24">
        <v>0</v>
      </c>
      <c r="AAJ192" s="24">
        <v>16.010000000000002</v>
      </c>
      <c r="AAK192" s="24">
        <v>17.149999999999999</v>
      </c>
      <c r="AAL192" s="24">
        <v>0</v>
      </c>
      <c r="AAM192" s="24">
        <v>0</v>
      </c>
      <c r="AAN192" s="24">
        <v>0</v>
      </c>
      <c r="AAO192" s="24">
        <v>0</v>
      </c>
      <c r="ABB192" s="24">
        <v>5.0999999999999996</v>
      </c>
      <c r="ABC192" s="24">
        <v>0</v>
      </c>
      <c r="ABN192" s="28"/>
      <c r="ACF192" s="24">
        <v>1</v>
      </c>
      <c r="ACG192" s="24">
        <v>80</v>
      </c>
      <c r="ACH192" s="24">
        <v>4</v>
      </c>
      <c r="ACI192" s="24">
        <f>0.95*2</f>
        <v>1.9</v>
      </c>
      <c r="ACJ192" s="24">
        <v>3</v>
      </c>
      <c r="ACK192" s="24">
        <v>100</v>
      </c>
      <c r="ACL192" s="24">
        <v>1</v>
      </c>
      <c r="ACM192" s="24">
        <v>0.36</v>
      </c>
      <c r="ACN192" s="24">
        <v>1</v>
      </c>
      <c r="ADQ192" s="27">
        <v>8.6999999999999993</v>
      </c>
      <c r="ADR192" s="27">
        <v>1</v>
      </c>
      <c r="ADS192" s="27">
        <v>2</v>
      </c>
      <c r="ADT192" s="27"/>
      <c r="ADU192" s="27">
        <f>2.04*4+1.65+0.29</f>
        <v>10.1</v>
      </c>
      <c r="ADV192" s="27"/>
      <c r="ADW192" s="27"/>
      <c r="ADX192" s="27"/>
      <c r="ADY192" s="27"/>
      <c r="ADZ192" s="27"/>
      <c r="AEA192" s="27"/>
      <c r="AEB192" s="27">
        <v>11.09</v>
      </c>
      <c r="AEC192" s="27">
        <v>17.02</v>
      </c>
      <c r="AED192" s="27"/>
      <c r="AEE192" s="27"/>
      <c r="AEF192" s="27">
        <v>0</v>
      </c>
      <c r="AEG192" s="27">
        <v>0</v>
      </c>
      <c r="AEH192" s="27">
        <v>0</v>
      </c>
      <c r="AEI192" s="24">
        <v>0</v>
      </c>
      <c r="AEJ192" s="33"/>
      <c r="AEK192" s="21"/>
      <c r="AEL192" s="21"/>
      <c r="AEN192" s="33"/>
      <c r="AEO192" s="33"/>
      <c r="AER192" s="33"/>
      <c r="AES192" s="21"/>
      <c r="AET192" s="21"/>
      <c r="AEV192" s="33"/>
      <c r="AEW192" s="33"/>
      <c r="AEZ192" s="33"/>
      <c r="AFA192" s="21"/>
      <c r="AFB192" s="21"/>
      <c r="AFD192" s="33"/>
      <c r="AFE192" s="33"/>
      <c r="AFH192" s="33"/>
      <c r="AFI192" s="21"/>
      <c r="AFJ192" s="21"/>
      <c r="AFL192" s="33"/>
      <c r="AFM192" s="33"/>
      <c r="AFP192" s="33"/>
      <c r="AFQ192" s="21"/>
      <c r="AFR192" s="21"/>
      <c r="AFT192" s="33"/>
      <c r="AFU192" s="33"/>
      <c r="AFX192" s="33"/>
      <c r="AFY192" s="21"/>
      <c r="AFZ192" s="21"/>
      <c r="AGB192" s="33"/>
      <c r="AGC192" s="33"/>
      <c r="AGF192" s="33"/>
      <c r="AGG192" s="21"/>
      <c r="AGH192" s="21"/>
      <c r="AGJ192" s="33"/>
      <c r="AGK192" s="33"/>
      <c r="AGN192" s="33"/>
      <c r="AGO192" s="21"/>
      <c r="AGP192" s="21"/>
      <c r="AGR192" s="33"/>
      <c r="AGS192" s="33"/>
      <c r="AGV192" s="33"/>
      <c r="AGW192" s="21"/>
      <c r="AGX192" s="21"/>
      <c r="AGZ192" s="33"/>
      <c r="AHA192" s="33"/>
      <c r="AHD192" s="33"/>
      <c r="AHE192" s="21"/>
      <c r="AHF192" s="21"/>
      <c r="AHH192" s="33"/>
      <c r="AHI192" s="33"/>
      <c r="AHL192" s="33"/>
      <c r="AHM192" s="21"/>
      <c r="AHN192" s="21"/>
      <c r="AHP192" s="33"/>
      <c r="AHQ192" s="33"/>
      <c r="AHT192" s="33"/>
      <c r="AHU192" s="21"/>
      <c r="AHV192" s="21"/>
      <c r="AHX192" s="33"/>
      <c r="AHY192" s="33"/>
      <c r="AIB192" s="33"/>
      <c r="AIC192" s="21"/>
      <c r="AID192" s="21"/>
      <c r="AIF192" s="33"/>
      <c r="AIG192" s="33"/>
      <c r="AIJ192" s="33"/>
      <c r="AIK192" s="21"/>
      <c r="AIL192" s="21"/>
      <c r="AIN192" s="33"/>
      <c r="AIO192" s="33"/>
      <c r="AIR192" s="33"/>
      <c r="AIS192" s="21"/>
      <c r="AIT192" s="21"/>
      <c r="AIV192" s="33"/>
      <c r="AIW192" s="33"/>
      <c r="AIZ192" s="33"/>
      <c r="AJA192" s="21"/>
      <c r="AJB192" s="21"/>
      <c r="AJD192" s="33"/>
      <c r="AJE192" s="33"/>
      <c r="AJH192" s="33"/>
      <c r="AJI192" s="21"/>
      <c r="AJJ192" s="21"/>
      <c r="AJL192" s="33"/>
      <c r="AJM192" s="33"/>
      <c r="AJP192" s="33"/>
      <c r="AJQ192" s="21"/>
      <c r="AJR192" s="21"/>
      <c r="AJT192" s="33"/>
      <c r="AJU192" s="33"/>
      <c r="AJX192" s="33"/>
      <c r="AJY192" s="21"/>
      <c r="AJZ192" s="21"/>
      <c r="AKB192" s="33"/>
      <c r="AKC192" s="33"/>
      <c r="AKF192" s="33"/>
      <c r="AKG192" s="21"/>
      <c r="AKH192" s="21"/>
      <c r="AKJ192" s="33"/>
      <c r="AKK192" s="33"/>
      <c r="AKN192" s="33"/>
      <c r="AKO192" s="21"/>
      <c r="AKP192" s="21"/>
      <c r="AKR192" s="33"/>
      <c r="AKS192" s="33"/>
      <c r="AKV192" s="33"/>
      <c r="AKW192" s="21"/>
      <c r="AKX192" s="21"/>
      <c r="AKZ192" s="33"/>
      <c r="ALA192" s="33"/>
      <c r="ALD192" s="33"/>
      <c r="ALE192" s="21"/>
      <c r="ALF192" s="21"/>
      <c r="ALH192" s="33"/>
      <c r="ALI192" s="33"/>
      <c r="ALL192" s="33"/>
      <c r="ALM192" s="21"/>
      <c r="ALN192" s="21"/>
      <c r="ALP192" s="33"/>
      <c r="ALQ192" s="33"/>
      <c r="ALT192" s="33"/>
      <c r="ALU192" s="21"/>
      <c r="ALV192" s="21"/>
      <c r="ALX192" s="33"/>
      <c r="ALY192" s="33"/>
      <c r="AMB192" s="33"/>
      <c r="AMC192" s="21"/>
      <c r="AMD192" s="21"/>
      <c r="AMF192" s="33"/>
      <c r="AMG192" s="33"/>
      <c r="AMJ192" s="33"/>
    </row>
    <row r="193" spans="1:1018" x14ac:dyDescent="0.2">
      <c r="A193" s="22" t="s">
        <v>696</v>
      </c>
      <c r="B193" s="23">
        <v>42900</v>
      </c>
      <c r="C193" s="24">
        <v>2</v>
      </c>
      <c r="D193" s="25">
        <v>42793</v>
      </c>
      <c r="E193" s="23">
        <v>35112</v>
      </c>
      <c r="F193" s="14">
        <f t="shared" si="48"/>
        <v>21.322381930184804</v>
      </c>
      <c r="G193" s="14">
        <f t="shared" si="49"/>
        <v>0.29295003422313481</v>
      </c>
      <c r="H193" s="21" t="s">
        <v>306</v>
      </c>
      <c r="I193" s="21" t="s">
        <v>689</v>
      </c>
      <c r="J193" s="21" t="s">
        <v>181</v>
      </c>
      <c r="K193" s="21">
        <v>4</v>
      </c>
      <c r="L193" s="26">
        <v>76.5</v>
      </c>
      <c r="M193" s="24">
        <v>1.83</v>
      </c>
      <c r="N193" s="27">
        <f t="shared" si="50"/>
        <v>22.843321687718351</v>
      </c>
      <c r="O193" s="26">
        <v>0</v>
      </c>
      <c r="P193" s="26">
        <v>0</v>
      </c>
      <c r="Q193" s="26">
        <v>0</v>
      </c>
      <c r="R193" s="26">
        <v>0</v>
      </c>
      <c r="S193" s="26">
        <v>0</v>
      </c>
      <c r="T193" s="26">
        <v>0</v>
      </c>
      <c r="U193" s="26">
        <v>0</v>
      </c>
      <c r="V193" s="26">
        <v>0</v>
      </c>
      <c r="W193" s="26"/>
      <c r="X193" s="26">
        <v>0</v>
      </c>
      <c r="Y193" s="26">
        <v>1</v>
      </c>
      <c r="Z193" s="26">
        <v>1</v>
      </c>
      <c r="AA193" s="26">
        <v>60</v>
      </c>
      <c r="AB193" s="26" t="s">
        <v>349</v>
      </c>
      <c r="AC193" s="26">
        <v>1</v>
      </c>
      <c r="AD193" s="26">
        <v>6</v>
      </c>
      <c r="AE193" s="26">
        <v>0</v>
      </c>
      <c r="AF193" s="26"/>
      <c r="AG193" s="26"/>
      <c r="AH193" s="26"/>
      <c r="AI193" s="26">
        <v>2</v>
      </c>
      <c r="AJ193" s="26">
        <v>0</v>
      </c>
      <c r="AK193" s="26">
        <v>0</v>
      </c>
      <c r="AL193" s="26">
        <v>0</v>
      </c>
      <c r="AM193" s="26">
        <v>0</v>
      </c>
      <c r="AN193" s="26">
        <v>0</v>
      </c>
      <c r="AO193" s="26">
        <v>0</v>
      </c>
      <c r="AP193" s="26">
        <v>0</v>
      </c>
      <c r="AQ193" s="26">
        <v>0</v>
      </c>
      <c r="AR193" s="26">
        <v>0</v>
      </c>
      <c r="AS193" s="26">
        <v>3</v>
      </c>
      <c r="AT193" s="26">
        <v>0</v>
      </c>
      <c r="AU193" s="26">
        <v>0</v>
      </c>
      <c r="AV193" s="26">
        <v>0</v>
      </c>
      <c r="AW193" s="26">
        <v>0</v>
      </c>
      <c r="AX193" s="26">
        <v>0</v>
      </c>
      <c r="AY193" s="26">
        <v>0</v>
      </c>
      <c r="AZ193" s="26">
        <v>0</v>
      </c>
      <c r="BA193" s="26">
        <v>0</v>
      </c>
      <c r="BB193" s="26">
        <v>0</v>
      </c>
      <c r="BC193" s="26">
        <v>0</v>
      </c>
      <c r="BD193" s="26">
        <v>0</v>
      </c>
      <c r="BE193" s="26">
        <v>0</v>
      </c>
      <c r="BF193" s="26">
        <v>0</v>
      </c>
      <c r="BG193" s="26">
        <v>0</v>
      </c>
      <c r="BH193" s="26">
        <v>0</v>
      </c>
      <c r="BI193" s="26">
        <v>0</v>
      </c>
      <c r="BJ193" s="26">
        <v>0</v>
      </c>
      <c r="BK193" s="26">
        <v>0</v>
      </c>
      <c r="BL193" s="26">
        <v>0</v>
      </c>
      <c r="BM193" s="26">
        <v>0</v>
      </c>
      <c r="BN193" s="26">
        <v>0</v>
      </c>
      <c r="BO193" s="26">
        <v>0</v>
      </c>
      <c r="BP193" s="26">
        <v>0</v>
      </c>
      <c r="BQ193" s="26">
        <v>0</v>
      </c>
      <c r="BR193" s="26">
        <v>2</v>
      </c>
      <c r="BS193" s="26">
        <v>2</v>
      </c>
      <c r="BT193" s="26">
        <v>3</v>
      </c>
      <c r="BU193" s="26">
        <v>5</v>
      </c>
      <c r="BV193" s="26">
        <v>3</v>
      </c>
      <c r="BW193" s="26">
        <v>3</v>
      </c>
      <c r="BX193" s="26">
        <v>3</v>
      </c>
      <c r="BY193" s="26">
        <v>5</v>
      </c>
      <c r="BZ193" s="26">
        <v>5</v>
      </c>
      <c r="CA193" s="26">
        <v>5</v>
      </c>
      <c r="CB193" s="26">
        <v>5</v>
      </c>
      <c r="CC193" s="26">
        <v>5</v>
      </c>
      <c r="CD193" s="26">
        <v>5</v>
      </c>
      <c r="CE193" s="26">
        <v>5</v>
      </c>
      <c r="CF193" s="26">
        <v>5</v>
      </c>
      <c r="CG193" s="26">
        <v>5</v>
      </c>
      <c r="CH193" s="26">
        <v>5</v>
      </c>
      <c r="CI193" s="26">
        <v>5</v>
      </c>
      <c r="CJ193" s="26">
        <v>5</v>
      </c>
      <c r="CK193" s="26">
        <v>8</v>
      </c>
      <c r="CL193" s="24" t="s">
        <v>690</v>
      </c>
      <c r="CM193" s="24">
        <v>38</v>
      </c>
      <c r="CN193" s="27">
        <v>85.5</v>
      </c>
      <c r="CO193" s="27">
        <v>83.4</v>
      </c>
      <c r="CP193" s="27">
        <v>28.7</v>
      </c>
      <c r="CQ193" s="24">
        <v>61.84</v>
      </c>
      <c r="CR193" s="24">
        <v>0</v>
      </c>
      <c r="CS193" s="24">
        <v>0</v>
      </c>
      <c r="CT193" s="24">
        <v>0</v>
      </c>
      <c r="CU193" s="24">
        <v>37.42</v>
      </c>
      <c r="CV193" s="24">
        <v>0</v>
      </c>
      <c r="CW193" s="24">
        <v>0.73</v>
      </c>
      <c r="CX193" s="24">
        <v>0</v>
      </c>
      <c r="CY193" s="24">
        <v>0</v>
      </c>
      <c r="CZ193" s="24">
        <v>0.74</v>
      </c>
      <c r="DA193" s="24">
        <v>0</v>
      </c>
      <c r="DB193" s="24">
        <v>7.34</v>
      </c>
      <c r="DC193" s="24">
        <v>25.37</v>
      </c>
      <c r="DD193" s="24">
        <v>15.03</v>
      </c>
      <c r="DE193" s="24">
        <v>30.09</v>
      </c>
      <c r="DF193" s="24">
        <v>0</v>
      </c>
      <c r="DG193" s="24">
        <v>0</v>
      </c>
      <c r="DH193" s="24">
        <v>0</v>
      </c>
      <c r="DU193" s="24">
        <v>1.7</v>
      </c>
      <c r="DV193" s="24">
        <v>0</v>
      </c>
      <c r="EG193" s="28"/>
      <c r="EY193" s="24">
        <v>1</v>
      </c>
      <c r="EZ193" s="24">
        <v>50</v>
      </c>
      <c r="FA193" s="24">
        <v>4</v>
      </c>
      <c r="FB193" s="24">
        <v>0.46</v>
      </c>
      <c r="FC193" s="24">
        <v>6</v>
      </c>
      <c r="FD193" s="24">
        <v>40</v>
      </c>
      <c r="FE193" s="24">
        <v>10</v>
      </c>
      <c r="FF193" s="24">
        <f>0.17*2+0.06+0.07</f>
        <v>0.47000000000000003</v>
      </c>
      <c r="FG193" s="24">
        <v>1</v>
      </c>
      <c r="FH193" s="24">
        <v>40</v>
      </c>
      <c r="FI193" s="24">
        <v>10</v>
      </c>
      <c r="FJ193" s="24">
        <f>0.17*2+0.07*2+0.03</f>
        <v>0.51</v>
      </c>
      <c r="FK193" s="24">
        <v>6</v>
      </c>
      <c r="FL193" s="24">
        <v>60</v>
      </c>
      <c r="FM193" s="24">
        <v>6</v>
      </c>
      <c r="FN193" s="24">
        <f>4.4*2+0.39*2+0.26</f>
        <v>9.84</v>
      </c>
      <c r="FO193" s="24">
        <v>3</v>
      </c>
      <c r="GJ193" s="27">
        <v>1.55</v>
      </c>
      <c r="GK193" s="27">
        <v>1</v>
      </c>
      <c r="GL193" s="27">
        <v>1</v>
      </c>
      <c r="GM193" s="27"/>
      <c r="GN193" s="27">
        <f>1.65*2</f>
        <v>3.3</v>
      </c>
      <c r="GO193" s="27">
        <v>2</v>
      </c>
      <c r="GP193" s="27"/>
      <c r="GQ193" s="27">
        <v>0.54</v>
      </c>
      <c r="GR193" s="27"/>
      <c r="GS193" s="27"/>
      <c r="GT193" s="27"/>
      <c r="GU193" s="27">
        <v>5.74</v>
      </c>
      <c r="GV193" s="27">
        <v>3.64</v>
      </c>
      <c r="GW193" s="27"/>
      <c r="GX193" s="27"/>
      <c r="GY193" s="27">
        <v>0</v>
      </c>
      <c r="GZ193" s="27">
        <v>0</v>
      </c>
      <c r="HA193" s="27">
        <v>0</v>
      </c>
      <c r="HB193" s="24">
        <v>0</v>
      </c>
      <c r="HC193" s="24" t="s">
        <v>691</v>
      </c>
      <c r="HD193" s="24">
        <v>63.5</v>
      </c>
      <c r="HE193" s="27">
        <v>98.9</v>
      </c>
      <c r="HF193" s="27">
        <v>83.4</v>
      </c>
      <c r="HG193" s="27">
        <v>51</v>
      </c>
      <c r="HH193" s="24">
        <v>53.65</v>
      </c>
      <c r="HI193" s="24">
        <v>0</v>
      </c>
      <c r="HJ193" s="24">
        <v>11.99</v>
      </c>
      <c r="HK193" s="24">
        <v>24.1</v>
      </c>
      <c r="HL193" s="24">
        <v>10.26</v>
      </c>
      <c r="HM193" s="24">
        <v>0</v>
      </c>
      <c r="HN193" s="24">
        <v>0</v>
      </c>
      <c r="HO193" s="24">
        <v>0</v>
      </c>
      <c r="HP193" s="24">
        <v>0</v>
      </c>
      <c r="HQ193" s="24">
        <v>0</v>
      </c>
      <c r="HR193" s="24">
        <v>0</v>
      </c>
      <c r="HS193" s="24">
        <v>9.1</v>
      </c>
      <c r="HT193" s="24">
        <v>26.31</v>
      </c>
      <c r="HU193" s="24">
        <v>5.53</v>
      </c>
      <c r="HV193" s="24">
        <v>0.94</v>
      </c>
      <c r="HW193" s="24">
        <v>0</v>
      </c>
      <c r="HX193" s="24">
        <v>0</v>
      </c>
      <c r="HY193" s="24">
        <v>0</v>
      </c>
      <c r="IL193" s="24">
        <v>6.1</v>
      </c>
      <c r="IM193" s="24">
        <v>0</v>
      </c>
      <c r="IX193" s="28"/>
      <c r="JP193" s="24">
        <v>1</v>
      </c>
      <c r="JQ193" s="24">
        <v>50</v>
      </c>
      <c r="JR193" s="24">
        <v>1</v>
      </c>
      <c r="JS193" s="24">
        <v>0.39</v>
      </c>
      <c r="JT193" s="24">
        <v>3</v>
      </c>
      <c r="JU193" s="24">
        <v>50</v>
      </c>
      <c r="JV193" s="24">
        <v>2</v>
      </c>
      <c r="JW193" s="24">
        <f>0.19+0.23</f>
        <v>0.42000000000000004</v>
      </c>
      <c r="JX193" s="24">
        <v>4</v>
      </c>
      <c r="JY193" s="24">
        <v>60</v>
      </c>
      <c r="JZ193" s="24">
        <v>12</v>
      </c>
      <c r="KA193" s="24">
        <f>0.78*2</f>
        <v>1.56</v>
      </c>
      <c r="KB193" s="24">
        <v>6</v>
      </c>
      <c r="LA193" s="27">
        <v>5.39</v>
      </c>
      <c r="LB193" s="27">
        <v>1</v>
      </c>
      <c r="LC193" s="27">
        <v>1</v>
      </c>
      <c r="LD193" s="27"/>
      <c r="LE193" s="27">
        <f>2.04*3+0.36*2</f>
        <v>6.84</v>
      </c>
      <c r="LF193" s="27">
        <v>2</v>
      </c>
      <c r="LG193" s="27"/>
      <c r="LH193" s="27">
        <f>0.72*2+0.36</f>
        <v>1.7999999999999998</v>
      </c>
      <c r="LI193" s="27">
        <v>3</v>
      </c>
      <c r="LJ193" s="27"/>
      <c r="LK193" s="27">
        <v>0.5</v>
      </c>
      <c r="LL193" s="27">
        <v>0.94</v>
      </c>
      <c r="LM193" s="27">
        <v>0.94</v>
      </c>
      <c r="LN193" s="27"/>
      <c r="LO193" s="27"/>
      <c r="LP193" s="27">
        <v>0</v>
      </c>
      <c r="LQ193" s="27">
        <v>0</v>
      </c>
      <c r="LR193" s="27">
        <v>0</v>
      </c>
      <c r="LS193" s="24">
        <v>0</v>
      </c>
      <c r="LT193" s="24" t="s">
        <v>692</v>
      </c>
      <c r="LU193" s="24">
        <v>30.5</v>
      </c>
      <c r="LV193" s="27">
        <v>69.11</v>
      </c>
      <c r="LW193" s="27">
        <v>83.4</v>
      </c>
      <c r="LX193" s="27">
        <v>18.100000000000001</v>
      </c>
      <c r="LY193" s="24">
        <v>79.03</v>
      </c>
      <c r="LZ193" s="24">
        <v>0.45</v>
      </c>
      <c r="MA193" s="24">
        <v>0</v>
      </c>
      <c r="MB193" s="24">
        <v>0</v>
      </c>
      <c r="MC193" s="24">
        <v>20.52</v>
      </c>
      <c r="MD193" s="24">
        <v>0</v>
      </c>
      <c r="ME193" s="24">
        <v>0</v>
      </c>
      <c r="MF193" s="24">
        <v>0</v>
      </c>
      <c r="MG193" s="24">
        <v>0</v>
      </c>
      <c r="MH193" s="24">
        <v>0</v>
      </c>
      <c r="MI193" s="24">
        <v>0</v>
      </c>
      <c r="MJ193" s="24">
        <v>0</v>
      </c>
      <c r="MK193" s="24">
        <v>12.58</v>
      </c>
      <c r="ML193" s="24">
        <v>17.940000000000001</v>
      </c>
      <c r="MM193" s="24">
        <v>18.04</v>
      </c>
      <c r="MN193" s="24">
        <v>0</v>
      </c>
      <c r="MO193" s="24">
        <v>0</v>
      </c>
      <c r="MP193" s="24">
        <v>0</v>
      </c>
      <c r="NC193" s="24">
        <v>8.1</v>
      </c>
      <c r="ND193" s="24">
        <v>1</v>
      </c>
      <c r="NE193" s="24">
        <v>35</v>
      </c>
      <c r="NF193" s="24">
        <v>4</v>
      </c>
      <c r="NG193" s="24">
        <f>2.2+0.39</f>
        <v>2.5900000000000003</v>
      </c>
      <c r="NH193" s="24">
        <v>3</v>
      </c>
      <c r="NO193" s="28"/>
      <c r="OG193" s="24">
        <v>1</v>
      </c>
      <c r="OH193" s="24">
        <v>60</v>
      </c>
      <c r="OI193" s="24">
        <v>1</v>
      </c>
      <c r="OJ193" s="24">
        <v>0.73</v>
      </c>
      <c r="OK193" s="24">
        <v>3</v>
      </c>
      <c r="PR193" s="27">
        <v>3.89</v>
      </c>
      <c r="PS193" s="27">
        <v>1</v>
      </c>
      <c r="PT193" s="27">
        <v>1</v>
      </c>
      <c r="PU193" s="27"/>
      <c r="PV193" s="27">
        <f>0.14*2+0.21*2</f>
        <v>0.7</v>
      </c>
      <c r="PW193" s="27">
        <v>2</v>
      </c>
      <c r="PX193" s="27"/>
      <c r="PY193" s="27">
        <f>1.65*2</f>
        <v>3.3</v>
      </c>
      <c r="PZ193" s="27"/>
      <c r="QA193" s="27"/>
      <c r="QB193" s="27"/>
      <c r="QC193" s="27">
        <v>0</v>
      </c>
      <c r="QD193" s="27">
        <v>0</v>
      </c>
      <c r="QE193" s="27"/>
      <c r="QF193" s="27"/>
      <c r="QG193" s="27">
        <v>0</v>
      </c>
      <c r="QH193" s="27">
        <v>0</v>
      </c>
      <c r="QI193" s="27">
        <v>0</v>
      </c>
      <c r="QJ193" s="24">
        <v>0</v>
      </c>
      <c r="QK193" s="24" t="s">
        <v>697</v>
      </c>
      <c r="QL193" s="24">
        <v>42.5</v>
      </c>
      <c r="QM193" s="27">
        <v>92.2</v>
      </c>
      <c r="QN193" s="27">
        <v>83.4</v>
      </c>
      <c r="QO193" s="27">
        <v>33.5</v>
      </c>
      <c r="QP193" s="24">
        <v>25.89</v>
      </c>
      <c r="QQ193" s="24">
        <v>0</v>
      </c>
      <c r="QR193" s="24">
        <v>0</v>
      </c>
      <c r="QS193" s="24">
        <v>0</v>
      </c>
      <c r="QT193" s="24">
        <v>0</v>
      </c>
      <c r="QU193" s="24">
        <v>0</v>
      </c>
      <c r="QV193" s="24">
        <v>74.11</v>
      </c>
      <c r="QW193" s="24">
        <v>25.43</v>
      </c>
      <c r="QX193" s="24">
        <v>9.7200000000000006</v>
      </c>
      <c r="QY193" s="24">
        <v>2.94</v>
      </c>
      <c r="QZ193" s="24">
        <v>0</v>
      </c>
      <c r="RA193" s="24">
        <v>11.38</v>
      </c>
      <c r="RB193" s="24">
        <v>16.89</v>
      </c>
      <c r="RC193" s="24">
        <v>27.26</v>
      </c>
      <c r="RD193" s="24">
        <v>0</v>
      </c>
      <c r="RE193" s="24">
        <v>0</v>
      </c>
      <c r="RF193" s="24">
        <v>0</v>
      </c>
      <c r="RG193" s="24">
        <v>0</v>
      </c>
      <c r="RT193" s="24">
        <v>3.6</v>
      </c>
      <c r="RU193" s="24">
        <v>1</v>
      </c>
      <c r="RV193" s="24">
        <v>35</v>
      </c>
      <c r="RW193" s="24">
        <v>6</v>
      </c>
      <c r="RX193" s="24">
        <f>0.13*4</f>
        <v>0.52</v>
      </c>
      <c r="RY193" s="24">
        <v>3</v>
      </c>
      <c r="RZ193" s="24">
        <v>25</v>
      </c>
      <c r="SA193" s="24">
        <v>2</v>
      </c>
      <c r="SB193" s="24">
        <f>0.13*2</f>
        <v>0.26</v>
      </c>
      <c r="SC193" s="24">
        <v>4</v>
      </c>
      <c r="SF193" s="28"/>
      <c r="SX193" s="24">
        <v>0</v>
      </c>
      <c r="UI193" s="27">
        <v>3.01</v>
      </c>
      <c r="UJ193" s="27">
        <v>1</v>
      </c>
      <c r="UK193" s="27">
        <v>1</v>
      </c>
      <c r="UL193" s="27"/>
      <c r="UM193" s="27">
        <f>1.65*5+0.13*2+0.36+0.18</f>
        <v>9.0499999999999989</v>
      </c>
      <c r="UN193" s="27"/>
      <c r="UO193" s="27"/>
      <c r="UP193" s="27"/>
      <c r="UQ193" s="27"/>
      <c r="UR193" s="27"/>
      <c r="US193" s="27"/>
      <c r="UT193" s="27">
        <v>2.16</v>
      </c>
      <c r="UU193" s="27">
        <v>0.52</v>
      </c>
      <c r="UV193" s="27"/>
      <c r="UW193" s="27"/>
      <c r="UX193" s="27">
        <v>0</v>
      </c>
      <c r="UY193" s="27">
        <v>0</v>
      </c>
      <c r="UZ193" s="27">
        <v>0</v>
      </c>
      <c r="VA193" s="24">
        <v>0</v>
      </c>
      <c r="VB193" s="24" t="s">
        <v>698</v>
      </c>
      <c r="VC193" s="24">
        <v>37</v>
      </c>
      <c r="VD193" s="27">
        <v>86.3</v>
      </c>
      <c r="VE193" s="27">
        <v>83.4</v>
      </c>
      <c r="VF193" s="27">
        <v>31.3</v>
      </c>
      <c r="VG193" s="24">
        <v>24.09</v>
      </c>
      <c r="VH193" s="24">
        <v>0</v>
      </c>
      <c r="VI193" s="24">
        <v>0</v>
      </c>
      <c r="VJ193" s="24">
        <v>0</v>
      </c>
      <c r="VK193" s="24">
        <v>0</v>
      </c>
      <c r="VL193" s="24">
        <v>0</v>
      </c>
      <c r="VM193" s="24">
        <v>75.91</v>
      </c>
      <c r="VN193" s="24">
        <v>21.83</v>
      </c>
      <c r="VO193" s="24">
        <v>8.6300000000000008</v>
      </c>
      <c r="VP193" s="24">
        <v>2.94</v>
      </c>
      <c r="VQ193" s="24">
        <v>0</v>
      </c>
      <c r="VR193" s="24">
        <v>13.66</v>
      </c>
      <c r="VS193" s="24">
        <v>10.54</v>
      </c>
      <c r="VT193" s="24">
        <v>28.39</v>
      </c>
      <c r="VU193" s="24">
        <v>0</v>
      </c>
      <c r="VV193" s="24">
        <v>0</v>
      </c>
      <c r="VW193" s="24">
        <v>0</v>
      </c>
      <c r="VX193" s="24">
        <v>0</v>
      </c>
      <c r="WK193" s="24">
        <v>2.7</v>
      </c>
      <c r="WL193" s="24">
        <v>1</v>
      </c>
      <c r="WM193" s="24">
        <v>52</v>
      </c>
      <c r="WN193" s="24">
        <v>1</v>
      </c>
      <c r="WO193" s="24">
        <v>0.39</v>
      </c>
      <c r="WP193" s="24">
        <v>2</v>
      </c>
      <c r="WQ193" s="24">
        <v>35</v>
      </c>
      <c r="WR193" s="24">
        <v>4</v>
      </c>
      <c r="WS193" s="24">
        <v>0.26</v>
      </c>
      <c r="WT193" s="24">
        <v>3</v>
      </c>
      <c r="WW193" s="28"/>
      <c r="XO193" s="24">
        <v>0</v>
      </c>
      <c r="YZ193" s="27">
        <v>2.83</v>
      </c>
      <c r="ZA193" s="27">
        <v>1</v>
      </c>
      <c r="ZB193" s="27">
        <v>1</v>
      </c>
      <c r="ZC193" s="27"/>
      <c r="ZD193" s="27">
        <f>1.65*5</f>
        <v>8.25</v>
      </c>
      <c r="ZE193" s="27"/>
      <c r="ZF193" s="27"/>
      <c r="ZG193" s="27"/>
      <c r="ZH193" s="27"/>
      <c r="ZI193" s="27"/>
      <c r="ZJ193" s="27"/>
      <c r="ZK193" s="27">
        <v>0</v>
      </c>
      <c r="ZL193" s="27">
        <v>0</v>
      </c>
      <c r="ZM193" s="27"/>
      <c r="ZN193" s="27"/>
      <c r="ZO193" s="27">
        <v>0</v>
      </c>
      <c r="ZP193" s="27">
        <v>0</v>
      </c>
      <c r="ZQ193" s="27">
        <v>0</v>
      </c>
      <c r="ZR193" s="24">
        <v>0</v>
      </c>
      <c r="ZS193" s="24" t="s">
        <v>693</v>
      </c>
      <c r="ZT193" s="24">
        <v>33.5</v>
      </c>
      <c r="ZU193" s="27">
        <v>92.3</v>
      </c>
      <c r="ZV193" s="27">
        <v>83.4</v>
      </c>
      <c r="ZW193" s="27">
        <v>19.8</v>
      </c>
      <c r="ZX193" s="24">
        <v>72.02</v>
      </c>
      <c r="ZY193" s="24">
        <v>2.2000000000000002</v>
      </c>
      <c r="ZZ193" s="24">
        <v>7.75</v>
      </c>
      <c r="AAA193" s="24">
        <v>0</v>
      </c>
      <c r="AAB193" s="24">
        <v>5.49</v>
      </c>
      <c r="AAC193" s="24">
        <v>0</v>
      </c>
      <c r="AAD193" s="24">
        <v>6.84</v>
      </c>
      <c r="AAE193" s="24">
        <v>0</v>
      </c>
      <c r="AAF193" s="24">
        <v>0</v>
      </c>
      <c r="AAG193" s="24">
        <v>0</v>
      </c>
      <c r="AAH193" s="24">
        <v>0</v>
      </c>
      <c r="AAI193" s="24">
        <v>7.13</v>
      </c>
      <c r="AAJ193" s="24">
        <v>54.84</v>
      </c>
      <c r="AAK193" s="24">
        <v>10.130000000000001</v>
      </c>
      <c r="AAL193" s="24">
        <v>3.36</v>
      </c>
      <c r="AAM193" s="24">
        <v>5.7</v>
      </c>
      <c r="AAN193" s="24">
        <v>0</v>
      </c>
      <c r="AAO193" s="24">
        <v>0</v>
      </c>
      <c r="AAX193" s="24">
        <v>2</v>
      </c>
      <c r="ABB193" s="24">
        <v>3.4</v>
      </c>
      <c r="ABC193" s="24">
        <v>1</v>
      </c>
      <c r="ABD193" s="24">
        <v>34</v>
      </c>
      <c r="ABE193" s="24">
        <v>1</v>
      </c>
      <c r="ABF193" s="24">
        <v>1.28</v>
      </c>
      <c r="ABG193" s="24">
        <v>1</v>
      </c>
      <c r="ABH193" s="24">
        <v>52</v>
      </c>
      <c r="ABI193" s="24">
        <v>1</v>
      </c>
      <c r="ABJ193" s="24">
        <v>0.73</v>
      </c>
      <c r="ABK193" s="24">
        <v>2</v>
      </c>
      <c r="ABL193" s="24">
        <v>30</v>
      </c>
      <c r="ABM193" s="24">
        <v>1</v>
      </c>
      <c r="ABN193" s="28">
        <v>0.13</v>
      </c>
      <c r="ABO193" s="24">
        <v>3</v>
      </c>
      <c r="ACF193" s="24">
        <v>1</v>
      </c>
      <c r="ACG193" s="24">
        <v>40</v>
      </c>
      <c r="ACH193" s="24">
        <v>1</v>
      </c>
      <c r="ACI193" s="24">
        <v>1.83</v>
      </c>
      <c r="ACJ193" s="24">
        <v>6</v>
      </c>
      <c r="ACK193" s="24">
        <v>40</v>
      </c>
      <c r="ACL193" s="24">
        <v>1</v>
      </c>
      <c r="ACM193" s="24">
        <v>1.65</v>
      </c>
      <c r="ACN193" s="24">
        <v>3</v>
      </c>
      <c r="ACO193" s="24">
        <v>40</v>
      </c>
      <c r="ACP193" s="24">
        <v>1</v>
      </c>
      <c r="ACQ193" s="24">
        <v>1.83</v>
      </c>
      <c r="ACR193" s="24">
        <v>4</v>
      </c>
      <c r="ACS193" s="24">
        <v>40</v>
      </c>
      <c r="ACT193" s="24">
        <v>4</v>
      </c>
      <c r="ACU193" s="24">
        <v>0.26</v>
      </c>
      <c r="ACV193" s="24">
        <v>1</v>
      </c>
      <c r="ADQ193" s="27">
        <v>3.89</v>
      </c>
      <c r="ADR193" s="27">
        <v>1</v>
      </c>
      <c r="ADS193" s="27">
        <v>1</v>
      </c>
      <c r="ADT193" s="27"/>
      <c r="ADU193" s="27">
        <f>0.36*2</f>
        <v>0.72</v>
      </c>
      <c r="ADV193" s="27">
        <v>2</v>
      </c>
      <c r="ADW193" s="27"/>
      <c r="ADX193" s="27">
        <f>2.04*2</f>
        <v>4.08</v>
      </c>
      <c r="ADY193" s="27"/>
      <c r="ADZ193" s="27"/>
      <c r="AEA193" s="27"/>
      <c r="AEB193" s="27">
        <v>3.27</v>
      </c>
      <c r="AEC193" s="27">
        <v>2.46</v>
      </c>
      <c r="AED193" s="27"/>
      <c r="AEE193" s="27"/>
      <c r="AEF193" s="27">
        <v>2.88</v>
      </c>
      <c r="AEG193" s="27">
        <v>4.1399999999999997</v>
      </c>
      <c r="AEH193" s="27">
        <v>0</v>
      </c>
      <c r="AEI193" s="24">
        <v>0</v>
      </c>
      <c r="AEJ193" s="24" t="s">
        <v>699</v>
      </c>
      <c r="AEK193" s="24">
        <v>44.5</v>
      </c>
      <c r="AEL193" s="27">
        <v>101.7</v>
      </c>
      <c r="AEM193" s="27">
        <v>83.4</v>
      </c>
      <c r="AEN193" s="27">
        <v>22.5</v>
      </c>
      <c r="AEO193" s="24">
        <v>75.78</v>
      </c>
      <c r="AEP193" s="24">
        <v>0</v>
      </c>
      <c r="AEQ193" s="24">
        <v>2.04</v>
      </c>
      <c r="AER193" s="24">
        <v>0</v>
      </c>
      <c r="AES193" s="24">
        <v>8.57</v>
      </c>
      <c r="AET193" s="24">
        <v>0</v>
      </c>
      <c r="AEU193" s="24">
        <v>2.21</v>
      </c>
      <c r="AEV193" s="24">
        <v>0</v>
      </c>
      <c r="AEW193" s="24">
        <v>1.1000000000000001</v>
      </c>
      <c r="AEX193" s="24">
        <v>0</v>
      </c>
      <c r="AEY193" s="24">
        <v>0</v>
      </c>
      <c r="AEZ193" s="24">
        <v>1.61</v>
      </c>
      <c r="AFA193" s="24">
        <v>54.76</v>
      </c>
      <c r="AFB193" s="24">
        <v>16</v>
      </c>
      <c r="AFC193" s="24">
        <v>6.05</v>
      </c>
      <c r="AFD193" s="24">
        <v>10.83</v>
      </c>
      <c r="AFE193" s="24">
        <v>10.1</v>
      </c>
      <c r="AFF193" s="24">
        <v>1</v>
      </c>
      <c r="AFG193" s="24">
        <v>2</v>
      </c>
      <c r="AFI193" s="24">
        <v>3</v>
      </c>
      <c r="AFJ193" s="24">
        <v>5</v>
      </c>
      <c r="AFL193" s="24">
        <v>1</v>
      </c>
      <c r="AFM193" s="24">
        <v>3</v>
      </c>
      <c r="AFO193" s="24">
        <v>1</v>
      </c>
      <c r="AFS193" s="24">
        <v>3</v>
      </c>
      <c r="AFT193" s="24">
        <v>1</v>
      </c>
      <c r="AFU193" s="24">
        <v>52</v>
      </c>
      <c r="AFV193" s="24">
        <v>1</v>
      </c>
      <c r="AFW193" s="24">
        <v>0.73</v>
      </c>
      <c r="AFX193" s="24">
        <v>2</v>
      </c>
      <c r="AFY193" s="24">
        <v>34</v>
      </c>
      <c r="AFZ193" s="24">
        <v>1</v>
      </c>
      <c r="AGA193" s="24">
        <v>1.28</v>
      </c>
      <c r="AGB193" s="24">
        <v>1</v>
      </c>
      <c r="AGE193" s="28"/>
      <c r="AGW193" s="24">
        <v>1</v>
      </c>
      <c r="AGX193" s="24">
        <v>40</v>
      </c>
      <c r="AGY193" s="24">
        <v>1</v>
      </c>
      <c r="AGZ193" s="24">
        <v>1.83</v>
      </c>
      <c r="AHA193" s="24">
        <v>6</v>
      </c>
      <c r="AHB193" s="24">
        <v>40</v>
      </c>
      <c r="AHC193" s="24">
        <v>1</v>
      </c>
      <c r="AHD193" s="24">
        <v>1.65</v>
      </c>
      <c r="AHE193" s="24">
        <v>3</v>
      </c>
      <c r="AHF193" s="24">
        <v>40</v>
      </c>
      <c r="AHG193" s="24">
        <v>3</v>
      </c>
      <c r="AHH193" s="24">
        <f>0.26+1.83</f>
        <v>2.09</v>
      </c>
      <c r="AHI193" s="24">
        <v>4</v>
      </c>
      <c r="AIH193" s="27">
        <v>3.87</v>
      </c>
      <c r="AII193" s="27">
        <v>1</v>
      </c>
      <c r="AIJ193" s="27">
        <v>1</v>
      </c>
      <c r="AIK193" s="27"/>
      <c r="AIL193" s="27">
        <f>0.46*2+0.08</f>
        <v>1</v>
      </c>
      <c r="AIM193" s="27">
        <v>2</v>
      </c>
      <c r="AIN193" s="27"/>
      <c r="AIO193" s="27">
        <f>4.08</f>
        <v>4.08</v>
      </c>
      <c r="AIP193" s="27"/>
      <c r="AIQ193" s="27"/>
      <c r="AIR193" s="27"/>
      <c r="AIS193" s="27">
        <v>2.2000000000000002</v>
      </c>
      <c r="AIT193" s="27">
        <v>2.2000000000000002</v>
      </c>
      <c r="AIU193" s="27"/>
      <c r="AIV193" s="27"/>
      <c r="AIW193" s="27">
        <v>2.88</v>
      </c>
      <c r="AIX193" s="27">
        <v>3.04</v>
      </c>
      <c r="AIY193" s="27">
        <v>0</v>
      </c>
      <c r="AIZ193" s="24">
        <v>0</v>
      </c>
      <c r="AJA193" s="24" t="s">
        <v>694</v>
      </c>
      <c r="AJB193" s="24">
        <v>40</v>
      </c>
      <c r="AJC193" s="27">
        <v>78.099999999999994</v>
      </c>
      <c r="AJD193" s="27">
        <v>83.4</v>
      </c>
      <c r="AJE193" s="27">
        <v>34.6</v>
      </c>
      <c r="AJF193" s="24">
        <v>66.599999999999994</v>
      </c>
      <c r="AJG193" s="24">
        <v>0</v>
      </c>
      <c r="AJH193" s="24">
        <v>18.54</v>
      </c>
      <c r="AJI193" s="24">
        <v>7.52</v>
      </c>
      <c r="AJJ193" s="24">
        <v>0</v>
      </c>
      <c r="AJK193" s="24">
        <v>0</v>
      </c>
      <c r="AJL193" s="24">
        <v>0</v>
      </c>
      <c r="AJM193" s="24">
        <v>0</v>
      </c>
      <c r="AJN193" s="24">
        <v>0</v>
      </c>
      <c r="AJO193" s="24">
        <v>0</v>
      </c>
      <c r="AJP193" s="24">
        <v>0</v>
      </c>
      <c r="AJQ193" s="24">
        <v>0</v>
      </c>
      <c r="AJR193" s="24">
        <v>28.45</v>
      </c>
      <c r="AJS193" s="24">
        <v>20.45</v>
      </c>
      <c r="AJT193" s="24">
        <v>0.01</v>
      </c>
      <c r="AJU193" s="24">
        <v>7.34</v>
      </c>
      <c r="AJV193" s="24">
        <v>0</v>
      </c>
      <c r="AJW193" s="24">
        <v>0</v>
      </c>
      <c r="AKJ193" s="24">
        <v>0</v>
      </c>
      <c r="AKK193" s="24">
        <v>0</v>
      </c>
      <c r="AKV193" s="28"/>
      <c r="ALN193" s="24">
        <v>1</v>
      </c>
      <c r="ALO193" s="24">
        <v>40</v>
      </c>
      <c r="ALP193" s="24">
        <v>1</v>
      </c>
      <c r="ALQ193" s="24">
        <v>0.73</v>
      </c>
      <c r="ALR193" s="24">
        <v>3</v>
      </c>
    </row>
    <row r="194" spans="1:1018" x14ac:dyDescent="0.2">
      <c r="A194" s="1" t="s">
        <v>700</v>
      </c>
      <c r="B194" s="12">
        <v>42900</v>
      </c>
      <c r="C194">
        <v>1</v>
      </c>
      <c r="D194" s="13">
        <v>40817</v>
      </c>
      <c r="E194" s="12">
        <v>26542</v>
      </c>
      <c r="F194" s="14">
        <f t="shared" ref="F194:F257" si="62">(B194-E194)/365.25</f>
        <v>44.785763175906915</v>
      </c>
      <c r="G194" s="14">
        <f t="shared" ref="G194:G257" si="63">(B194-D194)/365.25</f>
        <v>5.7029431895961666</v>
      </c>
      <c r="H194" s="15" t="s">
        <v>641</v>
      </c>
      <c r="I194" s="15" t="s">
        <v>650</v>
      </c>
      <c r="J194" s="15" t="s">
        <v>183</v>
      </c>
      <c r="K194" s="21">
        <v>8</v>
      </c>
      <c r="L194" s="19">
        <v>65</v>
      </c>
      <c r="M194">
        <v>1.62</v>
      </c>
      <c r="N194" s="16">
        <f t="shared" ref="N194:N257" si="64">L194/(M194*M194)</f>
        <v>24.767565919829291</v>
      </c>
      <c r="O194" s="19">
        <v>0</v>
      </c>
      <c r="P194" s="19">
        <v>0</v>
      </c>
      <c r="Q194" s="19">
        <v>0</v>
      </c>
      <c r="R194" s="26">
        <v>0</v>
      </c>
      <c r="S194" s="26">
        <v>0</v>
      </c>
      <c r="T194" s="26">
        <v>0</v>
      </c>
      <c r="U194" s="26">
        <v>0</v>
      </c>
      <c r="V194" s="26">
        <v>0</v>
      </c>
      <c r="W194" s="19">
        <v>0</v>
      </c>
      <c r="X194" s="19">
        <v>0</v>
      </c>
      <c r="Y194" s="19">
        <v>1</v>
      </c>
      <c r="Z194" s="19">
        <v>1</v>
      </c>
      <c r="AA194" s="19">
        <v>30</v>
      </c>
      <c r="AB194" s="19" t="s">
        <v>578</v>
      </c>
      <c r="AC194" s="19">
        <v>0</v>
      </c>
      <c r="AD194" s="19">
        <v>0</v>
      </c>
      <c r="AE194" s="19">
        <v>1</v>
      </c>
      <c r="AF194" s="19">
        <v>1</v>
      </c>
      <c r="AG194" s="19">
        <v>0</v>
      </c>
      <c r="AH194" s="19">
        <v>0</v>
      </c>
      <c r="AI194" s="19">
        <v>3</v>
      </c>
      <c r="AJ194" s="19">
        <v>0</v>
      </c>
      <c r="AK194" s="19">
        <v>0</v>
      </c>
      <c r="AL194" s="19">
        <v>0</v>
      </c>
      <c r="AM194" s="19">
        <v>0</v>
      </c>
      <c r="AN194" s="19">
        <v>0</v>
      </c>
      <c r="AO194" s="19">
        <v>0</v>
      </c>
      <c r="AP194" s="19">
        <v>0</v>
      </c>
      <c r="AQ194" s="19">
        <v>0</v>
      </c>
      <c r="AR194" s="19">
        <v>0</v>
      </c>
      <c r="AS194" s="19">
        <v>3</v>
      </c>
      <c r="AT194" s="19">
        <v>3</v>
      </c>
      <c r="AU194" s="19">
        <v>3</v>
      </c>
      <c r="AV194" s="19">
        <v>5</v>
      </c>
      <c r="AW194" s="19">
        <v>5</v>
      </c>
      <c r="AX194" s="19">
        <v>0</v>
      </c>
      <c r="AY194" s="19">
        <v>0</v>
      </c>
      <c r="AZ194" s="19">
        <v>0</v>
      </c>
      <c r="BA194" s="19">
        <v>0</v>
      </c>
      <c r="BB194" s="19">
        <v>1</v>
      </c>
      <c r="BC194" s="19">
        <v>1</v>
      </c>
      <c r="BD194" s="19">
        <v>1</v>
      </c>
      <c r="BE194" s="19">
        <v>4</v>
      </c>
      <c r="BF194" s="19">
        <v>0</v>
      </c>
      <c r="BG194" s="19">
        <v>0</v>
      </c>
      <c r="BH194" s="19">
        <v>0</v>
      </c>
      <c r="BI194" s="19">
        <v>0</v>
      </c>
      <c r="BJ194" s="19">
        <v>1</v>
      </c>
      <c r="BK194" s="19">
        <v>1</v>
      </c>
      <c r="BL194" s="19">
        <v>0</v>
      </c>
      <c r="BM194" s="19">
        <v>0</v>
      </c>
      <c r="BN194" s="19">
        <v>1</v>
      </c>
      <c r="BO194" s="19">
        <v>1</v>
      </c>
      <c r="BP194" s="19">
        <v>0</v>
      </c>
      <c r="BQ194" s="19">
        <v>0</v>
      </c>
      <c r="BR194" s="19">
        <v>2</v>
      </c>
      <c r="BS194" s="19">
        <v>3</v>
      </c>
      <c r="BT194" s="19">
        <v>3</v>
      </c>
      <c r="BU194" s="19">
        <v>5</v>
      </c>
      <c r="BV194" s="19">
        <v>1</v>
      </c>
      <c r="BW194" s="19">
        <v>1</v>
      </c>
      <c r="BX194" s="19">
        <v>4</v>
      </c>
      <c r="BY194" s="19">
        <v>4</v>
      </c>
      <c r="BZ194" s="19">
        <v>4</v>
      </c>
      <c r="CA194" s="19">
        <v>5</v>
      </c>
      <c r="CB194" s="19">
        <v>5</v>
      </c>
      <c r="CC194" s="19">
        <v>5</v>
      </c>
      <c r="CD194" s="19">
        <v>4</v>
      </c>
      <c r="CE194" s="19">
        <v>5</v>
      </c>
      <c r="CF194" s="19">
        <v>5</v>
      </c>
      <c r="CG194" s="19">
        <v>5</v>
      </c>
      <c r="CH194" s="19">
        <v>4</v>
      </c>
      <c r="CI194" s="19">
        <v>4</v>
      </c>
      <c r="CJ194" s="19">
        <v>4</v>
      </c>
      <c r="CK194" s="19">
        <v>5</v>
      </c>
      <c r="CL194" t="s">
        <v>651</v>
      </c>
      <c r="CM194">
        <v>8</v>
      </c>
      <c r="CN194" s="16">
        <v>55.4</v>
      </c>
      <c r="CO194" s="16">
        <v>560.98</v>
      </c>
      <c r="CP194" s="16">
        <v>5.9</v>
      </c>
      <c r="CQ194">
        <v>5.07</v>
      </c>
      <c r="CR194">
        <v>0</v>
      </c>
      <c r="CS194">
        <v>0.51</v>
      </c>
      <c r="CT194">
        <v>0</v>
      </c>
      <c r="CU194">
        <v>2.61</v>
      </c>
      <c r="CV194">
        <v>0</v>
      </c>
      <c r="CW194">
        <v>91.79</v>
      </c>
      <c r="CX194">
        <v>0</v>
      </c>
      <c r="CY194">
        <v>0</v>
      </c>
      <c r="CZ194">
        <v>0</v>
      </c>
      <c r="DA194">
        <v>0</v>
      </c>
      <c r="DB194">
        <v>0.41</v>
      </c>
      <c r="DC194">
        <v>3.78</v>
      </c>
      <c r="DD194">
        <v>1.66</v>
      </c>
      <c r="DE194">
        <v>0.5</v>
      </c>
      <c r="DF194">
        <v>0.71</v>
      </c>
      <c r="DG194">
        <v>0</v>
      </c>
      <c r="DH194">
        <v>0</v>
      </c>
      <c r="DU194">
        <v>0.2</v>
      </c>
      <c r="DV194">
        <v>1</v>
      </c>
      <c r="DW194">
        <v>103</v>
      </c>
      <c r="DX194">
        <v>2</v>
      </c>
      <c r="DY194">
        <v>0.51</v>
      </c>
      <c r="DZ194">
        <v>1</v>
      </c>
      <c r="EA194">
        <v>23</v>
      </c>
      <c r="EB194">
        <v>1</v>
      </c>
      <c r="EC194">
        <v>0.13</v>
      </c>
      <c r="ED194">
        <v>3</v>
      </c>
      <c r="EG194" s="18"/>
      <c r="EY194">
        <v>0</v>
      </c>
      <c r="GJ194" s="16">
        <v>0.02</v>
      </c>
      <c r="GK194" s="16">
        <v>1</v>
      </c>
      <c r="GL194" s="16">
        <v>1</v>
      </c>
      <c r="GM194" s="16"/>
      <c r="GN194" s="16">
        <v>0.53</v>
      </c>
      <c r="GO194" s="16"/>
      <c r="GP194" s="16"/>
      <c r="GQ194" s="16"/>
      <c r="GR194" s="16"/>
      <c r="GS194" s="16"/>
      <c r="GT194" s="16"/>
      <c r="GU194" s="16">
        <v>1.21</v>
      </c>
      <c r="GV194" s="16">
        <v>1.2</v>
      </c>
      <c r="GW194" s="16"/>
      <c r="GX194" s="16"/>
      <c r="GY194" s="16">
        <v>0.53</v>
      </c>
      <c r="GZ194" s="16">
        <v>0.45</v>
      </c>
      <c r="HA194" s="16">
        <v>0</v>
      </c>
      <c r="HB194">
        <v>0</v>
      </c>
      <c r="HC194" t="s">
        <v>652</v>
      </c>
      <c r="HD194">
        <v>9</v>
      </c>
      <c r="HE194" s="16">
        <v>99.6</v>
      </c>
      <c r="HF194" s="16">
        <v>560.98</v>
      </c>
      <c r="HG194" s="16">
        <v>6.6</v>
      </c>
      <c r="HH194">
        <v>89.32</v>
      </c>
      <c r="HI194">
        <v>0</v>
      </c>
      <c r="HJ194">
        <v>1.61</v>
      </c>
      <c r="HK194">
        <v>0.49</v>
      </c>
      <c r="HL194">
        <v>2.21</v>
      </c>
      <c r="HM194">
        <v>0</v>
      </c>
      <c r="HN194">
        <v>6.31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56.24</v>
      </c>
      <c r="HU194">
        <v>1.47</v>
      </c>
      <c r="HV194">
        <v>0.02</v>
      </c>
      <c r="HW194">
        <v>0.06</v>
      </c>
      <c r="HX194">
        <v>0</v>
      </c>
      <c r="HY194">
        <v>0</v>
      </c>
      <c r="IL194">
        <v>1</v>
      </c>
      <c r="IM194">
        <v>1</v>
      </c>
      <c r="IN194">
        <v>90</v>
      </c>
      <c r="IO194">
        <v>6</v>
      </c>
      <c r="IP194">
        <f>0.26*2+0.03</f>
        <v>0.55000000000000004</v>
      </c>
      <c r="IQ194">
        <v>1</v>
      </c>
      <c r="IR194">
        <v>55</v>
      </c>
      <c r="IS194">
        <v>3</v>
      </c>
      <c r="IT194">
        <v>0.39</v>
      </c>
      <c r="IU194">
        <v>2</v>
      </c>
      <c r="IX194" s="18"/>
      <c r="JP194">
        <v>1</v>
      </c>
      <c r="JQ194">
        <v>85</v>
      </c>
      <c r="JR194">
        <v>3</v>
      </c>
      <c r="JS194">
        <f>0.18+0.39+0.02</f>
        <v>0.59000000000000008</v>
      </c>
      <c r="JT194">
        <v>2</v>
      </c>
      <c r="LA194" s="16">
        <v>0</v>
      </c>
      <c r="LB194" s="16">
        <v>0</v>
      </c>
      <c r="LC194" s="16"/>
      <c r="LD194" s="16"/>
      <c r="LE194" s="16"/>
      <c r="LF194" s="16"/>
      <c r="LG194" s="16"/>
      <c r="LH194" s="16"/>
      <c r="LI194" s="16"/>
      <c r="LJ194" s="16"/>
      <c r="LK194" s="16"/>
      <c r="LL194" s="16">
        <v>0.02</v>
      </c>
      <c r="LM194" s="16">
        <v>0.02</v>
      </c>
      <c r="LN194" s="16"/>
      <c r="LO194" s="16"/>
      <c r="LP194" s="16">
        <v>0.96</v>
      </c>
      <c r="LQ194" s="16">
        <v>0</v>
      </c>
      <c r="LR194" s="16">
        <v>0</v>
      </c>
      <c r="LS194">
        <v>1</v>
      </c>
      <c r="LT194" t="s">
        <v>653</v>
      </c>
      <c r="LU194">
        <v>49.5</v>
      </c>
      <c r="LV194" s="16">
        <v>119.9</v>
      </c>
      <c r="LW194" s="16">
        <v>99</v>
      </c>
      <c r="LX194" s="16">
        <v>32.4</v>
      </c>
      <c r="LY194">
        <v>65.09</v>
      </c>
      <c r="LZ194">
        <v>0</v>
      </c>
      <c r="MA194">
        <v>1.99</v>
      </c>
      <c r="MB194">
        <v>3.4</v>
      </c>
      <c r="MC194">
        <v>33.9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2.15</v>
      </c>
      <c r="MK194">
        <v>28.92</v>
      </c>
      <c r="ML194">
        <v>5.9</v>
      </c>
      <c r="MM194">
        <v>31.04</v>
      </c>
      <c r="MN194">
        <v>0</v>
      </c>
      <c r="MO194">
        <v>0</v>
      </c>
      <c r="MP194">
        <v>0</v>
      </c>
      <c r="NC194">
        <v>1.8</v>
      </c>
      <c r="ND194">
        <v>1</v>
      </c>
      <c r="NE194">
        <v>23</v>
      </c>
      <c r="NF194">
        <v>4</v>
      </c>
      <c r="NG194">
        <v>2.91</v>
      </c>
      <c r="NH194">
        <v>3</v>
      </c>
      <c r="NO194" s="18"/>
      <c r="OG194">
        <v>1</v>
      </c>
      <c r="OH194">
        <v>40</v>
      </c>
      <c r="OI194">
        <v>3</v>
      </c>
      <c r="OJ194">
        <v>2.5499999999999998</v>
      </c>
      <c r="OK194">
        <v>1</v>
      </c>
      <c r="PR194" s="16">
        <v>3.09</v>
      </c>
      <c r="PS194" s="16">
        <v>1</v>
      </c>
      <c r="PT194" s="16">
        <v>2</v>
      </c>
      <c r="PU194" s="16"/>
      <c r="PV194" s="16">
        <f>1.82*2</f>
        <v>3.64</v>
      </c>
      <c r="PW194" s="16"/>
      <c r="PX194" s="16"/>
      <c r="PY194" s="16"/>
      <c r="PZ194" s="16"/>
      <c r="QA194" s="16"/>
      <c r="QB194" s="16"/>
      <c r="QC194" s="16">
        <v>11.81</v>
      </c>
      <c r="QD194" s="16">
        <v>7.83</v>
      </c>
      <c r="QE194" s="16"/>
      <c r="QF194" s="16"/>
      <c r="QG194" s="16">
        <v>0</v>
      </c>
      <c r="QH194" s="16">
        <v>0</v>
      </c>
      <c r="QI194" s="16">
        <v>0</v>
      </c>
      <c r="QJ194">
        <v>0</v>
      </c>
      <c r="QK194" t="s">
        <v>654</v>
      </c>
      <c r="QL194">
        <v>23.5</v>
      </c>
      <c r="QM194" s="16">
        <v>99.2</v>
      </c>
      <c r="QN194" s="16">
        <v>99</v>
      </c>
      <c r="QO194" s="16">
        <v>5.3</v>
      </c>
      <c r="QP194">
        <v>12.8</v>
      </c>
      <c r="QQ194">
        <v>0</v>
      </c>
      <c r="QR194">
        <v>0.14000000000000001</v>
      </c>
      <c r="QS194">
        <v>0</v>
      </c>
      <c r="QT194">
        <v>1.75</v>
      </c>
      <c r="QU194">
        <v>0</v>
      </c>
      <c r="QV194">
        <v>85.3</v>
      </c>
      <c r="QW194">
        <v>0</v>
      </c>
      <c r="QX194">
        <v>0</v>
      </c>
      <c r="QY194">
        <v>1.03</v>
      </c>
      <c r="QZ194">
        <v>0</v>
      </c>
      <c r="RA194">
        <v>0</v>
      </c>
      <c r="RB194">
        <v>83.09</v>
      </c>
      <c r="RC194">
        <v>3.01</v>
      </c>
      <c r="RD194">
        <v>1.49</v>
      </c>
      <c r="RE194">
        <v>0</v>
      </c>
      <c r="RF194">
        <v>0</v>
      </c>
      <c r="RG194">
        <v>0</v>
      </c>
      <c r="RT194">
        <v>0</v>
      </c>
      <c r="RU194">
        <v>0</v>
      </c>
      <c r="SF194" s="18"/>
      <c r="SX194">
        <v>1</v>
      </c>
      <c r="SY194">
        <v>60</v>
      </c>
      <c r="SZ194">
        <v>1</v>
      </c>
      <c r="TA194">
        <v>0.03</v>
      </c>
      <c r="TB194">
        <v>3</v>
      </c>
      <c r="UI194" s="16">
        <v>0</v>
      </c>
      <c r="UJ194" s="16">
        <v>0</v>
      </c>
      <c r="UK194" s="16"/>
      <c r="UL194" s="16"/>
      <c r="UM194" s="16"/>
      <c r="UN194" s="16"/>
      <c r="UO194" s="16"/>
      <c r="UP194" s="16"/>
      <c r="UQ194" s="16"/>
      <c r="UR194" s="16"/>
      <c r="US194" s="16"/>
      <c r="UT194" s="16">
        <v>17.03</v>
      </c>
      <c r="UU194" s="16">
        <v>80.41</v>
      </c>
      <c r="UV194" s="16"/>
      <c r="UW194" s="16"/>
      <c r="UX194" s="16">
        <v>0.97</v>
      </c>
      <c r="UY194" s="16">
        <v>0</v>
      </c>
      <c r="UZ194" s="16">
        <v>0</v>
      </c>
      <c r="VA194">
        <v>1</v>
      </c>
      <c r="VB194" t="s">
        <v>655</v>
      </c>
      <c r="VC194">
        <v>26</v>
      </c>
      <c r="VD194" s="16">
        <v>87.5</v>
      </c>
      <c r="VE194" s="16">
        <v>99</v>
      </c>
      <c r="VF194" s="16">
        <v>12.5</v>
      </c>
      <c r="VG194">
        <v>84.55</v>
      </c>
      <c r="VH194">
        <v>0</v>
      </c>
      <c r="VI194">
        <v>2.29</v>
      </c>
      <c r="VJ194">
        <v>2.39</v>
      </c>
      <c r="VK194">
        <v>1.61</v>
      </c>
      <c r="VL194">
        <v>0</v>
      </c>
      <c r="VM194">
        <v>9.16</v>
      </c>
      <c r="VN194">
        <v>0</v>
      </c>
      <c r="VO194">
        <v>0</v>
      </c>
      <c r="VP194">
        <v>0</v>
      </c>
      <c r="VQ194">
        <v>0</v>
      </c>
      <c r="VR194">
        <v>4.5999999999999996</v>
      </c>
      <c r="VS194">
        <v>1.19</v>
      </c>
      <c r="VT194">
        <v>6.51</v>
      </c>
      <c r="VU194">
        <v>0.03</v>
      </c>
      <c r="VV194">
        <v>0</v>
      </c>
      <c r="VW194">
        <v>7</v>
      </c>
      <c r="VX194">
        <v>1</v>
      </c>
      <c r="VY194">
        <v>3</v>
      </c>
      <c r="WA194">
        <v>1</v>
      </c>
      <c r="WB194">
        <v>3.83</v>
      </c>
      <c r="WD194">
        <v>1</v>
      </c>
      <c r="WK194">
        <v>4.5</v>
      </c>
      <c r="WL194">
        <v>1</v>
      </c>
      <c r="WM194">
        <v>90</v>
      </c>
      <c r="WN194">
        <v>6</v>
      </c>
      <c r="WO194">
        <f>0.48*2+0.03</f>
        <v>0.99</v>
      </c>
      <c r="WP194">
        <v>1</v>
      </c>
      <c r="WW194" s="18"/>
      <c r="XO194">
        <v>1</v>
      </c>
      <c r="XP194">
        <v>55</v>
      </c>
      <c r="XQ194">
        <v>1</v>
      </c>
      <c r="XR194">
        <v>0.55000000000000004</v>
      </c>
      <c r="XS194">
        <v>2</v>
      </c>
      <c r="XT194">
        <v>85</v>
      </c>
      <c r="XU194">
        <v>1</v>
      </c>
      <c r="XV194">
        <v>0.05</v>
      </c>
      <c r="XW194">
        <v>2</v>
      </c>
      <c r="YZ194" s="16">
        <v>0</v>
      </c>
      <c r="ZA194" s="16">
        <v>0</v>
      </c>
      <c r="ZB194" s="16"/>
      <c r="ZC194" s="16"/>
      <c r="ZD194" s="16"/>
      <c r="ZE194" s="16"/>
      <c r="ZF194" s="16"/>
      <c r="ZG194" s="16"/>
      <c r="ZH194" s="16"/>
      <c r="ZI194" s="16"/>
      <c r="ZJ194" s="16"/>
      <c r="ZK194" s="16">
        <v>0</v>
      </c>
      <c r="ZL194" s="16">
        <v>0</v>
      </c>
      <c r="ZM194" s="16"/>
      <c r="ZN194" s="16"/>
      <c r="ZO194" s="16">
        <v>1.82</v>
      </c>
      <c r="ZP194" s="16">
        <v>0</v>
      </c>
      <c r="ZQ194" s="16">
        <v>0</v>
      </c>
      <c r="ZR194">
        <v>2</v>
      </c>
      <c r="ZU194" s="15"/>
      <c r="ZV194" s="15"/>
      <c r="AAC194" s="15"/>
      <c r="AAD194" s="15"/>
      <c r="AAK194" s="15"/>
      <c r="AAL194" s="15"/>
      <c r="AAS194" s="15"/>
      <c r="AAT194" s="15"/>
      <c r="ABA194" s="15"/>
      <c r="ABB194" s="15"/>
      <c r="ABI194" s="15"/>
      <c r="ABJ194" s="15"/>
      <c r="ABQ194" s="15"/>
      <c r="ABR194" s="15"/>
      <c r="ABY194" s="15"/>
      <c r="ABZ194" s="15"/>
      <c r="ACG194" s="15"/>
      <c r="ACH194" s="15"/>
      <c r="ACO194" s="15"/>
      <c r="ACP194" s="15"/>
      <c r="ACW194" s="15"/>
      <c r="ACX194" s="15"/>
      <c r="ADE194" s="15"/>
      <c r="ADF194" s="15"/>
      <c r="ADM194" s="15"/>
      <c r="ADN194" s="15"/>
      <c r="ADU194" s="15"/>
      <c r="ADV194" s="15"/>
      <c r="AEC194" s="15"/>
      <c r="AED194" s="15"/>
      <c r="AEK194" s="15"/>
      <c r="AEL194" s="15"/>
      <c r="AES194" s="15"/>
      <c r="AET194" s="15"/>
      <c r="AFA194" s="15"/>
      <c r="AFB194" s="15"/>
      <c r="AFI194" s="15"/>
      <c r="AFJ194" s="15"/>
      <c r="AFQ194" s="15"/>
      <c r="AFR194" s="15"/>
      <c r="AFY194" s="15"/>
      <c r="AFZ194" s="15"/>
      <c r="AGG194" s="15"/>
      <c r="AGH194" s="15"/>
      <c r="AGO194" s="15"/>
      <c r="AGP194" s="15"/>
      <c r="AGW194" s="15"/>
      <c r="AGX194" s="15"/>
      <c r="AHE194" s="15"/>
      <c r="AHF194" s="15"/>
      <c r="AHM194" s="15"/>
      <c r="AHN194" s="15"/>
      <c r="AHU194" s="15"/>
      <c r="AHV194" s="15"/>
      <c r="AIC194" s="15"/>
      <c r="AID194" s="15"/>
      <c r="AIK194" s="15"/>
      <c r="AIL194" s="15"/>
      <c r="AIS194" s="15"/>
      <c r="AIT194" s="15"/>
      <c r="AJA194" s="15"/>
      <c r="AJB194" s="15"/>
      <c r="AJI194" s="15"/>
      <c r="AJJ194" s="15"/>
      <c r="AJQ194" s="15"/>
      <c r="AJR194" s="15"/>
      <c r="AJY194" s="15"/>
      <c r="AJZ194" s="15"/>
      <c r="AKG194" s="15"/>
      <c r="AKH194" s="15"/>
      <c r="AKO194" s="15"/>
      <c r="AKP194" s="15"/>
      <c r="AKW194" s="15"/>
      <c r="AKX194" s="15"/>
      <c r="ALE194" s="15"/>
      <c r="ALF194" s="15"/>
      <c r="ALM194" s="15"/>
      <c r="ALN194" s="15"/>
      <c r="ALU194" s="15"/>
      <c r="ALV194" s="15"/>
      <c r="AMC194" s="15"/>
      <c r="AMD194" s="15"/>
    </row>
    <row r="195" spans="1:1018" s="24" customFormat="1" x14ac:dyDescent="0.2">
      <c r="A195" s="22" t="s">
        <v>701</v>
      </c>
      <c r="B195" s="23">
        <v>42901</v>
      </c>
      <c r="C195" s="24">
        <v>1</v>
      </c>
      <c r="D195" s="25">
        <v>42793</v>
      </c>
      <c r="E195" s="23">
        <v>35648</v>
      </c>
      <c r="F195" s="14">
        <f t="shared" si="62"/>
        <v>19.857631759069132</v>
      </c>
      <c r="G195" s="14">
        <f t="shared" si="63"/>
        <v>0.29568788501026694</v>
      </c>
      <c r="H195" s="21" t="s">
        <v>306</v>
      </c>
      <c r="I195" s="21" t="s">
        <v>689</v>
      </c>
      <c r="J195" s="21" t="s">
        <v>181</v>
      </c>
      <c r="K195" s="21">
        <v>8</v>
      </c>
      <c r="L195" s="26">
        <v>51</v>
      </c>
      <c r="M195" s="24">
        <v>1.7</v>
      </c>
      <c r="N195" s="27">
        <f t="shared" si="64"/>
        <v>17.647058823529413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  <c r="T195" s="26">
        <v>0</v>
      </c>
      <c r="U195" s="26">
        <v>0</v>
      </c>
      <c r="V195" s="26">
        <v>0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0</v>
      </c>
      <c r="AC195" s="26">
        <v>0</v>
      </c>
      <c r="AD195" s="26">
        <v>0</v>
      </c>
      <c r="AE195" s="26">
        <v>0</v>
      </c>
      <c r="AF195" s="26">
        <v>0</v>
      </c>
      <c r="AG195" s="26">
        <v>0</v>
      </c>
      <c r="AH195" s="26">
        <v>0</v>
      </c>
      <c r="AI195" s="26">
        <v>3</v>
      </c>
      <c r="AJ195" s="26">
        <v>0</v>
      </c>
      <c r="AK195" s="26">
        <v>3</v>
      </c>
      <c r="AL195" s="26">
        <v>4</v>
      </c>
      <c r="AM195" s="26">
        <v>4</v>
      </c>
      <c r="AN195" s="26">
        <v>0</v>
      </c>
      <c r="AO195" s="26">
        <v>0</v>
      </c>
      <c r="AP195" s="26">
        <v>0</v>
      </c>
      <c r="AQ195" s="26">
        <v>0</v>
      </c>
      <c r="AR195" s="26">
        <v>0</v>
      </c>
      <c r="AS195" s="26">
        <v>1</v>
      </c>
      <c r="AT195" s="26">
        <v>0</v>
      </c>
      <c r="AU195" s="26">
        <v>2</v>
      </c>
      <c r="AV195" s="26"/>
      <c r="AW195" s="26">
        <v>2</v>
      </c>
      <c r="AX195" s="26">
        <v>0</v>
      </c>
      <c r="AY195" s="26">
        <v>0</v>
      </c>
      <c r="AZ195" s="26">
        <v>0</v>
      </c>
      <c r="BA195" s="26">
        <v>0</v>
      </c>
      <c r="BB195" s="26">
        <v>0</v>
      </c>
      <c r="BC195" s="26">
        <v>0</v>
      </c>
      <c r="BD195" s="26">
        <v>0</v>
      </c>
      <c r="BE195" s="26">
        <v>0</v>
      </c>
      <c r="BF195" s="26">
        <v>0</v>
      </c>
      <c r="BG195" s="26">
        <v>0</v>
      </c>
      <c r="BH195" s="26">
        <v>0</v>
      </c>
      <c r="BI195" s="26">
        <v>0</v>
      </c>
      <c r="BJ195" s="26">
        <v>0</v>
      </c>
      <c r="BK195" s="26">
        <v>0</v>
      </c>
      <c r="BL195" s="26">
        <v>0</v>
      </c>
      <c r="BM195" s="26">
        <v>0</v>
      </c>
      <c r="BN195" s="26">
        <v>0</v>
      </c>
      <c r="BO195" s="26">
        <v>0</v>
      </c>
      <c r="BP195" s="26">
        <v>0</v>
      </c>
      <c r="BQ195" s="26">
        <v>0</v>
      </c>
      <c r="BR195" s="26">
        <v>1</v>
      </c>
      <c r="BS195" s="26">
        <v>1</v>
      </c>
      <c r="BT195" s="26">
        <v>3</v>
      </c>
      <c r="BU195" s="26">
        <v>5</v>
      </c>
      <c r="BV195" s="26">
        <v>1</v>
      </c>
      <c r="BW195" s="26">
        <v>1</v>
      </c>
      <c r="BX195" s="26">
        <v>3</v>
      </c>
      <c r="BY195" s="26">
        <v>1</v>
      </c>
      <c r="BZ195" s="26">
        <v>3</v>
      </c>
      <c r="CA195" s="26">
        <v>2</v>
      </c>
      <c r="CB195" s="26">
        <v>4</v>
      </c>
      <c r="CC195" s="26">
        <v>4</v>
      </c>
      <c r="CD195" s="26">
        <v>1</v>
      </c>
      <c r="CE195" s="26">
        <v>3</v>
      </c>
      <c r="CF195" s="26">
        <v>2</v>
      </c>
      <c r="CG195" s="26">
        <v>4</v>
      </c>
      <c r="CH195" s="26">
        <v>4</v>
      </c>
      <c r="CI195" s="26">
        <v>4</v>
      </c>
      <c r="CJ195" s="26">
        <v>4</v>
      </c>
      <c r="CK195" s="26">
        <v>8</v>
      </c>
      <c r="CL195" s="24" t="s">
        <v>690</v>
      </c>
      <c r="CM195" s="24">
        <v>38</v>
      </c>
      <c r="CN195" s="27">
        <v>85.5</v>
      </c>
      <c r="CO195" s="27">
        <v>83.4</v>
      </c>
      <c r="CP195" s="27">
        <v>28.7</v>
      </c>
      <c r="CQ195" s="24">
        <v>61.84</v>
      </c>
      <c r="CR195" s="24">
        <v>0</v>
      </c>
      <c r="CS195" s="24">
        <v>0</v>
      </c>
      <c r="CT195" s="24">
        <v>0</v>
      </c>
      <c r="CU195" s="24">
        <v>37.42</v>
      </c>
      <c r="CV195" s="24">
        <v>0</v>
      </c>
      <c r="CW195" s="24">
        <v>0.73</v>
      </c>
      <c r="CX195" s="24">
        <v>0</v>
      </c>
      <c r="CY195" s="24">
        <v>0</v>
      </c>
      <c r="CZ195" s="24">
        <v>0.74</v>
      </c>
      <c r="DA195" s="24">
        <v>0</v>
      </c>
      <c r="DB195" s="24">
        <v>7.34</v>
      </c>
      <c r="DC195" s="24">
        <v>25.37</v>
      </c>
      <c r="DD195" s="24">
        <v>15.03</v>
      </c>
      <c r="DE195" s="24">
        <v>30.09</v>
      </c>
      <c r="DF195" s="24">
        <v>0</v>
      </c>
      <c r="DG195" s="24">
        <v>0</v>
      </c>
      <c r="DH195" s="24">
        <v>0</v>
      </c>
      <c r="DU195" s="24">
        <v>1.7</v>
      </c>
      <c r="DV195" s="24">
        <v>0</v>
      </c>
      <c r="EG195" s="28"/>
      <c r="EY195" s="24">
        <v>1</v>
      </c>
      <c r="EZ195" s="24">
        <v>50</v>
      </c>
      <c r="FA195" s="24">
        <v>4</v>
      </c>
      <c r="FB195" s="24">
        <v>0.46</v>
      </c>
      <c r="FC195" s="24">
        <v>6</v>
      </c>
      <c r="FD195" s="24">
        <v>40</v>
      </c>
      <c r="FE195" s="24">
        <v>10</v>
      </c>
      <c r="FF195" s="24">
        <f>0.17*2+0.06+0.07</f>
        <v>0.47000000000000003</v>
      </c>
      <c r="FG195" s="24">
        <v>1</v>
      </c>
      <c r="FH195" s="24">
        <v>40</v>
      </c>
      <c r="FI195" s="24">
        <v>10</v>
      </c>
      <c r="FJ195" s="24">
        <f>0.17*2+0.07*2+0.03</f>
        <v>0.51</v>
      </c>
      <c r="FK195" s="24">
        <v>6</v>
      </c>
      <c r="FL195" s="24">
        <v>60</v>
      </c>
      <c r="FM195" s="24">
        <v>6</v>
      </c>
      <c r="FN195" s="24">
        <f>4.4*2+0.39*2+0.26</f>
        <v>9.84</v>
      </c>
      <c r="FO195" s="24">
        <v>3</v>
      </c>
      <c r="GJ195" s="27">
        <v>1.55</v>
      </c>
      <c r="GK195" s="27">
        <v>1</v>
      </c>
      <c r="GL195" s="27">
        <v>1</v>
      </c>
      <c r="GM195" s="27"/>
      <c r="GN195" s="27">
        <f>1.65*2</f>
        <v>3.3</v>
      </c>
      <c r="GO195" s="27">
        <v>2</v>
      </c>
      <c r="GP195" s="27"/>
      <c r="GQ195" s="27">
        <v>0.54</v>
      </c>
      <c r="GR195" s="27"/>
      <c r="GS195" s="27"/>
      <c r="GT195" s="27"/>
      <c r="GU195" s="27">
        <v>5.74</v>
      </c>
      <c r="GV195" s="27">
        <v>3.64</v>
      </c>
      <c r="GW195" s="27"/>
      <c r="GX195" s="27"/>
      <c r="GY195" s="27">
        <v>0</v>
      </c>
      <c r="GZ195" s="27">
        <v>0</v>
      </c>
      <c r="HA195" s="27">
        <v>0</v>
      </c>
      <c r="HB195" s="24">
        <v>0</v>
      </c>
      <c r="HC195" s="24" t="s">
        <v>691</v>
      </c>
      <c r="HD195" s="24">
        <v>63.5</v>
      </c>
      <c r="HE195" s="27">
        <v>98.9</v>
      </c>
      <c r="HF195" s="27">
        <v>83.4</v>
      </c>
      <c r="HG195" s="27">
        <v>51</v>
      </c>
      <c r="HH195" s="24">
        <v>53.65</v>
      </c>
      <c r="HI195" s="24">
        <v>0</v>
      </c>
      <c r="HJ195" s="24">
        <v>11.99</v>
      </c>
      <c r="HK195" s="24">
        <v>24.1</v>
      </c>
      <c r="HL195" s="24">
        <v>10.26</v>
      </c>
      <c r="HM195" s="24">
        <v>0</v>
      </c>
      <c r="HN195" s="24">
        <v>0</v>
      </c>
      <c r="HO195" s="24">
        <v>0</v>
      </c>
      <c r="HP195" s="24">
        <v>0</v>
      </c>
      <c r="HQ195" s="24">
        <v>0</v>
      </c>
      <c r="HR195" s="24">
        <v>0</v>
      </c>
      <c r="HS195" s="24">
        <v>9.1</v>
      </c>
      <c r="HT195" s="24">
        <v>26.31</v>
      </c>
      <c r="HU195" s="24">
        <v>5.53</v>
      </c>
      <c r="HV195" s="24">
        <v>0.94</v>
      </c>
      <c r="HW195" s="24">
        <v>0</v>
      </c>
      <c r="HX195" s="24">
        <v>0</v>
      </c>
      <c r="HY195" s="24">
        <v>0</v>
      </c>
      <c r="IL195" s="24">
        <v>6.1</v>
      </c>
      <c r="IM195" s="24">
        <v>0</v>
      </c>
      <c r="IX195" s="28"/>
      <c r="JP195" s="24">
        <v>1</v>
      </c>
      <c r="JQ195" s="24">
        <v>50</v>
      </c>
      <c r="JR195" s="24">
        <v>1</v>
      </c>
      <c r="JS195" s="24">
        <v>0.39</v>
      </c>
      <c r="JT195" s="24">
        <v>3</v>
      </c>
      <c r="JU195" s="24">
        <v>50</v>
      </c>
      <c r="JV195" s="24">
        <v>2</v>
      </c>
      <c r="JW195" s="24">
        <f>0.19+0.23</f>
        <v>0.42000000000000004</v>
      </c>
      <c r="JX195" s="24">
        <v>4</v>
      </c>
      <c r="JY195" s="24">
        <v>60</v>
      </c>
      <c r="JZ195" s="24">
        <v>12</v>
      </c>
      <c r="KA195" s="24">
        <f>0.78*2</f>
        <v>1.56</v>
      </c>
      <c r="KB195" s="24">
        <v>6</v>
      </c>
      <c r="LA195" s="27">
        <v>5.39</v>
      </c>
      <c r="LB195" s="27">
        <v>1</v>
      </c>
      <c r="LC195" s="27">
        <v>1</v>
      </c>
      <c r="LD195" s="27"/>
      <c r="LE195" s="27">
        <f>2.04*3+0.36*2</f>
        <v>6.84</v>
      </c>
      <c r="LF195" s="27">
        <v>2</v>
      </c>
      <c r="LG195" s="27"/>
      <c r="LH195" s="27">
        <f>0.72*2+0.36</f>
        <v>1.7999999999999998</v>
      </c>
      <c r="LI195" s="27">
        <v>3</v>
      </c>
      <c r="LJ195" s="27"/>
      <c r="LK195" s="27">
        <v>0.5</v>
      </c>
      <c r="LL195" s="27">
        <v>0.94</v>
      </c>
      <c r="LM195" s="27">
        <v>0.94</v>
      </c>
      <c r="LN195" s="27"/>
      <c r="LO195" s="27"/>
      <c r="LP195" s="27">
        <v>0</v>
      </c>
      <c r="LQ195" s="27">
        <v>0</v>
      </c>
      <c r="LR195" s="27">
        <v>0</v>
      </c>
      <c r="LS195" s="24">
        <v>0</v>
      </c>
      <c r="LT195" s="24" t="s">
        <v>697</v>
      </c>
      <c r="LU195" s="24">
        <v>42.5</v>
      </c>
      <c r="LV195" s="27">
        <v>92.2</v>
      </c>
      <c r="LW195" s="27">
        <v>83.4</v>
      </c>
      <c r="LX195" s="27">
        <v>33.5</v>
      </c>
      <c r="LY195" s="24">
        <v>25.89</v>
      </c>
      <c r="LZ195" s="24">
        <v>0</v>
      </c>
      <c r="MA195" s="24">
        <v>0</v>
      </c>
      <c r="MB195" s="24">
        <v>0</v>
      </c>
      <c r="MC195" s="24">
        <v>0</v>
      </c>
      <c r="MD195" s="24">
        <v>0</v>
      </c>
      <c r="ME195" s="24">
        <v>74.11</v>
      </c>
      <c r="MF195" s="24">
        <v>25.43</v>
      </c>
      <c r="MG195" s="24">
        <v>9.7200000000000006</v>
      </c>
      <c r="MH195" s="24">
        <v>2.94</v>
      </c>
      <c r="MI195" s="24">
        <v>0</v>
      </c>
      <c r="MJ195" s="24">
        <v>11.38</v>
      </c>
      <c r="MK195" s="24">
        <v>16.89</v>
      </c>
      <c r="ML195" s="24">
        <v>27.26</v>
      </c>
      <c r="MM195" s="24">
        <v>0</v>
      </c>
      <c r="MN195" s="24">
        <v>0</v>
      </c>
      <c r="MO195" s="24">
        <v>0</v>
      </c>
      <c r="MP195" s="24">
        <v>0</v>
      </c>
      <c r="NC195" s="24">
        <v>3.6</v>
      </c>
      <c r="ND195" s="24">
        <v>1</v>
      </c>
      <c r="NE195" s="24">
        <v>35</v>
      </c>
      <c r="NF195" s="24">
        <v>6</v>
      </c>
      <c r="NG195" s="24">
        <f>0.13*4</f>
        <v>0.52</v>
      </c>
      <c r="NH195" s="24">
        <v>3</v>
      </c>
      <c r="NI195" s="24">
        <v>25</v>
      </c>
      <c r="NJ195" s="24">
        <v>2</v>
      </c>
      <c r="NK195" s="24">
        <f>0.13*2</f>
        <v>0.26</v>
      </c>
      <c r="NL195" s="24">
        <v>4</v>
      </c>
      <c r="NO195" s="28"/>
      <c r="OG195" s="24">
        <v>0</v>
      </c>
      <c r="PR195" s="27">
        <v>3.01</v>
      </c>
      <c r="PS195" s="27">
        <v>1</v>
      </c>
      <c r="PT195" s="27">
        <v>1</v>
      </c>
      <c r="PU195" s="27"/>
      <c r="PV195" s="27">
        <f>1.65*5+0.13*2+0.36+0.18</f>
        <v>9.0499999999999989</v>
      </c>
      <c r="PW195" s="27"/>
      <c r="PX195" s="27"/>
      <c r="PY195" s="27"/>
      <c r="PZ195" s="27"/>
      <c r="QA195" s="27"/>
      <c r="QB195" s="27"/>
      <c r="QC195" s="27">
        <v>2.16</v>
      </c>
      <c r="QD195" s="27">
        <v>0.52</v>
      </c>
      <c r="QE195" s="27"/>
      <c r="QF195" s="27"/>
      <c r="QG195" s="27">
        <v>0</v>
      </c>
      <c r="QH195" s="27">
        <v>0</v>
      </c>
      <c r="QI195" s="27">
        <v>0</v>
      </c>
      <c r="QJ195" s="24">
        <v>0</v>
      </c>
      <c r="QK195" s="24" t="s">
        <v>698</v>
      </c>
      <c r="QL195" s="24">
        <v>37</v>
      </c>
      <c r="QM195" s="27">
        <v>86.3</v>
      </c>
      <c r="QN195" s="27">
        <v>83.4</v>
      </c>
      <c r="QO195" s="27">
        <v>31.3</v>
      </c>
      <c r="QP195" s="24">
        <v>24.09</v>
      </c>
      <c r="QQ195" s="24">
        <v>0</v>
      </c>
      <c r="QR195" s="24">
        <v>0</v>
      </c>
      <c r="QS195" s="24">
        <v>0</v>
      </c>
      <c r="QT195" s="24">
        <v>0</v>
      </c>
      <c r="QU195" s="24">
        <v>0</v>
      </c>
      <c r="QV195" s="24">
        <v>75.91</v>
      </c>
      <c r="QW195" s="24">
        <v>21.83</v>
      </c>
      <c r="QX195" s="24">
        <v>8.6300000000000008</v>
      </c>
      <c r="QY195" s="24">
        <v>2.94</v>
      </c>
      <c r="QZ195" s="24">
        <v>0</v>
      </c>
      <c r="RA195" s="24">
        <v>13.66</v>
      </c>
      <c r="RB195" s="24">
        <v>10.54</v>
      </c>
      <c r="RC195" s="24">
        <v>28.39</v>
      </c>
      <c r="RD195" s="24">
        <v>0</v>
      </c>
      <c r="RE195" s="24">
        <v>0</v>
      </c>
      <c r="RF195" s="24">
        <v>0</v>
      </c>
      <c r="RG195" s="24">
        <v>0</v>
      </c>
      <c r="RT195" s="24">
        <v>2.7</v>
      </c>
      <c r="RU195" s="24">
        <v>1</v>
      </c>
      <c r="RV195" s="24">
        <v>52</v>
      </c>
      <c r="RW195" s="24">
        <v>1</v>
      </c>
      <c r="RX195" s="24">
        <v>0.39</v>
      </c>
      <c r="RY195" s="24">
        <v>2</v>
      </c>
      <c r="RZ195" s="24">
        <v>35</v>
      </c>
      <c r="SA195" s="24">
        <v>4</v>
      </c>
      <c r="SB195" s="24">
        <v>0.26</v>
      </c>
      <c r="SC195" s="24">
        <v>3</v>
      </c>
      <c r="SF195" s="28"/>
      <c r="SX195" s="24">
        <v>0</v>
      </c>
      <c r="UI195" s="27">
        <v>2.83</v>
      </c>
      <c r="UJ195" s="27">
        <v>1</v>
      </c>
      <c r="UK195" s="27">
        <v>1</v>
      </c>
      <c r="UL195" s="27"/>
      <c r="UM195" s="27">
        <f>1.65*5</f>
        <v>8.25</v>
      </c>
      <c r="UN195" s="27"/>
      <c r="UO195" s="27"/>
      <c r="UP195" s="27"/>
      <c r="UQ195" s="27"/>
      <c r="UR195" s="27"/>
      <c r="US195" s="27"/>
      <c r="UT195" s="27">
        <v>0</v>
      </c>
      <c r="UU195" s="27">
        <v>0</v>
      </c>
      <c r="UV195" s="27"/>
      <c r="UW195" s="27"/>
      <c r="UX195" s="27">
        <v>0</v>
      </c>
      <c r="UY195" s="27">
        <v>0</v>
      </c>
      <c r="UZ195" s="27">
        <v>0</v>
      </c>
      <c r="VA195" s="24">
        <v>0</v>
      </c>
      <c r="VB195" s="24" t="s">
        <v>702</v>
      </c>
      <c r="VC195" s="24">
        <v>43.5</v>
      </c>
      <c r="VD195" s="27">
        <v>73.8</v>
      </c>
      <c r="VE195" s="27">
        <v>83.4</v>
      </c>
      <c r="VF195" s="27">
        <v>26.5</v>
      </c>
      <c r="VG195" s="24">
        <v>20.2</v>
      </c>
      <c r="VH195" s="24">
        <v>0</v>
      </c>
      <c r="VI195" s="24">
        <v>26.95</v>
      </c>
      <c r="VJ195" s="24">
        <v>0</v>
      </c>
      <c r="VK195" s="24">
        <v>0.39</v>
      </c>
      <c r="VL195" s="24">
        <v>0</v>
      </c>
      <c r="VM195" s="24">
        <v>79.41</v>
      </c>
      <c r="VN195" s="24">
        <v>26.95</v>
      </c>
      <c r="VO195" s="24">
        <v>0</v>
      </c>
      <c r="VP195" s="24">
        <v>0</v>
      </c>
      <c r="VQ195" s="24">
        <v>0</v>
      </c>
      <c r="VR195" s="24">
        <v>35.200000000000003</v>
      </c>
      <c r="VS195" s="24">
        <v>15.96</v>
      </c>
      <c r="VT195" s="24">
        <v>39.090000000000003</v>
      </c>
      <c r="VU195" s="24">
        <v>0.32</v>
      </c>
      <c r="VV195" s="24">
        <v>0</v>
      </c>
      <c r="VW195" s="24">
        <v>0</v>
      </c>
      <c r="VX195" s="24">
        <v>0</v>
      </c>
      <c r="WK195" s="24">
        <v>14.4</v>
      </c>
      <c r="WL195" s="24">
        <v>1</v>
      </c>
      <c r="WM195" s="24">
        <v>30</v>
      </c>
      <c r="WN195" s="24">
        <v>5</v>
      </c>
      <c r="WO195" s="24">
        <f>2.94+0.6</f>
        <v>3.54</v>
      </c>
      <c r="WP195" s="24">
        <v>3</v>
      </c>
      <c r="WQ195" s="24">
        <v>34</v>
      </c>
      <c r="WR195" s="24">
        <v>1</v>
      </c>
      <c r="WS195" s="24">
        <v>1.65</v>
      </c>
      <c r="WT195" s="24">
        <v>1</v>
      </c>
      <c r="WU195" s="24">
        <v>52</v>
      </c>
      <c r="WV195" s="24">
        <v>6</v>
      </c>
      <c r="WW195" s="28">
        <f>0.7+0.77+0.08+0.05</f>
        <v>1.6</v>
      </c>
      <c r="WX195" s="24">
        <v>2</v>
      </c>
      <c r="WY195" s="24">
        <v>35</v>
      </c>
      <c r="WZ195" s="24">
        <v>1</v>
      </c>
      <c r="XA195" s="24">
        <v>0.19</v>
      </c>
      <c r="XB195" s="24">
        <v>3</v>
      </c>
      <c r="XC195" s="24">
        <v>23</v>
      </c>
      <c r="XD195" s="24">
        <v>3</v>
      </c>
      <c r="XE195" s="24">
        <f>0.39+0.77</f>
        <v>1.1600000000000001</v>
      </c>
      <c r="XF195" s="24">
        <v>3</v>
      </c>
      <c r="XO195" s="24">
        <v>0</v>
      </c>
      <c r="YZ195" s="27">
        <v>1.22</v>
      </c>
      <c r="ZA195" s="27">
        <v>1</v>
      </c>
      <c r="ZB195" s="27">
        <v>1</v>
      </c>
      <c r="ZC195" s="27"/>
      <c r="ZD195" s="27">
        <f>0.97*2+1.07*2</f>
        <v>4.08</v>
      </c>
      <c r="ZE195" s="27"/>
      <c r="ZF195" s="27"/>
      <c r="ZG195" s="27"/>
      <c r="ZH195" s="27"/>
      <c r="ZI195" s="27"/>
      <c r="ZJ195" s="27"/>
      <c r="ZK195" s="27">
        <v>0</v>
      </c>
      <c r="ZL195" s="27">
        <v>0</v>
      </c>
      <c r="ZM195" s="27"/>
      <c r="ZN195" s="27"/>
      <c r="ZO195" s="27">
        <v>0</v>
      </c>
      <c r="ZP195" s="27">
        <v>0</v>
      </c>
      <c r="ZQ195" s="27">
        <v>1.22</v>
      </c>
      <c r="ZR195" s="24">
        <v>0</v>
      </c>
      <c r="ZS195" s="24" t="s">
        <v>694</v>
      </c>
      <c r="ZT195" s="24">
        <v>40</v>
      </c>
      <c r="ZU195" s="27">
        <v>78.099999999999994</v>
      </c>
      <c r="ZV195" s="27">
        <v>83.4</v>
      </c>
      <c r="ZW195" s="27">
        <v>34.6</v>
      </c>
      <c r="ZX195" s="24">
        <v>66.599999999999994</v>
      </c>
      <c r="ZY195" s="24">
        <v>0</v>
      </c>
      <c r="ZZ195" s="24">
        <v>18.54</v>
      </c>
      <c r="AAA195" s="24">
        <v>7.52</v>
      </c>
      <c r="AAB195" s="24">
        <v>0</v>
      </c>
      <c r="AAC195" s="24">
        <v>0</v>
      </c>
      <c r="AAD195" s="24">
        <v>0</v>
      </c>
      <c r="AAE195" s="24">
        <v>0</v>
      </c>
      <c r="AAF195" s="24">
        <v>0</v>
      </c>
      <c r="AAG195" s="24">
        <v>0</v>
      </c>
      <c r="AAH195" s="24">
        <v>0</v>
      </c>
      <c r="AAI195" s="24">
        <v>0</v>
      </c>
      <c r="AAJ195" s="24">
        <v>28.45</v>
      </c>
      <c r="AAK195" s="24">
        <v>20.45</v>
      </c>
      <c r="AAL195" s="24">
        <v>0.01</v>
      </c>
      <c r="AAM195" s="24">
        <v>7.34</v>
      </c>
      <c r="AAN195" s="24">
        <v>0</v>
      </c>
      <c r="AAO195" s="24">
        <v>0</v>
      </c>
      <c r="ABB195" s="24">
        <v>0</v>
      </c>
      <c r="ABC195" s="24">
        <v>0</v>
      </c>
      <c r="ABN195" s="28"/>
      <c r="ACF195" s="24">
        <v>1</v>
      </c>
      <c r="ACG195" s="24">
        <v>40</v>
      </c>
      <c r="ACH195" s="24">
        <v>1</v>
      </c>
      <c r="ACI195" s="24">
        <v>0.73</v>
      </c>
      <c r="ACJ195" s="24">
        <v>3</v>
      </c>
      <c r="ADQ195" s="27">
        <v>1.22</v>
      </c>
      <c r="ADR195" s="27">
        <v>1</v>
      </c>
      <c r="ADS195" s="27">
        <v>1</v>
      </c>
      <c r="ADT195" s="27"/>
      <c r="ADU195" s="27">
        <f>1.65+3.3</f>
        <v>4.9499999999999993</v>
      </c>
      <c r="ADV195" s="27"/>
      <c r="ADW195" s="27"/>
      <c r="ADX195" s="27"/>
      <c r="ADY195" s="27"/>
      <c r="ADZ195" s="27"/>
      <c r="AEA195" s="27"/>
      <c r="AEB195" s="27">
        <v>1.1000000000000001</v>
      </c>
      <c r="AEC195" s="27">
        <v>1.1000000000000001</v>
      </c>
      <c r="AED195" s="27"/>
      <c r="AEE195" s="27"/>
      <c r="AEF195" s="27">
        <v>2.88</v>
      </c>
      <c r="AEG195" s="27">
        <v>6.79</v>
      </c>
      <c r="AEH195" s="27">
        <v>0</v>
      </c>
      <c r="AEI195" s="24">
        <v>0</v>
      </c>
      <c r="AEJ195" s="24" t="s">
        <v>703</v>
      </c>
      <c r="AEK195" s="24">
        <v>34.5</v>
      </c>
      <c r="AEL195" s="27">
        <v>62.2</v>
      </c>
      <c r="AEM195" s="27">
        <v>83.4</v>
      </c>
      <c r="AEN195" s="27">
        <v>29.9</v>
      </c>
      <c r="AEO195" s="24">
        <v>73.95</v>
      </c>
      <c r="AEP195" s="24">
        <v>0</v>
      </c>
      <c r="AEQ195" s="24">
        <v>18.53</v>
      </c>
      <c r="AER195" s="24">
        <v>7.52</v>
      </c>
      <c r="AES195" s="24">
        <v>0</v>
      </c>
      <c r="AET195" s="24">
        <v>0</v>
      </c>
      <c r="AEU195" s="24">
        <v>0</v>
      </c>
      <c r="AEV195" s="24">
        <v>0</v>
      </c>
      <c r="AEW195" s="24">
        <v>0</v>
      </c>
      <c r="AEX195" s="24">
        <v>0</v>
      </c>
      <c r="AEY195" s="24">
        <v>0</v>
      </c>
      <c r="AEZ195" s="24">
        <v>0</v>
      </c>
      <c r="AFA195" s="24">
        <v>11.93</v>
      </c>
      <c r="AFB195" s="24">
        <v>21.11</v>
      </c>
      <c r="AFC195" s="24">
        <v>0</v>
      </c>
      <c r="AFD195" s="24">
        <v>0</v>
      </c>
      <c r="AFE195" s="24">
        <v>0</v>
      </c>
      <c r="AFF195" s="24">
        <v>0</v>
      </c>
      <c r="AFS195" s="24">
        <v>0</v>
      </c>
      <c r="AFT195" s="24">
        <v>0</v>
      </c>
      <c r="AGE195" s="28"/>
      <c r="AGW195" s="24">
        <v>1</v>
      </c>
      <c r="AGX195" s="24">
        <v>40</v>
      </c>
      <c r="AGY195" s="24">
        <v>1</v>
      </c>
      <c r="AGZ195" s="24">
        <v>0.73</v>
      </c>
      <c r="AHA195" s="24">
        <v>3</v>
      </c>
      <c r="AIH195" s="27">
        <v>0.61</v>
      </c>
      <c r="AII195" s="27">
        <v>1</v>
      </c>
      <c r="AIJ195" s="27">
        <v>1</v>
      </c>
      <c r="AIK195" s="27"/>
      <c r="AIL195" s="27">
        <v>3.3</v>
      </c>
      <c r="AIM195" s="27"/>
      <c r="AIN195" s="27"/>
      <c r="AIO195" s="27"/>
      <c r="AIP195" s="27"/>
      <c r="AIQ195" s="27"/>
      <c r="AIR195" s="27"/>
      <c r="AIS195" s="27">
        <v>1.1000000000000001</v>
      </c>
      <c r="AIT195" s="27">
        <v>1.1000000000000001</v>
      </c>
      <c r="AIU195" s="27"/>
      <c r="AIV195" s="27"/>
      <c r="AIW195" s="27">
        <v>2.88</v>
      </c>
      <c r="AIX195" s="27">
        <v>5.69</v>
      </c>
      <c r="AIY195" s="27">
        <v>0</v>
      </c>
      <c r="AIZ195" s="24">
        <v>0</v>
      </c>
      <c r="AJA195" s="24" t="s">
        <v>704</v>
      </c>
      <c r="AJB195" s="24">
        <v>43.5</v>
      </c>
      <c r="AJC195" s="27">
        <v>66.400000000000006</v>
      </c>
      <c r="AJD195" s="27">
        <v>83.4</v>
      </c>
      <c r="AJE195" s="27">
        <v>16.5</v>
      </c>
      <c r="AJF195" s="24">
        <v>78.510000000000005</v>
      </c>
      <c r="AJG195" s="24">
        <v>0</v>
      </c>
      <c r="AJH195" s="24">
        <v>0</v>
      </c>
      <c r="AJI195" s="24">
        <v>0.19</v>
      </c>
      <c r="AJJ195" s="24">
        <v>6.28</v>
      </c>
      <c r="AJK195" s="24">
        <v>0</v>
      </c>
      <c r="AJL195" s="24">
        <v>7.67</v>
      </c>
      <c r="AJM195" s="24">
        <v>5.27</v>
      </c>
      <c r="AJN195" s="24">
        <v>0</v>
      </c>
      <c r="AJO195" s="24">
        <v>0</v>
      </c>
      <c r="AJP195" s="24">
        <v>0</v>
      </c>
      <c r="AJQ195" s="24">
        <v>7.48</v>
      </c>
      <c r="AJR195" s="24">
        <v>24.58</v>
      </c>
      <c r="AJS195" s="24">
        <v>13.75</v>
      </c>
      <c r="AJT195" s="24">
        <v>0</v>
      </c>
      <c r="AJU195" s="24">
        <v>7.34</v>
      </c>
      <c r="AJV195" s="24">
        <v>0</v>
      </c>
      <c r="AJW195" s="24">
        <v>0</v>
      </c>
      <c r="AKJ195" s="24">
        <v>4.9000000000000004</v>
      </c>
      <c r="AKK195" s="24">
        <v>1</v>
      </c>
      <c r="AKL195" s="24">
        <v>35</v>
      </c>
      <c r="AKM195" s="24">
        <v>2</v>
      </c>
      <c r="AKN195" s="24">
        <f>0.42+0.07</f>
        <v>0.49</v>
      </c>
      <c r="AKO195" s="24">
        <v>3</v>
      </c>
      <c r="AKP195" s="24">
        <v>26</v>
      </c>
      <c r="AKQ195" s="24">
        <v>2</v>
      </c>
      <c r="AKR195" s="24">
        <v>0.12</v>
      </c>
      <c r="AKS195" s="24">
        <v>2</v>
      </c>
      <c r="AKT195" s="24">
        <v>52</v>
      </c>
      <c r="AKU195" s="24">
        <v>1</v>
      </c>
      <c r="AKV195" s="28">
        <v>0.08</v>
      </c>
      <c r="AKW195" s="24">
        <v>2</v>
      </c>
      <c r="ALN195" s="24">
        <v>1</v>
      </c>
      <c r="ALO195" s="24">
        <v>60</v>
      </c>
      <c r="ALP195" s="24">
        <v>5</v>
      </c>
      <c r="ALQ195" s="24">
        <f>0.13+0.42+0.03+0.07+0.19</f>
        <v>0.84000000000000008</v>
      </c>
      <c r="ALR195" s="24">
        <v>1</v>
      </c>
      <c r="ALS195" s="24">
        <v>50</v>
      </c>
      <c r="ALT195" s="24">
        <v>1</v>
      </c>
      <c r="ALU195" s="24">
        <v>0.19</v>
      </c>
      <c r="ALV195" s="24">
        <v>1</v>
      </c>
    </row>
    <row r="196" spans="1:1018" x14ac:dyDescent="0.2">
      <c r="A196" s="1" t="s">
        <v>705</v>
      </c>
      <c r="B196" s="12">
        <v>42902</v>
      </c>
      <c r="C196">
        <v>2</v>
      </c>
      <c r="D196" s="13">
        <v>42790</v>
      </c>
      <c r="E196" s="12">
        <v>30289</v>
      </c>
      <c r="F196" s="14">
        <f t="shared" si="62"/>
        <v>34.53251197809719</v>
      </c>
      <c r="G196" s="14">
        <f t="shared" si="63"/>
        <v>0.30663928815879532</v>
      </c>
      <c r="H196" s="15" t="s">
        <v>228</v>
      </c>
      <c r="I196" s="15" t="s">
        <v>229</v>
      </c>
      <c r="J196" s="15" t="s">
        <v>183</v>
      </c>
      <c r="K196" s="21">
        <v>4</v>
      </c>
      <c r="L196" s="19">
        <v>86</v>
      </c>
      <c r="M196">
        <v>1.85</v>
      </c>
      <c r="N196" s="16">
        <f t="shared" si="64"/>
        <v>25.127830533235937</v>
      </c>
      <c r="O196" s="19">
        <v>0</v>
      </c>
      <c r="P196" s="19">
        <v>0</v>
      </c>
      <c r="Q196" s="19">
        <v>0</v>
      </c>
      <c r="R196" s="26">
        <v>0</v>
      </c>
      <c r="S196" s="26">
        <v>0</v>
      </c>
      <c r="T196" s="26">
        <v>0</v>
      </c>
      <c r="U196" s="19">
        <v>1</v>
      </c>
      <c r="V196" s="19">
        <v>2</v>
      </c>
      <c r="W196" s="19">
        <v>0</v>
      </c>
      <c r="X196" s="19">
        <v>0</v>
      </c>
      <c r="Y196" s="19">
        <v>0</v>
      </c>
      <c r="Z196" s="19">
        <v>0</v>
      </c>
      <c r="AA196" s="19">
        <v>0</v>
      </c>
      <c r="AB196" s="19">
        <v>0</v>
      </c>
      <c r="AC196" s="19">
        <v>0</v>
      </c>
      <c r="AD196" s="19">
        <v>0</v>
      </c>
      <c r="AE196" s="19">
        <v>0</v>
      </c>
      <c r="AF196" s="19">
        <v>0</v>
      </c>
      <c r="AG196" s="19">
        <v>0</v>
      </c>
      <c r="AH196" s="19">
        <v>0</v>
      </c>
      <c r="AI196" s="19">
        <v>0</v>
      </c>
      <c r="AJ196" s="19">
        <v>0</v>
      </c>
      <c r="AK196" s="19">
        <v>0</v>
      </c>
      <c r="AL196" s="19">
        <v>0</v>
      </c>
      <c r="AM196" s="19">
        <v>0</v>
      </c>
      <c r="AN196" s="19">
        <v>0</v>
      </c>
      <c r="AO196" s="19">
        <v>0</v>
      </c>
      <c r="AP196" s="19">
        <v>0</v>
      </c>
      <c r="AQ196" s="19">
        <v>0</v>
      </c>
      <c r="AR196" s="19">
        <v>0</v>
      </c>
      <c r="AS196" s="19">
        <v>1</v>
      </c>
      <c r="AT196" s="19">
        <v>0</v>
      </c>
      <c r="AU196" s="19">
        <v>0</v>
      </c>
      <c r="AV196" s="19">
        <v>0</v>
      </c>
      <c r="AW196" s="19">
        <v>0</v>
      </c>
      <c r="AX196" s="19">
        <v>0</v>
      </c>
      <c r="AY196" s="19">
        <v>0</v>
      </c>
      <c r="AZ196" s="19">
        <v>0</v>
      </c>
      <c r="BA196" s="19">
        <v>0</v>
      </c>
      <c r="BB196" s="19">
        <v>1</v>
      </c>
      <c r="BC196" s="19">
        <v>0</v>
      </c>
      <c r="BD196" s="19">
        <v>1</v>
      </c>
      <c r="BE196" s="19">
        <v>3</v>
      </c>
      <c r="BF196" s="19">
        <v>0</v>
      </c>
      <c r="BG196" s="19">
        <v>0</v>
      </c>
      <c r="BH196" s="19">
        <v>0</v>
      </c>
      <c r="BI196" s="19">
        <v>0</v>
      </c>
      <c r="BJ196" s="19">
        <v>0</v>
      </c>
      <c r="BK196" s="19">
        <v>0</v>
      </c>
      <c r="BL196" s="19">
        <v>0</v>
      </c>
      <c r="BM196" s="19">
        <v>0</v>
      </c>
      <c r="BN196" s="19">
        <v>1</v>
      </c>
      <c r="BO196" s="19">
        <v>0</v>
      </c>
      <c r="BP196" s="19">
        <v>1</v>
      </c>
      <c r="BQ196" s="19">
        <v>3</v>
      </c>
      <c r="BR196" s="19">
        <v>1</v>
      </c>
      <c r="BS196" s="19">
        <v>2</v>
      </c>
      <c r="BT196" s="19">
        <v>3</v>
      </c>
      <c r="BU196" s="19">
        <v>4</v>
      </c>
      <c r="BV196" s="19">
        <v>2</v>
      </c>
      <c r="BW196" s="19">
        <v>1</v>
      </c>
      <c r="BX196" s="19">
        <v>2</v>
      </c>
      <c r="BY196" s="19">
        <v>3</v>
      </c>
      <c r="BZ196" s="19">
        <v>3</v>
      </c>
      <c r="CA196" s="19">
        <v>3</v>
      </c>
      <c r="CB196" s="19">
        <v>4</v>
      </c>
      <c r="CC196" s="19">
        <v>5</v>
      </c>
      <c r="CD196" s="19">
        <v>4</v>
      </c>
      <c r="CE196" s="19">
        <v>4</v>
      </c>
      <c r="CF196" s="19">
        <v>4</v>
      </c>
      <c r="CG196" s="19">
        <v>5</v>
      </c>
      <c r="CH196" s="19">
        <v>4</v>
      </c>
      <c r="CI196" s="19">
        <v>4</v>
      </c>
      <c r="CJ196" s="19">
        <v>4</v>
      </c>
      <c r="CK196" s="19">
        <v>7</v>
      </c>
      <c r="CL196" t="s">
        <v>230</v>
      </c>
      <c r="CM196">
        <v>64</v>
      </c>
      <c r="CN196" s="16">
        <v>74.3</v>
      </c>
      <c r="CO196" s="16">
        <v>81</v>
      </c>
      <c r="CP196" s="16">
        <v>58.5</v>
      </c>
      <c r="CQ196">
        <v>49.17</v>
      </c>
      <c r="CR196">
        <v>0</v>
      </c>
      <c r="CS196">
        <v>34.450000000000003</v>
      </c>
      <c r="CT196">
        <v>16.22</v>
      </c>
      <c r="CU196">
        <v>0.16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2.52</v>
      </c>
      <c r="DE196">
        <v>9.18</v>
      </c>
      <c r="DF196">
        <v>0</v>
      </c>
      <c r="DG196">
        <v>0</v>
      </c>
      <c r="DH196">
        <v>0</v>
      </c>
      <c r="DU196">
        <v>0.3</v>
      </c>
      <c r="DV196">
        <v>1</v>
      </c>
      <c r="DW196">
        <v>34</v>
      </c>
      <c r="DX196">
        <v>8</v>
      </c>
      <c r="DY196">
        <v>0.43</v>
      </c>
      <c r="DZ196">
        <v>1</v>
      </c>
      <c r="EA196">
        <v>47</v>
      </c>
      <c r="EB196">
        <v>1</v>
      </c>
      <c r="EC196">
        <v>0.04</v>
      </c>
      <c r="ED196">
        <v>3</v>
      </c>
      <c r="EG196" s="18"/>
      <c r="EY196">
        <v>0</v>
      </c>
      <c r="GJ196" s="16">
        <v>2.89</v>
      </c>
      <c r="GK196" s="16">
        <v>1</v>
      </c>
      <c r="GL196" s="16">
        <v>1</v>
      </c>
      <c r="GM196" s="16"/>
      <c r="GN196" s="16">
        <v>7.35</v>
      </c>
      <c r="GO196" s="16"/>
      <c r="GP196" s="16"/>
      <c r="GQ196" s="16"/>
      <c r="GR196" s="16"/>
      <c r="GS196" s="16"/>
      <c r="GT196" s="16"/>
      <c r="GU196" s="16">
        <v>0</v>
      </c>
      <c r="GV196" s="16">
        <v>0</v>
      </c>
      <c r="GW196" s="16"/>
      <c r="GX196" s="16"/>
      <c r="GY196" s="16">
        <v>0</v>
      </c>
      <c r="GZ196" s="16">
        <v>0</v>
      </c>
      <c r="HA196" s="16">
        <v>0</v>
      </c>
      <c r="HB196">
        <v>0</v>
      </c>
      <c r="HC196" t="s">
        <v>231</v>
      </c>
      <c r="HD196">
        <v>64.5</v>
      </c>
      <c r="HE196" s="16">
        <v>77.8</v>
      </c>
      <c r="HF196" s="16">
        <v>81</v>
      </c>
      <c r="HG196" s="16">
        <v>52.5</v>
      </c>
      <c r="HH196">
        <v>50.19</v>
      </c>
      <c r="HI196">
        <v>0</v>
      </c>
      <c r="HJ196">
        <v>26.36</v>
      </c>
      <c r="HK196">
        <v>23.45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1.91</v>
      </c>
      <c r="HU196">
        <v>2.12</v>
      </c>
      <c r="HV196">
        <v>0</v>
      </c>
      <c r="HW196">
        <v>0</v>
      </c>
      <c r="HX196">
        <v>0</v>
      </c>
      <c r="HY196">
        <v>0</v>
      </c>
      <c r="IL196">
        <v>5.4</v>
      </c>
      <c r="IM196">
        <v>1</v>
      </c>
      <c r="IN196">
        <v>68</v>
      </c>
      <c r="IO196">
        <v>8</v>
      </c>
      <c r="IP196">
        <f>1.4*2+0.13</f>
        <v>2.9299999999999997</v>
      </c>
      <c r="IQ196">
        <v>1</v>
      </c>
      <c r="IR196">
        <v>34</v>
      </c>
      <c r="IS196">
        <v>1</v>
      </c>
      <c r="IT196">
        <v>0.13</v>
      </c>
      <c r="IU196">
        <v>1</v>
      </c>
      <c r="IX196" s="18"/>
      <c r="JP196">
        <v>1</v>
      </c>
      <c r="JQ196">
        <v>60</v>
      </c>
      <c r="JR196">
        <v>1</v>
      </c>
      <c r="JS196">
        <v>0.22</v>
      </c>
      <c r="JT196">
        <v>3</v>
      </c>
      <c r="LA196" s="16">
        <v>3.48</v>
      </c>
      <c r="LB196" s="16">
        <v>1</v>
      </c>
      <c r="LC196" s="16">
        <v>1</v>
      </c>
      <c r="LD196" s="16"/>
      <c r="LE196" s="16">
        <f>7.35+1.4*2+0.62+0.74+0.03+0.7+0.18+0.03+0.05+0.01</f>
        <v>12.509999999999996</v>
      </c>
      <c r="LF196" s="16"/>
      <c r="LG196" s="16"/>
      <c r="LH196" s="16"/>
      <c r="LI196" s="16"/>
      <c r="LJ196" s="16"/>
      <c r="LK196" s="16"/>
      <c r="LL196" s="16">
        <v>0.13</v>
      </c>
      <c r="LM196" s="16">
        <v>0.13</v>
      </c>
      <c r="LN196" s="16"/>
      <c r="LO196" s="16"/>
      <c r="LP196" s="16">
        <v>0</v>
      </c>
      <c r="LQ196" s="16">
        <v>0</v>
      </c>
      <c r="LR196" s="16">
        <v>0</v>
      </c>
      <c r="LS196">
        <v>0</v>
      </c>
      <c r="LT196" t="s">
        <v>232</v>
      </c>
      <c r="LU196">
        <v>40</v>
      </c>
      <c r="LV196" s="16">
        <v>84.9</v>
      </c>
      <c r="LW196" s="16">
        <v>81</v>
      </c>
      <c r="LX196" s="16">
        <v>13.2</v>
      </c>
      <c r="LY196">
        <v>93.04</v>
      </c>
      <c r="LZ196">
        <v>0</v>
      </c>
      <c r="MA196">
        <v>0</v>
      </c>
      <c r="MB196">
        <v>3.59</v>
      </c>
      <c r="MC196">
        <v>3.38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1.7</v>
      </c>
      <c r="MK196">
        <v>3.97</v>
      </c>
      <c r="ML196">
        <v>39.76</v>
      </c>
      <c r="MM196">
        <v>0.13</v>
      </c>
      <c r="MN196">
        <v>0</v>
      </c>
      <c r="MO196">
        <v>0</v>
      </c>
      <c r="MP196">
        <v>0</v>
      </c>
      <c r="NC196">
        <v>15.9</v>
      </c>
      <c r="ND196">
        <v>1</v>
      </c>
      <c r="NE196">
        <v>47</v>
      </c>
      <c r="NF196">
        <v>2</v>
      </c>
      <c r="NG196">
        <v>1.51</v>
      </c>
      <c r="NH196">
        <v>3</v>
      </c>
      <c r="NO196" s="18"/>
      <c r="OG196">
        <v>1</v>
      </c>
      <c r="OH196">
        <v>40</v>
      </c>
      <c r="OI196">
        <v>7</v>
      </c>
      <c r="OJ196">
        <f>2.27+3.02</f>
        <v>5.29</v>
      </c>
      <c r="OK196">
        <v>3</v>
      </c>
      <c r="PR196" s="16">
        <v>1.48</v>
      </c>
      <c r="PS196" s="16">
        <v>1</v>
      </c>
      <c r="PT196" s="16">
        <v>1</v>
      </c>
      <c r="PU196" s="16"/>
      <c r="PV196" s="16">
        <f>2.1+1.7+0.37+0.74</f>
        <v>4.91</v>
      </c>
      <c r="PW196" s="16"/>
      <c r="PX196" s="16"/>
      <c r="PY196" s="16"/>
      <c r="PZ196" s="16"/>
      <c r="QA196" s="16"/>
      <c r="QB196" s="16"/>
      <c r="QC196" s="16">
        <v>7.34</v>
      </c>
      <c r="QD196" s="16">
        <v>5.01</v>
      </c>
      <c r="QE196" s="16"/>
      <c r="QF196" s="16"/>
      <c r="QG196" s="16">
        <v>0</v>
      </c>
      <c r="QH196" s="16">
        <v>0</v>
      </c>
      <c r="QI196" s="16">
        <v>0</v>
      </c>
      <c r="QJ196">
        <v>0</v>
      </c>
      <c r="QK196" t="s">
        <v>234</v>
      </c>
      <c r="QL196">
        <v>22.5</v>
      </c>
      <c r="QM196" s="16">
        <v>60.3</v>
      </c>
      <c r="QN196" s="16">
        <v>81</v>
      </c>
      <c r="QO196" s="16">
        <v>13.3</v>
      </c>
      <c r="QP196">
        <v>92.98</v>
      </c>
      <c r="QQ196">
        <v>0</v>
      </c>
      <c r="QR196">
        <v>0</v>
      </c>
      <c r="QS196">
        <v>0</v>
      </c>
      <c r="QT196">
        <v>7.02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0.72</v>
      </c>
      <c r="RC196">
        <v>23.12</v>
      </c>
      <c r="RD196">
        <v>24.81</v>
      </c>
      <c r="RE196">
        <v>0</v>
      </c>
      <c r="RF196">
        <v>0</v>
      </c>
      <c r="RG196">
        <v>0</v>
      </c>
      <c r="RT196">
        <v>0</v>
      </c>
      <c r="RU196">
        <v>1</v>
      </c>
      <c r="RV196">
        <v>23</v>
      </c>
      <c r="RW196">
        <v>1</v>
      </c>
      <c r="RX196">
        <v>0.3</v>
      </c>
      <c r="RY196">
        <v>3</v>
      </c>
      <c r="SF196" s="18"/>
      <c r="SX196">
        <v>0</v>
      </c>
      <c r="UI196" s="16">
        <v>1.26</v>
      </c>
      <c r="UJ196" s="16">
        <v>1</v>
      </c>
      <c r="UK196" s="16">
        <v>1</v>
      </c>
      <c r="UL196" s="16"/>
      <c r="UM196" s="16">
        <f>2.1+1.7+0.4+0.37+0.74</f>
        <v>5.3100000000000005</v>
      </c>
      <c r="UN196" s="16"/>
      <c r="UO196" s="16"/>
      <c r="UP196" s="16"/>
      <c r="UQ196" s="16"/>
      <c r="UR196" s="16"/>
      <c r="US196" s="16"/>
      <c r="UT196" s="16">
        <v>6.24</v>
      </c>
      <c r="UU196" s="16">
        <v>6.99</v>
      </c>
      <c r="UV196" s="16"/>
      <c r="UW196" s="16"/>
      <c r="UX196" s="16">
        <v>0</v>
      </c>
      <c r="UY196" s="16">
        <v>0</v>
      </c>
      <c r="UZ196" s="16">
        <v>0</v>
      </c>
      <c r="VA196">
        <v>0</v>
      </c>
      <c r="VB196" t="s">
        <v>235</v>
      </c>
      <c r="VC196">
        <v>37</v>
      </c>
      <c r="VD196" s="16">
        <v>81.900000000000006</v>
      </c>
      <c r="VE196" s="16">
        <v>81</v>
      </c>
      <c r="VF196" s="16">
        <v>26.3</v>
      </c>
      <c r="VG196">
        <v>68.540000000000006</v>
      </c>
      <c r="VH196">
        <v>0</v>
      </c>
      <c r="VI196">
        <v>0</v>
      </c>
      <c r="VJ196">
        <v>0</v>
      </c>
      <c r="VK196">
        <v>31.46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5.42</v>
      </c>
      <c r="VT196">
        <v>17.37</v>
      </c>
      <c r="VU196">
        <v>41.85</v>
      </c>
      <c r="VV196">
        <v>0</v>
      </c>
      <c r="VW196">
        <v>0</v>
      </c>
      <c r="VX196">
        <v>0</v>
      </c>
      <c r="WK196">
        <v>0</v>
      </c>
      <c r="WL196">
        <v>1</v>
      </c>
      <c r="WM196">
        <v>23</v>
      </c>
      <c r="WN196">
        <v>2</v>
      </c>
      <c r="WO196">
        <v>2.11</v>
      </c>
      <c r="WP196">
        <v>3</v>
      </c>
      <c r="WW196" s="18"/>
      <c r="XO196">
        <v>0</v>
      </c>
      <c r="YZ196" s="16">
        <v>2.64</v>
      </c>
      <c r="ZA196" s="16">
        <v>1</v>
      </c>
      <c r="ZB196" s="16">
        <v>1</v>
      </c>
      <c r="ZC196" s="16"/>
      <c r="ZD196" s="16">
        <f>4.2*2+1.7+5.1+0.37+0.74</f>
        <v>16.309999999999999</v>
      </c>
      <c r="ZE196" s="16"/>
      <c r="ZF196" s="16"/>
      <c r="ZG196" s="16"/>
      <c r="ZH196" s="16"/>
      <c r="ZI196" s="16"/>
      <c r="ZJ196" s="16"/>
      <c r="ZK196" s="16">
        <v>5.32</v>
      </c>
      <c r="ZL196" s="16">
        <v>8.0399999999999991</v>
      </c>
      <c r="ZM196" s="16"/>
      <c r="ZN196" s="16"/>
      <c r="ZO196" s="16">
        <v>0</v>
      </c>
      <c r="ZP196" s="16">
        <v>0</v>
      </c>
      <c r="ZQ196" s="16">
        <v>0</v>
      </c>
      <c r="ZR196">
        <v>0</v>
      </c>
      <c r="ZS196" t="s">
        <v>236</v>
      </c>
      <c r="ZT196">
        <v>51</v>
      </c>
      <c r="ZU196" s="16">
        <v>93.4</v>
      </c>
      <c r="ZV196" s="16">
        <v>81</v>
      </c>
      <c r="ZW196" s="16">
        <v>29.5</v>
      </c>
      <c r="ZX196">
        <v>55.24</v>
      </c>
      <c r="ZY196">
        <v>0</v>
      </c>
      <c r="ZZ196">
        <v>0</v>
      </c>
      <c r="AAA196">
        <v>0</v>
      </c>
      <c r="AAB196">
        <v>44.76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0.67</v>
      </c>
      <c r="AAJ196">
        <v>5.0999999999999996</v>
      </c>
      <c r="AAK196">
        <v>47.22</v>
      </c>
      <c r="AAL196">
        <v>18.3</v>
      </c>
      <c r="AAM196">
        <v>0</v>
      </c>
      <c r="AAN196">
        <v>7.5</v>
      </c>
      <c r="AAO196">
        <v>1</v>
      </c>
      <c r="AAP196">
        <v>3.6</v>
      </c>
      <c r="AAR196">
        <v>1</v>
      </c>
      <c r="AAV196">
        <v>3.6</v>
      </c>
      <c r="AAX196">
        <v>1</v>
      </c>
      <c r="ABB196">
        <v>0</v>
      </c>
      <c r="ABC196">
        <v>0</v>
      </c>
      <c r="ABN196" s="18"/>
      <c r="ACF196">
        <v>0</v>
      </c>
      <c r="ADQ196" s="16">
        <v>1.95</v>
      </c>
      <c r="ADR196" s="16">
        <v>1</v>
      </c>
      <c r="ADS196" s="16">
        <v>1</v>
      </c>
      <c r="ADT196" s="16"/>
      <c r="ADU196" s="16">
        <f>2.42+1.67+5+0.22+0.66+0.22</f>
        <v>10.190000000000001</v>
      </c>
      <c r="ADV196" s="16"/>
      <c r="ADW196" s="16"/>
      <c r="ADX196" s="16"/>
      <c r="ADY196" s="16"/>
      <c r="ADZ196" s="16"/>
      <c r="AEA196" s="16"/>
      <c r="AEB196" s="16">
        <v>5.63</v>
      </c>
      <c r="AEC196" s="16">
        <v>11.04</v>
      </c>
      <c r="AED196" s="16"/>
      <c r="AEE196" s="16"/>
      <c r="AEF196" s="16">
        <v>0</v>
      </c>
      <c r="AEG196" s="16">
        <v>0</v>
      </c>
      <c r="AEH196" s="16">
        <v>0</v>
      </c>
      <c r="AEI196">
        <v>0</v>
      </c>
      <c r="AEJ196" t="s">
        <v>237</v>
      </c>
      <c r="AEK196">
        <v>46</v>
      </c>
      <c r="AEL196" s="16">
        <v>92.7</v>
      </c>
      <c r="AEM196" s="16">
        <v>81</v>
      </c>
      <c r="AEN196" s="16">
        <v>20.8</v>
      </c>
      <c r="AEO196">
        <v>76.44</v>
      </c>
      <c r="AEP196">
        <v>0</v>
      </c>
      <c r="AEQ196">
        <v>0</v>
      </c>
      <c r="AER196">
        <v>0</v>
      </c>
      <c r="AES196">
        <v>23.56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0.23</v>
      </c>
      <c r="AFA196">
        <v>0.51</v>
      </c>
      <c r="AFB196">
        <v>26.55</v>
      </c>
      <c r="AFC196">
        <v>36.69</v>
      </c>
      <c r="AFD196">
        <v>0</v>
      </c>
      <c r="AFE196">
        <v>10.6</v>
      </c>
      <c r="AFF196">
        <v>1</v>
      </c>
      <c r="AFG196">
        <v>6</v>
      </c>
      <c r="AFI196">
        <v>1</v>
      </c>
      <c r="AFM196">
        <v>6</v>
      </c>
      <c r="AFO196">
        <v>1</v>
      </c>
      <c r="AFS196">
        <v>7.1</v>
      </c>
      <c r="AFT196">
        <v>1</v>
      </c>
      <c r="AFU196">
        <v>35</v>
      </c>
      <c r="AFV196">
        <v>2</v>
      </c>
      <c r="AFW196">
        <f>0.76*2</f>
        <v>1.52</v>
      </c>
      <c r="AFX196">
        <v>3</v>
      </c>
      <c r="AGE196" s="18"/>
      <c r="AGW196">
        <v>0</v>
      </c>
      <c r="AIH196" s="16">
        <v>2.41</v>
      </c>
      <c r="AII196" s="16">
        <v>1</v>
      </c>
      <c r="AIJ196" s="16">
        <v>1</v>
      </c>
      <c r="AIK196" s="16"/>
      <c r="AIL196" s="16">
        <f>0.41+1.67+5+0.33+0.45+0.15</f>
        <v>8.01</v>
      </c>
      <c r="AIM196" s="16"/>
      <c r="AIN196" s="16"/>
      <c r="AIO196" s="16"/>
      <c r="AIP196" s="16"/>
      <c r="AIQ196" s="16"/>
      <c r="AIR196" s="16"/>
      <c r="AIS196" s="16">
        <v>0.33</v>
      </c>
      <c r="AIT196" s="16">
        <v>0.33</v>
      </c>
      <c r="AIU196" s="16"/>
      <c r="AIV196" s="16"/>
      <c r="AIW196" s="16">
        <v>0</v>
      </c>
      <c r="AIX196" s="16">
        <v>0</v>
      </c>
      <c r="AIY196" s="16">
        <v>0</v>
      </c>
      <c r="AIZ196">
        <v>0</v>
      </c>
      <c r="AJA196" t="s">
        <v>461</v>
      </c>
      <c r="AJB196">
        <v>38</v>
      </c>
      <c r="AJC196" s="16">
        <v>84.5</v>
      </c>
      <c r="AJD196" s="16">
        <v>81</v>
      </c>
      <c r="AJE196" s="16">
        <v>11.8</v>
      </c>
      <c r="AJF196">
        <v>99.78</v>
      </c>
      <c r="AJG196">
        <v>0</v>
      </c>
      <c r="AJH196">
        <v>0</v>
      </c>
      <c r="AJI196">
        <v>0</v>
      </c>
      <c r="AJJ196">
        <v>0.22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7.31</v>
      </c>
      <c r="AJR196">
        <v>0</v>
      </c>
      <c r="AJS196">
        <v>30.29</v>
      </c>
      <c r="AJT196">
        <v>31.72</v>
      </c>
      <c r="AJU196">
        <v>0</v>
      </c>
      <c r="AJV196">
        <v>0</v>
      </c>
      <c r="AJW196">
        <v>0</v>
      </c>
      <c r="AKJ196">
        <v>14</v>
      </c>
      <c r="AKK196">
        <v>1</v>
      </c>
      <c r="AKL196">
        <v>52</v>
      </c>
      <c r="AKM196">
        <v>6</v>
      </c>
      <c r="AKN196">
        <v>4.53</v>
      </c>
      <c r="AKO196">
        <v>2</v>
      </c>
      <c r="AKV196" s="18"/>
      <c r="ALN196">
        <v>1</v>
      </c>
      <c r="ALO196">
        <v>50</v>
      </c>
      <c r="ALP196">
        <v>3</v>
      </c>
      <c r="ALQ196">
        <v>0.4</v>
      </c>
      <c r="ALR196">
        <v>6</v>
      </c>
    </row>
    <row r="197" spans="1:1018" x14ac:dyDescent="0.2">
      <c r="A197" s="1" t="s">
        <v>706</v>
      </c>
      <c r="B197" s="12">
        <v>42900</v>
      </c>
      <c r="C197">
        <v>2</v>
      </c>
      <c r="D197" s="13">
        <v>42821</v>
      </c>
      <c r="E197" s="12">
        <v>34813</v>
      </c>
      <c r="F197" s="14">
        <f t="shared" si="62"/>
        <v>22.140999315537304</v>
      </c>
      <c r="G197" s="14">
        <f t="shared" si="63"/>
        <v>0.216290212183436</v>
      </c>
      <c r="H197" s="15" t="s">
        <v>228</v>
      </c>
      <c r="I197" s="15" t="s">
        <v>229</v>
      </c>
      <c r="J197" s="15" t="s">
        <v>183</v>
      </c>
      <c r="K197" s="21">
        <v>8</v>
      </c>
      <c r="L197" s="19">
        <v>99</v>
      </c>
      <c r="M197">
        <v>1.67</v>
      </c>
      <c r="N197" s="16">
        <f t="shared" si="64"/>
        <v>35.49786654236437</v>
      </c>
      <c r="O197" s="19">
        <v>0</v>
      </c>
      <c r="P197" s="19">
        <v>0</v>
      </c>
      <c r="Q197" s="19">
        <v>0</v>
      </c>
      <c r="R197" s="26">
        <v>0</v>
      </c>
      <c r="S197" s="26">
        <v>0</v>
      </c>
      <c r="T197" s="26">
        <v>0</v>
      </c>
      <c r="U197" s="19">
        <v>1</v>
      </c>
      <c r="V197" s="19">
        <v>7</v>
      </c>
      <c r="W197" s="19">
        <v>0</v>
      </c>
      <c r="X197" s="19">
        <v>0</v>
      </c>
      <c r="Y197" s="19">
        <v>1</v>
      </c>
      <c r="Z197" s="19">
        <v>1</v>
      </c>
      <c r="AA197" s="19">
        <v>90</v>
      </c>
      <c r="AB197" s="19" t="s">
        <v>707</v>
      </c>
      <c r="AC197" s="19">
        <v>0</v>
      </c>
      <c r="AD197" s="19">
        <v>0</v>
      </c>
      <c r="AE197" s="19">
        <v>0</v>
      </c>
      <c r="AF197" s="19">
        <v>0</v>
      </c>
      <c r="AG197" s="19">
        <v>0</v>
      </c>
      <c r="AH197" s="19">
        <v>0</v>
      </c>
      <c r="AI197" s="19">
        <v>0</v>
      </c>
      <c r="AJ197" s="19">
        <v>0</v>
      </c>
      <c r="AK197" s="19">
        <v>0</v>
      </c>
      <c r="AL197" s="19">
        <v>0</v>
      </c>
      <c r="AM197" s="19">
        <v>0</v>
      </c>
      <c r="AN197" s="19">
        <v>0</v>
      </c>
      <c r="AO197" s="19">
        <v>0</v>
      </c>
      <c r="AP197" s="19">
        <v>0</v>
      </c>
      <c r="AQ197" s="19">
        <v>0</v>
      </c>
      <c r="AR197" s="19">
        <v>0</v>
      </c>
      <c r="AS197" s="19">
        <v>0</v>
      </c>
      <c r="AT197" s="19">
        <v>0</v>
      </c>
      <c r="AU197" s="19">
        <v>0</v>
      </c>
      <c r="AV197" s="19">
        <v>0</v>
      </c>
      <c r="AW197" s="19">
        <v>0</v>
      </c>
      <c r="AX197" s="19">
        <v>0</v>
      </c>
      <c r="AY197" s="19">
        <v>0</v>
      </c>
      <c r="AZ197" s="19">
        <v>0</v>
      </c>
      <c r="BA197" s="19">
        <v>0</v>
      </c>
      <c r="BB197" s="19">
        <v>0</v>
      </c>
      <c r="BC197" s="19">
        <v>0</v>
      </c>
      <c r="BD197" s="19">
        <v>0</v>
      </c>
      <c r="BE197" s="19">
        <v>0</v>
      </c>
      <c r="BF197" s="19">
        <v>0</v>
      </c>
      <c r="BG197" s="19">
        <v>0</v>
      </c>
      <c r="BH197" s="19">
        <v>0</v>
      </c>
      <c r="BI197" s="19">
        <v>0</v>
      </c>
      <c r="BJ197" s="26">
        <v>0</v>
      </c>
      <c r="BK197" s="26">
        <v>0</v>
      </c>
      <c r="BL197" s="26">
        <v>0</v>
      </c>
      <c r="BM197" s="26">
        <v>0</v>
      </c>
      <c r="BN197" s="19">
        <v>0</v>
      </c>
      <c r="BO197" s="19">
        <v>0</v>
      </c>
      <c r="BP197" s="19">
        <v>0</v>
      </c>
      <c r="BQ197" s="19">
        <v>0</v>
      </c>
      <c r="BR197" s="19"/>
      <c r="BS197" s="19"/>
      <c r="BT197" s="19"/>
      <c r="BU197" s="19"/>
      <c r="BV197" s="19"/>
      <c r="BW197" s="19"/>
      <c r="BX197" s="19"/>
      <c r="BY197" s="19"/>
      <c r="BZ197" s="19"/>
      <c r="CA197" s="19"/>
      <c r="CB197" s="19"/>
      <c r="CC197" s="19"/>
      <c r="CD197" s="19"/>
      <c r="CE197" s="19"/>
      <c r="CF197" s="19"/>
      <c r="CG197" s="19"/>
      <c r="CH197" s="19">
        <v>5</v>
      </c>
      <c r="CI197" s="19">
        <v>5</v>
      </c>
      <c r="CJ197" s="19">
        <v>4</v>
      </c>
      <c r="CK197" s="19">
        <v>8</v>
      </c>
      <c r="CL197" t="s">
        <v>231</v>
      </c>
      <c r="CM197">
        <v>64.5</v>
      </c>
      <c r="CN197" s="16">
        <v>77.8</v>
      </c>
      <c r="CO197" s="16">
        <v>81</v>
      </c>
      <c r="CP197" s="16">
        <v>52.5</v>
      </c>
      <c r="CQ197">
        <v>50.19</v>
      </c>
      <c r="CR197">
        <v>0</v>
      </c>
      <c r="CS197">
        <v>26.36</v>
      </c>
      <c r="CT197">
        <v>23.45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1.91</v>
      </c>
      <c r="DD197">
        <v>2.12</v>
      </c>
      <c r="DE197">
        <v>0</v>
      </c>
      <c r="DF197">
        <v>0</v>
      </c>
      <c r="DG197">
        <v>0</v>
      </c>
      <c r="DH197">
        <v>0</v>
      </c>
      <c r="DU197">
        <v>5.4</v>
      </c>
      <c r="DV197">
        <v>1</v>
      </c>
      <c r="DW197">
        <v>68</v>
      </c>
      <c r="DX197">
        <v>8</v>
      </c>
      <c r="DY197">
        <f>1.4*2+0.13</f>
        <v>2.9299999999999997</v>
      </c>
      <c r="DZ197">
        <v>1</v>
      </c>
      <c r="EA197">
        <v>34</v>
      </c>
      <c r="EB197">
        <v>1</v>
      </c>
      <c r="EC197">
        <v>0.13</v>
      </c>
      <c r="ED197">
        <v>1</v>
      </c>
      <c r="EG197" s="18"/>
      <c r="EY197">
        <v>1</v>
      </c>
      <c r="EZ197">
        <v>60</v>
      </c>
      <c r="FA197">
        <v>1</v>
      </c>
      <c r="FB197">
        <v>0.22</v>
      </c>
      <c r="FC197">
        <v>3</v>
      </c>
      <c r="GJ197" s="16">
        <v>3.48</v>
      </c>
      <c r="GK197" s="16">
        <v>1</v>
      </c>
      <c r="GL197" s="16">
        <v>1</v>
      </c>
      <c r="GM197" s="16"/>
      <c r="GN197" s="16">
        <f>7.35+1.4*2+0.62+0.74+0.03+0.7+0.18+0.03+0.05+0.01</f>
        <v>12.509999999999996</v>
      </c>
      <c r="GO197" s="16"/>
      <c r="GP197" s="16"/>
      <c r="GQ197" s="16"/>
      <c r="GR197" s="16"/>
      <c r="GS197" s="16"/>
      <c r="GT197" s="16"/>
      <c r="GU197" s="16">
        <v>0.13</v>
      </c>
      <c r="GV197" s="16">
        <v>0.13</v>
      </c>
      <c r="GW197" s="16"/>
      <c r="GX197" s="16"/>
      <c r="GY197" s="16">
        <v>0</v>
      </c>
      <c r="GZ197" s="16">
        <v>0</v>
      </c>
      <c r="HA197" s="16">
        <v>0</v>
      </c>
      <c r="HB197">
        <v>0</v>
      </c>
      <c r="HC197" t="s">
        <v>237</v>
      </c>
      <c r="HD197">
        <v>46</v>
      </c>
      <c r="HE197" s="16">
        <v>92.7</v>
      </c>
      <c r="HF197" s="16">
        <v>81</v>
      </c>
      <c r="HG197" s="16">
        <v>20.8</v>
      </c>
      <c r="HH197">
        <v>76.44</v>
      </c>
      <c r="HI197">
        <v>0</v>
      </c>
      <c r="HJ197">
        <v>0</v>
      </c>
      <c r="HK197">
        <v>0</v>
      </c>
      <c r="HL197">
        <v>23.56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0.23</v>
      </c>
      <c r="HT197">
        <v>0.51</v>
      </c>
      <c r="HU197">
        <v>26.55</v>
      </c>
      <c r="HV197">
        <v>36.69</v>
      </c>
      <c r="HW197">
        <v>0</v>
      </c>
      <c r="HX197">
        <v>10.6</v>
      </c>
      <c r="HY197">
        <v>1</v>
      </c>
      <c r="HZ197">
        <v>6</v>
      </c>
      <c r="IB197">
        <v>1</v>
      </c>
      <c r="IF197">
        <v>6</v>
      </c>
      <c r="IH197">
        <v>1</v>
      </c>
      <c r="IL197">
        <v>7.1</v>
      </c>
      <c r="IM197">
        <v>1</v>
      </c>
      <c r="IN197">
        <v>35</v>
      </c>
      <c r="IO197">
        <v>2</v>
      </c>
      <c r="IP197">
        <f>0.76*2</f>
        <v>1.52</v>
      </c>
      <c r="IQ197">
        <v>3</v>
      </c>
      <c r="IX197" s="18"/>
      <c r="JP197">
        <v>0</v>
      </c>
      <c r="LA197" s="16">
        <v>2.41</v>
      </c>
      <c r="LB197" s="16">
        <v>1</v>
      </c>
      <c r="LC197" s="16">
        <v>1</v>
      </c>
      <c r="LD197" s="16"/>
      <c r="LE197" s="16">
        <f>0.41+1.67+5+0.33+0.45+0.15</f>
        <v>8.01</v>
      </c>
      <c r="LF197" s="16"/>
      <c r="LG197" s="16"/>
      <c r="LH197" s="16"/>
      <c r="LI197" s="16"/>
      <c r="LJ197" s="16"/>
      <c r="LK197" s="16"/>
      <c r="LL197" s="16">
        <v>0.33</v>
      </c>
      <c r="LM197" s="16">
        <v>0.33</v>
      </c>
      <c r="LN197" s="16"/>
      <c r="LO197" s="16"/>
      <c r="LP197" s="16">
        <v>0</v>
      </c>
      <c r="LQ197" s="16">
        <v>0</v>
      </c>
      <c r="LR197" s="16">
        <v>0</v>
      </c>
      <c r="LS197">
        <v>0</v>
      </c>
      <c r="LT197" t="s">
        <v>461</v>
      </c>
      <c r="LU197">
        <v>38</v>
      </c>
      <c r="LV197" s="16">
        <v>84.5</v>
      </c>
      <c r="LW197" s="16">
        <v>81</v>
      </c>
      <c r="LX197" s="16">
        <v>11.8</v>
      </c>
      <c r="LY197">
        <v>99.78</v>
      </c>
      <c r="LZ197">
        <v>0</v>
      </c>
      <c r="MA197">
        <v>0</v>
      </c>
      <c r="MB197">
        <v>0</v>
      </c>
      <c r="MC197">
        <v>0.22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7.31</v>
      </c>
      <c r="MK197">
        <v>0</v>
      </c>
      <c r="ML197">
        <v>30.29</v>
      </c>
      <c r="MM197">
        <v>31.72</v>
      </c>
      <c r="MN197">
        <v>0</v>
      </c>
      <c r="MO197">
        <v>0</v>
      </c>
      <c r="MP197">
        <v>0</v>
      </c>
      <c r="NC197">
        <v>14</v>
      </c>
      <c r="ND197">
        <v>1</v>
      </c>
      <c r="NE197">
        <v>52</v>
      </c>
      <c r="NF197">
        <v>6</v>
      </c>
      <c r="NG197">
        <v>4.53</v>
      </c>
      <c r="NH197">
        <v>2</v>
      </c>
      <c r="NO197" s="18"/>
      <c r="OG197">
        <v>1</v>
      </c>
      <c r="OH197">
        <v>50</v>
      </c>
      <c r="OI197">
        <v>3</v>
      </c>
      <c r="OJ197">
        <v>0.4</v>
      </c>
      <c r="OK197">
        <v>6</v>
      </c>
      <c r="PR197" s="16">
        <v>3.9</v>
      </c>
      <c r="PS197" s="16">
        <v>1</v>
      </c>
      <c r="PT197" s="16">
        <v>1</v>
      </c>
      <c r="PU197" s="16"/>
      <c r="PV197" s="16">
        <f>1.7*3+4.53+2.64*2+0.6</f>
        <v>15.51</v>
      </c>
      <c r="PW197" s="16"/>
      <c r="PX197" s="16"/>
      <c r="PY197" s="16"/>
      <c r="PZ197" s="16"/>
      <c r="QA197" s="16"/>
      <c r="QB197" s="16"/>
      <c r="QC197" s="16">
        <v>8.14</v>
      </c>
      <c r="QD197" s="16">
        <v>15.87</v>
      </c>
      <c r="QE197" s="16"/>
      <c r="QF197" s="16"/>
      <c r="QG197" s="16">
        <v>0</v>
      </c>
      <c r="QH197" s="16">
        <v>0</v>
      </c>
      <c r="QI197" s="16">
        <v>0</v>
      </c>
      <c r="QJ197">
        <v>0</v>
      </c>
      <c r="QK197" t="s">
        <v>595</v>
      </c>
      <c r="QL197">
        <v>21.5</v>
      </c>
      <c r="QM197" s="16">
        <v>79.7</v>
      </c>
      <c r="QN197" s="16">
        <v>81</v>
      </c>
      <c r="QO197" s="16">
        <v>7.9</v>
      </c>
      <c r="QP197">
        <v>99.71</v>
      </c>
      <c r="QQ197">
        <v>0</v>
      </c>
      <c r="QR197">
        <v>0</v>
      </c>
      <c r="QS197">
        <v>0</v>
      </c>
      <c r="QT197">
        <v>0.28999999999999998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11.15</v>
      </c>
      <c r="RC197">
        <v>33.119999999999997</v>
      </c>
      <c r="RD197">
        <v>8.7200000000000006</v>
      </c>
      <c r="RE197">
        <v>0</v>
      </c>
      <c r="RF197">
        <v>0</v>
      </c>
      <c r="RG197">
        <v>0</v>
      </c>
      <c r="RT197">
        <v>0</v>
      </c>
      <c r="RU197">
        <v>1</v>
      </c>
      <c r="RV197">
        <v>23</v>
      </c>
      <c r="RW197">
        <v>1</v>
      </c>
      <c r="RX197">
        <v>2.27</v>
      </c>
      <c r="RY197">
        <v>3</v>
      </c>
      <c r="SF197" s="18"/>
      <c r="SX197">
        <v>1</v>
      </c>
      <c r="SY197">
        <v>50</v>
      </c>
      <c r="SZ197">
        <v>9</v>
      </c>
      <c r="TA197">
        <v>4.93</v>
      </c>
      <c r="TB197">
        <v>3</v>
      </c>
      <c r="UI197" s="16">
        <v>2</v>
      </c>
      <c r="UJ197" s="16">
        <v>1</v>
      </c>
      <c r="UK197" s="16">
        <v>1</v>
      </c>
      <c r="UL197" s="16"/>
      <c r="UM197" s="16">
        <f>1.7+2.1*2+0.6</f>
        <v>6.5</v>
      </c>
      <c r="UN197" s="16"/>
      <c r="UO197" s="16"/>
      <c r="UP197" s="16"/>
      <c r="UQ197" s="16"/>
      <c r="UR197" s="16"/>
      <c r="US197" s="16"/>
      <c r="UT197" s="16">
        <v>11.21</v>
      </c>
      <c r="UU197" s="16">
        <v>16.21</v>
      </c>
      <c r="UV197" s="16"/>
      <c r="UW197" s="16"/>
      <c r="UX197" s="16">
        <v>0</v>
      </c>
      <c r="UY197" s="16">
        <v>0</v>
      </c>
      <c r="UZ197" s="16">
        <v>0</v>
      </c>
      <c r="VA197">
        <v>0</v>
      </c>
      <c r="VB197" t="s">
        <v>462</v>
      </c>
      <c r="VC197">
        <v>47.5</v>
      </c>
      <c r="VD197" s="16">
        <v>85.1</v>
      </c>
      <c r="VE197" s="16">
        <v>81</v>
      </c>
      <c r="VF197" s="16">
        <v>33.200000000000003</v>
      </c>
      <c r="VG197">
        <v>52.89</v>
      </c>
      <c r="VH197">
        <v>0</v>
      </c>
      <c r="VI197">
        <v>0</v>
      </c>
      <c r="VJ197">
        <v>0</v>
      </c>
      <c r="VK197">
        <v>47.11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3.65</v>
      </c>
      <c r="VS197">
        <v>0</v>
      </c>
      <c r="VT197">
        <v>19.66</v>
      </c>
      <c r="VU197">
        <v>48.22</v>
      </c>
      <c r="VV197">
        <v>0</v>
      </c>
      <c r="VW197">
        <v>5.3</v>
      </c>
      <c r="VX197">
        <v>1</v>
      </c>
      <c r="VY197">
        <v>5</v>
      </c>
      <c r="WA197">
        <v>1</v>
      </c>
      <c r="WE197">
        <v>5</v>
      </c>
      <c r="WG197">
        <v>1</v>
      </c>
      <c r="WK197">
        <v>1.5</v>
      </c>
      <c r="WL197">
        <v>0</v>
      </c>
      <c r="WW197" s="18"/>
      <c r="XO197">
        <v>1</v>
      </c>
      <c r="XP197">
        <v>60</v>
      </c>
      <c r="XQ197">
        <v>1</v>
      </c>
      <c r="XR197">
        <v>3.97</v>
      </c>
      <c r="XS197">
        <v>4</v>
      </c>
      <c r="XT197">
        <v>60</v>
      </c>
      <c r="XU197">
        <v>1</v>
      </c>
      <c r="XV197">
        <v>0.2</v>
      </c>
      <c r="XW197">
        <v>3</v>
      </c>
      <c r="YZ197" s="16">
        <v>1.3</v>
      </c>
      <c r="ZA197" s="16">
        <v>1</v>
      </c>
      <c r="ZB197" s="16">
        <v>1</v>
      </c>
      <c r="ZC197" s="16"/>
      <c r="ZD197" s="16">
        <f>1.05*2+0.15</f>
        <v>2.25</v>
      </c>
      <c r="ZE197" s="16"/>
      <c r="ZF197" s="16"/>
      <c r="ZG197" s="16"/>
      <c r="ZH197" s="16"/>
      <c r="ZI197" s="16"/>
      <c r="ZJ197" s="16"/>
      <c r="ZK197" s="16">
        <v>0.69</v>
      </c>
      <c r="ZL197" s="16">
        <v>0.33</v>
      </c>
      <c r="ZM197" s="16"/>
      <c r="ZN197" s="16"/>
      <c r="ZO197" s="16">
        <v>0</v>
      </c>
      <c r="ZP197" s="16">
        <v>0</v>
      </c>
      <c r="ZQ197" s="16">
        <v>0</v>
      </c>
      <c r="ZR197">
        <v>0</v>
      </c>
      <c r="ZS197" t="s">
        <v>463</v>
      </c>
      <c r="ZT197">
        <v>50</v>
      </c>
      <c r="ZU197" s="16">
        <v>86.6</v>
      </c>
      <c r="ZV197" s="16">
        <v>81</v>
      </c>
      <c r="ZW197" s="16">
        <v>31.6</v>
      </c>
      <c r="ZX197">
        <v>51.98</v>
      </c>
      <c r="ZY197">
        <v>0</v>
      </c>
      <c r="ZZ197">
        <v>0</v>
      </c>
      <c r="AAA197">
        <v>0</v>
      </c>
      <c r="AAB197">
        <v>48.02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34.880000000000003</v>
      </c>
      <c r="AAL197">
        <v>40.97</v>
      </c>
      <c r="AAM197">
        <v>0</v>
      </c>
      <c r="AAN197">
        <v>12</v>
      </c>
      <c r="AAO197">
        <v>1</v>
      </c>
      <c r="AAP197">
        <v>7</v>
      </c>
      <c r="AAR197">
        <v>1</v>
      </c>
      <c r="AAV197">
        <v>7</v>
      </c>
      <c r="AAX197">
        <v>1</v>
      </c>
      <c r="ABB197">
        <v>0.4</v>
      </c>
      <c r="ABC197">
        <v>0</v>
      </c>
      <c r="ABN197" s="18"/>
      <c r="ACF197">
        <v>1</v>
      </c>
      <c r="ACG197">
        <v>60</v>
      </c>
      <c r="ACH197">
        <v>1</v>
      </c>
      <c r="ACI197">
        <v>0.53</v>
      </c>
      <c r="ACJ197">
        <v>4</v>
      </c>
      <c r="ACK197">
        <v>60</v>
      </c>
      <c r="ACL197">
        <v>1</v>
      </c>
      <c r="ACM197">
        <v>0.6</v>
      </c>
      <c r="ACN197">
        <v>3</v>
      </c>
      <c r="ADQ197" s="16">
        <v>0.22</v>
      </c>
      <c r="ADR197" s="16">
        <v>1</v>
      </c>
      <c r="ADS197" s="16">
        <v>1</v>
      </c>
      <c r="ADT197" s="16"/>
      <c r="ADU197" s="16">
        <f>0.37*2</f>
        <v>0.74</v>
      </c>
      <c r="ADV197" s="16"/>
      <c r="ADW197" s="16"/>
      <c r="ADX197" s="16"/>
      <c r="ADY197" s="16"/>
      <c r="ADZ197" s="16"/>
      <c r="AEA197" s="16"/>
      <c r="AEB197" s="16">
        <v>0</v>
      </c>
      <c r="AEC197" s="16">
        <v>0</v>
      </c>
      <c r="AED197" s="16"/>
      <c r="AEE197" s="16"/>
      <c r="AEF197" s="16">
        <v>0</v>
      </c>
      <c r="AEG197" s="16">
        <v>0</v>
      </c>
      <c r="AEH197" s="16">
        <v>0</v>
      </c>
      <c r="AEI197">
        <v>0</v>
      </c>
      <c r="AEK197" s="15"/>
      <c r="AEL197" s="15"/>
      <c r="AES197" s="15"/>
      <c r="AET197" s="15"/>
      <c r="AFA197" s="15"/>
      <c r="AFB197" s="15"/>
      <c r="AFI197" s="15"/>
      <c r="AFJ197" s="15"/>
      <c r="AFQ197" s="15"/>
      <c r="AFR197" s="15"/>
      <c r="AFY197" s="15"/>
      <c r="AFZ197" s="15"/>
      <c r="AGG197" s="15"/>
      <c r="AGH197" s="15"/>
      <c r="AGO197" s="15"/>
      <c r="AGP197" s="15"/>
      <c r="AGW197" s="15"/>
      <c r="AGX197" s="15"/>
      <c r="AHE197" s="15"/>
      <c r="AHF197" s="15"/>
      <c r="AHM197" s="15"/>
      <c r="AHN197" s="15"/>
      <c r="AHU197" s="15"/>
      <c r="AHV197" s="15"/>
      <c r="AIC197" s="15"/>
      <c r="AID197" s="15"/>
      <c r="AIK197" s="15"/>
      <c r="AIL197" s="15"/>
      <c r="AIS197" s="15"/>
      <c r="AIT197" s="15"/>
      <c r="AJA197" s="15"/>
      <c r="AJB197" s="15"/>
      <c r="AJI197" s="15"/>
      <c r="AJJ197" s="15"/>
      <c r="AJQ197" s="15"/>
      <c r="AJR197" s="15"/>
      <c r="AJY197" s="15"/>
      <c r="AJZ197" s="15"/>
      <c r="AKG197" s="15"/>
      <c r="AKH197" s="15"/>
      <c r="AKO197" s="15"/>
      <c r="AKP197" s="15"/>
      <c r="AKW197" s="15"/>
      <c r="AKX197" s="15"/>
      <c r="ALE197" s="15"/>
      <c r="ALF197" s="15"/>
      <c r="ALM197" s="15"/>
      <c r="ALN197" s="15"/>
      <c r="ALU197" s="15"/>
      <c r="ALV197" s="15"/>
      <c r="AMC197" s="15"/>
      <c r="AMD197" s="15"/>
    </row>
    <row r="198" spans="1:1018" x14ac:dyDescent="0.2">
      <c r="A198" s="1" t="s">
        <v>708</v>
      </c>
      <c r="B198" s="12">
        <v>42903</v>
      </c>
      <c r="C198">
        <v>2</v>
      </c>
      <c r="D198" s="13">
        <v>39118</v>
      </c>
      <c r="E198" s="12">
        <v>29183</v>
      </c>
      <c r="F198" s="14">
        <f t="shared" si="62"/>
        <v>37.563312799452433</v>
      </c>
      <c r="G198" s="14">
        <f t="shared" si="63"/>
        <v>10.362765229295004</v>
      </c>
      <c r="H198" s="15" t="s">
        <v>228</v>
      </c>
      <c r="I198" s="15" t="s">
        <v>229</v>
      </c>
      <c r="J198" s="15" t="s">
        <v>183</v>
      </c>
      <c r="K198" s="21">
        <v>4</v>
      </c>
      <c r="L198" s="19">
        <v>68</v>
      </c>
      <c r="M198">
        <v>1.72</v>
      </c>
      <c r="N198" s="16">
        <f t="shared" si="64"/>
        <v>22.985397512168742</v>
      </c>
      <c r="O198" s="19">
        <v>0</v>
      </c>
      <c r="P198" s="19">
        <v>0</v>
      </c>
      <c r="Q198" s="19">
        <v>0</v>
      </c>
      <c r="R198" s="26">
        <v>0</v>
      </c>
      <c r="S198" s="26">
        <v>0</v>
      </c>
      <c r="T198" s="26">
        <v>0</v>
      </c>
      <c r="U198" s="19">
        <v>1</v>
      </c>
      <c r="V198" s="19">
        <v>5</v>
      </c>
      <c r="W198" s="19">
        <v>1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1</v>
      </c>
      <c r="AF198" s="19">
        <v>0</v>
      </c>
      <c r="AG198" s="19">
        <v>0</v>
      </c>
      <c r="AH198" s="19">
        <v>0</v>
      </c>
      <c r="AI198" s="19">
        <v>0</v>
      </c>
      <c r="AJ198" s="19">
        <v>0</v>
      </c>
      <c r="AK198" s="19">
        <v>0</v>
      </c>
      <c r="AL198" s="19">
        <v>0</v>
      </c>
      <c r="AM198" s="19">
        <v>0</v>
      </c>
      <c r="AN198" s="19">
        <v>1</v>
      </c>
      <c r="AO198" s="19">
        <v>1</v>
      </c>
      <c r="AP198" s="19">
        <v>1</v>
      </c>
      <c r="AQ198" s="19">
        <v>5</v>
      </c>
      <c r="AR198" s="19">
        <v>0</v>
      </c>
      <c r="AS198" s="19">
        <v>3</v>
      </c>
      <c r="AT198" s="19">
        <v>3</v>
      </c>
      <c r="AU198" s="19">
        <v>3</v>
      </c>
      <c r="AV198" s="19">
        <v>9</v>
      </c>
      <c r="AW198" s="19">
        <v>9</v>
      </c>
      <c r="AX198" s="19">
        <v>0</v>
      </c>
      <c r="AY198" s="19">
        <v>0</v>
      </c>
      <c r="AZ198" s="19">
        <v>0</v>
      </c>
      <c r="BA198" s="19">
        <v>0</v>
      </c>
      <c r="BB198" s="19">
        <v>1</v>
      </c>
      <c r="BC198" s="19"/>
      <c r="BD198" s="19"/>
      <c r="BE198" s="19"/>
      <c r="BF198" s="19">
        <v>1</v>
      </c>
      <c r="BG198" s="19">
        <v>1</v>
      </c>
      <c r="BH198" s="19">
        <v>1</v>
      </c>
      <c r="BI198" s="19">
        <v>3</v>
      </c>
      <c r="BJ198" s="19">
        <v>1</v>
      </c>
      <c r="BK198" s="19">
        <v>1</v>
      </c>
      <c r="BL198" s="19">
        <v>1</v>
      </c>
      <c r="BM198" s="19">
        <v>4</v>
      </c>
      <c r="BN198" s="19">
        <v>1</v>
      </c>
      <c r="BO198" s="19">
        <v>1</v>
      </c>
      <c r="BP198" s="19">
        <v>1</v>
      </c>
      <c r="BQ198" s="19">
        <v>6</v>
      </c>
      <c r="BR198" s="19">
        <v>3</v>
      </c>
      <c r="BS198" s="19">
        <v>2</v>
      </c>
      <c r="BT198" s="19">
        <v>3</v>
      </c>
      <c r="BU198" s="19">
        <v>5</v>
      </c>
      <c r="BV198" s="19">
        <v>2</v>
      </c>
      <c r="BW198" s="19">
        <v>3</v>
      </c>
      <c r="BX198" s="19">
        <v>4</v>
      </c>
      <c r="BY198" s="19">
        <v>4</v>
      </c>
      <c r="BZ198" s="19">
        <v>4</v>
      </c>
      <c r="CA198" s="19">
        <v>3</v>
      </c>
      <c r="CB198" s="19">
        <v>3</v>
      </c>
      <c r="CC198" s="19">
        <v>4</v>
      </c>
      <c r="CD198" s="19">
        <v>4</v>
      </c>
      <c r="CE198" s="19">
        <v>4</v>
      </c>
      <c r="CF198" s="19">
        <v>4</v>
      </c>
      <c r="CG198" s="19">
        <v>4</v>
      </c>
      <c r="CH198" s="19">
        <v>4</v>
      </c>
      <c r="CI198" s="19">
        <v>4</v>
      </c>
      <c r="CJ198" s="19">
        <v>4</v>
      </c>
      <c r="CK198" s="19">
        <v>8</v>
      </c>
      <c r="CL198" t="s">
        <v>232</v>
      </c>
      <c r="CM198">
        <v>40</v>
      </c>
      <c r="CN198" s="16">
        <v>84.9</v>
      </c>
      <c r="CO198" s="16">
        <v>81</v>
      </c>
      <c r="CP198" s="16">
        <v>13.2</v>
      </c>
      <c r="CQ198">
        <v>93.04</v>
      </c>
      <c r="CR198">
        <v>0</v>
      </c>
      <c r="CS198">
        <v>0</v>
      </c>
      <c r="CT198">
        <v>3.59</v>
      </c>
      <c r="CU198">
        <v>3.38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1.7</v>
      </c>
      <c r="DC198">
        <v>3.97</v>
      </c>
      <c r="DD198">
        <v>39.76</v>
      </c>
      <c r="DE198">
        <v>0.13</v>
      </c>
      <c r="DF198">
        <v>0</v>
      </c>
      <c r="DG198">
        <v>0</v>
      </c>
      <c r="DH198">
        <v>0</v>
      </c>
      <c r="DU198">
        <v>15.9</v>
      </c>
      <c r="DV198">
        <v>1</v>
      </c>
      <c r="DW198">
        <v>47</v>
      </c>
      <c r="DX198">
        <v>2</v>
      </c>
      <c r="DY198">
        <v>1.51</v>
      </c>
      <c r="DZ198">
        <v>3</v>
      </c>
      <c r="EG198" s="18"/>
      <c r="EY198">
        <v>1</v>
      </c>
      <c r="EZ198">
        <v>40</v>
      </c>
      <c r="FA198">
        <v>7</v>
      </c>
      <c r="FB198">
        <f>2.27+3.02</f>
        <v>5.29</v>
      </c>
      <c r="FC198">
        <v>3</v>
      </c>
      <c r="GJ198" s="16">
        <v>1.48</v>
      </c>
      <c r="GK198" s="16">
        <v>1</v>
      </c>
      <c r="GL198" s="16">
        <v>1</v>
      </c>
      <c r="GM198" s="16"/>
      <c r="GN198" s="16">
        <f>2.1+1.7+0.37+0.74</f>
        <v>4.91</v>
      </c>
      <c r="GO198" s="16"/>
      <c r="GP198" s="16"/>
      <c r="GQ198" s="16"/>
      <c r="GR198" s="16"/>
      <c r="GS198" s="16"/>
      <c r="GT198" s="16"/>
      <c r="GU198" s="16">
        <v>7.34</v>
      </c>
      <c r="GV198" s="16">
        <v>5.01</v>
      </c>
      <c r="GW198" s="16"/>
      <c r="GX198" s="16"/>
      <c r="GY198" s="16">
        <v>0</v>
      </c>
      <c r="GZ198" s="16">
        <v>0</v>
      </c>
      <c r="HA198" s="16">
        <v>0</v>
      </c>
      <c r="HB198">
        <v>0</v>
      </c>
      <c r="HC198" t="s">
        <v>233</v>
      </c>
      <c r="HD198">
        <v>39.5</v>
      </c>
      <c r="HE198" s="16">
        <v>85</v>
      </c>
      <c r="HF198" s="16">
        <v>81</v>
      </c>
      <c r="HG198" s="16">
        <v>12.7</v>
      </c>
      <c r="HH198">
        <v>93.14</v>
      </c>
      <c r="HI198">
        <v>0</v>
      </c>
      <c r="HJ198">
        <v>1.57</v>
      </c>
      <c r="HK198">
        <v>2.08</v>
      </c>
      <c r="HL198">
        <v>3.21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1.7</v>
      </c>
      <c r="HT198">
        <v>6.54</v>
      </c>
      <c r="HU198">
        <v>37.880000000000003</v>
      </c>
      <c r="HV198">
        <v>3</v>
      </c>
      <c r="HW198">
        <v>0</v>
      </c>
      <c r="HX198">
        <v>0</v>
      </c>
      <c r="HY198">
        <v>0</v>
      </c>
      <c r="IL198">
        <v>15.7</v>
      </c>
      <c r="IM198">
        <v>1</v>
      </c>
      <c r="IN198">
        <v>47</v>
      </c>
      <c r="IO198">
        <v>2</v>
      </c>
      <c r="IP198">
        <v>1.51</v>
      </c>
      <c r="IQ198">
        <v>3</v>
      </c>
      <c r="IX198" s="18"/>
      <c r="JP198">
        <v>1</v>
      </c>
      <c r="JQ198">
        <v>50</v>
      </c>
      <c r="JR198">
        <v>3</v>
      </c>
      <c r="JS198">
        <v>0.4</v>
      </c>
      <c r="JT198">
        <v>3</v>
      </c>
      <c r="JU198">
        <v>40</v>
      </c>
      <c r="JV198">
        <v>7</v>
      </c>
      <c r="JW198">
        <f>2.27+3.02</f>
        <v>5.29</v>
      </c>
      <c r="JX198">
        <v>3</v>
      </c>
      <c r="LA198" s="16">
        <v>1.76</v>
      </c>
      <c r="LB198" s="16">
        <v>1</v>
      </c>
      <c r="LC198" s="16">
        <v>1</v>
      </c>
      <c r="LD198" s="16"/>
      <c r="LE198" s="16">
        <f>2.1+1.7+0.4+0.37+0.74</f>
        <v>5.3100000000000005</v>
      </c>
      <c r="LF198" s="16"/>
      <c r="LG198" s="16"/>
      <c r="LH198" s="16"/>
      <c r="LI198" s="16"/>
      <c r="LJ198" s="16"/>
      <c r="LK198" s="16"/>
      <c r="LL198" s="16">
        <v>7.31</v>
      </c>
      <c r="LM198" s="16">
        <v>6.99</v>
      </c>
      <c r="LN198" s="16"/>
      <c r="LO198" s="16"/>
      <c r="LP198" s="16">
        <v>0</v>
      </c>
      <c r="LQ198" s="16">
        <v>0</v>
      </c>
      <c r="LR198" s="16">
        <v>0</v>
      </c>
      <c r="LS198">
        <v>0</v>
      </c>
      <c r="LT198" t="s">
        <v>234</v>
      </c>
      <c r="LU198">
        <v>22.5</v>
      </c>
      <c r="LV198" s="16">
        <v>60.3</v>
      </c>
      <c r="LW198" s="16">
        <v>81</v>
      </c>
      <c r="LX198" s="16">
        <v>13.3</v>
      </c>
      <c r="LY198">
        <v>92.98</v>
      </c>
      <c r="LZ198">
        <v>0</v>
      </c>
      <c r="MA198">
        <v>0</v>
      </c>
      <c r="MB198">
        <v>0</v>
      </c>
      <c r="MC198">
        <v>7.02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0.72</v>
      </c>
      <c r="ML198">
        <v>23.12</v>
      </c>
      <c r="MM198">
        <v>24.81</v>
      </c>
      <c r="MN198">
        <v>0</v>
      </c>
      <c r="MO198">
        <v>0</v>
      </c>
      <c r="MP198">
        <v>0</v>
      </c>
      <c r="NC198">
        <v>0</v>
      </c>
      <c r="ND198">
        <v>1</v>
      </c>
      <c r="NE198">
        <v>23</v>
      </c>
      <c r="NF198">
        <v>1</v>
      </c>
      <c r="NG198">
        <v>0.3</v>
      </c>
      <c r="NH198">
        <v>3</v>
      </c>
      <c r="NO198" s="18"/>
      <c r="OG198">
        <v>0</v>
      </c>
      <c r="PR198" s="16">
        <v>1.26</v>
      </c>
      <c r="PS198" s="16">
        <v>1</v>
      </c>
      <c r="PT198" s="16">
        <v>1</v>
      </c>
      <c r="PU198" s="16"/>
      <c r="PV198" s="16">
        <f>2.1+1.7+0.4+0.37+0.74</f>
        <v>5.3100000000000005</v>
      </c>
      <c r="PW198" s="16"/>
      <c r="PX198" s="16"/>
      <c r="PY198" s="16"/>
      <c r="PZ198" s="16"/>
      <c r="QA198" s="16"/>
      <c r="QB198" s="16"/>
      <c r="QC198" s="16">
        <v>6.24</v>
      </c>
      <c r="QD198" s="16">
        <v>6.99</v>
      </c>
      <c r="QE198" s="16"/>
      <c r="QF198" s="16"/>
      <c r="QG198" s="16">
        <v>0</v>
      </c>
      <c r="QH198" s="16">
        <v>0</v>
      </c>
      <c r="QI198" s="16">
        <v>0</v>
      </c>
      <c r="QJ198">
        <v>0</v>
      </c>
      <c r="QK198" t="s">
        <v>235</v>
      </c>
      <c r="QL198">
        <v>37</v>
      </c>
      <c r="QM198" s="16">
        <v>81.900000000000006</v>
      </c>
      <c r="QN198" s="16">
        <v>81</v>
      </c>
      <c r="QO198" s="16">
        <v>26.3</v>
      </c>
      <c r="QP198">
        <v>68.540000000000006</v>
      </c>
      <c r="QQ198">
        <v>0</v>
      </c>
      <c r="QR198">
        <v>0</v>
      </c>
      <c r="QS198">
        <v>0</v>
      </c>
      <c r="QT198">
        <v>31.46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5.42</v>
      </c>
      <c r="RC198">
        <v>17.37</v>
      </c>
      <c r="RD198">
        <v>41.85</v>
      </c>
      <c r="RE198">
        <v>0</v>
      </c>
      <c r="RF198">
        <v>0</v>
      </c>
      <c r="RG198">
        <v>0</v>
      </c>
      <c r="RT198">
        <v>0</v>
      </c>
      <c r="RU198">
        <v>1</v>
      </c>
      <c r="RV198">
        <v>23</v>
      </c>
      <c r="RW198">
        <v>2</v>
      </c>
      <c r="RX198">
        <v>2.11</v>
      </c>
      <c r="RY198">
        <v>3</v>
      </c>
      <c r="SF198" s="18"/>
      <c r="SX198">
        <v>0</v>
      </c>
      <c r="UI198" s="16">
        <v>2.64</v>
      </c>
      <c r="UJ198" s="16">
        <v>1</v>
      </c>
      <c r="UK198" s="16">
        <v>1</v>
      </c>
      <c r="UL198" s="16"/>
      <c r="UM198" s="16">
        <f>4.2*2+1.7+5.1+0.37+0.74</f>
        <v>16.309999999999999</v>
      </c>
      <c r="UN198" s="16"/>
      <c r="UO198" s="16"/>
      <c r="UP198" s="16"/>
      <c r="UQ198" s="16"/>
      <c r="UR198" s="16"/>
      <c r="US198" s="16"/>
      <c r="UT198" s="16">
        <v>5.32</v>
      </c>
      <c r="UU198" s="16">
        <v>8.0399999999999991</v>
      </c>
      <c r="UV198" s="16"/>
      <c r="UW198" s="16"/>
      <c r="UX198" s="16">
        <v>0</v>
      </c>
      <c r="UY198" s="16">
        <v>0</v>
      </c>
      <c r="UZ198" s="16">
        <v>0</v>
      </c>
      <c r="VA198">
        <v>0</v>
      </c>
      <c r="VB198" t="s">
        <v>236</v>
      </c>
      <c r="VC198">
        <v>51</v>
      </c>
      <c r="VD198" s="16">
        <v>93.4</v>
      </c>
      <c r="VE198" s="16">
        <v>81</v>
      </c>
      <c r="VF198" s="16">
        <v>29.5</v>
      </c>
      <c r="VG198">
        <v>55.24</v>
      </c>
      <c r="VH198">
        <v>0</v>
      </c>
      <c r="VI198">
        <v>0</v>
      </c>
      <c r="VJ198">
        <v>0</v>
      </c>
      <c r="VK198">
        <v>44.76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0.67</v>
      </c>
      <c r="VS198">
        <v>5.0999999999999996</v>
      </c>
      <c r="VT198">
        <v>47.22</v>
      </c>
      <c r="VU198">
        <v>18.3</v>
      </c>
      <c r="VV198">
        <v>0</v>
      </c>
      <c r="VW198">
        <v>7.5</v>
      </c>
      <c r="VX198">
        <v>1</v>
      </c>
      <c r="VY198">
        <v>3.6</v>
      </c>
      <c r="WA198">
        <v>1</v>
      </c>
      <c r="WE198">
        <v>3.6</v>
      </c>
      <c r="WG198">
        <v>1</v>
      </c>
      <c r="WK198">
        <v>0</v>
      </c>
      <c r="WL198">
        <v>0</v>
      </c>
      <c r="WW198" s="18"/>
      <c r="XO198">
        <v>0</v>
      </c>
      <c r="YZ198" s="16">
        <v>1.95</v>
      </c>
      <c r="ZA198" s="16">
        <v>1</v>
      </c>
      <c r="ZB198" s="16">
        <v>1</v>
      </c>
      <c r="ZC198" s="16"/>
      <c r="ZD198" s="16">
        <f>2.42+1.67+5+0.22+0.66+0.22</f>
        <v>10.190000000000001</v>
      </c>
      <c r="ZE198" s="16"/>
      <c r="ZF198" s="16"/>
      <c r="ZG198" s="16"/>
      <c r="ZH198" s="16"/>
      <c r="ZI198" s="16"/>
      <c r="ZJ198" s="16"/>
      <c r="ZK198" s="16">
        <v>5.63</v>
      </c>
      <c r="ZL198" s="16">
        <v>11.04</v>
      </c>
      <c r="ZM198" s="16"/>
      <c r="ZN198" s="16"/>
      <c r="ZO198" s="16">
        <v>0</v>
      </c>
      <c r="ZP198" s="16">
        <v>0</v>
      </c>
      <c r="ZQ198" s="16">
        <v>0</v>
      </c>
      <c r="ZR198">
        <v>0</v>
      </c>
      <c r="ZS198" t="s">
        <v>237</v>
      </c>
      <c r="ZT198">
        <v>46</v>
      </c>
      <c r="ZU198" s="16">
        <v>92.7</v>
      </c>
      <c r="ZV198" s="16">
        <v>81</v>
      </c>
      <c r="ZW198" s="16">
        <v>20.8</v>
      </c>
      <c r="ZX198">
        <v>76.44</v>
      </c>
      <c r="ZY198">
        <v>0</v>
      </c>
      <c r="ZZ198">
        <v>0</v>
      </c>
      <c r="AAA198">
        <v>0</v>
      </c>
      <c r="AAB198">
        <v>23.56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0.23</v>
      </c>
      <c r="AAJ198">
        <v>0.51</v>
      </c>
      <c r="AAK198">
        <v>26.55</v>
      </c>
      <c r="AAL198">
        <v>36.69</v>
      </c>
      <c r="AAM198">
        <v>0</v>
      </c>
      <c r="AAN198">
        <v>10.6</v>
      </c>
      <c r="AAO198">
        <v>1</v>
      </c>
      <c r="AAP198">
        <v>6</v>
      </c>
      <c r="AAR198">
        <v>1</v>
      </c>
      <c r="AAV198">
        <v>6</v>
      </c>
      <c r="AAX198">
        <v>1</v>
      </c>
      <c r="ABB198">
        <v>7.1</v>
      </c>
      <c r="ABC198">
        <v>1</v>
      </c>
      <c r="ABD198">
        <v>35</v>
      </c>
      <c r="ABE198">
        <v>2</v>
      </c>
      <c r="ABF198">
        <f>0.76*2</f>
        <v>1.52</v>
      </c>
      <c r="ABG198">
        <v>3</v>
      </c>
      <c r="ABN198" s="18"/>
      <c r="ACF198">
        <v>0</v>
      </c>
      <c r="ADQ198" s="16">
        <v>2.41</v>
      </c>
      <c r="ADR198" s="16">
        <v>1</v>
      </c>
      <c r="ADS198" s="16">
        <v>1</v>
      </c>
      <c r="ADT198" s="16"/>
      <c r="ADU198" s="16">
        <f>0.41+1.67+5+0.33+0.45+0.15</f>
        <v>8.01</v>
      </c>
      <c r="ADV198" s="16"/>
      <c r="ADW198" s="16"/>
      <c r="ADX198" s="16"/>
      <c r="ADY198" s="16"/>
      <c r="ADZ198" s="16"/>
      <c r="AEA198" s="16"/>
      <c r="AEB198" s="16">
        <v>0.33</v>
      </c>
      <c r="AEC198" s="16">
        <v>0.33</v>
      </c>
      <c r="AED198" s="16"/>
      <c r="AEE198" s="16"/>
      <c r="AEF198" s="16">
        <v>0</v>
      </c>
      <c r="AEG198" s="16">
        <v>0</v>
      </c>
      <c r="AEH198" s="16">
        <v>0</v>
      </c>
      <c r="AEI198">
        <v>0</v>
      </c>
      <c r="AEJ198" t="s">
        <v>461</v>
      </c>
      <c r="AEK198">
        <v>38</v>
      </c>
      <c r="AEL198" s="16">
        <v>84.5</v>
      </c>
      <c r="AEM198" s="16">
        <v>81</v>
      </c>
      <c r="AEN198" s="16">
        <v>11.8</v>
      </c>
      <c r="AEO198">
        <v>99.78</v>
      </c>
      <c r="AEP198">
        <v>0</v>
      </c>
      <c r="AEQ198">
        <v>0</v>
      </c>
      <c r="AER198">
        <v>0</v>
      </c>
      <c r="AES198">
        <v>0.22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7.31</v>
      </c>
      <c r="AFA198">
        <v>0</v>
      </c>
      <c r="AFB198">
        <v>30.29</v>
      </c>
      <c r="AFC198">
        <v>31.72</v>
      </c>
      <c r="AFD198">
        <v>0</v>
      </c>
      <c r="AFE198">
        <v>0</v>
      </c>
      <c r="AFF198">
        <v>0</v>
      </c>
      <c r="AFS198">
        <v>14</v>
      </c>
      <c r="AFT198">
        <v>1</v>
      </c>
      <c r="AFU198">
        <v>52</v>
      </c>
      <c r="AFV198">
        <v>6</v>
      </c>
      <c r="AFW198">
        <v>4.53</v>
      </c>
      <c r="AFX198">
        <v>2</v>
      </c>
      <c r="AGE198" s="18"/>
      <c r="AGW198">
        <v>1</v>
      </c>
      <c r="AGX198">
        <v>50</v>
      </c>
      <c r="AGY198">
        <v>3</v>
      </c>
      <c r="AGZ198">
        <v>0.4</v>
      </c>
      <c r="AHA198">
        <v>6</v>
      </c>
      <c r="AIH198" s="16">
        <v>3.9</v>
      </c>
      <c r="AII198" s="16">
        <v>1</v>
      </c>
      <c r="AIJ198" s="16">
        <v>1</v>
      </c>
      <c r="AIK198" s="16"/>
      <c r="AIL198" s="16">
        <f>1.7*3+4.53+2.64*2+0.6</f>
        <v>15.51</v>
      </c>
      <c r="AIM198" s="16"/>
      <c r="AIN198" s="16"/>
      <c r="AIO198" s="16"/>
      <c r="AIP198" s="16"/>
      <c r="AIQ198" s="16"/>
      <c r="AIR198" s="16"/>
      <c r="AIS198" s="16">
        <v>8.14</v>
      </c>
      <c r="AIT198" s="16">
        <v>15.87</v>
      </c>
      <c r="AIU198" s="16"/>
      <c r="AIV198" s="16"/>
      <c r="AIW198" s="16">
        <v>0</v>
      </c>
      <c r="AIX198" s="16">
        <v>0</v>
      </c>
      <c r="AIY198" s="16">
        <v>0</v>
      </c>
      <c r="AIZ198">
        <v>0</v>
      </c>
      <c r="AJA198" t="s">
        <v>595</v>
      </c>
      <c r="AJB198">
        <v>21.5</v>
      </c>
      <c r="AJC198" s="16">
        <v>79.7</v>
      </c>
      <c r="AJD198" s="16">
        <v>81</v>
      </c>
      <c r="AJE198" s="16">
        <v>7.9</v>
      </c>
      <c r="AJF198">
        <v>99.71</v>
      </c>
      <c r="AJG198">
        <v>0</v>
      </c>
      <c r="AJH198">
        <v>0</v>
      </c>
      <c r="AJI198">
        <v>0</v>
      </c>
      <c r="AJJ198">
        <v>0.28999999999999998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11.15</v>
      </c>
      <c r="AJS198">
        <v>33.119999999999997</v>
      </c>
      <c r="AJT198">
        <v>8.7200000000000006</v>
      </c>
      <c r="AJU198">
        <v>0</v>
      </c>
      <c r="AJV198">
        <v>0</v>
      </c>
      <c r="AJW198">
        <v>0</v>
      </c>
      <c r="AKJ198">
        <v>0</v>
      </c>
      <c r="AKK198">
        <v>1</v>
      </c>
      <c r="AKL198">
        <v>23</v>
      </c>
      <c r="AKM198">
        <v>1</v>
      </c>
      <c r="AKN198">
        <v>2.27</v>
      </c>
      <c r="AKO198">
        <v>3</v>
      </c>
      <c r="AKV198" s="18"/>
      <c r="ALN198">
        <v>1</v>
      </c>
      <c r="ALO198">
        <v>50</v>
      </c>
      <c r="ALP198">
        <v>9</v>
      </c>
      <c r="ALQ198">
        <v>4.93</v>
      </c>
      <c r="ALR198">
        <v>3</v>
      </c>
    </row>
    <row r="199" spans="1:1018" x14ac:dyDescent="0.2">
      <c r="A199" s="1" t="s">
        <v>709</v>
      </c>
      <c r="B199" s="12">
        <v>42905</v>
      </c>
      <c r="C199">
        <v>2</v>
      </c>
      <c r="D199" s="13">
        <v>42814</v>
      </c>
      <c r="E199" s="12">
        <v>29375</v>
      </c>
      <c r="F199" s="14">
        <f t="shared" si="62"/>
        <v>37.043121149897331</v>
      </c>
      <c r="G199" s="14">
        <f t="shared" si="63"/>
        <v>0.24914442162902123</v>
      </c>
      <c r="H199" s="15" t="s">
        <v>181</v>
      </c>
      <c r="I199" s="15" t="s">
        <v>496</v>
      </c>
      <c r="J199" s="15" t="s">
        <v>181</v>
      </c>
      <c r="K199" s="21">
        <v>8</v>
      </c>
      <c r="L199" s="19">
        <v>66</v>
      </c>
      <c r="M199">
        <v>1.69</v>
      </c>
      <c r="N199" s="16">
        <f t="shared" si="64"/>
        <v>23.1084345786212</v>
      </c>
      <c r="O199" s="19">
        <v>0</v>
      </c>
      <c r="P199" s="19">
        <v>0</v>
      </c>
      <c r="Q199" s="19">
        <v>0</v>
      </c>
      <c r="R199" s="26">
        <v>0</v>
      </c>
      <c r="S199" s="26">
        <v>0</v>
      </c>
      <c r="T199" s="26">
        <v>0</v>
      </c>
      <c r="U199" s="19">
        <v>1</v>
      </c>
      <c r="V199" s="19">
        <v>3</v>
      </c>
      <c r="W199" s="19">
        <v>1</v>
      </c>
      <c r="X199" s="19">
        <v>0</v>
      </c>
      <c r="Y199" s="19">
        <v>1</v>
      </c>
      <c r="Z199" s="19">
        <v>1</v>
      </c>
      <c r="AA199" s="19"/>
      <c r="AB199" s="19" t="s">
        <v>537</v>
      </c>
      <c r="AC199" s="19">
        <v>0</v>
      </c>
      <c r="AD199" s="19">
        <v>0</v>
      </c>
      <c r="AE199" s="19">
        <v>1</v>
      </c>
      <c r="AF199" s="19">
        <v>0</v>
      </c>
      <c r="AG199" s="19">
        <v>1</v>
      </c>
      <c r="AH199" s="19">
        <v>6</v>
      </c>
      <c r="AI199" s="19"/>
      <c r="AJ199" s="19"/>
      <c r="AK199" s="19"/>
      <c r="AL199" s="19"/>
      <c r="AM199" s="19"/>
      <c r="AN199" s="19">
        <v>0</v>
      </c>
      <c r="AO199" s="19">
        <v>0</v>
      </c>
      <c r="AP199" s="19">
        <v>0</v>
      </c>
      <c r="AQ199" s="19">
        <v>0</v>
      </c>
      <c r="AR199" s="19">
        <v>0</v>
      </c>
      <c r="AS199" s="19">
        <v>1</v>
      </c>
      <c r="AT199" s="19">
        <v>1</v>
      </c>
      <c r="AU199" s="19">
        <v>1</v>
      </c>
      <c r="AV199" s="19">
        <v>7</v>
      </c>
      <c r="AW199" s="19">
        <v>0</v>
      </c>
      <c r="AX199" s="19">
        <v>0</v>
      </c>
      <c r="AY199" s="19">
        <v>0</v>
      </c>
      <c r="AZ199" s="19">
        <v>0</v>
      </c>
      <c r="BA199" s="19">
        <v>0</v>
      </c>
      <c r="BB199" s="19">
        <v>0</v>
      </c>
      <c r="BC199" s="19">
        <v>0</v>
      </c>
      <c r="BD199" s="19">
        <v>0</v>
      </c>
      <c r="BE199" s="19">
        <v>0</v>
      </c>
      <c r="BF199" s="19">
        <v>0</v>
      </c>
      <c r="BG199" s="19">
        <v>0</v>
      </c>
      <c r="BH199" s="19">
        <v>0</v>
      </c>
      <c r="BI199" s="19">
        <v>0</v>
      </c>
      <c r="BJ199" s="19">
        <v>0</v>
      </c>
      <c r="BK199" s="19">
        <v>0</v>
      </c>
      <c r="BL199" s="19">
        <v>0</v>
      </c>
      <c r="BM199" s="19">
        <v>0</v>
      </c>
      <c r="BN199" s="19">
        <v>0</v>
      </c>
      <c r="BO199" s="19">
        <v>0</v>
      </c>
      <c r="BP199" s="19">
        <v>0</v>
      </c>
      <c r="BQ199" s="19">
        <v>0</v>
      </c>
      <c r="BR199" s="19">
        <v>4</v>
      </c>
      <c r="BS199" s="19">
        <v>3</v>
      </c>
      <c r="BT199" s="19">
        <v>5</v>
      </c>
      <c r="BU199" s="19">
        <v>4</v>
      </c>
      <c r="BV199" s="19">
        <v>2</v>
      </c>
      <c r="BW199" s="19">
        <v>3</v>
      </c>
      <c r="BX199" s="19">
        <v>2</v>
      </c>
      <c r="BY199" s="19">
        <v>2</v>
      </c>
      <c r="BZ199" s="19">
        <v>2</v>
      </c>
      <c r="CA199" s="19">
        <v>3</v>
      </c>
      <c r="CB199" s="19">
        <v>2</v>
      </c>
      <c r="CC199" s="19">
        <v>4</v>
      </c>
      <c r="CD199" s="19">
        <v>4</v>
      </c>
      <c r="CE199" s="19">
        <v>4</v>
      </c>
      <c r="CF199" s="19">
        <v>5</v>
      </c>
      <c r="CG199" s="19">
        <v>4</v>
      </c>
      <c r="CH199" s="19">
        <v>4</v>
      </c>
      <c r="CI199" s="19">
        <v>4</v>
      </c>
      <c r="CJ199" s="19">
        <v>3</v>
      </c>
      <c r="CK199" s="19">
        <v>6</v>
      </c>
      <c r="CL199" t="s">
        <v>498</v>
      </c>
      <c r="CM199">
        <v>33</v>
      </c>
      <c r="CN199" s="16">
        <v>71.2</v>
      </c>
      <c r="CO199" s="16">
        <v>80.400000000000006</v>
      </c>
      <c r="CP199" s="16">
        <v>16.3</v>
      </c>
      <c r="CQ199">
        <v>83.24</v>
      </c>
      <c r="CR199" s="17">
        <v>0</v>
      </c>
      <c r="CS199">
        <v>0</v>
      </c>
      <c r="CT199">
        <v>0</v>
      </c>
      <c r="CU199">
        <v>14.14</v>
      </c>
      <c r="CV199">
        <v>0</v>
      </c>
      <c r="CW199">
        <v>2.63</v>
      </c>
      <c r="CX199">
        <v>0</v>
      </c>
      <c r="CY199">
        <v>0</v>
      </c>
      <c r="CZ199">
        <v>0</v>
      </c>
      <c r="DA199">
        <v>0</v>
      </c>
      <c r="DB199">
        <v>2.63</v>
      </c>
      <c r="DC199">
        <v>10.16</v>
      </c>
      <c r="DD199">
        <v>20.83</v>
      </c>
      <c r="DE199">
        <v>24.81</v>
      </c>
      <c r="DF199">
        <v>0</v>
      </c>
      <c r="DG199">
        <v>11.2</v>
      </c>
      <c r="DH199">
        <v>1</v>
      </c>
      <c r="DI199">
        <v>5</v>
      </c>
      <c r="DK199">
        <v>1</v>
      </c>
      <c r="DO199">
        <v>5</v>
      </c>
      <c r="DQ199">
        <v>1</v>
      </c>
      <c r="DU199">
        <v>0</v>
      </c>
      <c r="DV199">
        <v>0</v>
      </c>
      <c r="EG199" s="18"/>
      <c r="EY199">
        <v>0</v>
      </c>
      <c r="GJ199" s="16">
        <v>2.71</v>
      </c>
      <c r="GK199" s="16">
        <v>1</v>
      </c>
      <c r="GL199" s="16">
        <v>1</v>
      </c>
      <c r="GM199" s="16"/>
      <c r="GN199" s="16">
        <f>2.11*4+0.52*2</f>
        <v>9.48</v>
      </c>
      <c r="GO199" s="16"/>
      <c r="GP199" s="16"/>
      <c r="GQ199" s="16"/>
      <c r="GR199" s="16"/>
      <c r="GS199" s="16"/>
      <c r="GT199" s="16"/>
      <c r="GU199" s="16">
        <v>2.63</v>
      </c>
      <c r="GV199" s="16">
        <v>2.6</v>
      </c>
      <c r="GW199" s="16">
        <v>0</v>
      </c>
      <c r="GX199" s="16">
        <v>0</v>
      </c>
      <c r="GY199" s="16">
        <v>0</v>
      </c>
      <c r="GZ199" s="16">
        <v>0</v>
      </c>
      <c r="HA199" s="16">
        <v>0</v>
      </c>
      <c r="HB199">
        <v>0</v>
      </c>
      <c r="HC199" t="s">
        <v>503</v>
      </c>
      <c r="HD199">
        <v>47</v>
      </c>
      <c r="HE199" s="16">
        <v>54.1</v>
      </c>
      <c r="HF199" s="16">
        <v>80.400000000000006</v>
      </c>
      <c r="HG199" s="16">
        <v>34.5</v>
      </c>
      <c r="HH199">
        <v>71.45</v>
      </c>
      <c r="HI199" s="17">
        <v>0</v>
      </c>
      <c r="HJ199">
        <v>21.93</v>
      </c>
      <c r="HK199">
        <v>6.49</v>
      </c>
      <c r="HL199">
        <v>0.12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1.01</v>
      </c>
      <c r="HT199">
        <v>0.45</v>
      </c>
      <c r="HU199">
        <v>18.399999999999999</v>
      </c>
      <c r="HV199">
        <v>11.28</v>
      </c>
      <c r="HW199">
        <v>0</v>
      </c>
      <c r="HX199">
        <v>0</v>
      </c>
      <c r="HY199">
        <v>0</v>
      </c>
      <c r="IL199">
        <v>6</v>
      </c>
      <c r="IM199">
        <v>1</v>
      </c>
      <c r="IN199">
        <v>35</v>
      </c>
      <c r="IO199">
        <v>8</v>
      </c>
      <c r="IP199">
        <f>0.25+0.25+0.25+0.13+0.13+0.13+0.13</f>
        <v>1.27</v>
      </c>
      <c r="IQ199">
        <v>3</v>
      </c>
      <c r="IX199" s="18"/>
      <c r="JP199">
        <v>1</v>
      </c>
      <c r="JQ199">
        <v>50</v>
      </c>
      <c r="JR199">
        <v>2</v>
      </c>
      <c r="JS199">
        <f>0.76*2</f>
        <v>1.52</v>
      </c>
      <c r="JT199">
        <v>1</v>
      </c>
      <c r="LA199" s="16">
        <v>0.42</v>
      </c>
      <c r="LB199" s="16">
        <v>1</v>
      </c>
      <c r="LC199" s="16">
        <v>1</v>
      </c>
      <c r="LD199" s="16"/>
      <c r="LE199" s="16">
        <f>0.68+0.68+0.03</f>
        <v>1.3900000000000001</v>
      </c>
      <c r="LF199" s="16"/>
      <c r="LG199" s="16"/>
      <c r="LH199" s="16"/>
      <c r="LI199" s="16"/>
      <c r="LJ199" s="16"/>
      <c r="LK199" s="16"/>
      <c r="LL199" s="16">
        <v>5.21</v>
      </c>
      <c r="LM199" s="16">
        <v>7.05</v>
      </c>
      <c r="LN199" s="16"/>
      <c r="LO199" s="16"/>
      <c r="LP199" s="16">
        <v>0</v>
      </c>
      <c r="LQ199" s="16">
        <v>0</v>
      </c>
      <c r="LR199" s="16">
        <v>0</v>
      </c>
      <c r="LS199">
        <v>0</v>
      </c>
      <c r="LT199" t="s">
        <v>505</v>
      </c>
      <c r="LU199">
        <v>59</v>
      </c>
      <c r="LV199" s="16">
        <v>90.4</v>
      </c>
      <c r="LW199" s="16">
        <v>80.400000000000006</v>
      </c>
      <c r="LX199" s="16">
        <v>54.7</v>
      </c>
      <c r="LY199">
        <v>26.42</v>
      </c>
      <c r="LZ199" s="17">
        <v>0</v>
      </c>
      <c r="MA199">
        <v>0</v>
      </c>
      <c r="MB199">
        <v>0</v>
      </c>
      <c r="MC199">
        <v>0</v>
      </c>
      <c r="MD199">
        <v>0</v>
      </c>
      <c r="ME199">
        <v>66.959999999999994</v>
      </c>
      <c r="MF199">
        <v>6.55</v>
      </c>
      <c r="MG199">
        <v>30.83</v>
      </c>
      <c r="MH199">
        <v>0</v>
      </c>
      <c r="MI199">
        <v>0</v>
      </c>
      <c r="MJ199">
        <v>14.46</v>
      </c>
      <c r="MK199">
        <v>11.57</v>
      </c>
      <c r="ML199">
        <v>6.5</v>
      </c>
      <c r="MM199">
        <v>6.03</v>
      </c>
      <c r="MN199">
        <v>6.62</v>
      </c>
      <c r="MO199">
        <v>0</v>
      </c>
      <c r="MP199">
        <v>0</v>
      </c>
      <c r="NC199">
        <v>3.2</v>
      </c>
      <c r="ND199">
        <v>0</v>
      </c>
      <c r="NO199" s="18"/>
      <c r="OG199">
        <v>1</v>
      </c>
      <c r="OH199">
        <v>60</v>
      </c>
      <c r="OI199">
        <v>2</v>
      </c>
      <c r="OJ199">
        <v>1.52</v>
      </c>
      <c r="OK199">
        <v>3</v>
      </c>
      <c r="PR199" s="16">
        <v>0.63</v>
      </c>
      <c r="PS199" s="16">
        <v>1</v>
      </c>
      <c r="PT199" s="16">
        <v>1</v>
      </c>
      <c r="PU199" s="16"/>
      <c r="PV199" s="16">
        <v>3.17</v>
      </c>
      <c r="PW199" s="16"/>
      <c r="PX199" s="16"/>
      <c r="PY199" s="16"/>
      <c r="PZ199" s="16"/>
      <c r="QA199" s="16"/>
      <c r="QB199" s="16"/>
      <c r="QC199" s="16">
        <v>0</v>
      </c>
      <c r="QD199" s="16">
        <v>0</v>
      </c>
      <c r="QE199" s="16"/>
      <c r="QF199" s="16"/>
      <c r="QG199" s="16">
        <v>0</v>
      </c>
      <c r="QH199" s="16">
        <v>0</v>
      </c>
      <c r="QI199" s="16">
        <v>0</v>
      </c>
      <c r="QJ199">
        <v>0</v>
      </c>
      <c r="QK199" t="s">
        <v>710</v>
      </c>
      <c r="QL199">
        <v>69.5</v>
      </c>
      <c r="QM199" s="16">
        <v>70.900000000000006</v>
      </c>
      <c r="QN199" s="16">
        <v>80.400000000000006</v>
      </c>
      <c r="QO199" s="16">
        <v>23.6</v>
      </c>
      <c r="QP199">
        <v>19.149999999999999</v>
      </c>
      <c r="QQ199" s="17">
        <v>0</v>
      </c>
      <c r="QR199">
        <v>0</v>
      </c>
      <c r="QS199">
        <v>0</v>
      </c>
      <c r="QT199">
        <v>0</v>
      </c>
      <c r="QU199">
        <v>0</v>
      </c>
      <c r="QV199">
        <v>71.09</v>
      </c>
      <c r="QW199">
        <v>0</v>
      </c>
      <c r="QX199">
        <v>0</v>
      </c>
      <c r="QY199">
        <v>2.25</v>
      </c>
      <c r="QZ199">
        <v>0</v>
      </c>
      <c r="RA199">
        <v>14.15</v>
      </c>
      <c r="RB199">
        <v>0.83</v>
      </c>
      <c r="RC199">
        <v>20.78</v>
      </c>
      <c r="RD199">
        <v>13.14</v>
      </c>
      <c r="RE199">
        <v>9.76</v>
      </c>
      <c r="RF199">
        <v>0</v>
      </c>
      <c r="RG199">
        <v>0</v>
      </c>
      <c r="RT199">
        <v>24.4</v>
      </c>
      <c r="RU199">
        <v>1</v>
      </c>
      <c r="RV199">
        <v>70</v>
      </c>
      <c r="RW199">
        <v>1</v>
      </c>
      <c r="RX199">
        <v>1.5</v>
      </c>
      <c r="RY199">
        <v>3</v>
      </c>
      <c r="RZ199">
        <v>68</v>
      </c>
      <c r="SA199">
        <v>2.25</v>
      </c>
      <c r="SB199">
        <v>1</v>
      </c>
      <c r="SC199">
        <v>1</v>
      </c>
      <c r="SD199">
        <v>47</v>
      </c>
      <c r="SE199">
        <v>1</v>
      </c>
      <c r="SF199" s="18">
        <v>1.5</v>
      </c>
      <c r="SG199">
        <v>3</v>
      </c>
      <c r="SX199">
        <v>0</v>
      </c>
      <c r="UI199" s="16">
        <v>1.42</v>
      </c>
      <c r="UJ199" s="16">
        <v>1</v>
      </c>
      <c r="UK199" s="16">
        <v>1</v>
      </c>
      <c r="UL199" s="16"/>
      <c r="UM199" s="16">
        <f>1.56*2+0.1+0.06+0.08</f>
        <v>3.3600000000000003</v>
      </c>
      <c r="UN199" s="16"/>
      <c r="UO199" s="16"/>
      <c r="UP199" s="16"/>
      <c r="UQ199" s="16"/>
      <c r="UR199" s="16"/>
      <c r="US199" s="16"/>
      <c r="UT199" s="16">
        <v>7.54</v>
      </c>
      <c r="UU199" s="16">
        <v>22.5</v>
      </c>
      <c r="UV199" s="16"/>
      <c r="UW199" s="16"/>
      <c r="UX199" s="16">
        <v>6.72</v>
      </c>
      <c r="UY199" s="16">
        <v>0</v>
      </c>
      <c r="UZ199" s="16">
        <v>5.54</v>
      </c>
      <c r="VA199">
        <v>2</v>
      </c>
      <c r="VE199" s="15"/>
      <c r="VF199" s="15"/>
      <c r="VM199" s="15"/>
      <c r="VN199" s="15"/>
      <c r="VU199" s="15"/>
      <c r="VV199" s="15"/>
      <c r="WC199" s="15"/>
      <c r="WD199" s="15"/>
      <c r="WK199" s="15"/>
      <c r="WL199" s="15"/>
      <c r="WS199" s="15"/>
      <c r="WT199" s="15"/>
      <c r="XA199" s="15"/>
      <c r="XB199" s="15"/>
      <c r="XI199" s="15"/>
      <c r="XJ199" s="15"/>
      <c r="XQ199" s="15"/>
      <c r="XR199" s="15"/>
      <c r="XY199" s="15"/>
      <c r="XZ199" s="15"/>
      <c r="YG199" s="15"/>
      <c r="YH199" s="15"/>
      <c r="YO199" s="15"/>
      <c r="YP199" s="15"/>
      <c r="YW199" s="15"/>
      <c r="YX199" s="15"/>
      <c r="ZE199" s="15"/>
      <c r="ZF199" s="15"/>
      <c r="ZM199" s="15"/>
      <c r="ZN199" s="15"/>
      <c r="ZU199" s="15"/>
      <c r="ZV199" s="15"/>
      <c r="AAC199" s="15"/>
      <c r="AAD199" s="15"/>
      <c r="AAK199" s="15"/>
      <c r="AAL199" s="15"/>
      <c r="AAS199" s="15"/>
      <c r="AAT199" s="15"/>
      <c r="ABA199" s="15"/>
      <c r="ABB199" s="15"/>
      <c r="ABI199" s="15"/>
      <c r="ABJ199" s="15"/>
      <c r="ABQ199" s="15"/>
      <c r="ABR199" s="15"/>
      <c r="ABY199" s="15"/>
      <c r="ABZ199" s="15"/>
      <c r="ACG199" s="15"/>
      <c r="ACH199" s="15"/>
      <c r="ACO199" s="15"/>
      <c r="ACP199" s="15"/>
      <c r="ACW199" s="15"/>
      <c r="ACX199" s="15"/>
      <c r="ADE199" s="15"/>
      <c r="ADF199" s="15"/>
      <c r="ADM199" s="15"/>
      <c r="ADN199" s="15"/>
      <c r="ADU199" s="15"/>
      <c r="ADV199" s="15"/>
      <c r="AEC199" s="15"/>
      <c r="AED199" s="15"/>
      <c r="AEK199" s="15"/>
      <c r="AEL199" s="15"/>
      <c r="AES199" s="15"/>
      <c r="AET199" s="15"/>
      <c r="AFA199" s="15"/>
      <c r="AFB199" s="15"/>
      <c r="AFI199" s="15"/>
      <c r="AFJ199" s="15"/>
      <c r="AFQ199" s="15"/>
      <c r="AFR199" s="15"/>
      <c r="AFY199" s="15"/>
      <c r="AFZ199" s="15"/>
      <c r="AGG199" s="15"/>
      <c r="AGH199" s="15"/>
      <c r="AGO199" s="15"/>
      <c r="AGP199" s="15"/>
      <c r="AGW199" s="15"/>
      <c r="AGX199" s="15"/>
      <c r="AHE199" s="15"/>
      <c r="AHF199" s="15"/>
      <c r="AHM199" s="15"/>
      <c r="AHN199" s="15"/>
      <c r="AHU199" s="15"/>
      <c r="AHV199" s="15"/>
      <c r="AIC199" s="15"/>
      <c r="AID199" s="15"/>
      <c r="AIK199" s="15"/>
      <c r="AIL199" s="15"/>
      <c r="AIS199" s="15"/>
      <c r="AIT199" s="15"/>
      <c r="AJA199" s="15"/>
      <c r="AJB199" s="15"/>
      <c r="AJI199" s="15"/>
      <c r="AJJ199" s="15"/>
      <c r="AJQ199" s="15"/>
      <c r="AJR199" s="15"/>
      <c r="AJY199" s="15"/>
      <c r="AJZ199" s="15"/>
      <c r="AKG199" s="15"/>
      <c r="AKH199" s="15"/>
      <c r="AKO199" s="15"/>
      <c r="AKP199" s="15"/>
      <c r="AKW199" s="15"/>
      <c r="AKX199" s="15"/>
      <c r="ALE199" s="15"/>
      <c r="ALF199" s="15"/>
      <c r="ALM199" s="15"/>
      <c r="ALN199" s="15"/>
      <c r="ALU199" s="15"/>
      <c r="ALV199" s="15"/>
      <c r="AMC199" s="15"/>
      <c r="AMD199" s="15"/>
    </row>
    <row r="200" spans="1:1018" x14ac:dyDescent="0.2">
      <c r="A200" s="1" t="s">
        <v>711</v>
      </c>
      <c r="B200" s="12">
        <v>42899</v>
      </c>
      <c r="C200">
        <v>1</v>
      </c>
      <c r="D200" s="13">
        <v>42814</v>
      </c>
      <c r="E200" s="12">
        <v>29630</v>
      </c>
      <c r="F200" s="14">
        <f t="shared" si="62"/>
        <v>36.328542094455855</v>
      </c>
      <c r="G200" s="14">
        <f t="shared" si="63"/>
        <v>0.2327173169062286</v>
      </c>
      <c r="H200" s="15" t="s">
        <v>228</v>
      </c>
      <c r="I200" s="15" t="s">
        <v>229</v>
      </c>
      <c r="J200" s="15" t="s">
        <v>183</v>
      </c>
      <c r="K200" s="21">
        <v>8</v>
      </c>
      <c r="L200" s="19">
        <v>85</v>
      </c>
      <c r="M200">
        <v>1.6</v>
      </c>
      <c r="N200" s="16">
        <f t="shared" si="64"/>
        <v>33.203124999999993</v>
      </c>
      <c r="O200" s="19">
        <v>0</v>
      </c>
      <c r="P200" s="19">
        <v>0</v>
      </c>
      <c r="Q200" s="19">
        <v>0</v>
      </c>
      <c r="R200" s="26">
        <v>0</v>
      </c>
      <c r="S200" s="26">
        <v>0</v>
      </c>
      <c r="T200" s="26">
        <v>0</v>
      </c>
      <c r="U200" s="19">
        <v>0</v>
      </c>
      <c r="V200" s="19">
        <v>0</v>
      </c>
      <c r="W200" s="19">
        <v>0</v>
      </c>
      <c r="X200" s="19">
        <v>0</v>
      </c>
      <c r="Y200" s="19">
        <v>1</v>
      </c>
      <c r="Z200" s="19">
        <v>1</v>
      </c>
      <c r="AA200" s="19">
        <v>90</v>
      </c>
      <c r="AB200" s="19" t="s">
        <v>441</v>
      </c>
      <c r="AC200" s="19">
        <v>0</v>
      </c>
      <c r="AD200" s="19">
        <v>0</v>
      </c>
      <c r="AE200" s="19">
        <v>0</v>
      </c>
      <c r="AF200" s="19">
        <v>0</v>
      </c>
      <c r="AG200" s="19">
        <v>0</v>
      </c>
      <c r="AH200" s="19">
        <v>0</v>
      </c>
      <c r="AI200" s="19">
        <v>0</v>
      </c>
      <c r="AJ200" s="19">
        <v>0</v>
      </c>
      <c r="AK200" s="19">
        <v>0</v>
      </c>
      <c r="AL200" s="19">
        <v>0</v>
      </c>
      <c r="AM200" s="19">
        <v>0</v>
      </c>
      <c r="AN200" s="19">
        <v>1</v>
      </c>
      <c r="AO200" s="19">
        <v>0</v>
      </c>
      <c r="AP200" s="19">
        <v>3</v>
      </c>
      <c r="AQ200" s="19">
        <v>3</v>
      </c>
      <c r="AR200" s="19">
        <v>3</v>
      </c>
      <c r="AS200" s="19">
        <v>0</v>
      </c>
      <c r="AT200" s="19">
        <v>0</v>
      </c>
      <c r="AU200" s="19">
        <v>0</v>
      </c>
      <c r="AV200" s="19">
        <v>0</v>
      </c>
      <c r="AW200" s="19">
        <v>0</v>
      </c>
      <c r="AX200" s="19">
        <v>0</v>
      </c>
      <c r="AY200" s="19">
        <v>0</v>
      </c>
      <c r="AZ200" s="19">
        <v>0</v>
      </c>
      <c r="BA200" s="19">
        <v>0</v>
      </c>
      <c r="BB200" s="19">
        <v>0</v>
      </c>
      <c r="BC200" s="19">
        <v>0</v>
      </c>
      <c r="BD200" s="19">
        <v>0</v>
      </c>
      <c r="BE200" s="19">
        <v>0</v>
      </c>
      <c r="BF200" s="19">
        <v>0</v>
      </c>
      <c r="BG200" s="19">
        <v>0</v>
      </c>
      <c r="BH200" s="19">
        <v>0</v>
      </c>
      <c r="BI200" s="19">
        <v>0</v>
      </c>
      <c r="BJ200" s="19">
        <v>0</v>
      </c>
      <c r="BK200" s="19">
        <v>0</v>
      </c>
      <c r="BL200" s="19">
        <v>0</v>
      </c>
      <c r="BM200" s="19">
        <v>0</v>
      </c>
      <c r="BN200" s="19">
        <v>0</v>
      </c>
      <c r="BO200" s="19">
        <v>0</v>
      </c>
      <c r="BP200" s="19">
        <v>0</v>
      </c>
      <c r="BQ200" s="19">
        <v>0</v>
      </c>
      <c r="BR200" s="19">
        <v>1</v>
      </c>
      <c r="BS200" s="19">
        <v>1</v>
      </c>
      <c r="BT200" s="19">
        <v>5</v>
      </c>
      <c r="BU200" s="19">
        <v>5</v>
      </c>
      <c r="BV200" s="19">
        <v>1</v>
      </c>
      <c r="BW200" s="19">
        <v>1</v>
      </c>
      <c r="BX200" s="19">
        <v>5</v>
      </c>
      <c r="BY200" s="19">
        <v>5</v>
      </c>
      <c r="BZ200" s="19">
        <v>5</v>
      </c>
      <c r="CA200" s="19">
        <v>5</v>
      </c>
      <c r="CB200" s="19">
        <v>5</v>
      </c>
      <c r="CC200" s="19">
        <v>5</v>
      </c>
      <c r="CD200" s="19">
        <v>4</v>
      </c>
      <c r="CE200" s="19">
        <v>5</v>
      </c>
      <c r="CF200" s="19">
        <v>2</v>
      </c>
      <c r="CG200" s="19">
        <v>4</v>
      </c>
      <c r="CH200" s="19">
        <v>5</v>
      </c>
      <c r="CI200" s="19">
        <v>5</v>
      </c>
      <c r="CJ200" s="19">
        <v>4</v>
      </c>
      <c r="CK200" s="19">
        <v>9</v>
      </c>
      <c r="CL200" t="s">
        <v>232</v>
      </c>
      <c r="CM200">
        <v>40</v>
      </c>
      <c r="CN200" s="16">
        <v>84.9</v>
      </c>
      <c r="CO200" s="16">
        <v>81</v>
      </c>
      <c r="CP200" s="16">
        <v>13.2</v>
      </c>
      <c r="CQ200">
        <v>93.04</v>
      </c>
      <c r="CR200">
        <v>0</v>
      </c>
      <c r="CS200">
        <v>0</v>
      </c>
      <c r="CT200">
        <v>3.59</v>
      </c>
      <c r="CU200">
        <v>3.38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1.7</v>
      </c>
      <c r="DC200">
        <v>3.97</v>
      </c>
      <c r="DD200">
        <v>39.76</v>
      </c>
      <c r="DE200">
        <v>0.13</v>
      </c>
      <c r="DF200">
        <v>0</v>
      </c>
      <c r="DG200">
        <v>0</v>
      </c>
      <c r="DH200">
        <v>0</v>
      </c>
      <c r="DU200">
        <v>15.9</v>
      </c>
      <c r="DV200">
        <v>1</v>
      </c>
      <c r="DW200">
        <v>47</v>
      </c>
      <c r="DX200">
        <v>2</v>
      </c>
      <c r="DY200">
        <v>1.51</v>
      </c>
      <c r="DZ200">
        <v>3</v>
      </c>
      <c r="EG200" s="18"/>
      <c r="EY200">
        <v>1</v>
      </c>
      <c r="EZ200">
        <v>40</v>
      </c>
      <c r="FA200">
        <v>7</v>
      </c>
      <c r="FB200">
        <f>2.27+3.02</f>
        <v>5.29</v>
      </c>
      <c r="FC200">
        <v>3</v>
      </c>
      <c r="GJ200" s="16">
        <v>1.48</v>
      </c>
      <c r="GK200" s="16">
        <v>1</v>
      </c>
      <c r="GL200" s="16">
        <v>1</v>
      </c>
      <c r="GM200" s="16"/>
      <c r="GN200" s="16">
        <f>2.1+1.7+0.37+0.74</f>
        <v>4.91</v>
      </c>
      <c r="GO200" s="16"/>
      <c r="GP200" s="16"/>
      <c r="GQ200" s="16"/>
      <c r="GR200" s="16"/>
      <c r="GS200" s="16"/>
      <c r="GT200" s="16"/>
      <c r="GU200" s="16">
        <v>7.34</v>
      </c>
      <c r="GV200" s="16">
        <v>5.01</v>
      </c>
      <c r="GW200" s="16"/>
      <c r="GX200" s="16"/>
      <c r="GY200" s="16">
        <v>0</v>
      </c>
      <c r="GZ200" s="16">
        <v>0</v>
      </c>
      <c r="HA200" s="16">
        <v>0</v>
      </c>
      <c r="HB200">
        <v>0</v>
      </c>
      <c r="HC200" t="s">
        <v>233</v>
      </c>
      <c r="HD200">
        <v>39.5</v>
      </c>
      <c r="HE200" s="16">
        <v>85</v>
      </c>
      <c r="HF200" s="16">
        <v>81</v>
      </c>
      <c r="HG200" s="16">
        <v>12.7</v>
      </c>
      <c r="HH200">
        <v>93.14</v>
      </c>
      <c r="HI200">
        <v>0</v>
      </c>
      <c r="HJ200">
        <v>1.57</v>
      </c>
      <c r="HK200">
        <v>2.08</v>
      </c>
      <c r="HL200">
        <v>3.21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1.7</v>
      </c>
      <c r="HT200">
        <v>6.54</v>
      </c>
      <c r="HU200">
        <v>37.880000000000003</v>
      </c>
      <c r="HV200">
        <v>3</v>
      </c>
      <c r="HW200">
        <v>0</v>
      </c>
      <c r="HX200">
        <v>0</v>
      </c>
      <c r="HY200">
        <v>0</v>
      </c>
      <c r="IL200">
        <v>15.7</v>
      </c>
      <c r="IM200">
        <v>1</v>
      </c>
      <c r="IN200">
        <v>47</v>
      </c>
      <c r="IO200">
        <v>2</v>
      </c>
      <c r="IP200">
        <v>1.51</v>
      </c>
      <c r="IQ200">
        <v>3</v>
      </c>
      <c r="IX200" s="18"/>
      <c r="JP200">
        <v>1</v>
      </c>
      <c r="JQ200">
        <v>50</v>
      </c>
      <c r="JR200">
        <v>3</v>
      </c>
      <c r="JS200">
        <v>0.4</v>
      </c>
      <c r="JT200">
        <v>3</v>
      </c>
      <c r="JU200">
        <v>40</v>
      </c>
      <c r="JV200">
        <v>7</v>
      </c>
      <c r="JW200">
        <f>2.27+3.02</f>
        <v>5.29</v>
      </c>
      <c r="JX200">
        <v>3</v>
      </c>
      <c r="LA200" s="16">
        <v>1.76</v>
      </c>
      <c r="LB200" s="16">
        <v>1</v>
      </c>
      <c r="LC200" s="16">
        <v>1</v>
      </c>
      <c r="LD200" s="16"/>
      <c r="LE200" s="16">
        <f>2.1+1.7+0.4+0.37+0.74</f>
        <v>5.3100000000000005</v>
      </c>
      <c r="LF200" s="16"/>
      <c r="LG200" s="16"/>
      <c r="LH200" s="16"/>
      <c r="LI200" s="16"/>
      <c r="LJ200" s="16"/>
      <c r="LK200" s="16"/>
      <c r="LL200" s="16">
        <v>7.31</v>
      </c>
      <c r="LM200" s="16">
        <v>6.99</v>
      </c>
      <c r="LN200" s="16"/>
      <c r="LO200" s="16"/>
      <c r="LP200" s="16">
        <v>0</v>
      </c>
      <c r="LQ200" s="16">
        <v>0</v>
      </c>
      <c r="LR200" s="16">
        <v>0</v>
      </c>
      <c r="LS200">
        <v>0</v>
      </c>
      <c r="LT200" t="s">
        <v>234</v>
      </c>
      <c r="LU200">
        <v>22.5</v>
      </c>
      <c r="LV200" s="16">
        <v>60.3</v>
      </c>
      <c r="LW200" s="16">
        <v>81</v>
      </c>
      <c r="LX200" s="16">
        <v>13.3</v>
      </c>
      <c r="LY200">
        <v>92.98</v>
      </c>
      <c r="LZ200">
        <v>0</v>
      </c>
      <c r="MA200">
        <v>0</v>
      </c>
      <c r="MB200">
        <v>0</v>
      </c>
      <c r="MC200">
        <v>7.02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0.72</v>
      </c>
      <c r="ML200">
        <v>23.12</v>
      </c>
      <c r="MM200">
        <v>24.81</v>
      </c>
      <c r="MN200">
        <v>0</v>
      </c>
      <c r="MO200">
        <v>0</v>
      </c>
      <c r="MP200">
        <v>0</v>
      </c>
      <c r="NC200">
        <v>0</v>
      </c>
      <c r="ND200">
        <v>1</v>
      </c>
      <c r="NE200">
        <v>23</v>
      </c>
      <c r="NF200">
        <v>1</v>
      </c>
      <c r="NG200">
        <v>0.3</v>
      </c>
      <c r="NH200">
        <v>3</v>
      </c>
      <c r="NO200" s="18"/>
      <c r="OG200">
        <v>0</v>
      </c>
      <c r="PR200" s="16">
        <v>1.26</v>
      </c>
      <c r="PS200" s="16">
        <v>1</v>
      </c>
      <c r="PT200" s="16">
        <v>1</v>
      </c>
      <c r="PU200" s="16"/>
      <c r="PV200" s="16">
        <f>2.1+1.7+0.4+0.37+0.74</f>
        <v>5.3100000000000005</v>
      </c>
      <c r="PW200" s="16"/>
      <c r="PX200" s="16"/>
      <c r="PY200" s="16"/>
      <c r="PZ200" s="16"/>
      <c r="QA200" s="16"/>
      <c r="QB200" s="16"/>
      <c r="QC200" s="16">
        <v>6.24</v>
      </c>
      <c r="QD200" s="16">
        <v>6.99</v>
      </c>
      <c r="QE200" s="16"/>
      <c r="QF200" s="16"/>
      <c r="QG200" s="16">
        <v>0</v>
      </c>
      <c r="QH200" s="16">
        <v>0</v>
      </c>
      <c r="QI200" s="16">
        <v>0</v>
      </c>
      <c r="QJ200">
        <v>0</v>
      </c>
      <c r="QK200" t="s">
        <v>235</v>
      </c>
      <c r="QL200">
        <v>37</v>
      </c>
      <c r="QM200" s="16">
        <v>81.900000000000006</v>
      </c>
      <c r="QN200" s="16">
        <v>81</v>
      </c>
      <c r="QO200" s="16">
        <v>26.3</v>
      </c>
      <c r="QP200">
        <v>68.540000000000006</v>
      </c>
      <c r="QQ200">
        <v>0</v>
      </c>
      <c r="QR200">
        <v>0</v>
      </c>
      <c r="QS200">
        <v>0</v>
      </c>
      <c r="QT200">
        <v>31.46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5.42</v>
      </c>
      <c r="RC200">
        <v>17.37</v>
      </c>
      <c r="RD200">
        <v>41.85</v>
      </c>
      <c r="RE200">
        <v>0</v>
      </c>
      <c r="RF200">
        <v>0</v>
      </c>
      <c r="RG200">
        <v>0</v>
      </c>
      <c r="RT200">
        <v>0</v>
      </c>
      <c r="RU200">
        <v>1</v>
      </c>
      <c r="RV200">
        <v>23</v>
      </c>
      <c r="RW200">
        <v>2</v>
      </c>
      <c r="RX200">
        <v>2.11</v>
      </c>
      <c r="RY200">
        <v>3</v>
      </c>
      <c r="SF200" s="18"/>
      <c r="SX200">
        <v>0</v>
      </c>
      <c r="UI200" s="16">
        <v>2.64</v>
      </c>
      <c r="UJ200" s="16">
        <v>1</v>
      </c>
      <c r="UK200" s="16">
        <v>1</v>
      </c>
      <c r="UL200" s="16"/>
      <c r="UM200" s="16">
        <f>4.2*2+1.7+5.1+0.37+0.74</f>
        <v>16.309999999999999</v>
      </c>
      <c r="UN200" s="16"/>
      <c r="UO200" s="16"/>
      <c r="UP200" s="16"/>
      <c r="UQ200" s="16"/>
      <c r="UR200" s="16"/>
      <c r="US200" s="16"/>
      <c r="UT200" s="16">
        <v>5.32</v>
      </c>
      <c r="UU200" s="16">
        <v>8.0399999999999991</v>
      </c>
      <c r="UV200" s="16"/>
      <c r="UW200" s="16"/>
      <c r="UX200" s="16">
        <v>0</v>
      </c>
      <c r="UY200" s="16">
        <v>0</v>
      </c>
      <c r="UZ200" s="16">
        <v>0</v>
      </c>
      <c r="VA200">
        <v>0</v>
      </c>
      <c r="VB200" t="s">
        <v>236</v>
      </c>
      <c r="VC200">
        <v>51</v>
      </c>
      <c r="VD200" s="16">
        <v>93.4</v>
      </c>
      <c r="VE200" s="16">
        <v>81</v>
      </c>
      <c r="VF200" s="16">
        <v>29.5</v>
      </c>
      <c r="VG200">
        <v>55.24</v>
      </c>
      <c r="VH200">
        <v>0</v>
      </c>
      <c r="VI200">
        <v>0</v>
      </c>
      <c r="VJ200">
        <v>0</v>
      </c>
      <c r="VK200">
        <v>44.76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0.67</v>
      </c>
      <c r="VS200">
        <v>5.0999999999999996</v>
      </c>
      <c r="VT200">
        <v>47.22</v>
      </c>
      <c r="VU200">
        <v>18.3</v>
      </c>
      <c r="VV200">
        <v>0</v>
      </c>
      <c r="VW200">
        <v>7.5</v>
      </c>
      <c r="VX200">
        <v>1</v>
      </c>
      <c r="VY200">
        <v>3.6</v>
      </c>
      <c r="WA200">
        <v>1</v>
      </c>
      <c r="WE200">
        <v>3.6</v>
      </c>
      <c r="WG200">
        <v>1</v>
      </c>
      <c r="WK200">
        <v>0</v>
      </c>
      <c r="WL200">
        <v>0</v>
      </c>
      <c r="WW200" s="18"/>
      <c r="XO200">
        <v>0</v>
      </c>
      <c r="YZ200" s="16">
        <v>1.95</v>
      </c>
      <c r="ZA200" s="16">
        <v>1</v>
      </c>
      <c r="ZB200" s="16">
        <v>1</v>
      </c>
      <c r="ZC200" s="16"/>
      <c r="ZD200" s="16">
        <f>2.42+1.67+5+0.22+0.66+0.22</f>
        <v>10.190000000000001</v>
      </c>
      <c r="ZE200" s="16"/>
      <c r="ZF200" s="16"/>
      <c r="ZG200" s="16"/>
      <c r="ZH200" s="16"/>
      <c r="ZI200" s="16"/>
      <c r="ZJ200" s="16"/>
      <c r="ZK200" s="16">
        <v>5.63</v>
      </c>
      <c r="ZL200" s="16">
        <v>11.04</v>
      </c>
      <c r="ZM200" s="16"/>
      <c r="ZN200" s="16"/>
      <c r="ZO200" s="16">
        <v>0</v>
      </c>
      <c r="ZP200" s="16">
        <v>0</v>
      </c>
      <c r="ZQ200" s="16">
        <v>0</v>
      </c>
      <c r="ZR200">
        <v>0</v>
      </c>
      <c r="ZS200" t="s">
        <v>237</v>
      </c>
      <c r="ZT200">
        <v>46</v>
      </c>
      <c r="ZU200" s="16">
        <v>92.7</v>
      </c>
      <c r="ZV200" s="16">
        <v>81</v>
      </c>
      <c r="ZW200" s="16">
        <v>20.8</v>
      </c>
      <c r="ZX200">
        <v>76.44</v>
      </c>
      <c r="ZY200">
        <v>0</v>
      </c>
      <c r="ZZ200">
        <v>0</v>
      </c>
      <c r="AAA200">
        <v>0</v>
      </c>
      <c r="AAB200">
        <v>23.56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0.23</v>
      </c>
      <c r="AAJ200">
        <v>0.51</v>
      </c>
      <c r="AAK200">
        <v>26.55</v>
      </c>
      <c r="AAL200">
        <v>36.69</v>
      </c>
      <c r="AAM200">
        <v>0</v>
      </c>
      <c r="AAN200">
        <v>10.6</v>
      </c>
      <c r="AAO200">
        <v>1</v>
      </c>
      <c r="AAP200">
        <v>6</v>
      </c>
      <c r="AAR200">
        <v>1</v>
      </c>
      <c r="AAV200">
        <v>6</v>
      </c>
      <c r="AAX200">
        <v>1</v>
      </c>
      <c r="ABB200">
        <v>7.1</v>
      </c>
      <c r="ABC200">
        <v>1</v>
      </c>
      <c r="ABD200">
        <v>35</v>
      </c>
      <c r="ABE200">
        <v>2</v>
      </c>
      <c r="ABF200">
        <f>0.76*2</f>
        <v>1.52</v>
      </c>
      <c r="ABG200">
        <v>3</v>
      </c>
      <c r="ABN200" s="18"/>
      <c r="ACF200">
        <v>0</v>
      </c>
      <c r="ADQ200" s="16">
        <v>2.41</v>
      </c>
      <c r="ADR200" s="16">
        <v>1</v>
      </c>
      <c r="ADS200" s="16">
        <v>1</v>
      </c>
      <c r="ADT200" s="16"/>
      <c r="ADU200" s="16">
        <f>0.41+1.67+5+0.33+0.45+0.15</f>
        <v>8.01</v>
      </c>
      <c r="ADV200" s="16"/>
      <c r="ADW200" s="16"/>
      <c r="ADX200" s="16"/>
      <c r="ADY200" s="16"/>
      <c r="ADZ200" s="16"/>
      <c r="AEA200" s="16"/>
      <c r="AEB200" s="16">
        <v>0.33</v>
      </c>
      <c r="AEC200" s="16">
        <v>0.33</v>
      </c>
      <c r="AED200" s="16"/>
      <c r="AEE200" s="16"/>
      <c r="AEF200" s="16">
        <v>0</v>
      </c>
      <c r="AEG200" s="16">
        <v>0</v>
      </c>
      <c r="AEH200" s="16">
        <v>0</v>
      </c>
      <c r="AEI200">
        <v>0</v>
      </c>
      <c r="AEJ200" t="s">
        <v>461</v>
      </c>
      <c r="AEK200">
        <v>38</v>
      </c>
      <c r="AEL200" s="16">
        <v>84.5</v>
      </c>
      <c r="AEM200" s="16">
        <v>81</v>
      </c>
      <c r="AEN200" s="16">
        <v>11.8</v>
      </c>
      <c r="AEO200">
        <v>99.78</v>
      </c>
      <c r="AEP200">
        <v>0</v>
      </c>
      <c r="AEQ200">
        <v>0</v>
      </c>
      <c r="AER200">
        <v>0</v>
      </c>
      <c r="AES200">
        <v>0.22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7.31</v>
      </c>
      <c r="AFA200">
        <v>0</v>
      </c>
      <c r="AFB200">
        <v>30.29</v>
      </c>
      <c r="AFC200">
        <v>31.72</v>
      </c>
      <c r="AFD200">
        <v>0</v>
      </c>
      <c r="AFE200">
        <v>0</v>
      </c>
      <c r="AFF200">
        <v>0</v>
      </c>
      <c r="AFS200">
        <v>14</v>
      </c>
      <c r="AFT200">
        <v>1</v>
      </c>
      <c r="AFU200">
        <v>52</v>
      </c>
      <c r="AFV200">
        <v>6</v>
      </c>
      <c r="AFW200">
        <v>4.53</v>
      </c>
      <c r="AFX200">
        <v>2</v>
      </c>
      <c r="AGE200" s="18"/>
      <c r="AGW200">
        <v>1</v>
      </c>
      <c r="AGX200">
        <v>50</v>
      </c>
      <c r="AGY200">
        <v>3</v>
      </c>
      <c r="AGZ200">
        <v>0.4</v>
      </c>
      <c r="AHA200">
        <v>6</v>
      </c>
      <c r="AIH200" s="16">
        <v>3.9</v>
      </c>
      <c r="AII200" s="16">
        <v>1</v>
      </c>
      <c r="AIJ200" s="16">
        <v>1</v>
      </c>
      <c r="AIK200" s="16"/>
      <c r="AIL200" s="16">
        <f>1.7*3+4.53+2.64*2+0.6</f>
        <v>15.51</v>
      </c>
      <c r="AIM200" s="16"/>
      <c r="AIN200" s="16"/>
      <c r="AIO200" s="16"/>
      <c r="AIP200" s="16"/>
      <c r="AIQ200" s="16"/>
      <c r="AIR200" s="16"/>
      <c r="AIS200" s="16">
        <v>8.14</v>
      </c>
      <c r="AIT200" s="16">
        <v>15.87</v>
      </c>
      <c r="AIU200" s="16"/>
      <c r="AIV200" s="16"/>
      <c r="AIW200" s="16">
        <v>0</v>
      </c>
      <c r="AIX200" s="16">
        <v>0</v>
      </c>
      <c r="AIY200" s="16">
        <v>0</v>
      </c>
      <c r="AIZ200">
        <v>0</v>
      </c>
      <c r="AJA200" t="s">
        <v>595</v>
      </c>
      <c r="AJB200">
        <v>21.5</v>
      </c>
      <c r="AJC200" s="16">
        <v>79.7</v>
      </c>
      <c r="AJD200" s="16">
        <v>81</v>
      </c>
      <c r="AJE200" s="16">
        <v>7.9</v>
      </c>
      <c r="AJF200">
        <v>99.71</v>
      </c>
      <c r="AJG200">
        <v>0</v>
      </c>
      <c r="AJH200">
        <v>0</v>
      </c>
      <c r="AJI200">
        <v>0</v>
      </c>
      <c r="AJJ200">
        <v>0.28999999999999998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11.15</v>
      </c>
      <c r="AJS200">
        <v>33.119999999999997</v>
      </c>
      <c r="AJT200">
        <v>8.7200000000000006</v>
      </c>
      <c r="AJU200">
        <v>0</v>
      </c>
      <c r="AJV200">
        <v>0</v>
      </c>
      <c r="AJW200">
        <v>0</v>
      </c>
      <c r="AKJ200">
        <v>0</v>
      </c>
      <c r="AKK200">
        <v>1</v>
      </c>
      <c r="AKL200">
        <v>23</v>
      </c>
      <c r="AKM200">
        <v>1</v>
      </c>
      <c r="AKN200">
        <v>2.27</v>
      </c>
      <c r="AKO200">
        <v>3</v>
      </c>
      <c r="AKV200" s="18"/>
      <c r="ALN200">
        <v>1</v>
      </c>
      <c r="ALO200">
        <v>50</v>
      </c>
      <c r="ALP200">
        <v>9</v>
      </c>
      <c r="ALQ200">
        <v>4.93</v>
      </c>
      <c r="ALR200">
        <v>3</v>
      </c>
    </row>
    <row r="201" spans="1:1018" x14ac:dyDescent="0.2">
      <c r="A201" s="1" t="s">
        <v>712</v>
      </c>
      <c r="B201" s="12">
        <v>42902</v>
      </c>
      <c r="C201">
        <v>1</v>
      </c>
      <c r="D201" s="13">
        <v>42828</v>
      </c>
      <c r="E201" s="12">
        <v>34796</v>
      </c>
      <c r="F201" s="14">
        <f t="shared" si="62"/>
        <v>22.193018480492814</v>
      </c>
      <c r="G201" s="14">
        <f t="shared" si="63"/>
        <v>0.20260095824777549</v>
      </c>
      <c r="H201" s="15" t="s">
        <v>228</v>
      </c>
      <c r="I201" s="15" t="s">
        <v>229</v>
      </c>
      <c r="J201" s="15" t="s">
        <v>183</v>
      </c>
      <c r="K201" s="21">
        <v>4</v>
      </c>
      <c r="L201" s="19">
        <v>74.099999999999994</v>
      </c>
      <c r="M201">
        <v>1.73</v>
      </c>
      <c r="N201" s="16">
        <f t="shared" si="64"/>
        <v>24.75859534231013</v>
      </c>
      <c r="O201" s="19">
        <v>0</v>
      </c>
      <c r="P201" s="19">
        <v>0</v>
      </c>
      <c r="Q201" s="19">
        <v>0</v>
      </c>
      <c r="R201" s="26">
        <v>0</v>
      </c>
      <c r="S201" s="26">
        <v>0</v>
      </c>
      <c r="T201" s="26">
        <v>0</v>
      </c>
      <c r="U201" s="19">
        <v>0</v>
      </c>
      <c r="V201" s="19">
        <v>0</v>
      </c>
      <c r="W201" s="19">
        <v>0</v>
      </c>
      <c r="X201" s="19">
        <v>0</v>
      </c>
      <c r="Y201" s="19">
        <v>0</v>
      </c>
      <c r="Z201" s="19">
        <v>0</v>
      </c>
      <c r="AA201" s="19">
        <v>0</v>
      </c>
      <c r="AB201" s="19">
        <v>0</v>
      </c>
      <c r="AC201" s="19">
        <v>0</v>
      </c>
      <c r="AD201" s="19">
        <v>0</v>
      </c>
      <c r="AE201" s="19">
        <v>0</v>
      </c>
      <c r="AF201" s="19">
        <v>0</v>
      </c>
      <c r="AG201" s="19">
        <v>0</v>
      </c>
      <c r="AH201" s="19">
        <v>0</v>
      </c>
      <c r="AI201" s="19">
        <v>0</v>
      </c>
      <c r="AJ201" s="19">
        <v>0</v>
      </c>
      <c r="AK201" s="19">
        <v>0</v>
      </c>
      <c r="AL201" s="19">
        <v>0</v>
      </c>
      <c r="AM201" s="19">
        <v>0</v>
      </c>
      <c r="AN201" s="19">
        <v>0</v>
      </c>
      <c r="AO201" s="19">
        <v>0</v>
      </c>
      <c r="AP201" s="19">
        <v>0</v>
      </c>
      <c r="AQ201" s="19">
        <v>0</v>
      </c>
      <c r="AR201" s="19">
        <v>0</v>
      </c>
      <c r="AS201" s="19">
        <v>0</v>
      </c>
      <c r="AT201" s="19">
        <v>0</v>
      </c>
      <c r="AU201" s="19">
        <v>0</v>
      </c>
      <c r="AV201" s="19">
        <v>0</v>
      </c>
      <c r="AW201" s="19">
        <v>0</v>
      </c>
      <c r="AX201" s="19">
        <v>0</v>
      </c>
      <c r="AY201" s="19">
        <v>0</v>
      </c>
      <c r="AZ201" s="19">
        <v>0</v>
      </c>
      <c r="BA201" s="19">
        <v>0</v>
      </c>
      <c r="BB201" s="19">
        <v>0</v>
      </c>
      <c r="BC201" s="19">
        <v>0</v>
      </c>
      <c r="BD201" s="19">
        <v>0</v>
      </c>
      <c r="BE201" s="19">
        <v>0</v>
      </c>
      <c r="BF201" s="19">
        <v>0</v>
      </c>
      <c r="BG201" s="19">
        <v>0</v>
      </c>
      <c r="BH201" s="19">
        <v>0</v>
      </c>
      <c r="BI201" s="19">
        <v>0</v>
      </c>
      <c r="BJ201" s="19">
        <v>0</v>
      </c>
      <c r="BK201" s="19">
        <v>0</v>
      </c>
      <c r="BL201" s="19">
        <v>0</v>
      </c>
      <c r="BM201" s="19">
        <v>0</v>
      </c>
      <c r="BN201" s="19">
        <v>0</v>
      </c>
      <c r="BO201" s="19">
        <v>0</v>
      </c>
      <c r="BP201" s="19">
        <v>0</v>
      </c>
      <c r="BQ201" s="19">
        <v>0</v>
      </c>
      <c r="BR201" s="19">
        <v>1</v>
      </c>
      <c r="BS201" s="19">
        <v>1</v>
      </c>
      <c r="BT201" s="19">
        <v>2</v>
      </c>
      <c r="BU201" s="19">
        <v>3</v>
      </c>
      <c r="BV201" s="19">
        <v>1</v>
      </c>
      <c r="BW201" s="19">
        <v>1</v>
      </c>
      <c r="BX201" s="19">
        <v>4</v>
      </c>
      <c r="BY201" s="19">
        <v>3</v>
      </c>
      <c r="BZ201" s="19">
        <v>3</v>
      </c>
      <c r="CA201" s="19">
        <v>4</v>
      </c>
      <c r="CB201" s="19">
        <v>5</v>
      </c>
      <c r="CC201" s="19">
        <v>5</v>
      </c>
      <c r="CD201" s="19">
        <v>4</v>
      </c>
      <c r="CE201" s="19">
        <v>5</v>
      </c>
      <c r="CF201" s="19">
        <v>5</v>
      </c>
      <c r="CG201" s="19">
        <v>5</v>
      </c>
      <c r="CH201" s="19">
        <v>4</v>
      </c>
      <c r="CI201" s="19">
        <v>4</v>
      </c>
      <c r="CJ201" s="19">
        <v>4</v>
      </c>
      <c r="CK201" s="19">
        <v>8</v>
      </c>
      <c r="CL201" t="s">
        <v>230</v>
      </c>
      <c r="CM201">
        <v>64</v>
      </c>
      <c r="CN201" s="16">
        <v>74.3</v>
      </c>
      <c r="CO201" s="16">
        <v>81</v>
      </c>
      <c r="CP201" s="16">
        <v>58.5</v>
      </c>
      <c r="CQ201">
        <v>49.17</v>
      </c>
      <c r="CR201">
        <v>0</v>
      </c>
      <c r="CS201">
        <v>34.450000000000003</v>
      </c>
      <c r="CT201">
        <v>16.22</v>
      </c>
      <c r="CU201">
        <v>0.16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2.52</v>
      </c>
      <c r="DE201">
        <v>9.18</v>
      </c>
      <c r="DF201">
        <v>0</v>
      </c>
      <c r="DG201">
        <v>0</v>
      </c>
      <c r="DH201">
        <v>0</v>
      </c>
      <c r="DU201">
        <v>0.3</v>
      </c>
      <c r="DV201">
        <v>1</v>
      </c>
      <c r="DW201">
        <v>34</v>
      </c>
      <c r="DX201">
        <v>8</v>
      </c>
      <c r="DY201">
        <v>0.43</v>
      </c>
      <c r="DZ201">
        <v>1</v>
      </c>
      <c r="EA201">
        <v>47</v>
      </c>
      <c r="EB201">
        <v>1</v>
      </c>
      <c r="EC201">
        <v>0.04</v>
      </c>
      <c r="ED201">
        <v>3</v>
      </c>
      <c r="EG201" s="18"/>
      <c r="EY201">
        <v>0</v>
      </c>
      <c r="GJ201" s="16">
        <v>2.89</v>
      </c>
      <c r="GK201" s="16">
        <v>1</v>
      </c>
      <c r="GL201" s="16">
        <v>1</v>
      </c>
      <c r="GM201" s="16"/>
      <c r="GN201" s="16">
        <v>7.35</v>
      </c>
      <c r="GO201" s="16"/>
      <c r="GP201" s="16"/>
      <c r="GQ201" s="16"/>
      <c r="GR201" s="16"/>
      <c r="GS201" s="16"/>
      <c r="GT201" s="16"/>
      <c r="GU201" s="16">
        <v>0</v>
      </c>
      <c r="GV201" s="16">
        <v>0</v>
      </c>
      <c r="GW201" s="16"/>
      <c r="GX201" s="16"/>
      <c r="GY201" s="16">
        <v>0</v>
      </c>
      <c r="GZ201" s="16">
        <v>0</v>
      </c>
      <c r="HA201" s="16">
        <v>0</v>
      </c>
      <c r="HB201">
        <v>0</v>
      </c>
      <c r="HC201" t="s">
        <v>231</v>
      </c>
      <c r="HD201">
        <v>64.5</v>
      </c>
      <c r="HE201" s="16">
        <v>77.8</v>
      </c>
      <c r="HF201" s="16">
        <v>81</v>
      </c>
      <c r="HG201" s="16">
        <v>52.5</v>
      </c>
      <c r="HH201">
        <v>50.19</v>
      </c>
      <c r="HI201">
        <v>0</v>
      </c>
      <c r="HJ201">
        <v>26.36</v>
      </c>
      <c r="HK201">
        <v>23.45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1.91</v>
      </c>
      <c r="HU201">
        <v>2.12</v>
      </c>
      <c r="HV201">
        <v>0</v>
      </c>
      <c r="HW201">
        <v>0</v>
      </c>
      <c r="HX201">
        <v>0</v>
      </c>
      <c r="HY201">
        <v>0</v>
      </c>
      <c r="IL201">
        <v>5.4</v>
      </c>
      <c r="IM201">
        <v>1</v>
      </c>
      <c r="IN201">
        <v>68</v>
      </c>
      <c r="IO201">
        <v>8</v>
      </c>
      <c r="IP201">
        <f>1.4*2+0.13</f>
        <v>2.9299999999999997</v>
      </c>
      <c r="IQ201">
        <v>1</v>
      </c>
      <c r="IR201">
        <v>34</v>
      </c>
      <c r="IS201">
        <v>1</v>
      </c>
      <c r="IT201">
        <v>0.13</v>
      </c>
      <c r="IU201">
        <v>1</v>
      </c>
      <c r="IX201" s="18"/>
      <c r="JP201">
        <v>1</v>
      </c>
      <c r="JQ201">
        <v>60</v>
      </c>
      <c r="JR201">
        <v>1</v>
      </c>
      <c r="JS201">
        <v>0.22</v>
      </c>
      <c r="JT201">
        <v>3</v>
      </c>
      <c r="LA201" s="16">
        <v>3.48</v>
      </c>
      <c r="LB201" s="16">
        <v>1</v>
      </c>
      <c r="LC201" s="16">
        <v>1</v>
      </c>
      <c r="LD201" s="16"/>
      <c r="LE201" s="16">
        <f>7.35+1.4*2+0.62+0.74+0.03+0.7+0.18+0.03+0.05+0.01</f>
        <v>12.509999999999996</v>
      </c>
      <c r="LF201" s="16"/>
      <c r="LG201" s="16"/>
      <c r="LH201" s="16"/>
      <c r="LI201" s="16"/>
      <c r="LJ201" s="16"/>
      <c r="LK201" s="16"/>
      <c r="LL201" s="16">
        <v>0.13</v>
      </c>
      <c r="LM201" s="16">
        <v>0.13</v>
      </c>
      <c r="LN201" s="16"/>
      <c r="LO201" s="16"/>
      <c r="LP201" s="16">
        <v>0</v>
      </c>
      <c r="LQ201" s="16">
        <v>0</v>
      </c>
      <c r="LR201" s="16">
        <v>0</v>
      </c>
      <c r="LS201">
        <v>0</v>
      </c>
      <c r="LT201" t="s">
        <v>232</v>
      </c>
      <c r="LU201">
        <v>40</v>
      </c>
      <c r="LV201" s="16">
        <v>84.9</v>
      </c>
      <c r="LW201" s="16">
        <v>81</v>
      </c>
      <c r="LX201" s="16">
        <v>13.2</v>
      </c>
      <c r="LY201">
        <v>93.04</v>
      </c>
      <c r="LZ201">
        <v>0</v>
      </c>
      <c r="MA201">
        <v>0</v>
      </c>
      <c r="MB201">
        <v>3.59</v>
      </c>
      <c r="MC201">
        <v>3.38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1.7</v>
      </c>
      <c r="MK201">
        <v>3.97</v>
      </c>
      <c r="ML201">
        <v>39.76</v>
      </c>
      <c r="MM201">
        <v>0.13</v>
      </c>
      <c r="MN201">
        <v>0</v>
      </c>
      <c r="MO201">
        <v>0</v>
      </c>
      <c r="MP201">
        <v>0</v>
      </c>
      <c r="NC201">
        <v>15.9</v>
      </c>
      <c r="ND201">
        <v>1</v>
      </c>
      <c r="NE201">
        <v>47</v>
      </c>
      <c r="NF201">
        <v>2</v>
      </c>
      <c r="NG201">
        <v>1.51</v>
      </c>
      <c r="NH201">
        <v>3</v>
      </c>
      <c r="NO201" s="18"/>
      <c r="OG201">
        <v>1</v>
      </c>
      <c r="OH201">
        <v>40</v>
      </c>
      <c r="OI201">
        <v>7</v>
      </c>
      <c r="OJ201">
        <f>2.27+3.02</f>
        <v>5.29</v>
      </c>
      <c r="OK201">
        <v>3</v>
      </c>
      <c r="PR201" s="16">
        <v>1.48</v>
      </c>
      <c r="PS201" s="16">
        <v>1</v>
      </c>
      <c r="PT201" s="16">
        <v>1</v>
      </c>
      <c r="PU201" s="16"/>
      <c r="PV201" s="16">
        <f>2.1+1.7+0.37+0.74</f>
        <v>4.91</v>
      </c>
      <c r="PW201" s="16"/>
      <c r="PX201" s="16"/>
      <c r="PY201" s="16"/>
      <c r="PZ201" s="16"/>
      <c r="QA201" s="16"/>
      <c r="QB201" s="16"/>
      <c r="QC201" s="16">
        <v>7.34</v>
      </c>
      <c r="QD201" s="16">
        <v>5.01</v>
      </c>
      <c r="QE201" s="16"/>
      <c r="QF201" s="16"/>
      <c r="QG201" s="16">
        <v>0</v>
      </c>
      <c r="QH201" s="16">
        <v>0</v>
      </c>
      <c r="QI201" s="16">
        <v>0</v>
      </c>
      <c r="QJ201">
        <v>0</v>
      </c>
      <c r="QK201" t="s">
        <v>233</v>
      </c>
      <c r="QL201">
        <v>39.5</v>
      </c>
      <c r="QM201" s="16">
        <v>85</v>
      </c>
      <c r="QN201" s="16">
        <v>81</v>
      </c>
      <c r="QO201" s="16">
        <v>12.7</v>
      </c>
      <c r="QP201">
        <v>93.14</v>
      </c>
      <c r="QQ201">
        <v>0</v>
      </c>
      <c r="QR201">
        <v>1.57</v>
      </c>
      <c r="QS201">
        <v>2.08</v>
      </c>
      <c r="QT201">
        <v>3.21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1.7</v>
      </c>
      <c r="RB201">
        <v>6.54</v>
      </c>
      <c r="RC201">
        <v>37.880000000000003</v>
      </c>
      <c r="RD201">
        <v>3</v>
      </c>
      <c r="RE201">
        <v>0</v>
      </c>
      <c r="RF201">
        <v>0</v>
      </c>
      <c r="RG201">
        <v>0</v>
      </c>
      <c r="RT201">
        <v>15.7</v>
      </c>
      <c r="RU201">
        <v>1</v>
      </c>
      <c r="RV201">
        <v>47</v>
      </c>
      <c r="RW201">
        <v>2</v>
      </c>
      <c r="RX201">
        <v>1.51</v>
      </c>
      <c r="RY201">
        <v>3</v>
      </c>
      <c r="SF201" s="18"/>
      <c r="SX201">
        <v>1</v>
      </c>
      <c r="SY201">
        <v>50</v>
      </c>
      <c r="SZ201">
        <v>3</v>
      </c>
      <c r="TA201">
        <v>0.4</v>
      </c>
      <c r="TB201">
        <v>3</v>
      </c>
      <c r="TC201">
        <v>40</v>
      </c>
      <c r="TD201">
        <v>7</v>
      </c>
      <c r="TE201">
        <f>2.27+3.02</f>
        <v>5.29</v>
      </c>
      <c r="TF201">
        <v>3</v>
      </c>
      <c r="UI201" s="16">
        <v>1.76</v>
      </c>
      <c r="UJ201" s="16">
        <v>1</v>
      </c>
      <c r="UK201" s="16">
        <v>1</v>
      </c>
      <c r="UL201" s="16"/>
      <c r="UM201" s="16">
        <f>2.1+1.7+0.4+0.37+0.74</f>
        <v>5.3100000000000005</v>
      </c>
      <c r="UN201" s="16"/>
      <c r="UO201" s="16"/>
      <c r="UP201" s="16"/>
      <c r="UQ201" s="16"/>
      <c r="UR201" s="16"/>
      <c r="US201" s="16"/>
      <c r="UT201" s="16">
        <v>7.31</v>
      </c>
      <c r="UU201" s="16">
        <v>6.99</v>
      </c>
      <c r="UV201" s="16"/>
      <c r="UW201" s="16"/>
      <c r="UX201" s="16">
        <v>0</v>
      </c>
      <c r="UY201" s="16">
        <v>0</v>
      </c>
      <c r="UZ201" s="16">
        <v>0</v>
      </c>
      <c r="VA201">
        <v>0</v>
      </c>
      <c r="VB201" t="s">
        <v>234</v>
      </c>
      <c r="VC201">
        <v>22.5</v>
      </c>
      <c r="VD201" s="16">
        <v>60.3</v>
      </c>
      <c r="VE201" s="16">
        <v>81</v>
      </c>
      <c r="VF201" s="16">
        <v>13.3</v>
      </c>
      <c r="VG201">
        <v>92.98</v>
      </c>
      <c r="VH201">
        <v>0</v>
      </c>
      <c r="VI201">
        <v>0</v>
      </c>
      <c r="VJ201">
        <v>0</v>
      </c>
      <c r="VK201">
        <v>7.02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0.72</v>
      </c>
      <c r="VT201">
        <v>23.12</v>
      </c>
      <c r="VU201">
        <v>24.81</v>
      </c>
      <c r="VV201">
        <v>0</v>
      </c>
      <c r="VW201">
        <v>0</v>
      </c>
      <c r="VX201">
        <v>0</v>
      </c>
      <c r="WK201">
        <v>0</v>
      </c>
      <c r="WL201">
        <v>1</v>
      </c>
      <c r="WM201">
        <v>23</v>
      </c>
      <c r="WN201">
        <v>1</v>
      </c>
      <c r="WO201">
        <v>0.3</v>
      </c>
      <c r="WP201">
        <v>3</v>
      </c>
      <c r="WW201" s="18"/>
      <c r="XO201">
        <v>0</v>
      </c>
      <c r="YZ201" s="16">
        <v>1.26</v>
      </c>
      <c r="ZA201" s="16">
        <v>1</v>
      </c>
      <c r="ZB201" s="16">
        <v>1</v>
      </c>
      <c r="ZC201" s="16"/>
      <c r="ZD201" s="16">
        <f>2.1+1.7+0.4+0.37+0.74</f>
        <v>5.3100000000000005</v>
      </c>
      <c r="ZE201" s="16"/>
      <c r="ZF201" s="16"/>
      <c r="ZG201" s="16"/>
      <c r="ZH201" s="16"/>
      <c r="ZI201" s="16"/>
      <c r="ZJ201" s="16"/>
      <c r="ZK201" s="16">
        <v>6.24</v>
      </c>
      <c r="ZL201" s="16">
        <v>6.99</v>
      </c>
      <c r="ZM201" s="16"/>
      <c r="ZN201" s="16"/>
      <c r="ZO201" s="16">
        <v>0</v>
      </c>
      <c r="ZP201" s="16">
        <v>0</v>
      </c>
      <c r="ZQ201" s="16">
        <v>0</v>
      </c>
      <c r="ZR201">
        <v>0</v>
      </c>
      <c r="ZS201" t="s">
        <v>235</v>
      </c>
      <c r="ZT201">
        <v>37</v>
      </c>
      <c r="ZU201" s="16">
        <v>81.900000000000006</v>
      </c>
      <c r="ZV201" s="16">
        <v>81</v>
      </c>
      <c r="ZW201" s="16">
        <v>26.3</v>
      </c>
      <c r="ZX201">
        <v>68.540000000000006</v>
      </c>
      <c r="ZY201">
        <v>0</v>
      </c>
      <c r="ZZ201">
        <v>0</v>
      </c>
      <c r="AAA201">
        <v>0</v>
      </c>
      <c r="AAB201">
        <v>31.46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5.42</v>
      </c>
      <c r="AAK201">
        <v>17.37</v>
      </c>
      <c r="AAL201">
        <v>41.85</v>
      </c>
      <c r="AAM201">
        <v>0</v>
      </c>
      <c r="AAN201">
        <v>0</v>
      </c>
      <c r="AAO201">
        <v>0</v>
      </c>
      <c r="ABB201">
        <v>0</v>
      </c>
      <c r="ABC201">
        <v>1</v>
      </c>
      <c r="ABD201">
        <v>23</v>
      </c>
      <c r="ABE201">
        <v>2</v>
      </c>
      <c r="ABF201">
        <v>2.11</v>
      </c>
      <c r="ABG201">
        <v>3</v>
      </c>
      <c r="ABN201" s="18"/>
      <c r="ACF201">
        <v>0</v>
      </c>
      <c r="ADQ201" s="16">
        <v>2.64</v>
      </c>
      <c r="ADR201" s="16">
        <v>1</v>
      </c>
      <c r="ADS201" s="16">
        <v>1</v>
      </c>
      <c r="ADT201" s="16"/>
      <c r="ADU201" s="16">
        <f>4.2*2+1.7+5.1+0.37+0.74</f>
        <v>16.309999999999999</v>
      </c>
      <c r="ADV201" s="16"/>
      <c r="ADW201" s="16"/>
      <c r="ADX201" s="16"/>
      <c r="ADY201" s="16"/>
      <c r="ADZ201" s="16"/>
      <c r="AEA201" s="16"/>
      <c r="AEB201" s="16">
        <v>5.32</v>
      </c>
      <c r="AEC201" s="16">
        <v>8.0399999999999991</v>
      </c>
      <c r="AED201" s="16"/>
      <c r="AEE201" s="16"/>
      <c r="AEF201" s="16">
        <v>0</v>
      </c>
      <c r="AEG201" s="16">
        <v>0</v>
      </c>
      <c r="AEH201" s="16">
        <v>0</v>
      </c>
      <c r="AEI201">
        <v>0</v>
      </c>
      <c r="AEJ201" t="s">
        <v>461</v>
      </c>
      <c r="AEK201">
        <v>38</v>
      </c>
      <c r="AEL201" s="16">
        <v>84.5</v>
      </c>
      <c r="AEM201" s="16">
        <v>81</v>
      </c>
      <c r="AEN201" s="16">
        <v>11.8</v>
      </c>
      <c r="AEO201">
        <v>99.78</v>
      </c>
      <c r="AEP201">
        <v>0</v>
      </c>
      <c r="AEQ201">
        <v>0</v>
      </c>
      <c r="AER201">
        <v>0</v>
      </c>
      <c r="AES201">
        <v>0.22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7.31</v>
      </c>
      <c r="AFA201">
        <v>0</v>
      </c>
      <c r="AFB201">
        <v>30.29</v>
      </c>
      <c r="AFC201">
        <v>31.72</v>
      </c>
      <c r="AFD201">
        <v>0</v>
      </c>
      <c r="AFE201">
        <v>0</v>
      </c>
      <c r="AFF201">
        <v>0</v>
      </c>
      <c r="AFS201">
        <v>14</v>
      </c>
      <c r="AFT201">
        <v>1</v>
      </c>
      <c r="AFU201">
        <v>52</v>
      </c>
      <c r="AFV201">
        <v>6</v>
      </c>
      <c r="AFW201">
        <v>4.53</v>
      </c>
      <c r="AFX201">
        <v>2</v>
      </c>
      <c r="AGE201" s="18"/>
      <c r="AGW201">
        <v>1</v>
      </c>
      <c r="AGX201">
        <v>50</v>
      </c>
      <c r="AGY201">
        <v>3</v>
      </c>
      <c r="AGZ201">
        <v>0.4</v>
      </c>
      <c r="AHA201">
        <v>6</v>
      </c>
      <c r="AIH201" s="16">
        <v>3.9</v>
      </c>
      <c r="AII201" s="16">
        <v>1</v>
      </c>
      <c r="AIJ201" s="16">
        <v>1</v>
      </c>
      <c r="AIK201" s="16"/>
      <c r="AIL201" s="16">
        <f>1.7*3+4.53+2.64*2+0.6</f>
        <v>15.51</v>
      </c>
      <c r="AIM201" s="16"/>
      <c r="AIN201" s="16"/>
      <c r="AIO201" s="16"/>
      <c r="AIP201" s="16"/>
      <c r="AIQ201" s="16"/>
      <c r="AIR201" s="16"/>
      <c r="AIS201" s="16">
        <v>8.14</v>
      </c>
      <c r="AIT201" s="16">
        <v>15.87</v>
      </c>
      <c r="AIU201" s="16"/>
      <c r="AIV201" s="16"/>
      <c r="AIW201" s="16">
        <v>0</v>
      </c>
      <c r="AIX201" s="16">
        <v>0</v>
      </c>
      <c r="AIY201" s="16">
        <v>0</v>
      </c>
      <c r="AIZ201">
        <v>0</v>
      </c>
      <c r="AJA201" t="s">
        <v>595</v>
      </c>
      <c r="AJB201">
        <v>21.5</v>
      </c>
      <c r="AJC201" s="16">
        <v>79.7</v>
      </c>
      <c r="AJD201" s="16">
        <v>81</v>
      </c>
      <c r="AJE201" s="16">
        <v>7.9</v>
      </c>
      <c r="AJF201">
        <v>99.71</v>
      </c>
      <c r="AJG201">
        <v>0</v>
      </c>
      <c r="AJH201">
        <v>0</v>
      </c>
      <c r="AJI201">
        <v>0</v>
      </c>
      <c r="AJJ201">
        <v>0.28999999999999998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11.15</v>
      </c>
      <c r="AJS201">
        <v>33.119999999999997</v>
      </c>
      <c r="AJT201">
        <v>8.7200000000000006</v>
      </c>
      <c r="AJU201">
        <v>0</v>
      </c>
      <c r="AJV201">
        <v>0</v>
      </c>
      <c r="AJW201">
        <v>0</v>
      </c>
      <c r="AKJ201">
        <v>0</v>
      </c>
      <c r="AKK201">
        <v>1</v>
      </c>
      <c r="AKL201">
        <v>23</v>
      </c>
      <c r="AKM201">
        <v>1</v>
      </c>
      <c r="AKN201">
        <v>2.27</v>
      </c>
      <c r="AKO201">
        <v>3</v>
      </c>
      <c r="AKV201" s="18"/>
      <c r="ALN201">
        <v>1</v>
      </c>
      <c r="ALO201">
        <v>50</v>
      </c>
      <c r="ALP201">
        <v>9</v>
      </c>
      <c r="ALQ201">
        <v>4.93</v>
      </c>
      <c r="ALR201">
        <v>3</v>
      </c>
    </row>
    <row r="202" spans="1:1018" x14ac:dyDescent="0.2">
      <c r="A202" s="1" t="s">
        <v>713</v>
      </c>
      <c r="B202" s="12">
        <v>42906</v>
      </c>
      <c r="C202">
        <v>2</v>
      </c>
      <c r="D202" s="13">
        <v>35116</v>
      </c>
      <c r="E202" s="12">
        <v>23835</v>
      </c>
      <c r="F202" s="14">
        <f t="shared" si="62"/>
        <v>52.213552361396303</v>
      </c>
      <c r="G202" s="14">
        <f t="shared" si="63"/>
        <v>21.32785763175907</v>
      </c>
      <c r="H202" s="15" t="s">
        <v>183</v>
      </c>
      <c r="I202" s="15" t="s">
        <v>571</v>
      </c>
      <c r="J202" s="15" t="s">
        <v>181</v>
      </c>
      <c r="K202" s="21">
        <v>8</v>
      </c>
      <c r="L202" s="19">
        <v>68</v>
      </c>
      <c r="M202">
        <v>1.69</v>
      </c>
      <c r="N202" s="16">
        <f t="shared" si="64"/>
        <v>23.808690171912751</v>
      </c>
      <c r="O202" s="19">
        <v>1</v>
      </c>
      <c r="P202" s="19">
        <v>0</v>
      </c>
      <c r="Q202" s="19">
        <v>0</v>
      </c>
      <c r="R202" s="26">
        <v>0</v>
      </c>
      <c r="S202" s="26">
        <v>0</v>
      </c>
      <c r="T202" s="26">
        <v>0</v>
      </c>
      <c r="U202" s="19">
        <v>0</v>
      </c>
      <c r="V202" s="19">
        <v>0</v>
      </c>
      <c r="W202" s="19">
        <v>0</v>
      </c>
      <c r="X202" s="19">
        <v>0</v>
      </c>
      <c r="Y202" s="19">
        <v>0</v>
      </c>
      <c r="Z202" s="19">
        <v>0</v>
      </c>
      <c r="AA202" s="19">
        <v>0</v>
      </c>
      <c r="AB202" s="19">
        <v>0</v>
      </c>
      <c r="AC202" s="19">
        <v>1</v>
      </c>
      <c r="AD202" s="19">
        <v>8</v>
      </c>
      <c r="AE202" s="19">
        <v>0</v>
      </c>
      <c r="AF202" s="19">
        <v>0</v>
      </c>
      <c r="AG202" s="19">
        <v>0</v>
      </c>
      <c r="AH202" s="19">
        <v>0</v>
      </c>
      <c r="AI202" s="19">
        <v>0</v>
      </c>
      <c r="AJ202" s="19">
        <v>0</v>
      </c>
      <c r="AK202" s="19">
        <v>0</v>
      </c>
      <c r="AL202" s="19">
        <v>0</v>
      </c>
      <c r="AM202" s="19">
        <v>0</v>
      </c>
      <c r="AN202" s="19">
        <v>1</v>
      </c>
      <c r="AO202" s="19">
        <v>0</v>
      </c>
      <c r="AP202" s="19">
        <v>3</v>
      </c>
      <c r="AQ202" s="19">
        <v>6</v>
      </c>
      <c r="AR202" s="19">
        <v>3</v>
      </c>
      <c r="AS202" s="19">
        <v>0</v>
      </c>
      <c r="AT202" s="19">
        <v>0</v>
      </c>
      <c r="AU202" s="19">
        <v>0</v>
      </c>
      <c r="AV202" s="19">
        <v>0</v>
      </c>
      <c r="AW202" s="19">
        <v>0</v>
      </c>
      <c r="AX202" s="19">
        <v>0</v>
      </c>
      <c r="AY202" s="19">
        <v>0</v>
      </c>
      <c r="AZ202" s="19">
        <v>0</v>
      </c>
      <c r="BA202" s="19">
        <v>0</v>
      </c>
      <c r="BB202" s="19">
        <v>0</v>
      </c>
      <c r="BC202" s="19">
        <v>0</v>
      </c>
      <c r="BD202" s="19">
        <v>0</v>
      </c>
      <c r="BE202" s="19">
        <v>0</v>
      </c>
      <c r="BF202" s="19">
        <v>0</v>
      </c>
      <c r="BG202" s="19">
        <v>0</v>
      </c>
      <c r="BH202" s="19">
        <v>0</v>
      </c>
      <c r="BI202" s="19">
        <v>0</v>
      </c>
      <c r="BJ202" s="19">
        <v>0</v>
      </c>
      <c r="BK202" s="19">
        <v>0</v>
      </c>
      <c r="BL202" s="19">
        <v>0</v>
      </c>
      <c r="BM202" s="19">
        <v>0</v>
      </c>
      <c r="BN202" s="19">
        <v>0</v>
      </c>
      <c r="BO202" s="19">
        <v>0</v>
      </c>
      <c r="BP202" s="19">
        <v>0</v>
      </c>
      <c r="BQ202" s="19">
        <v>0</v>
      </c>
      <c r="BR202" s="19">
        <v>2</v>
      </c>
      <c r="BS202" s="19">
        <v>2</v>
      </c>
      <c r="BT202" s="19">
        <v>3</v>
      </c>
      <c r="BU202" s="19">
        <v>5</v>
      </c>
      <c r="BV202" s="19">
        <v>2</v>
      </c>
      <c r="BW202" s="19">
        <v>3</v>
      </c>
      <c r="BX202" s="19">
        <v>4</v>
      </c>
      <c r="BY202" s="19">
        <v>3</v>
      </c>
      <c r="BZ202" s="19">
        <v>1</v>
      </c>
      <c r="CA202" s="19">
        <v>3</v>
      </c>
      <c r="CB202" s="19">
        <v>4</v>
      </c>
      <c r="CC202" s="19">
        <v>4</v>
      </c>
      <c r="CD202" s="19">
        <v>4</v>
      </c>
      <c r="CE202" s="19">
        <v>4</v>
      </c>
      <c r="CF202" s="19">
        <v>5</v>
      </c>
      <c r="CG202" s="19">
        <v>4</v>
      </c>
      <c r="CH202" s="19">
        <v>5</v>
      </c>
      <c r="CI202" s="19">
        <v>5</v>
      </c>
      <c r="CJ202" s="19">
        <v>4</v>
      </c>
      <c r="CK202" s="19">
        <v>9</v>
      </c>
      <c r="CL202" t="s">
        <v>540</v>
      </c>
      <c r="CM202">
        <v>70.5</v>
      </c>
      <c r="CN202" s="16">
        <v>88.2</v>
      </c>
      <c r="CO202" s="16">
        <v>80.400000000000006</v>
      </c>
      <c r="CP202" s="16">
        <v>36.299999999999997</v>
      </c>
      <c r="CQ202">
        <v>72.69</v>
      </c>
      <c r="CR202" s="17">
        <v>0</v>
      </c>
      <c r="CS202">
        <v>10.32</v>
      </c>
      <c r="CT202">
        <v>16.989999999999998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36.659999999999997</v>
      </c>
      <c r="DD202">
        <v>7.54</v>
      </c>
      <c r="DE202">
        <v>10.32</v>
      </c>
      <c r="DF202">
        <v>0</v>
      </c>
      <c r="DG202">
        <v>0</v>
      </c>
      <c r="DH202">
        <v>0</v>
      </c>
      <c r="DU202">
        <v>21.2</v>
      </c>
      <c r="DV202">
        <v>1</v>
      </c>
      <c r="DW202">
        <v>35</v>
      </c>
      <c r="DX202">
        <v>7</v>
      </c>
      <c r="DY202">
        <f>5.71+0.54</f>
        <v>6.25</v>
      </c>
      <c r="DZ202">
        <v>3</v>
      </c>
      <c r="EA202">
        <v>47</v>
      </c>
      <c r="EB202">
        <v>2</v>
      </c>
      <c r="EC202">
        <v>0.4</v>
      </c>
      <c r="ED202">
        <v>3</v>
      </c>
      <c r="EG202" s="20"/>
      <c r="EY202">
        <v>0</v>
      </c>
      <c r="GJ202" s="16">
        <v>11.58</v>
      </c>
      <c r="GK202" s="16">
        <v>1</v>
      </c>
      <c r="GL202" s="16">
        <v>2</v>
      </c>
      <c r="GM202" s="16"/>
      <c r="GN202" s="16">
        <f>0.22+1.95+3.81+0.27+0.32+0.04+0.05</f>
        <v>6.66</v>
      </c>
      <c r="GO202" s="16"/>
      <c r="GP202" s="16"/>
      <c r="GQ202" s="16"/>
      <c r="GR202" s="16"/>
      <c r="GS202" s="16"/>
      <c r="GT202" s="16"/>
      <c r="GU202" s="16">
        <v>0.27</v>
      </c>
      <c r="GV202" s="16">
        <v>0.27</v>
      </c>
      <c r="GW202" s="16">
        <v>0</v>
      </c>
      <c r="GX202" s="16">
        <v>0</v>
      </c>
      <c r="GY202" s="16">
        <v>0</v>
      </c>
      <c r="GZ202" s="16">
        <v>0</v>
      </c>
      <c r="HA202" s="16">
        <v>0</v>
      </c>
      <c r="HB202">
        <v>0</v>
      </c>
      <c r="HC202" t="s">
        <v>541</v>
      </c>
      <c r="HD202">
        <v>94.5</v>
      </c>
      <c r="HE202" s="16">
        <v>88.2</v>
      </c>
      <c r="HF202" s="16">
        <v>80.400000000000006</v>
      </c>
      <c r="HG202" s="16">
        <v>73.099999999999994</v>
      </c>
      <c r="HH202">
        <v>41.34</v>
      </c>
      <c r="HI202" s="17">
        <v>0</v>
      </c>
      <c r="HJ202">
        <v>8.6300000000000008</v>
      </c>
      <c r="HK202">
        <v>0.04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8.06</v>
      </c>
      <c r="HU202">
        <v>3.65</v>
      </c>
      <c r="HV202">
        <v>7.2</v>
      </c>
      <c r="HW202">
        <v>0</v>
      </c>
      <c r="HX202">
        <v>0</v>
      </c>
      <c r="HY202">
        <v>0</v>
      </c>
      <c r="IL202">
        <v>9.4</v>
      </c>
      <c r="IM202">
        <v>1</v>
      </c>
      <c r="IN202">
        <v>35</v>
      </c>
      <c r="IO202">
        <v>2</v>
      </c>
      <c r="IP202">
        <f>0.76+0.45</f>
        <v>1.21</v>
      </c>
      <c r="IQ202">
        <v>3</v>
      </c>
      <c r="IX202" s="20"/>
      <c r="JP202">
        <v>1</v>
      </c>
      <c r="JQ202">
        <v>70</v>
      </c>
      <c r="JR202">
        <v>2</v>
      </c>
      <c r="JS202">
        <f>0.75+1.69</f>
        <v>2.44</v>
      </c>
      <c r="JT202">
        <v>2</v>
      </c>
      <c r="LA202" s="16">
        <v>0.84</v>
      </c>
      <c r="LB202" s="16">
        <v>1</v>
      </c>
      <c r="LC202" s="16">
        <v>1</v>
      </c>
      <c r="LD202" s="16"/>
      <c r="LE202" s="16">
        <v>0.6</v>
      </c>
      <c r="LF202" s="16"/>
      <c r="LG202" s="16"/>
      <c r="LH202" s="16"/>
      <c r="LI202" s="16"/>
      <c r="LJ202" s="16"/>
      <c r="LK202" s="16"/>
      <c r="LL202" s="16">
        <v>10.19</v>
      </c>
      <c r="LM202" s="16">
        <v>8.4600000000000009</v>
      </c>
      <c r="LN202" s="16">
        <v>0</v>
      </c>
      <c r="LO202" s="16">
        <v>0</v>
      </c>
      <c r="LP202" s="16">
        <v>0</v>
      </c>
      <c r="LQ202" s="16">
        <v>0</v>
      </c>
      <c r="LR202" s="16">
        <v>0</v>
      </c>
      <c r="LS202">
        <v>0</v>
      </c>
      <c r="LT202" t="s">
        <v>542</v>
      </c>
      <c r="LU202">
        <v>75</v>
      </c>
      <c r="LV202" s="16">
        <v>91.2</v>
      </c>
      <c r="LW202" s="16">
        <v>80.400000000000006</v>
      </c>
      <c r="LX202" s="16">
        <v>61</v>
      </c>
      <c r="LY202">
        <v>53.67</v>
      </c>
      <c r="LZ202" s="17">
        <v>0</v>
      </c>
      <c r="MA202">
        <v>16.760000000000002</v>
      </c>
      <c r="MB202">
        <v>29.58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6.79</v>
      </c>
      <c r="ML202">
        <v>14.97</v>
      </c>
      <c r="MM202">
        <v>18.239999999999998</v>
      </c>
      <c r="MN202">
        <v>0</v>
      </c>
      <c r="MO202">
        <v>0</v>
      </c>
      <c r="MP202">
        <v>0</v>
      </c>
      <c r="NC202">
        <v>9</v>
      </c>
      <c r="ND202">
        <v>1</v>
      </c>
      <c r="NE202">
        <v>68</v>
      </c>
      <c r="NF202">
        <v>1</v>
      </c>
      <c r="NG202">
        <v>0.38</v>
      </c>
      <c r="NH202">
        <v>1</v>
      </c>
      <c r="NI202">
        <v>47</v>
      </c>
      <c r="NJ202">
        <v>1</v>
      </c>
      <c r="NK202">
        <v>1.1299999999999999</v>
      </c>
      <c r="NL202">
        <v>3</v>
      </c>
      <c r="NO202" s="20"/>
      <c r="OG202">
        <v>1</v>
      </c>
      <c r="OH202">
        <v>70</v>
      </c>
      <c r="OI202">
        <v>2</v>
      </c>
      <c r="OJ202">
        <f>1.69+0.75</f>
        <v>2.44</v>
      </c>
      <c r="OK202">
        <v>2</v>
      </c>
      <c r="PR202" s="16">
        <v>1.88</v>
      </c>
      <c r="PS202" s="16">
        <v>1</v>
      </c>
      <c r="PT202" s="16">
        <v>1</v>
      </c>
      <c r="PU202" s="16"/>
      <c r="PV202" s="16">
        <f>1.04+1.04+1.04</f>
        <v>3.12</v>
      </c>
      <c r="PW202" s="16"/>
      <c r="PX202" s="16"/>
      <c r="PY202" s="16"/>
      <c r="PZ202" s="16"/>
      <c r="QA202" s="16"/>
      <c r="QB202" s="16"/>
      <c r="QC202" s="16">
        <v>1.5</v>
      </c>
      <c r="QD202" s="16">
        <v>1.5</v>
      </c>
      <c r="QE202" s="16">
        <v>0</v>
      </c>
      <c r="QF202" s="16">
        <v>0</v>
      </c>
      <c r="QG202" s="16">
        <v>0</v>
      </c>
      <c r="QH202" s="16">
        <v>0</v>
      </c>
      <c r="QI202" s="16">
        <v>0</v>
      </c>
      <c r="QJ202">
        <v>0</v>
      </c>
      <c r="QK202" t="s">
        <v>543</v>
      </c>
      <c r="QL202">
        <v>21</v>
      </c>
      <c r="QM202" s="16">
        <v>77.900000000000006</v>
      </c>
      <c r="QN202" s="16">
        <v>160.80000000000001</v>
      </c>
      <c r="QO202" s="16">
        <v>14.1</v>
      </c>
      <c r="QP202">
        <v>87.99</v>
      </c>
      <c r="QQ202" s="17">
        <v>0</v>
      </c>
      <c r="QR202">
        <v>3.38</v>
      </c>
      <c r="QS202">
        <v>0</v>
      </c>
      <c r="QT202">
        <v>8.6300000000000008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65.599999999999994</v>
      </c>
      <c r="RD202">
        <v>0</v>
      </c>
      <c r="RE202">
        <v>0</v>
      </c>
      <c r="RF202">
        <v>0</v>
      </c>
      <c r="RG202">
        <v>0</v>
      </c>
      <c r="RT202">
        <v>1.4</v>
      </c>
      <c r="RU202">
        <v>1</v>
      </c>
      <c r="RV202">
        <v>35</v>
      </c>
      <c r="RW202">
        <v>3</v>
      </c>
      <c r="RX202">
        <f>0.38</f>
        <v>0.38</v>
      </c>
      <c r="RY202">
        <v>3</v>
      </c>
      <c r="RZ202">
        <v>34</v>
      </c>
      <c r="SA202">
        <v>27</v>
      </c>
      <c r="SB202">
        <f>0.19+0.19+1.13+3.38+0.56+1.5+1.13+0.38</f>
        <v>8.4599999999999991</v>
      </c>
      <c r="SC202">
        <v>1</v>
      </c>
      <c r="SF202" s="20"/>
      <c r="SX202">
        <v>1</v>
      </c>
      <c r="SY202">
        <v>40</v>
      </c>
      <c r="SZ202">
        <v>9</v>
      </c>
      <c r="TA202">
        <f>0.38+1.13+3+1.88+0.75</f>
        <v>7.14</v>
      </c>
      <c r="TB202">
        <v>3</v>
      </c>
      <c r="UI202" s="16">
        <v>0</v>
      </c>
      <c r="UJ202" s="16">
        <v>0</v>
      </c>
      <c r="UK202" s="16"/>
      <c r="UL202" s="16"/>
      <c r="UM202" s="16"/>
      <c r="UN202" s="16"/>
      <c r="UO202" s="16"/>
      <c r="UP202" s="16"/>
      <c r="UQ202" s="16"/>
      <c r="UR202" s="16"/>
      <c r="US202" s="16"/>
      <c r="UT202" s="16">
        <v>5.27</v>
      </c>
      <c r="UU202" s="16">
        <v>1.5</v>
      </c>
      <c r="UV202" s="16">
        <v>0</v>
      </c>
      <c r="UW202" s="16">
        <v>0</v>
      </c>
      <c r="UX202" s="16">
        <v>0</v>
      </c>
      <c r="UY202" s="16">
        <v>0</v>
      </c>
      <c r="UZ202" s="16">
        <v>0</v>
      </c>
      <c r="VA202">
        <v>0</v>
      </c>
      <c r="VE202" s="15"/>
      <c r="VF202" s="15"/>
      <c r="VM202" s="15"/>
      <c r="VN202" s="15"/>
      <c r="VU202" s="15"/>
      <c r="VV202" s="15"/>
      <c r="WC202" s="15"/>
      <c r="WD202" s="15"/>
      <c r="WK202" s="15"/>
      <c r="WL202" s="15"/>
      <c r="WS202" s="15"/>
      <c r="WT202" s="15"/>
      <c r="XA202" s="15"/>
      <c r="XB202" s="15"/>
      <c r="XI202" s="15"/>
      <c r="XJ202" s="15"/>
      <c r="XQ202" s="15"/>
      <c r="XR202" s="15"/>
      <c r="XY202" s="15"/>
      <c r="XZ202" s="15"/>
      <c r="YG202" s="15"/>
      <c r="YH202" s="15"/>
      <c r="YO202" s="15"/>
      <c r="YP202" s="15"/>
      <c r="YW202" s="15"/>
      <c r="YX202" s="15"/>
      <c r="ZE202" s="15"/>
      <c r="ZF202" s="15"/>
      <c r="ZM202" s="15"/>
      <c r="ZN202" s="15"/>
      <c r="ZU202" s="15"/>
      <c r="ZV202" s="15"/>
      <c r="AAC202" s="15"/>
      <c r="AAD202" s="15"/>
      <c r="AAK202" s="15"/>
      <c r="AAL202" s="15"/>
      <c r="AAS202" s="15"/>
      <c r="AAT202" s="15"/>
      <c r="ABA202" s="15"/>
      <c r="ABB202" s="15"/>
      <c r="ABI202" s="15"/>
      <c r="ABJ202" s="15"/>
      <c r="ABQ202" s="15"/>
      <c r="ABR202" s="15"/>
      <c r="ABY202" s="15"/>
      <c r="ABZ202" s="15"/>
      <c r="ACG202" s="15"/>
      <c r="ACH202" s="15"/>
      <c r="ACO202" s="15"/>
      <c r="ACP202" s="15"/>
      <c r="ACW202" s="15"/>
      <c r="ACX202" s="15"/>
      <c r="ADE202" s="15"/>
      <c r="ADF202" s="15"/>
      <c r="ADM202" s="15"/>
      <c r="ADN202" s="15"/>
      <c r="ADU202" s="15"/>
      <c r="ADV202" s="15"/>
      <c r="AEC202" s="15"/>
      <c r="AED202" s="15"/>
      <c r="AEK202" s="15"/>
      <c r="AEL202" s="15"/>
      <c r="AES202" s="15"/>
      <c r="AET202" s="15"/>
      <c r="AFA202" s="15"/>
      <c r="AFB202" s="15"/>
      <c r="AFI202" s="15"/>
      <c r="AFJ202" s="15"/>
      <c r="AFQ202" s="15"/>
      <c r="AFR202" s="15"/>
      <c r="AFY202" s="15"/>
      <c r="AFZ202" s="15"/>
      <c r="AGG202" s="15"/>
      <c r="AGH202" s="15"/>
      <c r="AGO202" s="15"/>
      <c r="AGP202" s="15"/>
      <c r="AGW202" s="15"/>
      <c r="AGX202" s="15"/>
      <c r="AHE202" s="15"/>
      <c r="AHF202" s="15"/>
      <c r="AHM202" s="15"/>
      <c r="AHN202" s="15"/>
      <c r="AHU202" s="15"/>
      <c r="AHV202" s="15"/>
      <c r="AIC202" s="15"/>
      <c r="AID202" s="15"/>
      <c r="AIK202" s="15"/>
      <c r="AIL202" s="15"/>
      <c r="AIS202" s="15"/>
      <c r="AIT202" s="15"/>
      <c r="AJA202" s="15"/>
      <c r="AJB202" s="15"/>
      <c r="AJI202" s="15"/>
      <c r="AJJ202" s="15"/>
      <c r="AJQ202" s="15"/>
      <c r="AJR202" s="15"/>
      <c r="AJY202" s="15"/>
      <c r="AJZ202" s="15"/>
      <c r="AKG202" s="15"/>
      <c r="AKH202" s="15"/>
      <c r="AKO202" s="15"/>
      <c r="AKP202" s="15"/>
      <c r="AKW202" s="15"/>
      <c r="AKX202" s="15"/>
      <c r="ALE202" s="15"/>
      <c r="ALF202" s="15"/>
      <c r="ALM202" s="15"/>
      <c r="ALN202" s="15"/>
      <c r="ALU202" s="15"/>
      <c r="ALV202" s="15"/>
      <c r="AMC202" s="15"/>
      <c r="AMD202" s="15"/>
    </row>
    <row r="203" spans="1:1018" x14ac:dyDescent="0.2">
      <c r="A203" s="1" t="s">
        <v>714</v>
      </c>
      <c r="B203" s="12">
        <v>42907</v>
      </c>
      <c r="C203">
        <v>2</v>
      </c>
      <c r="D203" s="13">
        <v>35696</v>
      </c>
      <c r="E203" s="12">
        <v>27284</v>
      </c>
      <c r="F203" s="14">
        <f t="shared" si="62"/>
        <v>42.773442847364819</v>
      </c>
      <c r="G203" s="14">
        <f t="shared" si="63"/>
        <v>19.742642026009584</v>
      </c>
      <c r="H203" s="15" t="s">
        <v>183</v>
      </c>
      <c r="I203" s="15" t="s">
        <v>571</v>
      </c>
      <c r="J203" s="15" t="s">
        <v>181</v>
      </c>
      <c r="K203" s="21">
        <v>8</v>
      </c>
      <c r="L203" s="19">
        <v>82</v>
      </c>
      <c r="M203">
        <v>1.77</v>
      </c>
      <c r="N203" s="16">
        <f t="shared" si="64"/>
        <v>26.173832551310287</v>
      </c>
      <c r="O203" s="19">
        <v>0</v>
      </c>
      <c r="P203" s="19">
        <v>0</v>
      </c>
      <c r="Q203" s="19">
        <v>0</v>
      </c>
      <c r="R203" s="26">
        <v>0</v>
      </c>
      <c r="S203" s="26">
        <v>0</v>
      </c>
      <c r="T203" s="26">
        <v>0</v>
      </c>
      <c r="U203" s="19">
        <v>0</v>
      </c>
      <c r="V203" s="19">
        <v>0</v>
      </c>
      <c r="W203" s="19">
        <v>1</v>
      </c>
      <c r="X203" s="19">
        <v>0</v>
      </c>
      <c r="Y203" s="19">
        <v>1</v>
      </c>
      <c r="Z203" s="19">
        <v>1</v>
      </c>
      <c r="AA203" s="19">
        <v>30</v>
      </c>
      <c r="AB203" s="19" t="s">
        <v>215</v>
      </c>
      <c r="AC203" s="19">
        <v>0</v>
      </c>
      <c r="AD203" s="19">
        <v>0</v>
      </c>
      <c r="AE203" s="19">
        <v>0</v>
      </c>
      <c r="AF203" s="19">
        <v>0</v>
      </c>
      <c r="AG203" s="19">
        <v>0</v>
      </c>
      <c r="AH203" s="19">
        <v>0</v>
      </c>
      <c r="AI203" s="19">
        <v>0</v>
      </c>
      <c r="AJ203" s="19">
        <v>0</v>
      </c>
      <c r="AK203" s="19">
        <v>0</v>
      </c>
      <c r="AL203" s="19">
        <v>0</v>
      </c>
      <c r="AM203" s="19">
        <v>0</v>
      </c>
      <c r="AN203" s="19">
        <v>0</v>
      </c>
      <c r="AO203" s="19">
        <v>0</v>
      </c>
      <c r="AP203" s="19">
        <v>0</v>
      </c>
      <c r="AQ203" s="19">
        <v>0</v>
      </c>
      <c r="AR203" s="19">
        <v>0</v>
      </c>
      <c r="AS203" s="19">
        <v>1</v>
      </c>
      <c r="AT203" s="19">
        <v>1</v>
      </c>
      <c r="AU203" s="19">
        <v>0</v>
      </c>
      <c r="AV203" s="19">
        <v>0</v>
      </c>
      <c r="AW203" s="19">
        <v>0</v>
      </c>
      <c r="AX203" s="19">
        <v>0</v>
      </c>
      <c r="AY203" s="19">
        <v>0</v>
      </c>
      <c r="AZ203" s="19">
        <v>0</v>
      </c>
      <c r="BA203" s="19">
        <v>0</v>
      </c>
      <c r="BB203" s="19">
        <v>0</v>
      </c>
      <c r="BC203" s="19">
        <v>0</v>
      </c>
      <c r="BD203" s="19">
        <v>0</v>
      </c>
      <c r="BE203" s="19">
        <v>0</v>
      </c>
      <c r="BF203" s="19">
        <v>0</v>
      </c>
      <c r="BG203" s="19">
        <v>0</v>
      </c>
      <c r="BH203" s="19">
        <v>0</v>
      </c>
      <c r="BI203" s="19">
        <v>0</v>
      </c>
      <c r="BJ203" s="19">
        <v>0</v>
      </c>
      <c r="BK203" s="19">
        <v>0</v>
      </c>
      <c r="BL203" s="19">
        <v>0</v>
      </c>
      <c r="BM203" s="19">
        <v>0</v>
      </c>
      <c r="BN203" s="19">
        <v>0</v>
      </c>
      <c r="BO203" s="19">
        <v>0</v>
      </c>
      <c r="BP203" s="19">
        <v>0</v>
      </c>
      <c r="BQ203" s="19">
        <v>0</v>
      </c>
      <c r="BR203" s="19">
        <v>3</v>
      </c>
      <c r="BS203" s="19">
        <v>1</v>
      </c>
      <c r="BT203" s="19">
        <v>4</v>
      </c>
      <c r="BU203" s="19">
        <v>3</v>
      </c>
      <c r="BV203" s="19">
        <v>4</v>
      </c>
      <c r="BW203" s="19">
        <v>4</v>
      </c>
      <c r="BX203" s="19">
        <v>4</v>
      </c>
      <c r="BY203" s="19">
        <v>4</v>
      </c>
      <c r="BZ203" s="19">
        <v>2</v>
      </c>
      <c r="CA203" s="19">
        <v>2</v>
      </c>
      <c r="CB203" s="19">
        <v>4</v>
      </c>
      <c r="CC203" s="19">
        <v>4</v>
      </c>
      <c r="CD203" s="19">
        <v>2</v>
      </c>
      <c r="CE203" s="19">
        <v>3</v>
      </c>
      <c r="CF203" s="19">
        <v>4</v>
      </c>
      <c r="CG203" s="19">
        <v>4</v>
      </c>
      <c r="CH203" s="19">
        <v>4</v>
      </c>
      <c r="CI203" s="19">
        <v>5</v>
      </c>
      <c r="CJ203" s="19">
        <v>3</v>
      </c>
      <c r="CK203" s="19">
        <v>7</v>
      </c>
      <c r="CL203" t="s">
        <v>540</v>
      </c>
      <c r="CM203">
        <v>70.5</v>
      </c>
      <c r="CN203" s="16">
        <v>88.2</v>
      </c>
      <c r="CO203" s="16">
        <v>80.400000000000006</v>
      </c>
      <c r="CP203" s="16">
        <v>36.299999999999997</v>
      </c>
      <c r="CQ203">
        <v>72.69</v>
      </c>
      <c r="CR203" s="17">
        <v>0</v>
      </c>
      <c r="CS203">
        <v>10.32</v>
      </c>
      <c r="CT203">
        <v>16.989999999999998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36.659999999999997</v>
      </c>
      <c r="DD203">
        <v>7.54</v>
      </c>
      <c r="DE203">
        <v>10.32</v>
      </c>
      <c r="DF203">
        <v>0</v>
      </c>
      <c r="DG203">
        <v>0</v>
      </c>
      <c r="DH203">
        <v>0</v>
      </c>
      <c r="DU203">
        <v>21.2</v>
      </c>
      <c r="DV203">
        <v>1</v>
      </c>
      <c r="DW203">
        <v>35</v>
      </c>
      <c r="DX203">
        <v>7</v>
      </c>
      <c r="DY203">
        <f>5.71+0.54</f>
        <v>6.25</v>
      </c>
      <c r="DZ203">
        <v>3</v>
      </c>
      <c r="EA203">
        <v>47</v>
      </c>
      <c r="EB203">
        <v>2</v>
      </c>
      <c r="EC203">
        <v>0.4</v>
      </c>
      <c r="ED203">
        <v>3</v>
      </c>
      <c r="EG203" s="20"/>
      <c r="EY203">
        <v>0</v>
      </c>
      <c r="GJ203" s="16">
        <v>11.58</v>
      </c>
      <c r="GK203" s="16">
        <v>1</v>
      </c>
      <c r="GL203" s="16">
        <v>2</v>
      </c>
      <c r="GM203" s="16"/>
      <c r="GN203" s="16">
        <f>0.22+1.95+3.81+0.27+0.32+0.04+0.05</f>
        <v>6.66</v>
      </c>
      <c r="GO203" s="16"/>
      <c r="GP203" s="16"/>
      <c r="GQ203" s="16"/>
      <c r="GR203" s="16"/>
      <c r="GS203" s="16"/>
      <c r="GT203" s="16"/>
      <c r="GU203" s="16">
        <v>0.27</v>
      </c>
      <c r="GV203" s="16">
        <v>0.27</v>
      </c>
      <c r="GW203" s="16">
        <v>0</v>
      </c>
      <c r="GX203" s="16">
        <v>0</v>
      </c>
      <c r="GY203" s="16">
        <v>0</v>
      </c>
      <c r="GZ203" s="16">
        <v>0</v>
      </c>
      <c r="HA203" s="16">
        <v>0</v>
      </c>
      <c r="HB203">
        <v>0</v>
      </c>
      <c r="HC203" t="s">
        <v>541</v>
      </c>
      <c r="HD203">
        <v>94.5</v>
      </c>
      <c r="HE203" s="16">
        <v>88.2</v>
      </c>
      <c r="HF203" s="16">
        <v>80.400000000000006</v>
      </c>
      <c r="HG203" s="16">
        <v>73.099999999999994</v>
      </c>
      <c r="HH203">
        <v>41.34</v>
      </c>
      <c r="HI203" s="17">
        <v>0</v>
      </c>
      <c r="HJ203">
        <v>8.6300000000000008</v>
      </c>
      <c r="HK203">
        <v>0.04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8.06</v>
      </c>
      <c r="HU203">
        <v>3.65</v>
      </c>
      <c r="HV203">
        <v>7.2</v>
      </c>
      <c r="HW203">
        <v>0</v>
      </c>
      <c r="HX203">
        <v>0</v>
      </c>
      <c r="HY203">
        <v>0</v>
      </c>
      <c r="IL203">
        <v>9.4</v>
      </c>
      <c r="IM203">
        <v>1</v>
      </c>
      <c r="IN203">
        <v>35</v>
      </c>
      <c r="IO203">
        <v>2</v>
      </c>
      <c r="IP203">
        <f>0.76+0.45</f>
        <v>1.21</v>
      </c>
      <c r="IQ203">
        <v>3</v>
      </c>
      <c r="IX203" s="20"/>
      <c r="JP203">
        <v>1</v>
      </c>
      <c r="JQ203">
        <v>70</v>
      </c>
      <c r="JR203">
        <v>2</v>
      </c>
      <c r="JS203">
        <f>0.75+1.69</f>
        <v>2.44</v>
      </c>
      <c r="JT203">
        <v>2</v>
      </c>
      <c r="LA203" s="16">
        <v>0.84</v>
      </c>
      <c r="LB203" s="16">
        <v>1</v>
      </c>
      <c r="LC203" s="16">
        <v>1</v>
      </c>
      <c r="LD203" s="16"/>
      <c r="LE203" s="16">
        <v>0.6</v>
      </c>
      <c r="LF203" s="16"/>
      <c r="LG203" s="16"/>
      <c r="LH203" s="16"/>
      <c r="LI203" s="16"/>
      <c r="LJ203" s="16"/>
      <c r="LK203" s="16"/>
      <c r="LL203" s="16">
        <v>10.19</v>
      </c>
      <c r="LM203" s="16">
        <v>8.4600000000000009</v>
      </c>
      <c r="LN203" s="16">
        <v>0</v>
      </c>
      <c r="LO203" s="16">
        <v>0</v>
      </c>
      <c r="LP203" s="16">
        <v>0</v>
      </c>
      <c r="LQ203" s="16">
        <v>0</v>
      </c>
      <c r="LR203" s="16">
        <v>0</v>
      </c>
      <c r="LS203">
        <v>0</v>
      </c>
      <c r="LT203" t="s">
        <v>542</v>
      </c>
      <c r="LU203">
        <v>75</v>
      </c>
      <c r="LV203" s="16">
        <v>91.2</v>
      </c>
      <c r="LW203" s="16">
        <v>80.400000000000006</v>
      </c>
      <c r="LX203" s="16">
        <v>61</v>
      </c>
      <c r="LY203">
        <v>53.67</v>
      </c>
      <c r="LZ203" s="17">
        <v>0</v>
      </c>
      <c r="MA203">
        <v>16.760000000000002</v>
      </c>
      <c r="MB203">
        <v>29.58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6.79</v>
      </c>
      <c r="ML203">
        <v>14.97</v>
      </c>
      <c r="MM203">
        <v>18.239999999999998</v>
      </c>
      <c r="MN203">
        <v>0</v>
      </c>
      <c r="MO203">
        <v>0</v>
      </c>
      <c r="MP203">
        <v>0</v>
      </c>
      <c r="NC203">
        <v>9</v>
      </c>
      <c r="ND203">
        <v>1</v>
      </c>
      <c r="NE203">
        <v>68</v>
      </c>
      <c r="NF203">
        <v>1</v>
      </c>
      <c r="NG203">
        <v>0.38</v>
      </c>
      <c r="NH203">
        <v>1</v>
      </c>
      <c r="NI203">
        <v>47</v>
      </c>
      <c r="NJ203">
        <v>1</v>
      </c>
      <c r="NK203">
        <v>1.1299999999999999</v>
      </c>
      <c r="NL203">
        <v>3</v>
      </c>
      <c r="NO203" s="20"/>
      <c r="OG203">
        <v>1</v>
      </c>
      <c r="OH203">
        <v>70</v>
      </c>
      <c r="OI203">
        <v>2</v>
      </c>
      <c r="OJ203">
        <f>1.69+0.75</f>
        <v>2.44</v>
      </c>
      <c r="OK203">
        <v>2</v>
      </c>
      <c r="PR203" s="16">
        <v>1.88</v>
      </c>
      <c r="PS203" s="16">
        <v>1</v>
      </c>
      <c r="PT203" s="16">
        <v>1</v>
      </c>
      <c r="PU203" s="16"/>
      <c r="PV203" s="16">
        <f>1.04+1.04+1.04</f>
        <v>3.12</v>
      </c>
      <c r="PW203" s="16"/>
      <c r="PX203" s="16"/>
      <c r="PY203" s="16"/>
      <c r="PZ203" s="16"/>
      <c r="QA203" s="16"/>
      <c r="QB203" s="16"/>
      <c r="QC203" s="16">
        <v>1.5</v>
      </c>
      <c r="QD203" s="16">
        <v>1.5</v>
      </c>
      <c r="QE203" s="16">
        <v>0</v>
      </c>
      <c r="QF203" s="16">
        <v>0</v>
      </c>
      <c r="QG203" s="16">
        <v>0</v>
      </c>
      <c r="QH203" s="16">
        <v>0</v>
      </c>
      <c r="QI203" s="16">
        <v>0</v>
      </c>
      <c r="QJ203">
        <v>0</v>
      </c>
      <c r="QK203" t="s">
        <v>543</v>
      </c>
      <c r="QL203">
        <v>21</v>
      </c>
      <c r="QM203" s="16">
        <v>77.900000000000006</v>
      </c>
      <c r="QN203" s="16">
        <v>160.80000000000001</v>
      </c>
      <c r="QO203" s="16">
        <v>14.1</v>
      </c>
      <c r="QP203">
        <v>87.99</v>
      </c>
      <c r="QQ203" s="17">
        <v>0</v>
      </c>
      <c r="QR203">
        <v>3.38</v>
      </c>
      <c r="QS203">
        <v>0</v>
      </c>
      <c r="QT203">
        <v>8.6300000000000008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65.599999999999994</v>
      </c>
      <c r="RD203">
        <v>0</v>
      </c>
      <c r="RE203">
        <v>0</v>
      </c>
      <c r="RF203">
        <v>0</v>
      </c>
      <c r="RG203">
        <v>0</v>
      </c>
      <c r="RT203">
        <v>1.4</v>
      </c>
      <c r="RU203">
        <v>1</v>
      </c>
      <c r="RV203">
        <v>35</v>
      </c>
      <c r="RW203">
        <v>3</v>
      </c>
      <c r="RX203">
        <f>0.38</f>
        <v>0.38</v>
      </c>
      <c r="RY203">
        <v>3</v>
      </c>
      <c r="RZ203">
        <v>34</v>
      </c>
      <c r="SA203">
        <v>27</v>
      </c>
      <c r="SB203">
        <f>0.19+0.19+1.13+3.38+0.56+1.5+1.13+0.38</f>
        <v>8.4599999999999991</v>
      </c>
      <c r="SC203">
        <v>1</v>
      </c>
      <c r="SF203" s="20"/>
      <c r="SX203">
        <v>1</v>
      </c>
      <c r="SY203">
        <v>40</v>
      </c>
      <c r="SZ203">
        <v>9</v>
      </c>
      <c r="TA203">
        <f>0.38+1.13+3+1.88+0.75</f>
        <v>7.14</v>
      </c>
      <c r="TB203">
        <v>3</v>
      </c>
      <c r="UI203" s="16">
        <v>0</v>
      </c>
      <c r="UJ203" s="16">
        <v>0</v>
      </c>
      <c r="UK203" s="16"/>
      <c r="UL203" s="16"/>
      <c r="UM203" s="16"/>
      <c r="UN203" s="16"/>
      <c r="UO203" s="16"/>
      <c r="UP203" s="16"/>
      <c r="UQ203" s="16"/>
      <c r="UR203" s="16"/>
      <c r="US203" s="16"/>
      <c r="UT203" s="16">
        <v>5.27</v>
      </c>
      <c r="UU203" s="16">
        <v>1.5</v>
      </c>
      <c r="UV203" s="16">
        <v>0</v>
      </c>
      <c r="UW203" s="16">
        <v>0</v>
      </c>
      <c r="UX203" s="16">
        <v>0</v>
      </c>
      <c r="UY203" s="16">
        <v>0</v>
      </c>
      <c r="UZ203" s="16">
        <v>0</v>
      </c>
      <c r="VA203">
        <v>0</v>
      </c>
      <c r="VE203" s="15"/>
      <c r="VF203" s="15"/>
      <c r="VM203" s="15"/>
      <c r="VN203" s="15"/>
      <c r="VU203" s="15"/>
      <c r="VV203" s="15"/>
      <c r="WC203" s="15"/>
      <c r="WD203" s="15"/>
      <c r="WK203" s="15"/>
      <c r="WL203" s="15"/>
      <c r="WS203" s="15"/>
      <c r="WT203" s="15"/>
      <c r="XA203" s="15"/>
      <c r="XB203" s="15"/>
      <c r="XI203" s="15"/>
      <c r="XJ203" s="15"/>
      <c r="XQ203" s="15"/>
      <c r="XR203" s="15"/>
      <c r="XY203" s="15"/>
      <c r="XZ203" s="15"/>
      <c r="YG203" s="15"/>
      <c r="YH203" s="15"/>
      <c r="YO203" s="15"/>
      <c r="YP203" s="15"/>
      <c r="YW203" s="15"/>
      <c r="YX203" s="15"/>
      <c r="ZE203" s="15"/>
      <c r="ZF203" s="15"/>
      <c r="ZM203" s="15"/>
      <c r="ZN203" s="15"/>
      <c r="ZU203" s="15"/>
      <c r="ZV203" s="15"/>
      <c r="AAC203" s="15"/>
      <c r="AAD203" s="15"/>
      <c r="AAK203" s="15"/>
      <c r="AAL203" s="15"/>
      <c r="AAS203" s="15"/>
      <c r="AAT203" s="15"/>
      <c r="ABA203" s="15"/>
      <c r="ABB203" s="15"/>
      <c r="ABI203" s="15"/>
      <c r="ABJ203" s="15"/>
      <c r="ABQ203" s="15"/>
      <c r="ABR203" s="15"/>
      <c r="ABY203" s="15"/>
      <c r="ABZ203" s="15"/>
      <c r="ACG203" s="15"/>
      <c r="ACH203" s="15"/>
      <c r="ACO203" s="15"/>
      <c r="ACP203" s="15"/>
      <c r="ACW203" s="15"/>
      <c r="ACX203" s="15"/>
      <c r="ADE203" s="15"/>
      <c r="ADF203" s="15"/>
      <c r="ADM203" s="15"/>
      <c r="ADN203" s="15"/>
      <c r="ADU203" s="15"/>
      <c r="ADV203" s="15"/>
      <c r="AEC203" s="15"/>
      <c r="AED203" s="15"/>
      <c r="AEK203" s="15"/>
      <c r="AEL203" s="15"/>
      <c r="AES203" s="15"/>
      <c r="AET203" s="15"/>
      <c r="AFA203" s="15"/>
      <c r="AFB203" s="15"/>
      <c r="AFI203" s="15"/>
      <c r="AFJ203" s="15"/>
      <c r="AFQ203" s="15"/>
      <c r="AFR203" s="15"/>
      <c r="AFY203" s="15"/>
      <c r="AFZ203" s="15"/>
      <c r="AGG203" s="15"/>
      <c r="AGH203" s="15"/>
      <c r="AGO203" s="15"/>
      <c r="AGP203" s="15"/>
      <c r="AGW203" s="15"/>
      <c r="AGX203" s="15"/>
      <c r="AHE203" s="15"/>
      <c r="AHF203" s="15"/>
      <c r="AHM203" s="15"/>
      <c r="AHN203" s="15"/>
      <c r="AHU203" s="15"/>
      <c r="AHV203" s="15"/>
      <c r="AIC203" s="15"/>
      <c r="AID203" s="15"/>
      <c r="AIK203" s="15"/>
      <c r="AIL203" s="15"/>
      <c r="AIS203" s="15"/>
      <c r="AIT203" s="15"/>
      <c r="AJA203" s="15"/>
      <c r="AJB203" s="15"/>
      <c r="AJI203" s="15"/>
      <c r="AJJ203" s="15"/>
      <c r="AJQ203" s="15"/>
      <c r="AJR203" s="15"/>
      <c r="AJY203" s="15"/>
      <c r="AJZ203" s="15"/>
      <c r="AKG203" s="15"/>
      <c r="AKH203" s="15"/>
      <c r="AKO203" s="15"/>
      <c r="AKP203" s="15"/>
      <c r="AKW203" s="15"/>
      <c r="AKX203" s="15"/>
      <c r="ALE203" s="15"/>
      <c r="ALF203" s="15"/>
      <c r="ALM203" s="15"/>
      <c r="ALN203" s="15"/>
      <c r="ALU203" s="15"/>
      <c r="ALV203" s="15"/>
      <c r="AMC203" s="15"/>
      <c r="AMD203" s="15"/>
    </row>
    <row r="204" spans="1:1018" x14ac:dyDescent="0.2">
      <c r="A204" s="1" t="s">
        <v>715</v>
      </c>
      <c r="B204" s="12">
        <v>42900</v>
      </c>
      <c r="C204">
        <v>1</v>
      </c>
      <c r="D204" s="13">
        <v>42811</v>
      </c>
      <c r="E204" s="12">
        <v>27235</v>
      </c>
      <c r="F204" s="14">
        <f t="shared" si="62"/>
        <v>42.888432580424364</v>
      </c>
      <c r="G204" s="14">
        <f t="shared" si="63"/>
        <v>0.24366872005475701</v>
      </c>
      <c r="H204" s="15" t="s">
        <v>228</v>
      </c>
      <c r="I204" s="15" t="s">
        <v>229</v>
      </c>
      <c r="J204" s="15" t="s">
        <v>183</v>
      </c>
      <c r="K204" s="21">
        <v>8</v>
      </c>
      <c r="L204" s="19">
        <v>75</v>
      </c>
      <c r="M204">
        <v>1.74</v>
      </c>
      <c r="N204" s="16">
        <f t="shared" si="64"/>
        <v>24.772096710265558</v>
      </c>
      <c r="O204" s="19">
        <v>0</v>
      </c>
      <c r="P204" s="19">
        <v>0</v>
      </c>
      <c r="Q204" s="19">
        <v>0</v>
      </c>
      <c r="R204" s="26">
        <v>0</v>
      </c>
      <c r="S204" s="26">
        <v>0</v>
      </c>
      <c r="T204" s="26">
        <v>0</v>
      </c>
      <c r="U204" s="19">
        <v>0</v>
      </c>
      <c r="V204" s="19">
        <v>0</v>
      </c>
      <c r="W204" s="19">
        <v>0</v>
      </c>
      <c r="X204" s="19">
        <v>0</v>
      </c>
      <c r="Y204" s="19">
        <v>0</v>
      </c>
      <c r="Z204" s="19">
        <v>0</v>
      </c>
      <c r="AA204" s="19">
        <v>0</v>
      </c>
      <c r="AB204" s="19">
        <v>0</v>
      </c>
      <c r="AC204" s="19">
        <v>1</v>
      </c>
      <c r="AD204" s="19">
        <v>3</v>
      </c>
      <c r="AE204" s="19">
        <v>0</v>
      </c>
      <c r="AF204" s="19">
        <v>0</v>
      </c>
      <c r="AG204" s="19">
        <v>0</v>
      </c>
      <c r="AH204" s="19">
        <v>0</v>
      </c>
      <c r="AI204" s="19">
        <v>0</v>
      </c>
      <c r="AJ204" s="19">
        <v>0</v>
      </c>
      <c r="AK204" s="19">
        <v>0</v>
      </c>
      <c r="AL204" s="19">
        <v>0</v>
      </c>
      <c r="AM204" s="19">
        <v>0</v>
      </c>
      <c r="AN204" s="19">
        <v>0</v>
      </c>
      <c r="AO204" s="19">
        <v>0</v>
      </c>
      <c r="AP204" s="19">
        <v>0</v>
      </c>
      <c r="AQ204" s="19">
        <v>0</v>
      </c>
      <c r="AR204" s="19">
        <v>0</v>
      </c>
      <c r="AS204" s="19">
        <v>0</v>
      </c>
      <c r="AT204" s="19">
        <v>0</v>
      </c>
      <c r="AU204" s="19">
        <v>0</v>
      </c>
      <c r="AV204" s="19">
        <v>0</v>
      </c>
      <c r="AW204" s="19">
        <v>0</v>
      </c>
      <c r="AX204" s="19">
        <v>0</v>
      </c>
      <c r="AY204" s="19">
        <v>0</v>
      </c>
      <c r="AZ204" s="19">
        <v>0</v>
      </c>
      <c r="BA204" s="19">
        <v>0</v>
      </c>
      <c r="BB204" s="19">
        <v>0</v>
      </c>
      <c r="BC204" s="19">
        <v>0</v>
      </c>
      <c r="BD204" s="19">
        <v>0</v>
      </c>
      <c r="BE204" s="19">
        <v>0</v>
      </c>
      <c r="BF204" s="19">
        <v>0</v>
      </c>
      <c r="BG204" s="19">
        <v>0</v>
      </c>
      <c r="BH204" s="19">
        <v>0</v>
      </c>
      <c r="BI204" s="19">
        <v>0</v>
      </c>
      <c r="BJ204" s="19">
        <v>0</v>
      </c>
      <c r="BK204" s="19">
        <v>0</v>
      </c>
      <c r="BL204" s="19">
        <v>0</v>
      </c>
      <c r="BM204" s="19">
        <v>0</v>
      </c>
      <c r="BN204" s="19">
        <v>0</v>
      </c>
      <c r="BO204" s="19">
        <v>0</v>
      </c>
      <c r="BP204" s="19">
        <v>0</v>
      </c>
      <c r="BQ204" s="19">
        <v>0</v>
      </c>
      <c r="BR204" s="19">
        <v>2</v>
      </c>
      <c r="BS204" s="19">
        <v>2</v>
      </c>
      <c r="BT204" s="19">
        <v>2</v>
      </c>
      <c r="BU204" s="19">
        <v>4</v>
      </c>
      <c r="BV204" s="19">
        <v>1</v>
      </c>
      <c r="BW204" s="19">
        <v>3</v>
      </c>
      <c r="BX204" s="19">
        <v>4</v>
      </c>
      <c r="BY204" s="19">
        <v>5</v>
      </c>
      <c r="BZ204" s="19">
        <v>3</v>
      </c>
      <c r="CA204" s="19">
        <v>5</v>
      </c>
      <c r="CB204" s="19">
        <v>4</v>
      </c>
      <c r="CC204" s="19"/>
      <c r="CD204" s="19">
        <v>4</v>
      </c>
      <c r="CE204" s="19">
        <v>4</v>
      </c>
      <c r="CF204" s="19">
        <v>3</v>
      </c>
      <c r="CG204" s="19">
        <v>4</v>
      </c>
      <c r="CH204" s="19">
        <v>4</v>
      </c>
      <c r="CI204" s="19">
        <v>4</v>
      </c>
      <c r="CJ204" s="19">
        <v>4</v>
      </c>
      <c r="CK204" s="19">
        <v>9</v>
      </c>
      <c r="CL204" t="s">
        <v>230</v>
      </c>
      <c r="CM204">
        <v>64</v>
      </c>
      <c r="CN204" s="16">
        <v>74.3</v>
      </c>
      <c r="CO204" s="16">
        <v>81</v>
      </c>
      <c r="CP204" s="16">
        <v>58.5</v>
      </c>
      <c r="CQ204">
        <v>49.17</v>
      </c>
      <c r="CR204">
        <v>0</v>
      </c>
      <c r="CS204">
        <v>34.450000000000003</v>
      </c>
      <c r="CT204">
        <v>16.22</v>
      </c>
      <c r="CU204">
        <v>0.16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2.52</v>
      </c>
      <c r="DE204">
        <v>9.18</v>
      </c>
      <c r="DF204">
        <v>0</v>
      </c>
      <c r="DG204">
        <v>0</v>
      </c>
      <c r="DH204">
        <v>0</v>
      </c>
      <c r="DU204">
        <v>0.3</v>
      </c>
      <c r="DV204">
        <v>1</v>
      </c>
      <c r="DW204">
        <v>34</v>
      </c>
      <c r="DX204">
        <v>8</v>
      </c>
      <c r="DY204">
        <v>0.43</v>
      </c>
      <c r="DZ204">
        <v>1</v>
      </c>
      <c r="EA204">
        <v>47</v>
      </c>
      <c r="EB204">
        <v>1</v>
      </c>
      <c r="EC204">
        <v>0.04</v>
      </c>
      <c r="ED204">
        <v>3</v>
      </c>
      <c r="EG204" s="18"/>
      <c r="EY204">
        <v>0</v>
      </c>
      <c r="GJ204" s="16">
        <v>2.89</v>
      </c>
      <c r="GK204" s="16">
        <v>1</v>
      </c>
      <c r="GL204" s="16">
        <v>1</v>
      </c>
      <c r="GM204" s="16"/>
      <c r="GN204" s="16">
        <v>7.35</v>
      </c>
      <c r="GO204" s="16"/>
      <c r="GP204" s="16"/>
      <c r="GQ204" s="16"/>
      <c r="GR204" s="16"/>
      <c r="GS204" s="16"/>
      <c r="GT204" s="16"/>
      <c r="GU204" s="16">
        <v>0</v>
      </c>
      <c r="GV204" s="16">
        <v>0</v>
      </c>
      <c r="GW204" s="16"/>
      <c r="GX204" s="16"/>
      <c r="GY204" s="16">
        <v>0</v>
      </c>
      <c r="GZ204" s="16">
        <v>0</v>
      </c>
      <c r="HA204" s="16">
        <v>0</v>
      </c>
      <c r="HB204">
        <v>0</v>
      </c>
      <c r="HC204" t="s">
        <v>231</v>
      </c>
      <c r="HD204">
        <v>64.5</v>
      </c>
      <c r="HE204" s="16">
        <v>77.8</v>
      </c>
      <c r="HF204" s="16">
        <v>81</v>
      </c>
      <c r="HG204" s="16">
        <v>52.5</v>
      </c>
      <c r="HH204">
        <v>50.19</v>
      </c>
      <c r="HI204">
        <v>0</v>
      </c>
      <c r="HJ204">
        <v>26.36</v>
      </c>
      <c r="HK204">
        <v>23.45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1.91</v>
      </c>
      <c r="HU204">
        <v>2.12</v>
      </c>
      <c r="HV204">
        <v>0</v>
      </c>
      <c r="HW204">
        <v>0</v>
      </c>
      <c r="HX204">
        <v>0</v>
      </c>
      <c r="HY204">
        <v>0</v>
      </c>
      <c r="IL204">
        <v>5.4</v>
      </c>
      <c r="IM204">
        <v>1</v>
      </c>
      <c r="IN204">
        <v>68</v>
      </c>
      <c r="IO204">
        <v>8</v>
      </c>
      <c r="IP204">
        <f>1.4*2+0.13</f>
        <v>2.9299999999999997</v>
      </c>
      <c r="IQ204">
        <v>1</v>
      </c>
      <c r="IR204">
        <v>34</v>
      </c>
      <c r="IS204">
        <v>1</v>
      </c>
      <c r="IT204">
        <v>0.13</v>
      </c>
      <c r="IU204">
        <v>1</v>
      </c>
      <c r="IX204" s="18"/>
      <c r="JP204">
        <v>1</v>
      </c>
      <c r="JQ204">
        <v>60</v>
      </c>
      <c r="JR204">
        <v>1</v>
      </c>
      <c r="JS204">
        <v>0.22</v>
      </c>
      <c r="JT204">
        <v>3</v>
      </c>
      <c r="LA204" s="16">
        <v>3.48</v>
      </c>
      <c r="LB204" s="16">
        <v>1</v>
      </c>
      <c r="LC204" s="16">
        <v>1</v>
      </c>
      <c r="LD204" s="16"/>
      <c r="LE204" s="16">
        <f>7.35+1.4*2+0.62+0.74+0.03+0.7+0.18+0.03+0.05+0.01</f>
        <v>12.509999999999996</v>
      </c>
      <c r="LF204" s="16"/>
      <c r="LG204" s="16"/>
      <c r="LH204" s="16"/>
      <c r="LI204" s="16"/>
      <c r="LJ204" s="16"/>
      <c r="LK204" s="16"/>
      <c r="LL204" s="16">
        <v>0.13</v>
      </c>
      <c r="LM204" s="16">
        <v>0.13</v>
      </c>
      <c r="LN204" s="16"/>
      <c r="LO204" s="16"/>
      <c r="LP204" s="16">
        <v>0</v>
      </c>
      <c r="LQ204" s="16">
        <v>0</v>
      </c>
      <c r="LR204" s="16">
        <v>0</v>
      </c>
      <c r="LS204">
        <v>0</v>
      </c>
      <c r="LT204" t="s">
        <v>233</v>
      </c>
      <c r="LU204">
        <v>39.5</v>
      </c>
      <c r="LV204" s="16">
        <v>85</v>
      </c>
      <c r="LW204" s="16">
        <v>81</v>
      </c>
      <c r="LX204" s="16">
        <v>12.7</v>
      </c>
      <c r="LY204">
        <v>93.14</v>
      </c>
      <c r="LZ204">
        <v>0</v>
      </c>
      <c r="MA204">
        <v>1.57</v>
      </c>
      <c r="MB204">
        <v>2.08</v>
      </c>
      <c r="MC204">
        <v>3.21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1.7</v>
      </c>
      <c r="MK204">
        <v>6.54</v>
      </c>
      <c r="ML204">
        <v>37.880000000000003</v>
      </c>
      <c r="MM204">
        <v>3</v>
      </c>
      <c r="MN204">
        <v>0</v>
      </c>
      <c r="MO204">
        <v>0</v>
      </c>
      <c r="MP204">
        <v>0</v>
      </c>
      <c r="NC204">
        <v>15.7</v>
      </c>
      <c r="ND204">
        <v>1</v>
      </c>
      <c r="NE204">
        <v>47</v>
      </c>
      <c r="NF204">
        <v>2</v>
      </c>
      <c r="NG204">
        <v>1.51</v>
      </c>
      <c r="NH204">
        <v>3</v>
      </c>
      <c r="NO204" s="18"/>
      <c r="OG204">
        <v>1</v>
      </c>
      <c r="OH204">
        <v>50</v>
      </c>
      <c r="OI204">
        <v>3</v>
      </c>
      <c r="OJ204">
        <v>0.4</v>
      </c>
      <c r="OK204">
        <v>3</v>
      </c>
      <c r="OL204">
        <v>40</v>
      </c>
      <c r="OM204">
        <v>7</v>
      </c>
      <c r="ON204">
        <f>2.27+3.02</f>
        <v>5.29</v>
      </c>
      <c r="OO204">
        <v>3</v>
      </c>
      <c r="PR204" s="16">
        <v>1.76</v>
      </c>
      <c r="PS204" s="16">
        <v>1</v>
      </c>
      <c r="PT204" s="16">
        <v>1</v>
      </c>
      <c r="PU204" s="16"/>
      <c r="PV204" s="16">
        <f>2.1+1.7+0.4+0.37+0.74</f>
        <v>5.3100000000000005</v>
      </c>
      <c r="PW204" s="16"/>
      <c r="PX204" s="16"/>
      <c r="PY204" s="16"/>
      <c r="PZ204" s="16"/>
      <c r="QA204" s="16"/>
      <c r="QB204" s="16"/>
      <c r="QC204" s="16">
        <v>7.31</v>
      </c>
      <c r="QD204" s="16">
        <v>6.99</v>
      </c>
      <c r="QE204" s="16"/>
      <c r="QF204" s="16"/>
      <c r="QG204" s="16">
        <v>0</v>
      </c>
      <c r="QH204" s="16">
        <v>0</v>
      </c>
      <c r="QI204" s="16">
        <v>0</v>
      </c>
      <c r="QJ204">
        <v>0</v>
      </c>
      <c r="QK204" t="s">
        <v>235</v>
      </c>
      <c r="QL204">
        <v>37</v>
      </c>
      <c r="QM204" s="16">
        <v>81.900000000000006</v>
      </c>
      <c r="QN204" s="16">
        <v>81</v>
      </c>
      <c r="QO204" s="16">
        <v>26.3</v>
      </c>
      <c r="QP204">
        <v>68.540000000000006</v>
      </c>
      <c r="QQ204">
        <v>0</v>
      </c>
      <c r="QR204">
        <v>0</v>
      </c>
      <c r="QS204">
        <v>0</v>
      </c>
      <c r="QT204">
        <v>31.46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5.42</v>
      </c>
      <c r="RC204">
        <v>17.37</v>
      </c>
      <c r="RD204">
        <v>41.85</v>
      </c>
      <c r="RE204">
        <v>0</v>
      </c>
      <c r="RF204">
        <v>0</v>
      </c>
      <c r="RG204">
        <v>0</v>
      </c>
      <c r="RT204">
        <v>0</v>
      </c>
      <c r="RU204">
        <v>1</v>
      </c>
      <c r="RV204">
        <v>23</v>
      </c>
      <c r="RW204">
        <v>2</v>
      </c>
      <c r="RX204">
        <v>2.11</v>
      </c>
      <c r="RY204">
        <v>3</v>
      </c>
      <c r="SF204" s="18"/>
      <c r="SX204">
        <v>0</v>
      </c>
      <c r="UI204" s="16">
        <v>2.64</v>
      </c>
      <c r="UJ204" s="16">
        <v>1</v>
      </c>
      <c r="UK204" s="16">
        <v>1</v>
      </c>
      <c r="UL204" s="16"/>
      <c r="UM204" s="16">
        <f>4.2*2+1.7+5.1+0.37+0.74</f>
        <v>16.309999999999999</v>
      </c>
      <c r="UN204" s="16"/>
      <c r="UO204" s="16"/>
      <c r="UP204" s="16"/>
      <c r="UQ204" s="16"/>
      <c r="UR204" s="16"/>
      <c r="US204" s="16"/>
      <c r="UT204" s="16">
        <v>5.32</v>
      </c>
      <c r="UU204" s="16">
        <v>8.0399999999999991</v>
      </c>
      <c r="UV204" s="16"/>
      <c r="UW204" s="16"/>
      <c r="UX204" s="16">
        <v>0</v>
      </c>
      <c r="UY204" s="16">
        <v>0</v>
      </c>
      <c r="UZ204" s="16">
        <v>0</v>
      </c>
      <c r="VA204">
        <v>0</v>
      </c>
      <c r="VB204" t="s">
        <v>237</v>
      </c>
      <c r="VC204">
        <v>46</v>
      </c>
      <c r="VD204" s="16">
        <v>92.7</v>
      </c>
      <c r="VE204" s="16">
        <v>81</v>
      </c>
      <c r="VF204" s="16">
        <v>20.8</v>
      </c>
      <c r="VG204">
        <v>76.44</v>
      </c>
      <c r="VH204">
        <v>0</v>
      </c>
      <c r="VI204">
        <v>0</v>
      </c>
      <c r="VJ204">
        <v>0</v>
      </c>
      <c r="VK204">
        <v>23.56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0.23</v>
      </c>
      <c r="VS204">
        <v>0.51</v>
      </c>
      <c r="VT204">
        <v>26.55</v>
      </c>
      <c r="VU204">
        <v>36.69</v>
      </c>
      <c r="VV204">
        <v>0</v>
      </c>
      <c r="VW204">
        <v>10.6</v>
      </c>
      <c r="VX204">
        <v>1</v>
      </c>
      <c r="VY204">
        <v>6</v>
      </c>
      <c r="WA204">
        <v>1</v>
      </c>
      <c r="WE204">
        <v>6</v>
      </c>
      <c r="WG204">
        <v>1</v>
      </c>
      <c r="WK204">
        <v>7.1</v>
      </c>
      <c r="WL204">
        <v>1</v>
      </c>
      <c r="WM204">
        <v>35</v>
      </c>
      <c r="WN204">
        <v>2</v>
      </c>
      <c r="WO204">
        <f>0.76*2</f>
        <v>1.52</v>
      </c>
      <c r="WP204">
        <v>3</v>
      </c>
      <c r="WW204" s="18"/>
      <c r="XO204">
        <v>0</v>
      </c>
      <c r="YZ204" s="16">
        <v>2.41</v>
      </c>
      <c r="ZA204" s="16">
        <v>1</v>
      </c>
      <c r="ZB204" s="16">
        <v>1</v>
      </c>
      <c r="ZC204" s="16"/>
      <c r="ZD204" s="16">
        <f>0.41+1.67+5+0.33+0.45+0.15</f>
        <v>8.01</v>
      </c>
      <c r="ZE204" s="16"/>
      <c r="ZF204" s="16"/>
      <c r="ZG204" s="16"/>
      <c r="ZH204" s="16"/>
      <c r="ZI204" s="16"/>
      <c r="ZJ204" s="16"/>
      <c r="ZK204" s="16">
        <v>0.33</v>
      </c>
      <c r="ZL204" s="16">
        <v>0.33</v>
      </c>
      <c r="ZM204" s="16"/>
      <c r="ZN204" s="16"/>
      <c r="ZO204" s="16">
        <v>0</v>
      </c>
      <c r="ZP204" s="16">
        <v>0</v>
      </c>
      <c r="ZQ204" s="16">
        <v>0</v>
      </c>
      <c r="ZR204">
        <v>0</v>
      </c>
      <c r="ZS204" t="s">
        <v>461</v>
      </c>
      <c r="ZT204">
        <v>38</v>
      </c>
      <c r="ZU204" s="16">
        <v>84.5</v>
      </c>
      <c r="ZV204" s="16">
        <v>81</v>
      </c>
      <c r="ZW204" s="16">
        <v>11.8</v>
      </c>
      <c r="ZX204">
        <v>99.78</v>
      </c>
      <c r="ZY204">
        <v>0</v>
      </c>
      <c r="ZZ204">
        <v>0</v>
      </c>
      <c r="AAA204">
        <v>0</v>
      </c>
      <c r="AAB204">
        <v>0.22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7.31</v>
      </c>
      <c r="AAJ204">
        <v>0</v>
      </c>
      <c r="AAK204">
        <v>30.29</v>
      </c>
      <c r="AAL204">
        <v>31.72</v>
      </c>
      <c r="AAM204">
        <v>0</v>
      </c>
      <c r="AAN204">
        <v>0</v>
      </c>
      <c r="AAO204">
        <v>0</v>
      </c>
      <c r="ABB204">
        <v>14</v>
      </c>
      <c r="ABC204">
        <v>1</v>
      </c>
      <c r="ABD204">
        <v>52</v>
      </c>
      <c r="ABE204">
        <v>6</v>
      </c>
      <c r="ABF204">
        <v>4.53</v>
      </c>
      <c r="ABG204">
        <v>2</v>
      </c>
      <c r="ABN204" s="18"/>
      <c r="ACF204">
        <v>1</v>
      </c>
      <c r="ACG204">
        <v>50</v>
      </c>
      <c r="ACH204">
        <v>3</v>
      </c>
      <c r="ACI204">
        <v>0.4</v>
      </c>
      <c r="ACJ204">
        <v>6</v>
      </c>
      <c r="ADQ204" s="16">
        <v>3.9</v>
      </c>
      <c r="ADR204" s="16">
        <v>1</v>
      </c>
      <c r="ADS204" s="16">
        <v>1</v>
      </c>
      <c r="ADT204" s="16"/>
      <c r="ADU204" s="16">
        <f>1.7*3+4.53+2.64*2+0.6</f>
        <v>15.51</v>
      </c>
      <c r="ADV204" s="16"/>
      <c r="ADW204" s="16"/>
      <c r="ADX204" s="16"/>
      <c r="ADY204" s="16"/>
      <c r="ADZ204" s="16"/>
      <c r="AEA204" s="16"/>
      <c r="AEB204" s="16">
        <v>8.14</v>
      </c>
      <c r="AEC204" s="16">
        <v>15.87</v>
      </c>
      <c r="AED204" s="16"/>
      <c r="AEE204" s="16"/>
      <c r="AEF204" s="16">
        <v>0</v>
      </c>
      <c r="AEG204" s="16">
        <v>0</v>
      </c>
      <c r="AEH204" s="16">
        <v>0</v>
      </c>
      <c r="AEI204">
        <v>0</v>
      </c>
      <c r="AEJ204" t="s">
        <v>595</v>
      </c>
      <c r="AEK204">
        <v>21.5</v>
      </c>
      <c r="AEL204" s="16">
        <v>79.7</v>
      </c>
      <c r="AEM204" s="16">
        <v>81</v>
      </c>
      <c r="AEN204" s="16">
        <v>7.9</v>
      </c>
      <c r="AEO204">
        <v>99.71</v>
      </c>
      <c r="AEP204">
        <v>0</v>
      </c>
      <c r="AEQ204">
        <v>0</v>
      </c>
      <c r="AER204">
        <v>0</v>
      </c>
      <c r="AES204">
        <v>0.28999999999999998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11.15</v>
      </c>
      <c r="AFB204">
        <v>33.119999999999997</v>
      </c>
      <c r="AFC204">
        <v>8.7200000000000006</v>
      </c>
      <c r="AFD204">
        <v>0</v>
      </c>
      <c r="AFE204">
        <v>0</v>
      </c>
      <c r="AFF204">
        <v>0</v>
      </c>
      <c r="AFS204">
        <v>0</v>
      </c>
      <c r="AFT204">
        <v>1</v>
      </c>
      <c r="AFU204">
        <v>23</v>
      </c>
      <c r="AFV204">
        <v>1</v>
      </c>
      <c r="AFW204">
        <v>2.27</v>
      </c>
      <c r="AFX204">
        <v>3</v>
      </c>
      <c r="AGE204" s="18"/>
      <c r="AGW204">
        <v>1</v>
      </c>
      <c r="AGX204">
        <v>50</v>
      </c>
      <c r="AGY204">
        <v>9</v>
      </c>
      <c r="AGZ204">
        <v>4.93</v>
      </c>
      <c r="AHA204">
        <v>3</v>
      </c>
      <c r="AIH204" s="16">
        <v>2</v>
      </c>
      <c r="AII204" s="16">
        <v>1</v>
      </c>
      <c r="AIJ204" s="16">
        <v>1</v>
      </c>
      <c r="AIK204" s="16"/>
      <c r="AIL204" s="16">
        <f>1.7+2.1*2+0.6</f>
        <v>6.5</v>
      </c>
      <c r="AIM204" s="16"/>
      <c r="AIN204" s="16"/>
      <c r="AIO204" s="16"/>
      <c r="AIP204" s="16"/>
      <c r="AIQ204" s="16"/>
      <c r="AIR204" s="16"/>
      <c r="AIS204" s="16">
        <v>11.21</v>
      </c>
      <c r="AIT204" s="16">
        <v>16.21</v>
      </c>
      <c r="AIU204" s="16"/>
      <c r="AIV204" s="16"/>
      <c r="AIW204" s="16">
        <v>0</v>
      </c>
      <c r="AIX204" s="16">
        <v>0</v>
      </c>
      <c r="AIY204" s="16">
        <v>0</v>
      </c>
      <c r="AIZ204">
        <v>0</v>
      </c>
      <c r="AJA204" t="s">
        <v>462</v>
      </c>
      <c r="AJB204">
        <v>47.5</v>
      </c>
      <c r="AJC204" s="16">
        <v>85.1</v>
      </c>
      <c r="AJD204" s="16">
        <v>81</v>
      </c>
      <c r="AJE204" s="16">
        <v>33.200000000000003</v>
      </c>
      <c r="AJF204">
        <v>52.89</v>
      </c>
      <c r="AJG204">
        <v>0</v>
      </c>
      <c r="AJH204">
        <v>0</v>
      </c>
      <c r="AJI204">
        <v>0</v>
      </c>
      <c r="AJJ204">
        <v>47.11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3.65</v>
      </c>
      <c r="AJR204">
        <v>0</v>
      </c>
      <c r="AJS204">
        <v>19.66</v>
      </c>
      <c r="AJT204">
        <v>48.22</v>
      </c>
      <c r="AJU204">
        <v>0</v>
      </c>
      <c r="AJV204">
        <v>5.3</v>
      </c>
      <c r="AJW204">
        <v>1</v>
      </c>
      <c r="AJX204">
        <v>5</v>
      </c>
      <c r="AJZ204">
        <v>1</v>
      </c>
      <c r="AKD204">
        <v>5</v>
      </c>
      <c r="AKF204">
        <v>1</v>
      </c>
      <c r="AKJ204">
        <v>1.5</v>
      </c>
      <c r="AKK204">
        <v>0</v>
      </c>
      <c r="AKV204" s="18"/>
      <c r="ALN204">
        <v>1</v>
      </c>
      <c r="ALO204">
        <v>60</v>
      </c>
      <c r="ALP204">
        <v>1</v>
      </c>
      <c r="ALQ204">
        <v>3.97</v>
      </c>
      <c r="ALR204">
        <v>4</v>
      </c>
      <c r="ALS204">
        <v>60</v>
      </c>
      <c r="ALT204">
        <v>1</v>
      </c>
      <c r="ALU204">
        <v>0.2</v>
      </c>
      <c r="ALV204">
        <v>3</v>
      </c>
    </row>
    <row r="205" spans="1:1018" x14ac:dyDescent="0.2">
      <c r="A205" s="1" t="s">
        <v>716</v>
      </c>
      <c r="B205" s="12">
        <v>42906</v>
      </c>
      <c r="C205">
        <v>2</v>
      </c>
      <c r="D205" s="13">
        <v>35625</v>
      </c>
      <c r="E205" s="12">
        <v>27959</v>
      </c>
      <c r="F205" s="14">
        <f t="shared" si="62"/>
        <v>40.922655715263517</v>
      </c>
      <c r="G205" s="14">
        <f t="shared" si="63"/>
        <v>19.93429158110883</v>
      </c>
      <c r="H205" s="15" t="s">
        <v>183</v>
      </c>
      <c r="I205" s="15" t="s">
        <v>571</v>
      </c>
      <c r="J205" s="15" t="s">
        <v>181</v>
      </c>
      <c r="K205" s="21">
        <v>8</v>
      </c>
      <c r="L205" s="19">
        <v>107</v>
      </c>
      <c r="M205">
        <v>1.93</v>
      </c>
      <c r="N205" s="16">
        <f t="shared" si="64"/>
        <v>28.725603371902601</v>
      </c>
      <c r="O205" s="19">
        <v>0</v>
      </c>
      <c r="P205" s="19">
        <v>0</v>
      </c>
      <c r="Q205" s="19">
        <v>0</v>
      </c>
      <c r="R205" s="26">
        <v>0</v>
      </c>
      <c r="S205" s="26">
        <v>0</v>
      </c>
      <c r="T205" s="26">
        <v>0</v>
      </c>
      <c r="U205" s="19">
        <v>0</v>
      </c>
      <c r="V205" s="19">
        <v>0</v>
      </c>
      <c r="W205" s="19">
        <v>1</v>
      </c>
      <c r="X205" s="19">
        <v>1</v>
      </c>
      <c r="Y205" s="19">
        <v>0</v>
      </c>
      <c r="Z205" s="19">
        <v>0</v>
      </c>
      <c r="AA205" s="19">
        <v>0</v>
      </c>
      <c r="AB205" s="19">
        <v>0</v>
      </c>
      <c r="AC205" s="19">
        <v>1</v>
      </c>
      <c r="AD205" s="19">
        <v>40</v>
      </c>
      <c r="AE205" s="19">
        <v>1</v>
      </c>
      <c r="AF205" s="19">
        <v>0</v>
      </c>
      <c r="AG205" s="19">
        <v>0</v>
      </c>
      <c r="AH205" s="19">
        <v>0</v>
      </c>
      <c r="AI205" s="19">
        <v>0</v>
      </c>
      <c r="AJ205" s="19">
        <v>0</v>
      </c>
      <c r="AK205" s="19">
        <v>0</v>
      </c>
      <c r="AL205" s="19">
        <v>0</v>
      </c>
      <c r="AM205" s="19">
        <v>0</v>
      </c>
      <c r="AN205" s="19">
        <v>1</v>
      </c>
      <c r="AO205" s="19">
        <v>0</v>
      </c>
      <c r="AP205" s="19">
        <v>0</v>
      </c>
      <c r="AQ205" s="19">
        <v>0</v>
      </c>
      <c r="AR205" s="19">
        <v>0</v>
      </c>
      <c r="AS205" s="19">
        <v>0</v>
      </c>
      <c r="AT205" s="19">
        <v>0</v>
      </c>
      <c r="AU205" s="19">
        <v>0</v>
      </c>
      <c r="AV205" s="19">
        <v>0</v>
      </c>
      <c r="AW205" s="19">
        <v>0</v>
      </c>
      <c r="AX205" s="19">
        <v>0</v>
      </c>
      <c r="AY205" s="19">
        <v>0</v>
      </c>
      <c r="AZ205" s="19">
        <v>0</v>
      </c>
      <c r="BA205" s="19">
        <v>0</v>
      </c>
      <c r="BB205" s="19">
        <v>1</v>
      </c>
      <c r="BC205" s="19">
        <v>0</v>
      </c>
      <c r="BD205" s="19">
        <v>0</v>
      </c>
      <c r="BE205" s="19">
        <v>0</v>
      </c>
      <c r="BF205" s="19">
        <v>0</v>
      </c>
      <c r="BG205" s="19">
        <v>0</v>
      </c>
      <c r="BH205" s="19">
        <v>0</v>
      </c>
      <c r="BI205" s="19">
        <v>0</v>
      </c>
      <c r="BJ205" s="19">
        <v>0</v>
      </c>
      <c r="BK205" s="19">
        <v>0</v>
      </c>
      <c r="BL205" s="19">
        <v>0</v>
      </c>
      <c r="BM205" s="19">
        <v>0</v>
      </c>
      <c r="BN205" s="19">
        <v>0</v>
      </c>
      <c r="BO205" s="19">
        <v>0</v>
      </c>
      <c r="BP205" s="19">
        <v>0</v>
      </c>
      <c r="BQ205" s="19">
        <v>0</v>
      </c>
      <c r="BR205" s="19">
        <v>3</v>
      </c>
      <c r="BS205" s="19">
        <v>3</v>
      </c>
      <c r="BT205" s="19">
        <v>5</v>
      </c>
      <c r="BU205" s="19">
        <v>5</v>
      </c>
      <c r="BV205" s="19">
        <v>2</v>
      </c>
      <c r="BW205" s="19">
        <v>1</v>
      </c>
      <c r="BX205" s="19">
        <v>3</v>
      </c>
      <c r="BY205" s="19">
        <v>3</v>
      </c>
      <c r="BZ205" s="19">
        <v>1</v>
      </c>
      <c r="CA205" s="19">
        <v>1</v>
      </c>
      <c r="CB205" s="19">
        <v>3</v>
      </c>
      <c r="CC205" s="19">
        <v>5</v>
      </c>
      <c r="CD205" s="19">
        <v>1</v>
      </c>
      <c r="CE205" s="19">
        <v>3</v>
      </c>
      <c r="CF205" s="19">
        <v>5</v>
      </c>
      <c r="CG205" s="19">
        <v>4</v>
      </c>
      <c r="CH205" s="19">
        <v>2</v>
      </c>
      <c r="CI205" s="19">
        <v>3</v>
      </c>
      <c r="CJ205" s="19">
        <v>2</v>
      </c>
      <c r="CK205" s="19">
        <v>5</v>
      </c>
      <c r="CL205" t="s">
        <v>540</v>
      </c>
      <c r="CM205">
        <v>70.5</v>
      </c>
      <c r="CN205" s="16">
        <v>88.2</v>
      </c>
      <c r="CO205" s="16">
        <v>80.400000000000006</v>
      </c>
      <c r="CP205" s="16">
        <v>36.299999999999997</v>
      </c>
      <c r="CQ205">
        <v>72.69</v>
      </c>
      <c r="CR205" s="17">
        <v>0</v>
      </c>
      <c r="CS205">
        <v>10.32</v>
      </c>
      <c r="CT205">
        <v>16.989999999999998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36.659999999999997</v>
      </c>
      <c r="DD205">
        <v>7.54</v>
      </c>
      <c r="DE205">
        <v>10.32</v>
      </c>
      <c r="DF205">
        <v>0</v>
      </c>
      <c r="DG205">
        <v>0</v>
      </c>
      <c r="DH205">
        <v>0</v>
      </c>
      <c r="DU205">
        <v>21.2</v>
      </c>
      <c r="DV205">
        <v>1</v>
      </c>
      <c r="DW205">
        <v>35</v>
      </c>
      <c r="DX205">
        <v>7</v>
      </c>
      <c r="DY205">
        <f t="shared" ref="DY205:DY212" si="65">5.71+0.54</f>
        <v>6.25</v>
      </c>
      <c r="DZ205">
        <v>3</v>
      </c>
      <c r="EA205">
        <v>47</v>
      </c>
      <c r="EB205">
        <v>2</v>
      </c>
      <c r="EC205">
        <v>0.4</v>
      </c>
      <c r="ED205">
        <v>3</v>
      </c>
      <c r="EG205" s="20"/>
      <c r="EY205">
        <v>0</v>
      </c>
      <c r="GJ205" s="16">
        <v>11.58</v>
      </c>
      <c r="GK205" s="16">
        <v>1</v>
      </c>
      <c r="GL205" s="16">
        <v>2</v>
      </c>
      <c r="GM205" s="16"/>
      <c r="GN205" s="16">
        <f t="shared" ref="GN205:GN212" si="66">0.22+1.95+3.81+0.27+0.32+0.04+0.05</f>
        <v>6.66</v>
      </c>
      <c r="GO205" s="16"/>
      <c r="GP205" s="16"/>
      <c r="GQ205" s="16"/>
      <c r="GR205" s="16"/>
      <c r="GS205" s="16"/>
      <c r="GT205" s="16"/>
      <c r="GU205" s="16">
        <v>0.27</v>
      </c>
      <c r="GV205" s="16">
        <v>0.27</v>
      </c>
      <c r="GW205" s="16">
        <v>0</v>
      </c>
      <c r="GX205" s="16">
        <v>0</v>
      </c>
      <c r="GY205" s="16">
        <v>0</v>
      </c>
      <c r="GZ205" s="16">
        <v>0</v>
      </c>
      <c r="HA205" s="16">
        <v>0</v>
      </c>
      <c r="HB205">
        <v>0</v>
      </c>
      <c r="HC205" t="s">
        <v>541</v>
      </c>
      <c r="HD205">
        <v>94.5</v>
      </c>
      <c r="HE205" s="16">
        <v>88.2</v>
      </c>
      <c r="HF205" s="16">
        <v>80.400000000000006</v>
      </c>
      <c r="HG205" s="16">
        <v>73.099999999999994</v>
      </c>
      <c r="HH205">
        <v>41.34</v>
      </c>
      <c r="HI205" s="17">
        <v>0</v>
      </c>
      <c r="HJ205">
        <v>8.6300000000000008</v>
      </c>
      <c r="HK205">
        <v>0.04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8.06</v>
      </c>
      <c r="HU205">
        <v>3.65</v>
      </c>
      <c r="HV205">
        <v>7.2</v>
      </c>
      <c r="HW205">
        <v>0</v>
      </c>
      <c r="HX205">
        <v>0</v>
      </c>
      <c r="HY205">
        <v>0</v>
      </c>
      <c r="IL205">
        <v>9.4</v>
      </c>
      <c r="IM205">
        <v>1</v>
      </c>
      <c r="IN205">
        <v>35</v>
      </c>
      <c r="IO205">
        <v>2</v>
      </c>
      <c r="IP205">
        <f t="shared" ref="IP205:IP212" si="67">0.76+0.45</f>
        <v>1.21</v>
      </c>
      <c r="IQ205">
        <v>3</v>
      </c>
      <c r="IX205" s="20"/>
      <c r="JP205">
        <v>1</v>
      </c>
      <c r="JQ205">
        <v>70</v>
      </c>
      <c r="JR205">
        <v>2</v>
      </c>
      <c r="JS205">
        <f t="shared" ref="JS205:JS212" si="68">0.75+1.69</f>
        <v>2.44</v>
      </c>
      <c r="JT205">
        <v>2</v>
      </c>
      <c r="LA205" s="16">
        <v>0.84</v>
      </c>
      <c r="LB205" s="16">
        <v>1</v>
      </c>
      <c r="LC205" s="16">
        <v>1</v>
      </c>
      <c r="LD205" s="16"/>
      <c r="LE205" s="16">
        <v>0.6</v>
      </c>
      <c r="LF205" s="16"/>
      <c r="LG205" s="16"/>
      <c r="LH205" s="16"/>
      <c r="LI205" s="16"/>
      <c r="LJ205" s="16"/>
      <c r="LK205" s="16"/>
      <c r="LL205" s="16">
        <v>10.19</v>
      </c>
      <c r="LM205" s="16">
        <v>8.4600000000000009</v>
      </c>
      <c r="LN205" s="16">
        <v>0</v>
      </c>
      <c r="LO205" s="16">
        <v>0</v>
      </c>
      <c r="LP205" s="16">
        <v>0</v>
      </c>
      <c r="LQ205" s="16">
        <v>0</v>
      </c>
      <c r="LR205" s="16">
        <v>0</v>
      </c>
      <c r="LS205">
        <v>0</v>
      </c>
      <c r="LT205" t="s">
        <v>542</v>
      </c>
      <c r="LU205">
        <v>75</v>
      </c>
      <c r="LV205" s="16">
        <v>91.2</v>
      </c>
      <c r="LW205" s="16">
        <v>80.400000000000006</v>
      </c>
      <c r="LX205" s="16">
        <v>61</v>
      </c>
      <c r="LY205">
        <v>53.67</v>
      </c>
      <c r="LZ205" s="17">
        <v>0</v>
      </c>
      <c r="MA205">
        <v>16.760000000000002</v>
      </c>
      <c r="MB205">
        <v>29.58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6.79</v>
      </c>
      <c r="ML205">
        <v>14.97</v>
      </c>
      <c r="MM205">
        <v>18.239999999999998</v>
      </c>
      <c r="MN205">
        <v>0</v>
      </c>
      <c r="MO205">
        <v>0</v>
      </c>
      <c r="MP205">
        <v>0</v>
      </c>
      <c r="NC205">
        <v>9</v>
      </c>
      <c r="ND205">
        <v>1</v>
      </c>
      <c r="NE205">
        <v>68</v>
      </c>
      <c r="NF205">
        <v>1</v>
      </c>
      <c r="NG205">
        <v>0.38</v>
      </c>
      <c r="NH205">
        <v>1</v>
      </c>
      <c r="NI205">
        <v>47</v>
      </c>
      <c r="NJ205">
        <v>1</v>
      </c>
      <c r="NK205">
        <v>1.1299999999999999</v>
      </c>
      <c r="NL205">
        <v>3</v>
      </c>
      <c r="NO205" s="20"/>
      <c r="OG205">
        <v>1</v>
      </c>
      <c r="OH205">
        <v>70</v>
      </c>
      <c r="OI205">
        <v>2</v>
      </c>
      <c r="OJ205">
        <f t="shared" ref="OJ205:OJ212" si="69">1.69+0.75</f>
        <v>2.44</v>
      </c>
      <c r="OK205">
        <v>2</v>
      </c>
      <c r="PR205" s="16">
        <v>1.88</v>
      </c>
      <c r="PS205" s="16">
        <v>1</v>
      </c>
      <c r="PT205" s="16">
        <v>1</v>
      </c>
      <c r="PU205" s="16"/>
      <c r="PV205" s="16">
        <f t="shared" ref="PV205:PV212" si="70">1.04+1.04+1.04</f>
        <v>3.12</v>
      </c>
      <c r="PW205" s="16"/>
      <c r="PX205" s="16"/>
      <c r="PY205" s="16"/>
      <c r="PZ205" s="16"/>
      <c r="QA205" s="16"/>
      <c r="QB205" s="16"/>
      <c r="QC205" s="16">
        <v>1.5</v>
      </c>
      <c r="QD205" s="16">
        <v>1.5</v>
      </c>
      <c r="QE205" s="16">
        <v>0</v>
      </c>
      <c r="QF205" s="16">
        <v>0</v>
      </c>
      <c r="QG205" s="16">
        <v>0</v>
      </c>
      <c r="QH205" s="16">
        <v>0</v>
      </c>
      <c r="QI205" s="16">
        <v>0</v>
      </c>
      <c r="QJ205">
        <v>0</v>
      </c>
      <c r="QK205" t="s">
        <v>543</v>
      </c>
      <c r="QL205">
        <v>21</v>
      </c>
      <c r="QM205" s="16">
        <v>77.900000000000006</v>
      </c>
      <c r="QN205" s="16">
        <v>160.80000000000001</v>
      </c>
      <c r="QO205" s="16">
        <v>14.1</v>
      </c>
      <c r="QP205">
        <v>87.99</v>
      </c>
      <c r="QQ205" s="17">
        <v>0</v>
      </c>
      <c r="QR205">
        <v>3.38</v>
      </c>
      <c r="QS205">
        <v>0</v>
      </c>
      <c r="QT205">
        <v>8.6300000000000008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65.599999999999994</v>
      </c>
      <c r="RD205">
        <v>0</v>
      </c>
      <c r="RE205">
        <v>0</v>
      </c>
      <c r="RF205">
        <v>0</v>
      </c>
      <c r="RG205">
        <v>0</v>
      </c>
      <c r="RT205">
        <v>1.4</v>
      </c>
      <c r="RU205">
        <v>1</v>
      </c>
      <c r="RV205">
        <v>35</v>
      </c>
      <c r="RW205">
        <v>3</v>
      </c>
      <c r="RX205">
        <f t="shared" ref="RX205:RX212" si="71">0.38</f>
        <v>0.38</v>
      </c>
      <c r="RY205">
        <v>3</v>
      </c>
      <c r="RZ205">
        <v>34</v>
      </c>
      <c r="SA205">
        <v>27</v>
      </c>
      <c r="SB205">
        <f t="shared" ref="SB205:SB212" si="72">0.19+0.19+1.13+3.38+0.56+1.5+1.13+0.38</f>
        <v>8.4599999999999991</v>
      </c>
      <c r="SC205">
        <v>1</v>
      </c>
      <c r="SF205" s="20"/>
      <c r="SX205">
        <v>1</v>
      </c>
      <c r="SY205">
        <v>40</v>
      </c>
      <c r="SZ205">
        <v>9</v>
      </c>
      <c r="TA205">
        <f t="shared" ref="TA205:TA212" si="73">0.38+1.13+3+1.88+0.75</f>
        <v>7.14</v>
      </c>
      <c r="TB205">
        <v>3</v>
      </c>
      <c r="UI205" s="16">
        <v>0</v>
      </c>
      <c r="UJ205" s="16">
        <v>0</v>
      </c>
      <c r="UK205" s="16"/>
      <c r="UL205" s="16"/>
      <c r="UM205" s="16"/>
      <c r="UN205" s="16"/>
      <c r="UO205" s="16"/>
      <c r="UP205" s="16"/>
      <c r="UQ205" s="16"/>
      <c r="UR205" s="16"/>
      <c r="US205" s="16"/>
      <c r="UT205" s="16">
        <v>5.27</v>
      </c>
      <c r="UU205" s="16">
        <v>1.5</v>
      </c>
      <c r="UV205" s="16">
        <v>0</v>
      </c>
      <c r="UW205" s="16">
        <v>0</v>
      </c>
      <c r="UX205" s="16">
        <v>0</v>
      </c>
      <c r="UY205" s="16">
        <v>0</v>
      </c>
      <c r="UZ205" s="16">
        <v>0</v>
      </c>
      <c r="VA205">
        <v>0</v>
      </c>
      <c r="VE205" s="15"/>
      <c r="VF205" s="15"/>
      <c r="VM205" s="15"/>
      <c r="VN205" s="15"/>
      <c r="VU205" s="15"/>
      <c r="VV205" s="15"/>
      <c r="WC205" s="15"/>
      <c r="WD205" s="15"/>
      <c r="WK205" s="15"/>
      <c r="WL205" s="15"/>
      <c r="WS205" s="15"/>
      <c r="WT205" s="15"/>
      <c r="XA205" s="15"/>
      <c r="XB205" s="15"/>
      <c r="XI205" s="15"/>
      <c r="XJ205" s="15"/>
      <c r="XQ205" s="15"/>
      <c r="XR205" s="15"/>
      <c r="XY205" s="15"/>
      <c r="XZ205" s="15"/>
      <c r="YG205" s="15"/>
      <c r="YH205" s="15"/>
      <c r="YO205" s="15"/>
      <c r="YP205" s="15"/>
      <c r="YW205" s="15"/>
      <c r="YX205" s="15"/>
      <c r="ZE205" s="15"/>
      <c r="ZF205" s="15"/>
      <c r="ZM205" s="15"/>
      <c r="ZN205" s="15"/>
      <c r="ZU205" s="15"/>
      <c r="ZV205" s="15"/>
      <c r="AAC205" s="15"/>
      <c r="AAD205" s="15"/>
      <c r="AAK205" s="15"/>
      <c r="AAL205" s="15"/>
      <c r="AAS205" s="15"/>
      <c r="AAT205" s="15"/>
      <c r="ABA205" s="15"/>
      <c r="ABB205" s="15"/>
      <c r="ABI205" s="15"/>
      <c r="ABJ205" s="15"/>
      <c r="ABQ205" s="15"/>
      <c r="ABR205" s="15"/>
      <c r="ABY205" s="15"/>
      <c r="ABZ205" s="15"/>
      <c r="ACG205" s="15"/>
      <c r="ACH205" s="15"/>
      <c r="ACO205" s="15"/>
      <c r="ACP205" s="15"/>
      <c r="ACW205" s="15"/>
      <c r="ACX205" s="15"/>
      <c r="ADE205" s="15"/>
      <c r="ADF205" s="15"/>
      <c r="ADM205" s="15"/>
      <c r="ADN205" s="15"/>
      <c r="ADU205" s="15"/>
      <c r="ADV205" s="15"/>
      <c r="AEC205" s="15"/>
      <c r="AED205" s="15"/>
      <c r="AEK205" s="15"/>
      <c r="AEL205" s="15"/>
      <c r="AES205" s="15"/>
      <c r="AET205" s="15"/>
      <c r="AFA205" s="15"/>
      <c r="AFB205" s="15"/>
      <c r="AFI205" s="15"/>
      <c r="AFJ205" s="15"/>
      <c r="AFQ205" s="15"/>
      <c r="AFR205" s="15"/>
      <c r="AFY205" s="15"/>
      <c r="AFZ205" s="15"/>
      <c r="AGG205" s="15"/>
      <c r="AGH205" s="15"/>
      <c r="AGO205" s="15"/>
      <c r="AGP205" s="15"/>
      <c r="AGW205" s="15"/>
      <c r="AGX205" s="15"/>
      <c r="AHE205" s="15"/>
      <c r="AHF205" s="15"/>
      <c r="AHM205" s="15"/>
      <c r="AHN205" s="15"/>
      <c r="AHU205" s="15"/>
      <c r="AHV205" s="15"/>
      <c r="AIC205" s="15"/>
      <c r="AID205" s="15"/>
      <c r="AIK205" s="15"/>
      <c r="AIL205" s="15"/>
      <c r="AIS205" s="15"/>
      <c r="AIT205" s="15"/>
      <c r="AJA205" s="15"/>
      <c r="AJB205" s="15"/>
      <c r="AJI205" s="15"/>
      <c r="AJJ205" s="15"/>
      <c r="AJQ205" s="15"/>
      <c r="AJR205" s="15"/>
      <c r="AJY205" s="15"/>
      <c r="AJZ205" s="15"/>
      <c r="AKG205" s="15"/>
      <c r="AKH205" s="15"/>
      <c r="AKO205" s="15"/>
      <c r="AKP205" s="15"/>
      <c r="AKW205" s="15"/>
      <c r="AKX205" s="15"/>
      <c r="ALE205" s="15"/>
      <c r="ALF205" s="15"/>
      <c r="ALM205" s="15"/>
      <c r="ALN205" s="15"/>
      <c r="ALU205" s="15"/>
      <c r="ALV205" s="15"/>
      <c r="AMC205" s="15"/>
      <c r="AMD205" s="15"/>
    </row>
    <row r="206" spans="1:1018" x14ac:dyDescent="0.2">
      <c r="A206" s="1" t="s">
        <v>717</v>
      </c>
      <c r="B206" s="12">
        <v>42906</v>
      </c>
      <c r="C206">
        <v>2</v>
      </c>
      <c r="D206" s="13">
        <v>35184</v>
      </c>
      <c r="E206" s="13">
        <v>22670</v>
      </c>
      <c r="F206" s="14">
        <f t="shared" si="62"/>
        <v>55.403148528405204</v>
      </c>
      <c r="G206" s="14">
        <f t="shared" si="63"/>
        <v>21.141683778234086</v>
      </c>
      <c r="H206" s="15" t="s">
        <v>183</v>
      </c>
      <c r="I206" s="15" t="s">
        <v>571</v>
      </c>
      <c r="J206" s="15" t="s">
        <v>181</v>
      </c>
      <c r="K206" s="21">
        <v>8</v>
      </c>
      <c r="L206" s="19">
        <v>56</v>
      </c>
      <c r="M206">
        <v>1.73</v>
      </c>
      <c r="N206" s="16">
        <f t="shared" si="64"/>
        <v>18.710949246550168</v>
      </c>
      <c r="O206" s="19">
        <v>0</v>
      </c>
      <c r="P206" s="19">
        <v>0</v>
      </c>
      <c r="Q206" s="19">
        <v>0</v>
      </c>
      <c r="R206" s="26">
        <v>0</v>
      </c>
      <c r="S206" s="26">
        <v>0</v>
      </c>
      <c r="T206" s="26">
        <v>0</v>
      </c>
      <c r="U206" s="19">
        <v>0</v>
      </c>
      <c r="V206" s="19">
        <v>0</v>
      </c>
      <c r="W206" s="19">
        <v>1</v>
      </c>
      <c r="X206" s="19">
        <v>0</v>
      </c>
      <c r="Y206" s="19">
        <v>0</v>
      </c>
      <c r="Z206" s="19">
        <v>0</v>
      </c>
      <c r="AA206" s="19">
        <v>0</v>
      </c>
      <c r="AB206" s="19">
        <v>0</v>
      </c>
      <c r="AC206" s="19">
        <v>1</v>
      </c>
      <c r="AD206" s="19">
        <v>16</v>
      </c>
      <c r="AE206" s="19">
        <v>1</v>
      </c>
      <c r="AF206" s="19">
        <v>0</v>
      </c>
      <c r="AG206" s="19">
        <v>0</v>
      </c>
      <c r="AH206" s="19">
        <v>0</v>
      </c>
      <c r="AI206" s="19">
        <v>1</v>
      </c>
      <c r="AJ206" s="19">
        <v>0</v>
      </c>
      <c r="AK206" s="19">
        <v>0</v>
      </c>
      <c r="AL206" s="19">
        <v>0</v>
      </c>
      <c r="AM206" s="19">
        <v>0</v>
      </c>
      <c r="AN206" s="19">
        <v>0</v>
      </c>
      <c r="AO206" s="19">
        <v>0</v>
      </c>
      <c r="AP206" s="19">
        <v>0</v>
      </c>
      <c r="AQ206" s="19">
        <v>0</v>
      </c>
      <c r="AR206" s="19">
        <v>0</v>
      </c>
      <c r="AS206" s="19">
        <v>1</v>
      </c>
      <c r="AT206" s="19">
        <v>0</v>
      </c>
      <c r="AU206" s="19">
        <v>1</v>
      </c>
      <c r="AV206" s="19">
        <v>6</v>
      </c>
      <c r="AW206" s="19">
        <v>0</v>
      </c>
      <c r="AX206" s="19">
        <v>0</v>
      </c>
      <c r="AY206" s="19">
        <v>0</v>
      </c>
      <c r="AZ206" s="19">
        <v>0</v>
      </c>
      <c r="BA206" s="19">
        <v>0</v>
      </c>
      <c r="BB206" s="19">
        <v>1</v>
      </c>
      <c r="BC206" s="19">
        <v>1</v>
      </c>
      <c r="BD206" s="19">
        <v>0</v>
      </c>
      <c r="BE206" s="19">
        <v>0</v>
      </c>
      <c r="BF206" s="19">
        <v>0</v>
      </c>
      <c r="BG206" s="19">
        <v>0</v>
      </c>
      <c r="BH206" s="19">
        <v>0</v>
      </c>
      <c r="BI206" s="19">
        <v>0</v>
      </c>
      <c r="BJ206" s="19">
        <v>0</v>
      </c>
      <c r="BK206" s="19">
        <v>0</v>
      </c>
      <c r="BL206" s="19">
        <v>0</v>
      </c>
      <c r="BM206" s="19">
        <v>0</v>
      </c>
      <c r="BN206" s="19">
        <v>0</v>
      </c>
      <c r="BO206" s="19">
        <v>0</v>
      </c>
      <c r="BP206" s="19">
        <v>0</v>
      </c>
      <c r="BQ206" s="19">
        <v>0</v>
      </c>
      <c r="BR206" s="19">
        <v>3</v>
      </c>
      <c r="BS206" s="19">
        <v>3</v>
      </c>
      <c r="BT206" s="19">
        <v>4</v>
      </c>
      <c r="BU206" s="19">
        <v>5</v>
      </c>
      <c r="BV206" s="19">
        <v>2</v>
      </c>
      <c r="BW206" s="19">
        <v>1</v>
      </c>
      <c r="BX206" s="19">
        <v>3</v>
      </c>
      <c r="BY206" s="19">
        <v>3</v>
      </c>
      <c r="BZ206" s="19">
        <v>3</v>
      </c>
      <c r="CA206" s="19">
        <v>4</v>
      </c>
      <c r="CB206" s="19">
        <v>4</v>
      </c>
      <c r="CC206" s="19">
        <v>5</v>
      </c>
      <c r="CD206" s="19">
        <v>4</v>
      </c>
      <c r="CE206" s="19">
        <v>5</v>
      </c>
      <c r="CF206" s="19">
        <v>5</v>
      </c>
      <c r="CG206" s="19">
        <v>5</v>
      </c>
      <c r="CH206" s="19">
        <v>5</v>
      </c>
      <c r="CI206" s="19">
        <v>5</v>
      </c>
      <c r="CJ206" s="19">
        <v>4</v>
      </c>
      <c r="CK206" s="19">
        <v>8</v>
      </c>
      <c r="CL206" t="s">
        <v>540</v>
      </c>
      <c r="CM206">
        <v>70.5</v>
      </c>
      <c r="CN206" s="16">
        <v>88.2</v>
      </c>
      <c r="CO206" s="16">
        <v>80.400000000000006</v>
      </c>
      <c r="CP206" s="16">
        <v>36.299999999999997</v>
      </c>
      <c r="CQ206">
        <v>72.69</v>
      </c>
      <c r="CR206" s="17">
        <v>0</v>
      </c>
      <c r="CS206">
        <v>10.32</v>
      </c>
      <c r="CT206">
        <v>16.989999999999998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36.659999999999997</v>
      </c>
      <c r="DD206">
        <v>7.54</v>
      </c>
      <c r="DE206">
        <v>10.32</v>
      </c>
      <c r="DF206">
        <v>0</v>
      </c>
      <c r="DG206">
        <v>0</v>
      </c>
      <c r="DH206">
        <v>0</v>
      </c>
      <c r="DU206">
        <v>21.2</v>
      </c>
      <c r="DV206">
        <v>1</v>
      </c>
      <c r="DW206">
        <v>35</v>
      </c>
      <c r="DX206">
        <v>7</v>
      </c>
      <c r="DY206">
        <f t="shared" si="65"/>
        <v>6.25</v>
      </c>
      <c r="DZ206">
        <v>3</v>
      </c>
      <c r="EA206">
        <v>47</v>
      </c>
      <c r="EB206">
        <v>2</v>
      </c>
      <c r="EC206">
        <v>0.4</v>
      </c>
      <c r="ED206">
        <v>3</v>
      </c>
      <c r="EG206" s="20"/>
      <c r="EY206">
        <v>0</v>
      </c>
      <c r="GJ206" s="16">
        <v>11.58</v>
      </c>
      <c r="GK206" s="16">
        <v>1</v>
      </c>
      <c r="GL206" s="16">
        <v>2</v>
      </c>
      <c r="GM206" s="16"/>
      <c r="GN206" s="16">
        <f t="shared" si="66"/>
        <v>6.66</v>
      </c>
      <c r="GO206" s="16"/>
      <c r="GP206" s="16"/>
      <c r="GQ206" s="16"/>
      <c r="GR206" s="16"/>
      <c r="GS206" s="16"/>
      <c r="GT206" s="16"/>
      <c r="GU206" s="16">
        <v>0.27</v>
      </c>
      <c r="GV206" s="16">
        <v>0.27</v>
      </c>
      <c r="GW206" s="16">
        <v>0</v>
      </c>
      <c r="GX206" s="16">
        <v>0</v>
      </c>
      <c r="GY206" s="16">
        <v>0</v>
      </c>
      <c r="GZ206" s="16">
        <v>0</v>
      </c>
      <c r="HA206" s="16">
        <v>0</v>
      </c>
      <c r="HB206">
        <v>0</v>
      </c>
      <c r="HC206" t="s">
        <v>541</v>
      </c>
      <c r="HD206">
        <v>94.5</v>
      </c>
      <c r="HE206" s="16">
        <v>88.2</v>
      </c>
      <c r="HF206" s="16">
        <v>80.400000000000006</v>
      </c>
      <c r="HG206" s="16">
        <v>73.099999999999994</v>
      </c>
      <c r="HH206">
        <v>41.34</v>
      </c>
      <c r="HI206" s="17">
        <v>0</v>
      </c>
      <c r="HJ206">
        <v>8.6300000000000008</v>
      </c>
      <c r="HK206">
        <v>0.04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8.06</v>
      </c>
      <c r="HU206">
        <v>3.65</v>
      </c>
      <c r="HV206">
        <v>7.2</v>
      </c>
      <c r="HW206">
        <v>0</v>
      </c>
      <c r="HX206">
        <v>0</v>
      </c>
      <c r="HY206">
        <v>0</v>
      </c>
      <c r="IL206">
        <v>9.4</v>
      </c>
      <c r="IM206">
        <v>1</v>
      </c>
      <c r="IN206">
        <v>35</v>
      </c>
      <c r="IO206">
        <v>2</v>
      </c>
      <c r="IP206">
        <f t="shared" si="67"/>
        <v>1.21</v>
      </c>
      <c r="IQ206">
        <v>3</v>
      </c>
      <c r="IX206" s="20"/>
      <c r="JP206">
        <v>1</v>
      </c>
      <c r="JQ206">
        <v>70</v>
      </c>
      <c r="JR206">
        <v>2</v>
      </c>
      <c r="JS206">
        <f t="shared" si="68"/>
        <v>2.44</v>
      </c>
      <c r="JT206">
        <v>2</v>
      </c>
      <c r="LA206" s="16">
        <v>0.84</v>
      </c>
      <c r="LB206" s="16">
        <v>1</v>
      </c>
      <c r="LC206" s="16">
        <v>1</v>
      </c>
      <c r="LD206" s="16"/>
      <c r="LE206" s="16">
        <v>0.6</v>
      </c>
      <c r="LF206" s="16"/>
      <c r="LG206" s="16"/>
      <c r="LH206" s="16"/>
      <c r="LI206" s="16"/>
      <c r="LJ206" s="16"/>
      <c r="LK206" s="16"/>
      <c r="LL206" s="16">
        <v>10.19</v>
      </c>
      <c r="LM206" s="16">
        <v>8.4600000000000009</v>
      </c>
      <c r="LN206" s="16">
        <v>0</v>
      </c>
      <c r="LO206" s="16">
        <v>0</v>
      </c>
      <c r="LP206" s="16">
        <v>0</v>
      </c>
      <c r="LQ206" s="16">
        <v>0</v>
      </c>
      <c r="LR206" s="16">
        <v>0</v>
      </c>
      <c r="LS206">
        <v>0</v>
      </c>
      <c r="LT206" t="s">
        <v>542</v>
      </c>
      <c r="LU206">
        <v>75</v>
      </c>
      <c r="LV206" s="16">
        <v>91.2</v>
      </c>
      <c r="LW206" s="16">
        <v>80.400000000000006</v>
      </c>
      <c r="LX206" s="16">
        <v>61</v>
      </c>
      <c r="LY206">
        <v>53.67</v>
      </c>
      <c r="LZ206" s="17">
        <v>0</v>
      </c>
      <c r="MA206">
        <v>16.760000000000002</v>
      </c>
      <c r="MB206">
        <v>29.58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6.79</v>
      </c>
      <c r="ML206">
        <v>14.97</v>
      </c>
      <c r="MM206">
        <v>18.239999999999998</v>
      </c>
      <c r="MN206">
        <v>0</v>
      </c>
      <c r="MO206">
        <v>0</v>
      </c>
      <c r="MP206">
        <v>0</v>
      </c>
      <c r="NC206">
        <v>9</v>
      </c>
      <c r="ND206">
        <v>1</v>
      </c>
      <c r="NE206">
        <v>68</v>
      </c>
      <c r="NF206">
        <v>1</v>
      </c>
      <c r="NG206">
        <v>0.38</v>
      </c>
      <c r="NH206">
        <v>1</v>
      </c>
      <c r="NI206">
        <v>47</v>
      </c>
      <c r="NJ206">
        <v>1</v>
      </c>
      <c r="NK206">
        <v>1.1299999999999999</v>
      </c>
      <c r="NL206">
        <v>3</v>
      </c>
      <c r="NO206" s="20"/>
      <c r="OG206">
        <v>1</v>
      </c>
      <c r="OH206">
        <v>70</v>
      </c>
      <c r="OI206">
        <v>2</v>
      </c>
      <c r="OJ206">
        <f t="shared" si="69"/>
        <v>2.44</v>
      </c>
      <c r="OK206">
        <v>2</v>
      </c>
      <c r="PR206" s="16">
        <v>1.88</v>
      </c>
      <c r="PS206" s="16">
        <v>1</v>
      </c>
      <c r="PT206" s="16">
        <v>1</v>
      </c>
      <c r="PU206" s="16"/>
      <c r="PV206" s="16">
        <f t="shared" si="70"/>
        <v>3.12</v>
      </c>
      <c r="PW206" s="16"/>
      <c r="PX206" s="16"/>
      <c r="PY206" s="16"/>
      <c r="PZ206" s="16"/>
      <c r="QA206" s="16"/>
      <c r="QB206" s="16"/>
      <c r="QC206" s="16">
        <v>1.5</v>
      </c>
      <c r="QD206" s="16">
        <v>1.5</v>
      </c>
      <c r="QE206" s="16">
        <v>0</v>
      </c>
      <c r="QF206" s="16">
        <v>0</v>
      </c>
      <c r="QG206" s="16">
        <v>0</v>
      </c>
      <c r="QH206" s="16">
        <v>0</v>
      </c>
      <c r="QI206" s="16">
        <v>0</v>
      </c>
      <c r="QJ206">
        <v>0</v>
      </c>
      <c r="QK206" t="s">
        <v>543</v>
      </c>
      <c r="QL206">
        <v>21</v>
      </c>
      <c r="QM206" s="16">
        <v>77.900000000000006</v>
      </c>
      <c r="QN206" s="16">
        <v>160.80000000000001</v>
      </c>
      <c r="QO206" s="16">
        <v>14.1</v>
      </c>
      <c r="QP206">
        <v>87.99</v>
      </c>
      <c r="QQ206" s="17">
        <v>0</v>
      </c>
      <c r="QR206">
        <v>3.38</v>
      </c>
      <c r="QS206">
        <v>0</v>
      </c>
      <c r="QT206">
        <v>8.6300000000000008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65.599999999999994</v>
      </c>
      <c r="RD206">
        <v>0</v>
      </c>
      <c r="RE206">
        <v>0</v>
      </c>
      <c r="RF206">
        <v>0</v>
      </c>
      <c r="RG206">
        <v>0</v>
      </c>
      <c r="RT206">
        <v>1.4</v>
      </c>
      <c r="RU206">
        <v>1</v>
      </c>
      <c r="RV206">
        <v>35</v>
      </c>
      <c r="RW206">
        <v>3</v>
      </c>
      <c r="RX206">
        <f t="shared" si="71"/>
        <v>0.38</v>
      </c>
      <c r="RY206">
        <v>3</v>
      </c>
      <c r="RZ206">
        <v>34</v>
      </c>
      <c r="SA206">
        <v>27</v>
      </c>
      <c r="SB206">
        <f t="shared" si="72"/>
        <v>8.4599999999999991</v>
      </c>
      <c r="SC206">
        <v>1</v>
      </c>
      <c r="SF206" s="20"/>
      <c r="SX206">
        <v>1</v>
      </c>
      <c r="SY206">
        <v>40</v>
      </c>
      <c r="SZ206">
        <v>9</v>
      </c>
      <c r="TA206">
        <f t="shared" si="73"/>
        <v>7.14</v>
      </c>
      <c r="TB206">
        <v>3</v>
      </c>
      <c r="UI206" s="16">
        <v>0</v>
      </c>
      <c r="UJ206" s="16">
        <v>0</v>
      </c>
      <c r="UK206" s="16"/>
      <c r="UL206" s="16"/>
      <c r="UM206" s="16"/>
      <c r="UN206" s="16"/>
      <c r="UO206" s="16"/>
      <c r="UP206" s="16"/>
      <c r="UQ206" s="16"/>
      <c r="UR206" s="16"/>
      <c r="US206" s="16"/>
      <c r="UT206" s="16">
        <v>5.27</v>
      </c>
      <c r="UU206" s="16">
        <v>1.5</v>
      </c>
      <c r="UV206" s="16">
        <v>0</v>
      </c>
      <c r="UW206" s="16">
        <v>0</v>
      </c>
      <c r="UX206" s="16">
        <v>0</v>
      </c>
      <c r="UY206" s="16">
        <v>0</v>
      </c>
      <c r="UZ206" s="16">
        <v>0</v>
      </c>
      <c r="VA206">
        <v>0</v>
      </c>
      <c r="VE206" s="15"/>
      <c r="VF206" s="15"/>
      <c r="VM206" s="15"/>
      <c r="VN206" s="15"/>
      <c r="VU206" s="15"/>
      <c r="VV206" s="15"/>
      <c r="WC206" s="15"/>
      <c r="WD206" s="15"/>
      <c r="WK206" s="15"/>
      <c r="WL206" s="15"/>
      <c r="WS206" s="15"/>
      <c r="WT206" s="15"/>
      <c r="XA206" s="15"/>
      <c r="XB206" s="15"/>
      <c r="XI206" s="15"/>
      <c r="XJ206" s="15"/>
      <c r="XQ206" s="15"/>
      <c r="XR206" s="15"/>
      <c r="XY206" s="15"/>
      <c r="XZ206" s="15"/>
      <c r="YG206" s="15"/>
      <c r="YH206" s="15"/>
      <c r="YO206" s="15"/>
      <c r="YP206" s="15"/>
      <c r="YW206" s="15"/>
      <c r="YX206" s="15"/>
      <c r="ZE206" s="15"/>
      <c r="ZF206" s="15"/>
      <c r="ZM206" s="15"/>
      <c r="ZN206" s="15"/>
      <c r="ZU206" s="15"/>
      <c r="ZV206" s="15"/>
      <c r="AAC206" s="15"/>
      <c r="AAD206" s="15"/>
      <c r="AAK206" s="15"/>
      <c r="AAL206" s="15"/>
      <c r="AAS206" s="15"/>
      <c r="AAT206" s="15"/>
      <c r="ABA206" s="15"/>
      <c r="ABB206" s="15"/>
      <c r="ABI206" s="15"/>
      <c r="ABJ206" s="15"/>
      <c r="ABQ206" s="15"/>
      <c r="ABR206" s="15"/>
      <c r="ABY206" s="15"/>
      <c r="ABZ206" s="15"/>
      <c r="ACG206" s="15"/>
      <c r="ACH206" s="15"/>
      <c r="ACO206" s="15"/>
      <c r="ACP206" s="15"/>
      <c r="ACW206" s="15"/>
      <c r="ACX206" s="15"/>
      <c r="ADE206" s="15"/>
      <c r="ADF206" s="15"/>
      <c r="ADM206" s="15"/>
      <c r="ADN206" s="15"/>
      <c r="ADU206" s="15"/>
      <c r="ADV206" s="15"/>
      <c r="AEC206" s="15"/>
      <c r="AED206" s="15"/>
      <c r="AEK206" s="15"/>
      <c r="AEL206" s="15"/>
      <c r="AES206" s="15"/>
      <c r="AET206" s="15"/>
      <c r="AFA206" s="15"/>
      <c r="AFB206" s="15"/>
      <c r="AFI206" s="15"/>
      <c r="AFJ206" s="15"/>
      <c r="AFQ206" s="15"/>
      <c r="AFR206" s="15"/>
      <c r="AFY206" s="15"/>
      <c r="AFZ206" s="15"/>
      <c r="AGG206" s="15"/>
      <c r="AGH206" s="15"/>
      <c r="AGO206" s="15"/>
      <c r="AGP206" s="15"/>
      <c r="AGW206" s="15"/>
      <c r="AGX206" s="15"/>
      <c r="AHE206" s="15"/>
      <c r="AHF206" s="15"/>
      <c r="AHM206" s="15"/>
      <c r="AHN206" s="15"/>
      <c r="AHU206" s="15"/>
      <c r="AHV206" s="15"/>
      <c r="AIC206" s="15"/>
      <c r="AID206" s="15"/>
      <c r="AIK206" s="15"/>
      <c r="AIL206" s="15"/>
      <c r="AIS206" s="15"/>
      <c r="AIT206" s="15"/>
      <c r="AJA206" s="15"/>
      <c r="AJB206" s="15"/>
      <c r="AJI206" s="15"/>
      <c r="AJJ206" s="15"/>
      <c r="AJQ206" s="15"/>
      <c r="AJR206" s="15"/>
      <c r="AJY206" s="15"/>
      <c r="AJZ206" s="15"/>
      <c r="AKG206" s="15"/>
      <c r="AKH206" s="15"/>
      <c r="AKO206" s="15"/>
      <c r="AKP206" s="15"/>
      <c r="AKW206" s="15"/>
      <c r="AKX206" s="15"/>
      <c r="ALE206" s="15"/>
      <c r="ALF206" s="15"/>
      <c r="ALM206" s="15"/>
      <c r="ALN206" s="15"/>
      <c r="ALU206" s="15"/>
      <c r="ALV206" s="15"/>
      <c r="AMC206" s="15"/>
      <c r="AMD206" s="15"/>
    </row>
    <row r="207" spans="1:1018" x14ac:dyDescent="0.2">
      <c r="A207" s="1" t="s">
        <v>718</v>
      </c>
      <c r="B207" s="12">
        <v>42906</v>
      </c>
      <c r="C207">
        <v>2</v>
      </c>
      <c r="D207" s="13">
        <v>42821</v>
      </c>
      <c r="E207" s="12">
        <v>33873</v>
      </c>
      <c r="F207" s="14">
        <f t="shared" si="62"/>
        <v>24.73100616016427</v>
      </c>
      <c r="G207" s="14">
        <f t="shared" si="63"/>
        <v>0.2327173169062286</v>
      </c>
      <c r="H207" s="15" t="s">
        <v>183</v>
      </c>
      <c r="I207" s="15" t="s">
        <v>571</v>
      </c>
      <c r="J207" s="15" t="s">
        <v>181</v>
      </c>
      <c r="K207" s="21">
        <v>8</v>
      </c>
      <c r="L207" s="19">
        <v>80</v>
      </c>
      <c r="M207">
        <v>1.8</v>
      </c>
      <c r="N207" s="16">
        <f t="shared" si="64"/>
        <v>24.691358024691358</v>
      </c>
      <c r="O207" s="19">
        <v>0</v>
      </c>
      <c r="P207" s="19">
        <v>0</v>
      </c>
      <c r="Q207" s="19">
        <v>0</v>
      </c>
      <c r="R207" s="26">
        <v>0</v>
      </c>
      <c r="S207" s="26">
        <v>0</v>
      </c>
      <c r="T207" s="26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1</v>
      </c>
      <c r="Z207" s="19">
        <v>2</v>
      </c>
      <c r="AA207" s="19">
        <v>120</v>
      </c>
      <c r="AB207" s="19" t="s">
        <v>308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0</v>
      </c>
      <c r="AI207" s="19">
        <v>0</v>
      </c>
      <c r="AJ207" s="19">
        <v>0</v>
      </c>
      <c r="AK207" s="19">
        <v>0</v>
      </c>
      <c r="AL207" s="19">
        <v>0</v>
      </c>
      <c r="AM207" s="19">
        <v>0</v>
      </c>
      <c r="AN207" s="19">
        <v>0</v>
      </c>
      <c r="AO207" s="19">
        <v>0</v>
      </c>
      <c r="AP207" s="19">
        <v>0</v>
      </c>
      <c r="AQ207" s="19">
        <v>0</v>
      </c>
      <c r="AR207" s="19">
        <v>0</v>
      </c>
      <c r="AS207" s="19">
        <v>0</v>
      </c>
      <c r="AT207" s="19">
        <v>0</v>
      </c>
      <c r="AU207" s="19">
        <v>0</v>
      </c>
      <c r="AV207" s="19">
        <v>0</v>
      </c>
      <c r="AW207" s="19">
        <v>0</v>
      </c>
      <c r="AX207" s="19">
        <v>0</v>
      </c>
      <c r="AY207" s="19">
        <v>0</v>
      </c>
      <c r="AZ207" s="19">
        <v>0</v>
      </c>
      <c r="BA207" s="19">
        <v>0</v>
      </c>
      <c r="BB207" s="19">
        <v>0</v>
      </c>
      <c r="BC207" s="19">
        <v>0</v>
      </c>
      <c r="BD207" s="19">
        <v>0</v>
      </c>
      <c r="BE207" s="19">
        <v>0</v>
      </c>
      <c r="BF207" s="19">
        <v>0</v>
      </c>
      <c r="BG207" s="19">
        <v>0</v>
      </c>
      <c r="BH207" s="19">
        <v>0</v>
      </c>
      <c r="BI207" s="19">
        <v>0</v>
      </c>
      <c r="BJ207" s="19">
        <v>0</v>
      </c>
      <c r="BK207" s="19">
        <v>0</v>
      </c>
      <c r="BL207" s="19">
        <v>0</v>
      </c>
      <c r="BM207" s="19">
        <v>0</v>
      </c>
      <c r="BN207" s="19">
        <v>0</v>
      </c>
      <c r="BO207" s="19">
        <v>0</v>
      </c>
      <c r="BP207" s="19">
        <v>0</v>
      </c>
      <c r="BQ207" s="19">
        <v>0</v>
      </c>
      <c r="BR207" s="19">
        <v>3</v>
      </c>
      <c r="BS207" s="19">
        <v>2</v>
      </c>
      <c r="BT207" s="19">
        <v>4</v>
      </c>
      <c r="BU207" s="19">
        <v>5</v>
      </c>
      <c r="BV207" s="19">
        <v>3</v>
      </c>
      <c r="BW207" s="19">
        <v>3</v>
      </c>
      <c r="BX207" s="19">
        <v>4</v>
      </c>
      <c r="BY207" s="19">
        <v>5</v>
      </c>
      <c r="BZ207" s="19">
        <v>3</v>
      </c>
      <c r="CA207" s="19">
        <v>5</v>
      </c>
      <c r="CB207" s="19">
        <v>5</v>
      </c>
      <c r="CC207" s="19">
        <v>5</v>
      </c>
      <c r="CD207" s="19">
        <v>5</v>
      </c>
      <c r="CE207" s="19">
        <v>5</v>
      </c>
      <c r="CF207" s="19">
        <v>5</v>
      </c>
      <c r="CG207" s="19">
        <v>5</v>
      </c>
      <c r="CH207" s="19">
        <v>5</v>
      </c>
      <c r="CI207" s="19">
        <v>5</v>
      </c>
      <c r="CJ207" s="19">
        <v>5</v>
      </c>
      <c r="CK207" s="19">
        <v>9</v>
      </c>
      <c r="CL207" t="s">
        <v>540</v>
      </c>
      <c r="CM207">
        <v>70.5</v>
      </c>
      <c r="CN207" s="16">
        <v>88.2</v>
      </c>
      <c r="CO207" s="16">
        <v>80.400000000000006</v>
      </c>
      <c r="CP207" s="16">
        <v>36.299999999999997</v>
      </c>
      <c r="CQ207">
        <v>72.69</v>
      </c>
      <c r="CR207" s="17">
        <v>0</v>
      </c>
      <c r="CS207">
        <v>10.32</v>
      </c>
      <c r="CT207">
        <v>16.989999999999998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36.659999999999997</v>
      </c>
      <c r="DD207">
        <v>7.54</v>
      </c>
      <c r="DE207">
        <v>10.32</v>
      </c>
      <c r="DF207">
        <v>0</v>
      </c>
      <c r="DG207">
        <v>0</v>
      </c>
      <c r="DH207">
        <v>0</v>
      </c>
      <c r="DU207">
        <v>21.2</v>
      </c>
      <c r="DV207">
        <v>1</v>
      </c>
      <c r="DW207">
        <v>35</v>
      </c>
      <c r="DX207">
        <v>7</v>
      </c>
      <c r="DY207">
        <f t="shared" si="65"/>
        <v>6.25</v>
      </c>
      <c r="DZ207">
        <v>3</v>
      </c>
      <c r="EA207">
        <v>47</v>
      </c>
      <c r="EB207">
        <v>2</v>
      </c>
      <c r="EC207">
        <v>0.4</v>
      </c>
      <c r="ED207">
        <v>3</v>
      </c>
      <c r="EG207" s="20"/>
      <c r="EY207">
        <v>0</v>
      </c>
      <c r="GJ207" s="16">
        <v>11.58</v>
      </c>
      <c r="GK207" s="16">
        <v>1</v>
      </c>
      <c r="GL207" s="16">
        <v>2</v>
      </c>
      <c r="GM207" s="16"/>
      <c r="GN207" s="16">
        <f t="shared" si="66"/>
        <v>6.66</v>
      </c>
      <c r="GO207" s="16"/>
      <c r="GP207" s="16"/>
      <c r="GQ207" s="16"/>
      <c r="GR207" s="16"/>
      <c r="GS207" s="16"/>
      <c r="GT207" s="16"/>
      <c r="GU207" s="16">
        <v>0.27</v>
      </c>
      <c r="GV207" s="16">
        <v>0.27</v>
      </c>
      <c r="GW207" s="16">
        <v>0</v>
      </c>
      <c r="GX207" s="16">
        <v>0</v>
      </c>
      <c r="GY207" s="16">
        <v>0</v>
      </c>
      <c r="GZ207" s="16">
        <v>0</v>
      </c>
      <c r="HA207" s="16">
        <v>0</v>
      </c>
      <c r="HB207">
        <v>0</v>
      </c>
      <c r="HC207" t="s">
        <v>541</v>
      </c>
      <c r="HD207">
        <v>94.5</v>
      </c>
      <c r="HE207" s="16">
        <v>88.2</v>
      </c>
      <c r="HF207" s="16">
        <v>80.400000000000006</v>
      </c>
      <c r="HG207" s="16">
        <v>73.099999999999994</v>
      </c>
      <c r="HH207">
        <v>41.34</v>
      </c>
      <c r="HI207" s="17">
        <v>0</v>
      </c>
      <c r="HJ207">
        <v>8.6300000000000008</v>
      </c>
      <c r="HK207">
        <v>0.04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8.06</v>
      </c>
      <c r="HU207">
        <v>3.65</v>
      </c>
      <c r="HV207">
        <v>7.2</v>
      </c>
      <c r="HW207">
        <v>0</v>
      </c>
      <c r="HX207">
        <v>0</v>
      </c>
      <c r="HY207">
        <v>0</v>
      </c>
      <c r="IL207">
        <v>9.4</v>
      </c>
      <c r="IM207">
        <v>1</v>
      </c>
      <c r="IN207">
        <v>35</v>
      </c>
      <c r="IO207">
        <v>2</v>
      </c>
      <c r="IP207">
        <f t="shared" si="67"/>
        <v>1.21</v>
      </c>
      <c r="IQ207">
        <v>3</v>
      </c>
      <c r="IX207" s="20"/>
      <c r="JP207">
        <v>1</v>
      </c>
      <c r="JQ207">
        <v>70</v>
      </c>
      <c r="JR207">
        <v>2</v>
      </c>
      <c r="JS207">
        <f t="shared" si="68"/>
        <v>2.44</v>
      </c>
      <c r="JT207">
        <v>2</v>
      </c>
      <c r="LA207" s="16">
        <v>0.84</v>
      </c>
      <c r="LB207" s="16">
        <v>1</v>
      </c>
      <c r="LC207" s="16">
        <v>1</v>
      </c>
      <c r="LD207" s="16"/>
      <c r="LE207" s="16">
        <v>0.6</v>
      </c>
      <c r="LF207" s="16"/>
      <c r="LG207" s="16"/>
      <c r="LH207" s="16"/>
      <c r="LI207" s="16"/>
      <c r="LJ207" s="16"/>
      <c r="LK207" s="16"/>
      <c r="LL207" s="16">
        <v>10.19</v>
      </c>
      <c r="LM207" s="16">
        <v>8.4600000000000009</v>
      </c>
      <c r="LN207" s="16">
        <v>0</v>
      </c>
      <c r="LO207" s="16">
        <v>0</v>
      </c>
      <c r="LP207" s="16">
        <v>0</v>
      </c>
      <c r="LQ207" s="16">
        <v>0</v>
      </c>
      <c r="LR207" s="16">
        <v>0</v>
      </c>
      <c r="LS207">
        <v>0</v>
      </c>
      <c r="LT207" t="s">
        <v>542</v>
      </c>
      <c r="LU207">
        <v>75</v>
      </c>
      <c r="LV207" s="16">
        <v>91.2</v>
      </c>
      <c r="LW207" s="16">
        <v>80.400000000000006</v>
      </c>
      <c r="LX207" s="16">
        <v>61</v>
      </c>
      <c r="LY207">
        <v>53.67</v>
      </c>
      <c r="LZ207" s="17">
        <v>0</v>
      </c>
      <c r="MA207">
        <v>16.760000000000002</v>
      </c>
      <c r="MB207">
        <v>29.58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6.79</v>
      </c>
      <c r="ML207">
        <v>14.97</v>
      </c>
      <c r="MM207">
        <v>18.239999999999998</v>
      </c>
      <c r="MN207">
        <v>0</v>
      </c>
      <c r="MO207">
        <v>0</v>
      </c>
      <c r="MP207">
        <v>0</v>
      </c>
      <c r="NC207">
        <v>9</v>
      </c>
      <c r="ND207">
        <v>1</v>
      </c>
      <c r="NE207">
        <v>68</v>
      </c>
      <c r="NF207">
        <v>1</v>
      </c>
      <c r="NG207">
        <v>0.38</v>
      </c>
      <c r="NH207">
        <v>1</v>
      </c>
      <c r="NI207">
        <v>47</v>
      </c>
      <c r="NJ207">
        <v>1</v>
      </c>
      <c r="NK207">
        <v>1.1299999999999999</v>
      </c>
      <c r="NL207">
        <v>3</v>
      </c>
      <c r="NO207" s="20"/>
      <c r="OG207">
        <v>1</v>
      </c>
      <c r="OH207">
        <v>70</v>
      </c>
      <c r="OI207">
        <v>2</v>
      </c>
      <c r="OJ207">
        <f t="shared" si="69"/>
        <v>2.44</v>
      </c>
      <c r="OK207">
        <v>2</v>
      </c>
      <c r="PR207" s="16">
        <v>1.88</v>
      </c>
      <c r="PS207" s="16">
        <v>1</v>
      </c>
      <c r="PT207" s="16">
        <v>1</v>
      </c>
      <c r="PU207" s="16"/>
      <c r="PV207" s="16">
        <f t="shared" si="70"/>
        <v>3.12</v>
      </c>
      <c r="PW207" s="16"/>
      <c r="PX207" s="16"/>
      <c r="PY207" s="16"/>
      <c r="PZ207" s="16"/>
      <c r="QA207" s="16"/>
      <c r="QB207" s="16"/>
      <c r="QC207" s="16">
        <v>1.5</v>
      </c>
      <c r="QD207" s="16">
        <v>1.5</v>
      </c>
      <c r="QE207" s="16">
        <v>0</v>
      </c>
      <c r="QF207" s="16">
        <v>0</v>
      </c>
      <c r="QG207" s="16">
        <v>0</v>
      </c>
      <c r="QH207" s="16">
        <v>0</v>
      </c>
      <c r="QI207" s="16">
        <v>0</v>
      </c>
      <c r="QJ207">
        <v>0</v>
      </c>
      <c r="QK207" t="s">
        <v>543</v>
      </c>
      <c r="QL207">
        <v>21</v>
      </c>
      <c r="QM207" s="16">
        <v>77.900000000000006</v>
      </c>
      <c r="QN207" s="16">
        <v>160.80000000000001</v>
      </c>
      <c r="QO207" s="16">
        <v>14.1</v>
      </c>
      <c r="QP207">
        <v>87.99</v>
      </c>
      <c r="QQ207" s="17">
        <v>0</v>
      </c>
      <c r="QR207">
        <v>3.38</v>
      </c>
      <c r="QS207">
        <v>0</v>
      </c>
      <c r="QT207">
        <v>8.6300000000000008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65.599999999999994</v>
      </c>
      <c r="RD207">
        <v>0</v>
      </c>
      <c r="RE207">
        <v>0</v>
      </c>
      <c r="RF207">
        <v>0</v>
      </c>
      <c r="RG207">
        <v>0</v>
      </c>
      <c r="RT207">
        <v>1.4</v>
      </c>
      <c r="RU207">
        <v>1</v>
      </c>
      <c r="RV207">
        <v>35</v>
      </c>
      <c r="RW207">
        <v>3</v>
      </c>
      <c r="RX207">
        <f t="shared" si="71"/>
        <v>0.38</v>
      </c>
      <c r="RY207">
        <v>3</v>
      </c>
      <c r="RZ207">
        <v>34</v>
      </c>
      <c r="SA207">
        <v>27</v>
      </c>
      <c r="SB207">
        <f t="shared" si="72"/>
        <v>8.4599999999999991</v>
      </c>
      <c r="SC207">
        <v>1</v>
      </c>
      <c r="SF207" s="20"/>
      <c r="SX207">
        <v>1</v>
      </c>
      <c r="SY207">
        <v>40</v>
      </c>
      <c r="SZ207">
        <v>9</v>
      </c>
      <c r="TA207">
        <f t="shared" si="73"/>
        <v>7.14</v>
      </c>
      <c r="TB207">
        <v>3</v>
      </c>
      <c r="UI207" s="16">
        <v>0</v>
      </c>
      <c r="UJ207" s="16">
        <v>0</v>
      </c>
      <c r="UK207" s="16"/>
      <c r="UL207" s="16"/>
      <c r="UM207" s="16"/>
      <c r="UN207" s="16"/>
      <c r="UO207" s="16"/>
      <c r="UP207" s="16"/>
      <c r="UQ207" s="16"/>
      <c r="UR207" s="16"/>
      <c r="US207" s="16"/>
      <c r="UT207" s="16">
        <v>5.27</v>
      </c>
      <c r="UU207" s="16">
        <v>1.5</v>
      </c>
      <c r="UV207" s="16">
        <v>0</v>
      </c>
      <c r="UW207" s="16">
        <v>0</v>
      </c>
      <c r="UX207" s="16">
        <v>0</v>
      </c>
      <c r="UY207" s="16">
        <v>0</v>
      </c>
      <c r="UZ207" s="16">
        <v>0</v>
      </c>
      <c r="VA207">
        <v>0</v>
      </c>
      <c r="VE207" s="15"/>
      <c r="VF207" s="15"/>
      <c r="VM207" s="15"/>
      <c r="VN207" s="15"/>
      <c r="VU207" s="15"/>
      <c r="VV207" s="15"/>
      <c r="WC207" s="15"/>
      <c r="WD207" s="15"/>
      <c r="WK207" s="15"/>
      <c r="WL207" s="15"/>
      <c r="WS207" s="15"/>
      <c r="WT207" s="15"/>
      <c r="XA207" s="15"/>
      <c r="XB207" s="15"/>
      <c r="XI207" s="15"/>
      <c r="XJ207" s="15"/>
      <c r="XQ207" s="15"/>
      <c r="XR207" s="15"/>
      <c r="XY207" s="15"/>
      <c r="XZ207" s="15"/>
      <c r="YG207" s="15"/>
      <c r="YH207" s="15"/>
      <c r="YO207" s="15"/>
      <c r="YP207" s="15"/>
      <c r="YW207" s="15"/>
      <c r="YX207" s="15"/>
      <c r="ZE207" s="15"/>
      <c r="ZF207" s="15"/>
      <c r="ZM207" s="15"/>
      <c r="ZN207" s="15"/>
      <c r="ZU207" s="15"/>
      <c r="ZV207" s="15"/>
      <c r="AAC207" s="15"/>
      <c r="AAD207" s="15"/>
      <c r="AAK207" s="15"/>
      <c r="AAL207" s="15"/>
      <c r="AAS207" s="15"/>
      <c r="AAT207" s="15"/>
      <c r="ABA207" s="15"/>
      <c r="ABB207" s="15"/>
      <c r="ABI207" s="15"/>
      <c r="ABJ207" s="15"/>
      <c r="ABQ207" s="15"/>
      <c r="ABR207" s="15"/>
      <c r="ABY207" s="15"/>
      <c r="ABZ207" s="15"/>
      <c r="ACG207" s="15"/>
      <c r="ACH207" s="15"/>
      <c r="ACO207" s="15"/>
      <c r="ACP207" s="15"/>
      <c r="ACW207" s="15"/>
      <c r="ACX207" s="15"/>
      <c r="ADE207" s="15"/>
      <c r="ADF207" s="15"/>
      <c r="ADM207" s="15"/>
      <c r="ADN207" s="15"/>
      <c r="ADU207" s="15"/>
      <c r="ADV207" s="15"/>
      <c r="AEC207" s="15"/>
      <c r="AED207" s="15"/>
      <c r="AEK207" s="15"/>
      <c r="AEL207" s="15"/>
      <c r="AES207" s="15"/>
      <c r="AET207" s="15"/>
      <c r="AFA207" s="15"/>
      <c r="AFB207" s="15"/>
      <c r="AFI207" s="15"/>
      <c r="AFJ207" s="15"/>
      <c r="AFQ207" s="15"/>
      <c r="AFR207" s="15"/>
      <c r="AFY207" s="15"/>
      <c r="AFZ207" s="15"/>
      <c r="AGG207" s="15"/>
      <c r="AGH207" s="15"/>
      <c r="AGO207" s="15"/>
      <c r="AGP207" s="15"/>
      <c r="AGW207" s="15"/>
      <c r="AGX207" s="15"/>
      <c r="AHE207" s="15"/>
      <c r="AHF207" s="15"/>
      <c r="AHM207" s="15"/>
      <c r="AHN207" s="15"/>
      <c r="AHU207" s="15"/>
      <c r="AHV207" s="15"/>
      <c r="AIC207" s="15"/>
      <c r="AID207" s="15"/>
      <c r="AIK207" s="15"/>
      <c r="AIL207" s="15"/>
      <c r="AIS207" s="15"/>
      <c r="AIT207" s="15"/>
      <c r="AJA207" s="15"/>
      <c r="AJB207" s="15"/>
      <c r="AJI207" s="15"/>
      <c r="AJJ207" s="15"/>
      <c r="AJQ207" s="15"/>
      <c r="AJR207" s="15"/>
      <c r="AJY207" s="15"/>
      <c r="AJZ207" s="15"/>
      <c r="AKG207" s="15"/>
      <c r="AKH207" s="15"/>
      <c r="AKO207" s="15"/>
      <c r="AKP207" s="15"/>
      <c r="AKW207" s="15"/>
      <c r="AKX207" s="15"/>
      <c r="ALE207" s="15"/>
      <c r="ALF207" s="15"/>
      <c r="ALM207" s="15"/>
      <c r="ALN207" s="15"/>
      <c r="ALU207" s="15"/>
      <c r="ALV207" s="15"/>
      <c r="AMC207" s="15"/>
      <c r="AMD207" s="15"/>
    </row>
    <row r="208" spans="1:1018" x14ac:dyDescent="0.2">
      <c r="A208" s="1" t="s">
        <v>719</v>
      </c>
      <c r="B208" s="12">
        <v>42906</v>
      </c>
      <c r="C208">
        <v>2</v>
      </c>
      <c r="D208" s="13">
        <v>34670</v>
      </c>
      <c r="E208" s="12">
        <v>26013</v>
      </c>
      <c r="F208" s="14">
        <f t="shared" si="62"/>
        <v>46.25051334702259</v>
      </c>
      <c r="G208" s="14">
        <f t="shared" si="63"/>
        <v>22.548939082819988</v>
      </c>
      <c r="H208" s="15" t="s">
        <v>183</v>
      </c>
      <c r="I208" s="15" t="s">
        <v>571</v>
      </c>
      <c r="J208" s="21" t="s">
        <v>181</v>
      </c>
      <c r="K208" s="21">
        <v>8</v>
      </c>
      <c r="L208" s="19">
        <v>70</v>
      </c>
      <c r="M208">
        <v>1.8</v>
      </c>
      <c r="N208" s="16">
        <f t="shared" si="64"/>
        <v>21.604938271604937</v>
      </c>
      <c r="O208" s="19">
        <v>0</v>
      </c>
      <c r="P208" s="19">
        <v>0</v>
      </c>
      <c r="Q208" s="19">
        <v>0</v>
      </c>
      <c r="R208" s="26">
        <v>0</v>
      </c>
      <c r="S208" s="26">
        <v>0</v>
      </c>
      <c r="T208" s="26">
        <v>0</v>
      </c>
      <c r="U208" s="19">
        <v>0</v>
      </c>
      <c r="V208" s="19">
        <v>0</v>
      </c>
      <c r="W208" s="19">
        <v>0</v>
      </c>
      <c r="X208" s="19">
        <v>0</v>
      </c>
      <c r="Y208" s="19">
        <v>1</v>
      </c>
      <c r="Z208" s="19">
        <v>2</v>
      </c>
      <c r="AA208" s="19">
        <v>60</v>
      </c>
      <c r="AB208" s="19" t="s">
        <v>215</v>
      </c>
      <c r="AC208" s="19">
        <v>1</v>
      </c>
      <c r="AD208" s="19">
        <v>20</v>
      </c>
      <c r="AE208" s="19">
        <v>1</v>
      </c>
      <c r="AF208" s="19">
        <v>1</v>
      </c>
      <c r="AG208" s="19">
        <v>0</v>
      </c>
      <c r="AH208" s="19">
        <v>0</v>
      </c>
      <c r="AI208" s="19">
        <v>0</v>
      </c>
      <c r="AJ208" s="19">
        <v>0</v>
      </c>
      <c r="AK208" s="19">
        <v>0</v>
      </c>
      <c r="AL208" s="19">
        <v>0</v>
      </c>
      <c r="AM208" s="19">
        <v>0</v>
      </c>
      <c r="AN208" s="19">
        <v>0</v>
      </c>
      <c r="AO208" s="19">
        <v>0</v>
      </c>
      <c r="AP208" s="19">
        <v>0</v>
      </c>
      <c r="AQ208" s="19">
        <v>0</v>
      </c>
      <c r="AR208" s="19">
        <v>0</v>
      </c>
      <c r="AS208" s="19">
        <v>0</v>
      </c>
      <c r="AT208" s="19">
        <v>0</v>
      </c>
      <c r="AU208" s="19">
        <v>0</v>
      </c>
      <c r="AV208" s="19">
        <v>0</v>
      </c>
      <c r="AW208" s="19">
        <v>0</v>
      </c>
      <c r="AX208" s="19">
        <v>0</v>
      </c>
      <c r="AY208" s="19">
        <v>0</v>
      </c>
      <c r="AZ208" s="19">
        <v>0</v>
      </c>
      <c r="BA208" s="19">
        <v>0</v>
      </c>
      <c r="BB208" s="19">
        <v>1</v>
      </c>
      <c r="BC208" s="19">
        <v>1</v>
      </c>
      <c r="BD208" s="19">
        <v>0</v>
      </c>
      <c r="BE208" s="19">
        <v>0</v>
      </c>
      <c r="BF208" s="19">
        <v>1</v>
      </c>
      <c r="BG208" s="19">
        <v>1</v>
      </c>
      <c r="BH208" s="19">
        <v>0</v>
      </c>
      <c r="BI208" s="19">
        <v>0</v>
      </c>
      <c r="BJ208" s="19">
        <v>1</v>
      </c>
      <c r="BK208" s="19">
        <v>1</v>
      </c>
      <c r="BL208" s="19">
        <v>0</v>
      </c>
      <c r="BM208" s="19">
        <v>0</v>
      </c>
      <c r="BN208" s="19">
        <v>0</v>
      </c>
      <c r="BO208" s="19">
        <v>0</v>
      </c>
      <c r="BP208" s="19">
        <v>0</v>
      </c>
      <c r="BQ208" s="19">
        <v>0</v>
      </c>
      <c r="BR208" s="19">
        <v>4</v>
      </c>
      <c r="BS208" s="19">
        <v>3</v>
      </c>
      <c r="BT208" s="19">
        <v>4</v>
      </c>
      <c r="BU208" s="19">
        <v>4</v>
      </c>
      <c r="BV208" s="19">
        <v>3</v>
      </c>
      <c r="BW208" s="19">
        <v>3</v>
      </c>
      <c r="BX208" s="19">
        <v>1</v>
      </c>
      <c r="BY208" s="19">
        <v>3</v>
      </c>
      <c r="BZ208" s="19">
        <v>4</v>
      </c>
      <c r="CA208" s="19">
        <v>3</v>
      </c>
      <c r="CB208" s="19">
        <v>3</v>
      </c>
      <c r="CC208" s="19">
        <v>5</v>
      </c>
      <c r="CD208" s="19">
        <v>3</v>
      </c>
      <c r="CE208" s="19">
        <v>3</v>
      </c>
      <c r="CF208" s="19">
        <v>4</v>
      </c>
      <c r="CG208" s="19">
        <v>5</v>
      </c>
      <c r="CH208" s="19">
        <v>3</v>
      </c>
      <c r="CI208" s="19">
        <v>4</v>
      </c>
      <c r="CJ208" s="19">
        <v>3</v>
      </c>
      <c r="CK208" s="19">
        <v>9</v>
      </c>
      <c r="CL208" t="s">
        <v>540</v>
      </c>
      <c r="CM208">
        <v>70.5</v>
      </c>
      <c r="CN208" s="16">
        <v>88.2</v>
      </c>
      <c r="CO208" s="16">
        <v>80.400000000000006</v>
      </c>
      <c r="CP208" s="16">
        <v>36.299999999999997</v>
      </c>
      <c r="CQ208">
        <v>72.69</v>
      </c>
      <c r="CR208" s="17">
        <v>0</v>
      </c>
      <c r="CS208">
        <v>10.32</v>
      </c>
      <c r="CT208">
        <v>16.989999999999998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36.659999999999997</v>
      </c>
      <c r="DD208">
        <v>7.54</v>
      </c>
      <c r="DE208">
        <v>10.32</v>
      </c>
      <c r="DF208">
        <v>0</v>
      </c>
      <c r="DG208">
        <v>0</v>
      </c>
      <c r="DH208">
        <v>0</v>
      </c>
      <c r="DU208">
        <v>21.2</v>
      </c>
      <c r="DV208">
        <v>1</v>
      </c>
      <c r="DW208">
        <v>35</v>
      </c>
      <c r="DX208">
        <v>7</v>
      </c>
      <c r="DY208">
        <f t="shared" si="65"/>
        <v>6.25</v>
      </c>
      <c r="DZ208">
        <v>3</v>
      </c>
      <c r="EA208">
        <v>47</v>
      </c>
      <c r="EB208">
        <v>2</v>
      </c>
      <c r="EC208">
        <v>0.4</v>
      </c>
      <c r="ED208">
        <v>3</v>
      </c>
      <c r="EG208" s="20"/>
      <c r="EY208">
        <v>0</v>
      </c>
      <c r="GJ208" s="16">
        <v>11.58</v>
      </c>
      <c r="GK208" s="16">
        <v>1</v>
      </c>
      <c r="GL208" s="16">
        <v>2</v>
      </c>
      <c r="GM208" s="16"/>
      <c r="GN208" s="16">
        <f t="shared" si="66"/>
        <v>6.66</v>
      </c>
      <c r="GO208" s="16"/>
      <c r="GP208" s="16"/>
      <c r="GQ208" s="16"/>
      <c r="GR208" s="16"/>
      <c r="GS208" s="16"/>
      <c r="GT208" s="16"/>
      <c r="GU208" s="16">
        <v>0.27</v>
      </c>
      <c r="GV208" s="16">
        <v>0.27</v>
      </c>
      <c r="GW208" s="16">
        <v>0</v>
      </c>
      <c r="GX208" s="16">
        <v>0</v>
      </c>
      <c r="GY208" s="16">
        <v>0</v>
      </c>
      <c r="GZ208" s="16">
        <v>0</v>
      </c>
      <c r="HA208" s="16">
        <v>0</v>
      </c>
      <c r="HB208">
        <v>0</v>
      </c>
      <c r="HC208" t="s">
        <v>541</v>
      </c>
      <c r="HD208">
        <v>94.5</v>
      </c>
      <c r="HE208" s="16">
        <v>88.2</v>
      </c>
      <c r="HF208" s="16">
        <v>80.400000000000006</v>
      </c>
      <c r="HG208" s="16">
        <v>73.099999999999994</v>
      </c>
      <c r="HH208">
        <v>41.34</v>
      </c>
      <c r="HI208" s="17">
        <v>0</v>
      </c>
      <c r="HJ208">
        <v>8.6300000000000008</v>
      </c>
      <c r="HK208">
        <v>0.04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8.06</v>
      </c>
      <c r="HU208">
        <v>3.65</v>
      </c>
      <c r="HV208">
        <v>7.2</v>
      </c>
      <c r="HW208">
        <v>0</v>
      </c>
      <c r="HX208">
        <v>0</v>
      </c>
      <c r="HY208">
        <v>0</v>
      </c>
      <c r="IL208">
        <v>9.4</v>
      </c>
      <c r="IM208">
        <v>1</v>
      </c>
      <c r="IN208">
        <v>35</v>
      </c>
      <c r="IO208">
        <v>2</v>
      </c>
      <c r="IP208">
        <f t="shared" si="67"/>
        <v>1.21</v>
      </c>
      <c r="IQ208">
        <v>3</v>
      </c>
      <c r="IX208" s="20"/>
      <c r="JP208">
        <v>1</v>
      </c>
      <c r="JQ208">
        <v>70</v>
      </c>
      <c r="JR208">
        <v>2</v>
      </c>
      <c r="JS208">
        <f t="shared" si="68"/>
        <v>2.44</v>
      </c>
      <c r="JT208">
        <v>2</v>
      </c>
      <c r="LA208" s="16">
        <v>0.84</v>
      </c>
      <c r="LB208" s="16">
        <v>1</v>
      </c>
      <c r="LC208" s="16">
        <v>1</v>
      </c>
      <c r="LD208" s="16"/>
      <c r="LE208" s="16">
        <v>0.6</v>
      </c>
      <c r="LF208" s="16"/>
      <c r="LG208" s="16"/>
      <c r="LH208" s="16"/>
      <c r="LI208" s="16"/>
      <c r="LJ208" s="16"/>
      <c r="LK208" s="16"/>
      <c r="LL208" s="16">
        <v>10.19</v>
      </c>
      <c r="LM208" s="16">
        <v>8.4600000000000009</v>
      </c>
      <c r="LN208" s="16">
        <v>0</v>
      </c>
      <c r="LO208" s="16">
        <v>0</v>
      </c>
      <c r="LP208" s="16">
        <v>0</v>
      </c>
      <c r="LQ208" s="16">
        <v>0</v>
      </c>
      <c r="LR208" s="16">
        <v>0</v>
      </c>
      <c r="LS208">
        <v>0</v>
      </c>
      <c r="LT208" t="s">
        <v>542</v>
      </c>
      <c r="LU208">
        <v>75</v>
      </c>
      <c r="LV208" s="16">
        <v>91.2</v>
      </c>
      <c r="LW208" s="16">
        <v>80.400000000000006</v>
      </c>
      <c r="LX208" s="16">
        <v>61</v>
      </c>
      <c r="LY208">
        <v>53.67</v>
      </c>
      <c r="LZ208" s="17">
        <v>0</v>
      </c>
      <c r="MA208">
        <v>16.760000000000002</v>
      </c>
      <c r="MB208">
        <v>29.58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6.79</v>
      </c>
      <c r="ML208">
        <v>14.97</v>
      </c>
      <c r="MM208">
        <v>18.239999999999998</v>
      </c>
      <c r="MN208">
        <v>0</v>
      </c>
      <c r="MO208">
        <v>0</v>
      </c>
      <c r="MP208">
        <v>0</v>
      </c>
      <c r="NC208">
        <v>9</v>
      </c>
      <c r="ND208">
        <v>1</v>
      </c>
      <c r="NE208">
        <v>68</v>
      </c>
      <c r="NF208">
        <v>1</v>
      </c>
      <c r="NG208">
        <v>0.38</v>
      </c>
      <c r="NH208">
        <v>1</v>
      </c>
      <c r="NI208">
        <v>47</v>
      </c>
      <c r="NJ208">
        <v>1</v>
      </c>
      <c r="NK208">
        <v>1.1299999999999999</v>
      </c>
      <c r="NL208">
        <v>3</v>
      </c>
      <c r="NO208" s="20"/>
      <c r="OG208">
        <v>1</v>
      </c>
      <c r="OH208">
        <v>70</v>
      </c>
      <c r="OI208">
        <v>2</v>
      </c>
      <c r="OJ208">
        <f t="shared" si="69"/>
        <v>2.44</v>
      </c>
      <c r="OK208">
        <v>2</v>
      </c>
      <c r="PR208" s="16">
        <v>1.88</v>
      </c>
      <c r="PS208" s="16">
        <v>1</v>
      </c>
      <c r="PT208" s="16">
        <v>1</v>
      </c>
      <c r="PU208" s="16"/>
      <c r="PV208" s="16">
        <f t="shared" si="70"/>
        <v>3.12</v>
      </c>
      <c r="PW208" s="16"/>
      <c r="PX208" s="16"/>
      <c r="PY208" s="16"/>
      <c r="PZ208" s="16"/>
      <c r="QA208" s="16"/>
      <c r="QB208" s="16"/>
      <c r="QC208" s="16">
        <v>1.5</v>
      </c>
      <c r="QD208" s="16">
        <v>1.5</v>
      </c>
      <c r="QE208" s="16">
        <v>0</v>
      </c>
      <c r="QF208" s="16">
        <v>0</v>
      </c>
      <c r="QG208" s="16">
        <v>0</v>
      </c>
      <c r="QH208" s="16">
        <v>0</v>
      </c>
      <c r="QI208" s="16">
        <v>0</v>
      </c>
      <c r="QJ208">
        <v>0</v>
      </c>
      <c r="QK208" t="s">
        <v>543</v>
      </c>
      <c r="QL208">
        <v>21</v>
      </c>
      <c r="QM208" s="16">
        <v>77.900000000000006</v>
      </c>
      <c r="QN208" s="16">
        <v>160.80000000000001</v>
      </c>
      <c r="QO208" s="16">
        <v>14.1</v>
      </c>
      <c r="QP208">
        <v>87.99</v>
      </c>
      <c r="QQ208" s="17">
        <v>0</v>
      </c>
      <c r="QR208">
        <v>3.38</v>
      </c>
      <c r="QS208">
        <v>0</v>
      </c>
      <c r="QT208">
        <v>8.6300000000000008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65.599999999999994</v>
      </c>
      <c r="RD208">
        <v>0</v>
      </c>
      <c r="RE208">
        <v>0</v>
      </c>
      <c r="RF208">
        <v>0</v>
      </c>
      <c r="RG208">
        <v>0</v>
      </c>
      <c r="RT208">
        <v>1.4</v>
      </c>
      <c r="RU208">
        <v>1</v>
      </c>
      <c r="RV208">
        <v>35</v>
      </c>
      <c r="RW208">
        <v>3</v>
      </c>
      <c r="RX208">
        <f t="shared" si="71"/>
        <v>0.38</v>
      </c>
      <c r="RY208">
        <v>3</v>
      </c>
      <c r="RZ208">
        <v>34</v>
      </c>
      <c r="SA208">
        <v>27</v>
      </c>
      <c r="SB208">
        <f t="shared" si="72"/>
        <v>8.4599999999999991</v>
      </c>
      <c r="SC208">
        <v>1</v>
      </c>
      <c r="SF208" s="20"/>
      <c r="SX208">
        <v>1</v>
      </c>
      <c r="SY208">
        <v>40</v>
      </c>
      <c r="SZ208">
        <v>9</v>
      </c>
      <c r="TA208">
        <f t="shared" si="73"/>
        <v>7.14</v>
      </c>
      <c r="TB208">
        <v>3</v>
      </c>
      <c r="UI208" s="16">
        <v>0</v>
      </c>
      <c r="UJ208" s="16">
        <v>0</v>
      </c>
      <c r="UK208" s="16"/>
      <c r="UL208" s="16"/>
      <c r="UM208" s="16"/>
      <c r="UN208" s="16"/>
      <c r="UO208" s="16"/>
      <c r="UP208" s="16"/>
      <c r="UQ208" s="16"/>
      <c r="UR208" s="16"/>
      <c r="US208" s="16"/>
      <c r="UT208" s="16">
        <v>5.27</v>
      </c>
      <c r="UU208" s="16">
        <v>1.5</v>
      </c>
      <c r="UV208" s="16">
        <v>0</v>
      </c>
      <c r="UW208" s="16">
        <v>0</v>
      </c>
      <c r="UX208" s="16">
        <v>0</v>
      </c>
      <c r="UY208" s="16">
        <v>0</v>
      </c>
      <c r="UZ208" s="16">
        <v>0</v>
      </c>
      <c r="VA208">
        <v>0</v>
      </c>
      <c r="VE208" s="15"/>
      <c r="VF208" s="15"/>
      <c r="VM208" s="15"/>
      <c r="VN208" s="15"/>
      <c r="VU208" s="15"/>
      <c r="VV208" s="15"/>
      <c r="WC208" s="15"/>
      <c r="WD208" s="15"/>
      <c r="WK208" s="15"/>
      <c r="WL208" s="15"/>
      <c r="WS208" s="15"/>
      <c r="WT208" s="15"/>
      <c r="XA208" s="15"/>
      <c r="XB208" s="15"/>
      <c r="XI208" s="15"/>
      <c r="XJ208" s="15"/>
      <c r="XQ208" s="15"/>
      <c r="XR208" s="15"/>
      <c r="XY208" s="15"/>
      <c r="XZ208" s="15"/>
      <c r="YG208" s="15"/>
      <c r="YH208" s="15"/>
      <c r="YO208" s="15"/>
      <c r="YP208" s="15"/>
      <c r="YW208" s="15"/>
      <c r="YX208" s="15"/>
      <c r="ZE208" s="15"/>
      <c r="ZF208" s="15"/>
      <c r="ZM208" s="15"/>
      <c r="ZN208" s="15"/>
      <c r="ZU208" s="15"/>
      <c r="ZV208" s="15"/>
      <c r="AAC208" s="15"/>
      <c r="AAD208" s="15"/>
      <c r="AAK208" s="15"/>
      <c r="AAL208" s="15"/>
      <c r="AAS208" s="15"/>
      <c r="AAT208" s="15"/>
      <c r="ABA208" s="15"/>
      <c r="ABB208" s="15"/>
      <c r="ABI208" s="15"/>
      <c r="ABJ208" s="15"/>
      <c r="ABQ208" s="15"/>
      <c r="ABR208" s="15"/>
      <c r="ABY208" s="15"/>
      <c r="ABZ208" s="15"/>
      <c r="ACG208" s="15"/>
      <c r="ACH208" s="15"/>
      <c r="ACO208" s="15"/>
      <c r="ACP208" s="15"/>
      <c r="ACW208" s="15"/>
      <c r="ACX208" s="15"/>
      <c r="ADE208" s="15"/>
      <c r="ADF208" s="15"/>
      <c r="ADM208" s="15"/>
      <c r="ADN208" s="15"/>
      <c r="ADU208" s="15"/>
      <c r="ADV208" s="15"/>
      <c r="AEC208" s="15"/>
      <c r="AED208" s="15"/>
      <c r="AEK208" s="15"/>
      <c r="AEL208" s="15"/>
      <c r="AES208" s="15"/>
      <c r="AET208" s="15"/>
      <c r="AFA208" s="15"/>
      <c r="AFB208" s="15"/>
      <c r="AFI208" s="15"/>
      <c r="AFJ208" s="15"/>
      <c r="AFQ208" s="15"/>
      <c r="AFR208" s="15"/>
      <c r="AFY208" s="15"/>
      <c r="AFZ208" s="15"/>
      <c r="AGG208" s="15"/>
      <c r="AGH208" s="15"/>
      <c r="AGO208" s="15"/>
      <c r="AGP208" s="15"/>
      <c r="AGW208" s="15"/>
      <c r="AGX208" s="15"/>
      <c r="AHE208" s="15"/>
      <c r="AHF208" s="15"/>
      <c r="AHM208" s="15"/>
      <c r="AHN208" s="15"/>
      <c r="AHU208" s="15"/>
      <c r="AHV208" s="15"/>
      <c r="AIC208" s="15"/>
      <c r="AID208" s="15"/>
      <c r="AIK208" s="15"/>
      <c r="AIL208" s="15"/>
      <c r="AIS208" s="15"/>
      <c r="AIT208" s="15"/>
      <c r="AJA208" s="15"/>
      <c r="AJB208" s="15"/>
      <c r="AJI208" s="15"/>
      <c r="AJJ208" s="15"/>
      <c r="AJQ208" s="15"/>
      <c r="AJR208" s="15"/>
      <c r="AJY208" s="15"/>
      <c r="AJZ208" s="15"/>
      <c r="AKG208" s="15"/>
      <c r="AKH208" s="15"/>
      <c r="AKO208" s="15"/>
      <c r="AKP208" s="15"/>
      <c r="AKW208" s="15"/>
      <c r="AKX208" s="15"/>
      <c r="ALE208" s="15"/>
      <c r="ALF208" s="15"/>
      <c r="ALM208" s="15"/>
      <c r="ALN208" s="15"/>
      <c r="ALU208" s="15"/>
      <c r="ALV208" s="15"/>
      <c r="AMC208" s="15"/>
      <c r="AMD208" s="15"/>
    </row>
    <row r="209" spans="1:1018" x14ac:dyDescent="0.2">
      <c r="A209" s="1" t="s">
        <v>720</v>
      </c>
      <c r="B209" s="12">
        <v>42906</v>
      </c>
      <c r="C209">
        <v>2</v>
      </c>
      <c r="D209" s="13">
        <v>42828</v>
      </c>
      <c r="E209" s="12">
        <v>35228</v>
      </c>
      <c r="F209" s="14">
        <f t="shared" si="62"/>
        <v>21.021218343600275</v>
      </c>
      <c r="G209" s="14">
        <f t="shared" si="63"/>
        <v>0.2135523613963039</v>
      </c>
      <c r="H209" s="15" t="s">
        <v>183</v>
      </c>
      <c r="I209" s="15" t="s">
        <v>571</v>
      </c>
      <c r="J209" s="21" t="s">
        <v>181</v>
      </c>
      <c r="K209" s="21">
        <v>8</v>
      </c>
      <c r="L209" s="19">
        <v>105</v>
      </c>
      <c r="M209">
        <v>1.86</v>
      </c>
      <c r="N209" s="16">
        <f t="shared" si="64"/>
        <v>30.350329517863333</v>
      </c>
      <c r="O209" s="19">
        <v>0</v>
      </c>
      <c r="P209" s="19">
        <v>0</v>
      </c>
      <c r="Q209" s="19">
        <v>0</v>
      </c>
      <c r="R209" s="26">
        <v>0</v>
      </c>
      <c r="S209" s="26">
        <v>0</v>
      </c>
      <c r="T209" s="26">
        <v>0</v>
      </c>
      <c r="U209" s="19">
        <v>0</v>
      </c>
      <c r="V209" s="19">
        <v>0</v>
      </c>
      <c r="W209" s="19">
        <v>0</v>
      </c>
      <c r="X209" s="19">
        <v>0</v>
      </c>
      <c r="Y209" s="19">
        <v>0</v>
      </c>
      <c r="Z209" s="19">
        <v>0</v>
      </c>
      <c r="AA209" s="19">
        <v>0</v>
      </c>
      <c r="AB209" s="19">
        <v>0</v>
      </c>
      <c r="AC209" s="19">
        <v>1</v>
      </c>
      <c r="AD209" s="19">
        <v>12</v>
      </c>
      <c r="AE209" s="19">
        <v>0</v>
      </c>
      <c r="AF209" s="19">
        <v>0</v>
      </c>
      <c r="AG209" s="19">
        <v>0</v>
      </c>
      <c r="AH209" s="19">
        <v>0</v>
      </c>
      <c r="AI209" s="19">
        <v>0</v>
      </c>
      <c r="AJ209" s="19">
        <v>0</v>
      </c>
      <c r="AK209" s="19">
        <v>0</v>
      </c>
      <c r="AL209" s="19">
        <v>0</v>
      </c>
      <c r="AM209" s="19">
        <v>0</v>
      </c>
      <c r="AN209" s="19">
        <v>0</v>
      </c>
      <c r="AO209" s="19">
        <v>0</v>
      </c>
      <c r="AP209" s="19">
        <v>0</v>
      </c>
      <c r="AQ209" s="19">
        <v>0</v>
      </c>
      <c r="AR209" s="19">
        <v>0</v>
      </c>
      <c r="AS209" s="19">
        <v>0</v>
      </c>
      <c r="AT209" s="19">
        <v>0</v>
      </c>
      <c r="AU209" s="19">
        <v>0</v>
      </c>
      <c r="AV209" s="19">
        <v>0</v>
      </c>
      <c r="AW209" s="19">
        <v>0</v>
      </c>
      <c r="AX209" s="19">
        <v>0</v>
      </c>
      <c r="AY209" s="19">
        <v>0</v>
      </c>
      <c r="AZ209" s="19">
        <v>0</v>
      </c>
      <c r="BA209" s="19">
        <v>0</v>
      </c>
      <c r="BB209" s="19">
        <v>0</v>
      </c>
      <c r="BC209" s="19">
        <v>0</v>
      </c>
      <c r="BD209" s="19">
        <v>0</v>
      </c>
      <c r="BE209" s="19">
        <v>0</v>
      </c>
      <c r="BF209" s="19">
        <v>0</v>
      </c>
      <c r="BG209" s="19">
        <v>0</v>
      </c>
      <c r="BH209" s="19">
        <v>0</v>
      </c>
      <c r="BI209" s="19">
        <v>0</v>
      </c>
      <c r="BJ209" s="19">
        <v>0</v>
      </c>
      <c r="BK209" s="19">
        <v>0</v>
      </c>
      <c r="BL209" s="19">
        <v>0</v>
      </c>
      <c r="BM209" s="19">
        <v>0</v>
      </c>
      <c r="BN209" s="19">
        <v>1</v>
      </c>
      <c r="BO209" s="19">
        <v>0</v>
      </c>
      <c r="BP209" s="19">
        <v>0</v>
      </c>
      <c r="BQ209" s="19">
        <v>0</v>
      </c>
      <c r="BR209" s="19">
        <v>2</v>
      </c>
      <c r="BS209" s="19">
        <v>3</v>
      </c>
      <c r="BT209" s="19">
        <v>3</v>
      </c>
      <c r="BU209" s="19">
        <v>4</v>
      </c>
      <c r="BV209" s="19">
        <v>2</v>
      </c>
      <c r="BW209" s="19">
        <v>1</v>
      </c>
      <c r="BX209" s="19">
        <v>4</v>
      </c>
      <c r="BY209" s="19">
        <v>3</v>
      </c>
      <c r="BZ209" s="19">
        <v>4</v>
      </c>
      <c r="CA209" s="19">
        <v>1</v>
      </c>
      <c r="CB209" s="19">
        <v>4</v>
      </c>
      <c r="CC209" s="19">
        <v>4</v>
      </c>
      <c r="CD209" s="19">
        <v>5</v>
      </c>
      <c r="CE209" s="19">
        <v>4</v>
      </c>
      <c r="CF209" s="19">
        <v>4</v>
      </c>
      <c r="CG209" s="19">
        <v>4</v>
      </c>
      <c r="CH209" s="19">
        <v>5</v>
      </c>
      <c r="CI209" s="19">
        <v>5</v>
      </c>
      <c r="CJ209" s="19">
        <v>5</v>
      </c>
      <c r="CK209" s="19">
        <v>9</v>
      </c>
      <c r="CL209" t="s">
        <v>540</v>
      </c>
      <c r="CM209">
        <v>70.5</v>
      </c>
      <c r="CN209" s="16">
        <v>88.2</v>
      </c>
      <c r="CO209" s="16">
        <v>80.400000000000006</v>
      </c>
      <c r="CP209" s="16">
        <v>36.299999999999997</v>
      </c>
      <c r="CQ209">
        <v>72.69</v>
      </c>
      <c r="CR209" s="17">
        <v>0</v>
      </c>
      <c r="CS209">
        <v>10.32</v>
      </c>
      <c r="CT209">
        <v>16.989999999999998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36.659999999999997</v>
      </c>
      <c r="DD209">
        <v>7.54</v>
      </c>
      <c r="DE209">
        <v>10.32</v>
      </c>
      <c r="DF209">
        <v>0</v>
      </c>
      <c r="DG209">
        <v>0</v>
      </c>
      <c r="DH209">
        <v>0</v>
      </c>
      <c r="DU209">
        <v>21.2</v>
      </c>
      <c r="DV209">
        <v>1</v>
      </c>
      <c r="DW209">
        <v>35</v>
      </c>
      <c r="DX209">
        <v>7</v>
      </c>
      <c r="DY209">
        <f t="shared" si="65"/>
        <v>6.25</v>
      </c>
      <c r="DZ209">
        <v>3</v>
      </c>
      <c r="EA209">
        <v>47</v>
      </c>
      <c r="EB209">
        <v>2</v>
      </c>
      <c r="EC209">
        <v>0.4</v>
      </c>
      <c r="ED209">
        <v>3</v>
      </c>
      <c r="EG209" s="20"/>
      <c r="EY209">
        <v>0</v>
      </c>
      <c r="GJ209" s="16">
        <v>11.58</v>
      </c>
      <c r="GK209" s="16">
        <v>1</v>
      </c>
      <c r="GL209" s="16">
        <v>2</v>
      </c>
      <c r="GM209" s="16"/>
      <c r="GN209" s="16">
        <f t="shared" si="66"/>
        <v>6.66</v>
      </c>
      <c r="GO209" s="16"/>
      <c r="GP209" s="16"/>
      <c r="GQ209" s="16"/>
      <c r="GR209" s="16"/>
      <c r="GS209" s="16"/>
      <c r="GT209" s="16"/>
      <c r="GU209" s="16">
        <v>0.27</v>
      </c>
      <c r="GV209" s="16">
        <v>0.27</v>
      </c>
      <c r="GW209" s="16">
        <v>0</v>
      </c>
      <c r="GX209" s="16">
        <v>0</v>
      </c>
      <c r="GY209" s="16">
        <v>0</v>
      </c>
      <c r="GZ209" s="16">
        <v>0</v>
      </c>
      <c r="HA209" s="16">
        <v>0</v>
      </c>
      <c r="HB209">
        <v>0</v>
      </c>
      <c r="HC209" t="s">
        <v>541</v>
      </c>
      <c r="HD209">
        <v>94.5</v>
      </c>
      <c r="HE209" s="16">
        <v>88.2</v>
      </c>
      <c r="HF209" s="16">
        <v>80.400000000000006</v>
      </c>
      <c r="HG209" s="16">
        <v>73.099999999999994</v>
      </c>
      <c r="HH209">
        <v>41.34</v>
      </c>
      <c r="HI209" s="17">
        <v>0</v>
      </c>
      <c r="HJ209">
        <v>8.6300000000000008</v>
      </c>
      <c r="HK209">
        <v>0.04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8.06</v>
      </c>
      <c r="HU209">
        <v>3.65</v>
      </c>
      <c r="HV209">
        <v>7.2</v>
      </c>
      <c r="HW209">
        <v>0</v>
      </c>
      <c r="HX209">
        <v>0</v>
      </c>
      <c r="HY209">
        <v>0</v>
      </c>
      <c r="IL209">
        <v>9.4</v>
      </c>
      <c r="IM209">
        <v>1</v>
      </c>
      <c r="IN209">
        <v>35</v>
      </c>
      <c r="IO209">
        <v>2</v>
      </c>
      <c r="IP209">
        <f t="shared" si="67"/>
        <v>1.21</v>
      </c>
      <c r="IQ209">
        <v>3</v>
      </c>
      <c r="IX209" s="20"/>
      <c r="JP209">
        <v>1</v>
      </c>
      <c r="JQ209">
        <v>70</v>
      </c>
      <c r="JR209">
        <v>2</v>
      </c>
      <c r="JS209">
        <f t="shared" si="68"/>
        <v>2.44</v>
      </c>
      <c r="JT209">
        <v>2</v>
      </c>
      <c r="LA209" s="16">
        <v>0.84</v>
      </c>
      <c r="LB209" s="16">
        <v>1</v>
      </c>
      <c r="LC209" s="16">
        <v>1</v>
      </c>
      <c r="LD209" s="16"/>
      <c r="LE209" s="16">
        <v>0.6</v>
      </c>
      <c r="LF209" s="16"/>
      <c r="LG209" s="16"/>
      <c r="LH209" s="16"/>
      <c r="LI209" s="16"/>
      <c r="LJ209" s="16"/>
      <c r="LK209" s="16"/>
      <c r="LL209" s="16">
        <v>10.19</v>
      </c>
      <c r="LM209" s="16">
        <v>8.4600000000000009</v>
      </c>
      <c r="LN209" s="16">
        <v>0</v>
      </c>
      <c r="LO209" s="16">
        <v>0</v>
      </c>
      <c r="LP209" s="16">
        <v>0</v>
      </c>
      <c r="LQ209" s="16">
        <v>0</v>
      </c>
      <c r="LR209" s="16">
        <v>0</v>
      </c>
      <c r="LS209">
        <v>0</v>
      </c>
      <c r="LT209" t="s">
        <v>542</v>
      </c>
      <c r="LU209">
        <v>75</v>
      </c>
      <c r="LV209" s="16">
        <v>91.2</v>
      </c>
      <c r="LW209" s="16">
        <v>80.400000000000006</v>
      </c>
      <c r="LX209" s="16">
        <v>61</v>
      </c>
      <c r="LY209">
        <v>53.67</v>
      </c>
      <c r="LZ209" s="17">
        <v>0</v>
      </c>
      <c r="MA209">
        <v>16.760000000000002</v>
      </c>
      <c r="MB209">
        <v>29.58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6.79</v>
      </c>
      <c r="ML209">
        <v>14.97</v>
      </c>
      <c r="MM209">
        <v>18.239999999999998</v>
      </c>
      <c r="MN209">
        <v>0</v>
      </c>
      <c r="MO209">
        <v>0</v>
      </c>
      <c r="MP209">
        <v>0</v>
      </c>
      <c r="NC209">
        <v>9</v>
      </c>
      <c r="ND209">
        <v>1</v>
      </c>
      <c r="NE209">
        <v>68</v>
      </c>
      <c r="NF209">
        <v>1</v>
      </c>
      <c r="NG209">
        <v>0.38</v>
      </c>
      <c r="NH209">
        <v>1</v>
      </c>
      <c r="NI209">
        <v>47</v>
      </c>
      <c r="NJ209">
        <v>1</v>
      </c>
      <c r="NK209">
        <v>1.1299999999999999</v>
      </c>
      <c r="NL209">
        <v>3</v>
      </c>
      <c r="NO209" s="20"/>
      <c r="OG209">
        <v>1</v>
      </c>
      <c r="OH209">
        <v>70</v>
      </c>
      <c r="OI209">
        <v>2</v>
      </c>
      <c r="OJ209">
        <f t="shared" si="69"/>
        <v>2.44</v>
      </c>
      <c r="OK209">
        <v>2</v>
      </c>
      <c r="PR209" s="16">
        <v>1.88</v>
      </c>
      <c r="PS209" s="16">
        <v>1</v>
      </c>
      <c r="PT209" s="16">
        <v>1</v>
      </c>
      <c r="PU209" s="16"/>
      <c r="PV209" s="16">
        <f t="shared" si="70"/>
        <v>3.12</v>
      </c>
      <c r="PW209" s="16"/>
      <c r="PX209" s="16"/>
      <c r="PY209" s="16"/>
      <c r="PZ209" s="16"/>
      <c r="QA209" s="16"/>
      <c r="QB209" s="16"/>
      <c r="QC209" s="16">
        <v>1.5</v>
      </c>
      <c r="QD209" s="16">
        <v>1.5</v>
      </c>
      <c r="QE209" s="16">
        <v>0</v>
      </c>
      <c r="QF209" s="16">
        <v>0</v>
      </c>
      <c r="QG209" s="16">
        <v>0</v>
      </c>
      <c r="QH209" s="16">
        <v>0</v>
      </c>
      <c r="QI209" s="16">
        <v>0</v>
      </c>
      <c r="QJ209">
        <v>0</v>
      </c>
      <c r="QK209" t="s">
        <v>543</v>
      </c>
      <c r="QL209">
        <v>21</v>
      </c>
      <c r="QM209" s="16">
        <v>77.900000000000006</v>
      </c>
      <c r="QN209" s="16">
        <v>160.80000000000001</v>
      </c>
      <c r="QO209" s="16">
        <v>14.1</v>
      </c>
      <c r="QP209">
        <v>87.99</v>
      </c>
      <c r="QQ209" s="17">
        <v>0</v>
      </c>
      <c r="QR209">
        <v>3.38</v>
      </c>
      <c r="QS209">
        <v>0</v>
      </c>
      <c r="QT209">
        <v>8.6300000000000008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65.599999999999994</v>
      </c>
      <c r="RD209">
        <v>0</v>
      </c>
      <c r="RE209">
        <v>0</v>
      </c>
      <c r="RF209">
        <v>0</v>
      </c>
      <c r="RG209">
        <v>0</v>
      </c>
      <c r="RT209">
        <v>1.4</v>
      </c>
      <c r="RU209">
        <v>1</v>
      </c>
      <c r="RV209">
        <v>35</v>
      </c>
      <c r="RW209">
        <v>3</v>
      </c>
      <c r="RX209">
        <f t="shared" si="71"/>
        <v>0.38</v>
      </c>
      <c r="RY209">
        <v>3</v>
      </c>
      <c r="RZ209">
        <v>34</v>
      </c>
      <c r="SA209">
        <v>27</v>
      </c>
      <c r="SB209">
        <f t="shared" si="72"/>
        <v>8.4599999999999991</v>
      </c>
      <c r="SC209">
        <v>1</v>
      </c>
      <c r="SF209" s="20"/>
      <c r="SX209">
        <v>1</v>
      </c>
      <c r="SY209">
        <v>40</v>
      </c>
      <c r="SZ209">
        <v>9</v>
      </c>
      <c r="TA209">
        <f t="shared" si="73"/>
        <v>7.14</v>
      </c>
      <c r="TB209">
        <v>3</v>
      </c>
      <c r="UI209" s="16">
        <v>0</v>
      </c>
      <c r="UJ209" s="16">
        <v>0</v>
      </c>
      <c r="UK209" s="16"/>
      <c r="UL209" s="16"/>
      <c r="UM209" s="16"/>
      <c r="UN209" s="16"/>
      <c r="UO209" s="16"/>
      <c r="UP209" s="16"/>
      <c r="UQ209" s="16"/>
      <c r="UR209" s="16"/>
      <c r="US209" s="16"/>
      <c r="UT209" s="16">
        <v>5.27</v>
      </c>
      <c r="UU209" s="16">
        <v>1.5</v>
      </c>
      <c r="UV209" s="16">
        <v>0</v>
      </c>
      <c r="UW209" s="16">
        <v>0</v>
      </c>
      <c r="UX209" s="16">
        <v>0</v>
      </c>
      <c r="UY209" s="16">
        <v>0</v>
      </c>
      <c r="UZ209" s="16">
        <v>0</v>
      </c>
      <c r="VA209">
        <v>0</v>
      </c>
      <c r="VE209" s="15"/>
      <c r="VF209" s="15"/>
      <c r="VM209" s="15"/>
      <c r="VN209" s="15"/>
      <c r="VU209" s="15"/>
      <c r="VV209" s="15"/>
      <c r="WC209" s="15"/>
      <c r="WD209" s="15"/>
      <c r="WK209" s="15"/>
      <c r="WL209" s="15"/>
      <c r="WS209" s="15"/>
      <c r="WT209" s="15"/>
      <c r="XA209" s="15"/>
      <c r="XB209" s="15"/>
      <c r="XI209" s="15"/>
      <c r="XJ209" s="15"/>
      <c r="XQ209" s="15"/>
      <c r="XR209" s="15"/>
      <c r="XY209" s="15"/>
      <c r="XZ209" s="15"/>
      <c r="YG209" s="15"/>
      <c r="YH209" s="15"/>
      <c r="YO209" s="15"/>
      <c r="YP209" s="15"/>
      <c r="YW209" s="15"/>
      <c r="YX209" s="15"/>
      <c r="ZE209" s="15"/>
      <c r="ZF209" s="15"/>
      <c r="ZM209" s="15"/>
      <c r="ZN209" s="15"/>
      <c r="ZU209" s="15"/>
      <c r="ZV209" s="15"/>
      <c r="AAC209" s="15"/>
      <c r="AAD209" s="15"/>
      <c r="AAK209" s="15"/>
      <c r="AAL209" s="15"/>
      <c r="AAS209" s="15"/>
      <c r="AAT209" s="15"/>
      <c r="ABA209" s="15"/>
      <c r="ABB209" s="15"/>
      <c r="ABI209" s="15"/>
      <c r="ABJ209" s="15"/>
      <c r="ABQ209" s="15"/>
      <c r="ABR209" s="15"/>
      <c r="ABY209" s="15"/>
      <c r="ABZ209" s="15"/>
      <c r="ACG209" s="15"/>
      <c r="ACH209" s="15"/>
      <c r="ACO209" s="15"/>
      <c r="ACP209" s="15"/>
      <c r="ACW209" s="15"/>
      <c r="ACX209" s="15"/>
      <c r="ADE209" s="15"/>
      <c r="ADF209" s="15"/>
      <c r="ADM209" s="15"/>
      <c r="ADN209" s="15"/>
      <c r="ADU209" s="15"/>
      <c r="ADV209" s="15"/>
      <c r="AEC209" s="15"/>
      <c r="AED209" s="15"/>
      <c r="AEK209" s="15"/>
      <c r="AEL209" s="15"/>
      <c r="AES209" s="15"/>
      <c r="AET209" s="15"/>
      <c r="AFA209" s="15"/>
      <c r="AFB209" s="15"/>
      <c r="AFI209" s="15"/>
      <c r="AFJ209" s="15"/>
      <c r="AFQ209" s="15"/>
      <c r="AFR209" s="15"/>
      <c r="AFY209" s="15"/>
      <c r="AFZ209" s="15"/>
      <c r="AGG209" s="15"/>
      <c r="AGH209" s="15"/>
      <c r="AGO209" s="15"/>
      <c r="AGP209" s="15"/>
      <c r="AGW209" s="15"/>
      <c r="AGX209" s="15"/>
      <c r="AHE209" s="15"/>
      <c r="AHF209" s="15"/>
      <c r="AHM209" s="15"/>
      <c r="AHN209" s="15"/>
      <c r="AHU209" s="15"/>
      <c r="AHV209" s="15"/>
      <c r="AIC209" s="15"/>
      <c r="AID209" s="15"/>
      <c r="AIK209" s="15"/>
      <c r="AIL209" s="15"/>
      <c r="AIS209" s="15"/>
      <c r="AIT209" s="15"/>
      <c r="AJA209" s="15"/>
      <c r="AJB209" s="15"/>
      <c r="AJI209" s="15"/>
      <c r="AJJ209" s="15"/>
      <c r="AJQ209" s="15"/>
      <c r="AJR209" s="15"/>
      <c r="AJY209" s="15"/>
      <c r="AJZ209" s="15"/>
      <c r="AKG209" s="15"/>
      <c r="AKH209" s="15"/>
      <c r="AKO209" s="15"/>
      <c r="AKP209" s="15"/>
      <c r="AKW209" s="15"/>
      <c r="AKX209" s="15"/>
      <c r="ALE209" s="15"/>
      <c r="ALF209" s="15"/>
      <c r="ALM209" s="15"/>
      <c r="ALN209" s="15"/>
      <c r="ALU209" s="15"/>
      <c r="ALV209" s="15"/>
      <c r="AMC209" s="15"/>
      <c r="AMD209" s="15"/>
    </row>
    <row r="210" spans="1:1018" x14ac:dyDescent="0.2">
      <c r="A210" s="1" t="s">
        <v>721</v>
      </c>
      <c r="B210" s="12">
        <v>42906</v>
      </c>
      <c r="C210">
        <v>2</v>
      </c>
      <c r="D210" s="13">
        <v>34960</v>
      </c>
      <c r="E210" s="12">
        <v>26528</v>
      </c>
      <c r="F210" s="14">
        <f t="shared" si="62"/>
        <v>44.840520191649553</v>
      </c>
      <c r="G210" s="14">
        <f t="shared" si="63"/>
        <v>21.754962354551676</v>
      </c>
      <c r="H210" s="15" t="s">
        <v>183</v>
      </c>
      <c r="I210" s="15" t="s">
        <v>571</v>
      </c>
      <c r="J210" s="21" t="s">
        <v>181</v>
      </c>
      <c r="K210" s="21">
        <v>8</v>
      </c>
      <c r="L210" s="19">
        <v>83</v>
      </c>
      <c r="M210">
        <v>1.81</v>
      </c>
      <c r="N210" s="16">
        <f t="shared" si="64"/>
        <v>25.33500198406642</v>
      </c>
      <c r="O210" s="19">
        <v>0</v>
      </c>
      <c r="P210" s="19">
        <v>0</v>
      </c>
      <c r="Q210" s="19">
        <v>0</v>
      </c>
      <c r="R210" s="26">
        <v>0</v>
      </c>
      <c r="S210" s="26">
        <v>0</v>
      </c>
      <c r="T210" s="26">
        <v>0</v>
      </c>
      <c r="U210" s="19">
        <v>0</v>
      </c>
      <c r="V210" s="19">
        <v>0</v>
      </c>
      <c r="W210" s="19">
        <v>0</v>
      </c>
      <c r="X210" s="19">
        <v>0</v>
      </c>
      <c r="Y210" s="19">
        <v>1</v>
      </c>
      <c r="Z210" s="19">
        <v>1</v>
      </c>
      <c r="AA210" s="19">
        <v>60</v>
      </c>
      <c r="AB210" s="19" t="s">
        <v>722</v>
      </c>
      <c r="AC210" s="19">
        <v>0</v>
      </c>
      <c r="AD210" s="19">
        <v>0</v>
      </c>
      <c r="AE210" s="19">
        <v>0</v>
      </c>
      <c r="AF210" s="19">
        <v>0</v>
      </c>
      <c r="AG210" s="19">
        <v>0</v>
      </c>
      <c r="AH210" s="19">
        <v>0</v>
      </c>
      <c r="AI210" s="19">
        <v>0</v>
      </c>
      <c r="AJ210" s="19">
        <v>0</v>
      </c>
      <c r="AK210" s="19">
        <v>0</v>
      </c>
      <c r="AL210" s="19">
        <v>0</v>
      </c>
      <c r="AM210" s="19">
        <v>0</v>
      </c>
      <c r="AN210" s="19">
        <v>0</v>
      </c>
      <c r="AO210" s="19">
        <v>0</v>
      </c>
      <c r="AP210" s="19">
        <v>0</v>
      </c>
      <c r="AQ210" s="19">
        <v>0</v>
      </c>
      <c r="AR210" s="19">
        <v>0</v>
      </c>
      <c r="AS210" s="19">
        <v>1</v>
      </c>
      <c r="AT210" s="19">
        <v>1</v>
      </c>
      <c r="AU210" s="19">
        <v>1</v>
      </c>
      <c r="AV210" s="19">
        <v>2</v>
      </c>
      <c r="AW210" s="19">
        <v>0</v>
      </c>
      <c r="AX210" s="19">
        <v>0</v>
      </c>
      <c r="AY210" s="19">
        <v>0</v>
      </c>
      <c r="AZ210" s="19">
        <v>0</v>
      </c>
      <c r="BA210" s="19">
        <v>0</v>
      </c>
      <c r="BB210" s="19">
        <v>0</v>
      </c>
      <c r="BC210" s="19">
        <v>0</v>
      </c>
      <c r="BD210" s="19">
        <v>0</v>
      </c>
      <c r="BE210" s="19">
        <v>0</v>
      </c>
      <c r="BF210" s="19">
        <v>0</v>
      </c>
      <c r="BG210" s="19">
        <v>0</v>
      </c>
      <c r="BH210" s="19">
        <v>0</v>
      </c>
      <c r="BI210" s="19">
        <v>0</v>
      </c>
      <c r="BJ210" s="19">
        <v>0</v>
      </c>
      <c r="BK210" s="19">
        <v>0</v>
      </c>
      <c r="BL210" s="19">
        <v>0</v>
      </c>
      <c r="BM210" s="19">
        <v>0</v>
      </c>
      <c r="BN210" s="19">
        <v>0</v>
      </c>
      <c r="BO210" s="19">
        <v>0</v>
      </c>
      <c r="BP210" s="19">
        <v>0</v>
      </c>
      <c r="BQ210" s="19">
        <v>0</v>
      </c>
      <c r="BR210" s="19">
        <v>2</v>
      </c>
      <c r="BS210" s="19">
        <v>2</v>
      </c>
      <c r="BT210" s="19">
        <v>3</v>
      </c>
      <c r="BU210" s="19">
        <v>5</v>
      </c>
      <c r="BV210" s="19">
        <v>2</v>
      </c>
      <c r="BW210" s="19">
        <v>3</v>
      </c>
      <c r="BX210" s="19">
        <v>4</v>
      </c>
      <c r="BY210" s="19">
        <v>5</v>
      </c>
      <c r="BZ210" s="19">
        <v>5</v>
      </c>
      <c r="CA210" s="19"/>
      <c r="CB210" s="19">
        <v>4</v>
      </c>
      <c r="CC210" s="19">
        <v>5</v>
      </c>
      <c r="CD210" s="19">
        <v>5</v>
      </c>
      <c r="CE210" s="19">
        <v>5</v>
      </c>
      <c r="CF210" s="19">
        <v>5</v>
      </c>
      <c r="CG210" s="19">
        <v>5</v>
      </c>
      <c r="CH210" s="19">
        <v>5</v>
      </c>
      <c r="CI210" s="19">
        <v>5</v>
      </c>
      <c r="CJ210" s="19">
        <v>5</v>
      </c>
      <c r="CK210" s="19">
        <v>10</v>
      </c>
      <c r="CL210" t="s">
        <v>540</v>
      </c>
      <c r="CM210">
        <v>70.5</v>
      </c>
      <c r="CN210" s="16">
        <v>88.2</v>
      </c>
      <c r="CO210" s="16">
        <v>80.400000000000006</v>
      </c>
      <c r="CP210" s="16">
        <v>36.299999999999997</v>
      </c>
      <c r="CQ210">
        <v>72.69</v>
      </c>
      <c r="CR210" s="17">
        <v>0</v>
      </c>
      <c r="CS210">
        <v>10.32</v>
      </c>
      <c r="CT210">
        <v>16.989999999999998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36.659999999999997</v>
      </c>
      <c r="DD210">
        <v>7.54</v>
      </c>
      <c r="DE210">
        <v>10.32</v>
      </c>
      <c r="DF210">
        <v>0</v>
      </c>
      <c r="DG210">
        <v>0</v>
      </c>
      <c r="DH210">
        <v>0</v>
      </c>
      <c r="DU210">
        <v>21.2</v>
      </c>
      <c r="DV210">
        <v>1</v>
      </c>
      <c r="DW210">
        <v>35</v>
      </c>
      <c r="DX210">
        <v>7</v>
      </c>
      <c r="DY210">
        <f t="shared" si="65"/>
        <v>6.25</v>
      </c>
      <c r="DZ210">
        <v>3</v>
      </c>
      <c r="EA210">
        <v>47</v>
      </c>
      <c r="EB210">
        <v>2</v>
      </c>
      <c r="EC210">
        <v>0.4</v>
      </c>
      <c r="ED210">
        <v>3</v>
      </c>
      <c r="EG210" s="20"/>
      <c r="EY210">
        <v>0</v>
      </c>
      <c r="GJ210" s="16">
        <v>11.58</v>
      </c>
      <c r="GK210" s="16">
        <v>1</v>
      </c>
      <c r="GL210" s="16">
        <v>2</v>
      </c>
      <c r="GM210" s="16"/>
      <c r="GN210" s="16">
        <f t="shared" si="66"/>
        <v>6.66</v>
      </c>
      <c r="GO210" s="16"/>
      <c r="GP210" s="16"/>
      <c r="GQ210" s="16"/>
      <c r="GR210" s="16"/>
      <c r="GS210" s="16"/>
      <c r="GT210" s="16"/>
      <c r="GU210" s="16">
        <v>0.27</v>
      </c>
      <c r="GV210" s="16">
        <v>0.27</v>
      </c>
      <c r="GW210" s="16">
        <v>0</v>
      </c>
      <c r="GX210" s="16">
        <v>0</v>
      </c>
      <c r="GY210" s="16">
        <v>0</v>
      </c>
      <c r="GZ210" s="16">
        <v>0</v>
      </c>
      <c r="HA210" s="16">
        <v>0</v>
      </c>
      <c r="HB210">
        <v>0</v>
      </c>
      <c r="HC210" t="s">
        <v>541</v>
      </c>
      <c r="HD210">
        <v>94.5</v>
      </c>
      <c r="HE210" s="16">
        <v>88.2</v>
      </c>
      <c r="HF210" s="16">
        <v>80.400000000000006</v>
      </c>
      <c r="HG210" s="16">
        <v>73.099999999999994</v>
      </c>
      <c r="HH210">
        <v>41.34</v>
      </c>
      <c r="HI210" s="17">
        <v>0</v>
      </c>
      <c r="HJ210">
        <v>8.6300000000000008</v>
      </c>
      <c r="HK210">
        <v>0.04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8.06</v>
      </c>
      <c r="HU210">
        <v>3.65</v>
      </c>
      <c r="HV210">
        <v>7.2</v>
      </c>
      <c r="HW210">
        <v>0</v>
      </c>
      <c r="HX210">
        <v>0</v>
      </c>
      <c r="HY210">
        <v>0</v>
      </c>
      <c r="IL210">
        <v>9.4</v>
      </c>
      <c r="IM210">
        <v>1</v>
      </c>
      <c r="IN210">
        <v>35</v>
      </c>
      <c r="IO210">
        <v>2</v>
      </c>
      <c r="IP210">
        <f t="shared" si="67"/>
        <v>1.21</v>
      </c>
      <c r="IQ210">
        <v>3</v>
      </c>
      <c r="IX210" s="20"/>
      <c r="JP210">
        <v>1</v>
      </c>
      <c r="JQ210">
        <v>70</v>
      </c>
      <c r="JR210">
        <v>2</v>
      </c>
      <c r="JS210">
        <f t="shared" si="68"/>
        <v>2.44</v>
      </c>
      <c r="JT210">
        <v>2</v>
      </c>
      <c r="LA210" s="16">
        <v>0.84</v>
      </c>
      <c r="LB210" s="16">
        <v>1</v>
      </c>
      <c r="LC210" s="16">
        <v>1</v>
      </c>
      <c r="LD210" s="16"/>
      <c r="LE210" s="16">
        <v>0.6</v>
      </c>
      <c r="LF210" s="16"/>
      <c r="LG210" s="16"/>
      <c r="LH210" s="16"/>
      <c r="LI210" s="16"/>
      <c r="LJ210" s="16"/>
      <c r="LK210" s="16"/>
      <c r="LL210" s="16">
        <v>10.19</v>
      </c>
      <c r="LM210" s="16">
        <v>8.4600000000000009</v>
      </c>
      <c r="LN210" s="16">
        <v>0</v>
      </c>
      <c r="LO210" s="16">
        <v>0</v>
      </c>
      <c r="LP210" s="16">
        <v>0</v>
      </c>
      <c r="LQ210" s="16">
        <v>0</v>
      </c>
      <c r="LR210" s="16">
        <v>0</v>
      </c>
      <c r="LS210">
        <v>0</v>
      </c>
      <c r="LT210" t="s">
        <v>542</v>
      </c>
      <c r="LU210">
        <v>75</v>
      </c>
      <c r="LV210" s="16">
        <v>91.2</v>
      </c>
      <c r="LW210" s="16">
        <v>80.400000000000006</v>
      </c>
      <c r="LX210" s="16">
        <v>61</v>
      </c>
      <c r="LY210">
        <v>53.67</v>
      </c>
      <c r="LZ210" s="17">
        <v>0</v>
      </c>
      <c r="MA210">
        <v>16.760000000000002</v>
      </c>
      <c r="MB210">
        <v>29.58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6.79</v>
      </c>
      <c r="ML210">
        <v>14.97</v>
      </c>
      <c r="MM210">
        <v>18.239999999999998</v>
      </c>
      <c r="MN210">
        <v>0</v>
      </c>
      <c r="MO210">
        <v>0</v>
      </c>
      <c r="MP210">
        <v>0</v>
      </c>
      <c r="NC210">
        <v>9</v>
      </c>
      <c r="ND210">
        <v>1</v>
      </c>
      <c r="NE210">
        <v>68</v>
      </c>
      <c r="NF210">
        <v>1</v>
      </c>
      <c r="NG210">
        <v>0.38</v>
      </c>
      <c r="NH210">
        <v>1</v>
      </c>
      <c r="NI210">
        <v>47</v>
      </c>
      <c r="NJ210">
        <v>1</v>
      </c>
      <c r="NK210">
        <v>1.1299999999999999</v>
      </c>
      <c r="NL210">
        <v>3</v>
      </c>
      <c r="NO210" s="20"/>
      <c r="OG210">
        <v>1</v>
      </c>
      <c r="OH210">
        <v>70</v>
      </c>
      <c r="OI210">
        <v>2</v>
      </c>
      <c r="OJ210">
        <f t="shared" si="69"/>
        <v>2.44</v>
      </c>
      <c r="OK210">
        <v>2</v>
      </c>
      <c r="PR210" s="16">
        <v>1.88</v>
      </c>
      <c r="PS210" s="16">
        <v>1</v>
      </c>
      <c r="PT210" s="16">
        <v>1</v>
      </c>
      <c r="PU210" s="16"/>
      <c r="PV210" s="16">
        <f t="shared" si="70"/>
        <v>3.12</v>
      </c>
      <c r="PW210" s="16"/>
      <c r="PX210" s="16"/>
      <c r="PY210" s="16"/>
      <c r="PZ210" s="16"/>
      <c r="QA210" s="16"/>
      <c r="QB210" s="16"/>
      <c r="QC210" s="16">
        <v>1.5</v>
      </c>
      <c r="QD210" s="16">
        <v>1.5</v>
      </c>
      <c r="QE210" s="16">
        <v>0</v>
      </c>
      <c r="QF210" s="16">
        <v>0</v>
      </c>
      <c r="QG210" s="16">
        <v>0</v>
      </c>
      <c r="QH210" s="16">
        <v>0</v>
      </c>
      <c r="QI210" s="16">
        <v>0</v>
      </c>
      <c r="QJ210">
        <v>0</v>
      </c>
      <c r="QK210" t="s">
        <v>543</v>
      </c>
      <c r="QL210">
        <v>21</v>
      </c>
      <c r="QM210" s="16">
        <v>77.900000000000006</v>
      </c>
      <c r="QN210" s="16">
        <v>160.80000000000001</v>
      </c>
      <c r="QO210" s="16">
        <v>14.1</v>
      </c>
      <c r="QP210">
        <v>87.99</v>
      </c>
      <c r="QQ210" s="17">
        <v>0</v>
      </c>
      <c r="QR210">
        <v>3.38</v>
      </c>
      <c r="QS210">
        <v>0</v>
      </c>
      <c r="QT210">
        <v>8.6300000000000008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65.599999999999994</v>
      </c>
      <c r="RD210">
        <v>0</v>
      </c>
      <c r="RE210">
        <v>0</v>
      </c>
      <c r="RF210">
        <v>0</v>
      </c>
      <c r="RG210">
        <v>0</v>
      </c>
      <c r="RT210">
        <v>1.4</v>
      </c>
      <c r="RU210">
        <v>1</v>
      </c>
      <c r="RV210">
        <v>35</v>
      </c>
      <c r="RW210">
        <v>3</v>
      </c>
      <c r="RX210">
        <f t="shared" si="71"/>
        <v>0.38</v>
      </c>
      <c r="RY210">
        <v>3</v>
      </c>
      <c r="RZ210">
        <v>34</v>
      </c>
      <c r="SA210">
        <v>27</v>
      </c>
      <c r="SB210">
        <f t="shared" si="72"/>
        <v>8.4599999999999991</v>
      </c>
      <c r="SC210">
        <v>1</v>
      </c>
      <c r="SF210" s="20"/>
      <c r="SX210">
        <v>1</v>
      </c>
      <c r="SY210">
        <v>40</v>
      </c>
      <c r="SZ210">
        <v>9</v>
      </c>
      <c r="TA210">
        <f t="shared" si="73"/>
        <v>7.14</v>
      </c>
      <c r="TB210">
        <v>3</v>
      </c>
      <c r="UI210" s="16">
        <v>0</v>
      </c>
      <c r="UJ210" s="16">
        <v>0</v>
      </c>
      <c r="UK210" s="16"/>
      <c r="UL210" s="16"/>
      <c r="UM210" s="16"/>
      <c r="UN210" s="16"/>
      <c r="UO210" s="16"/>
      <c r="UP210" s="16"/>
      <c r="UQ210" s="16"/>
      <c r="UR210" s="16"/>
      <c r="US210" s="16"/>
      <c r="UT210" s="16">
        <v>5.27</v>
      </c>
      <c r="UU210" s="16">
        <v>1.5</v>
      </c>
      <c r="UV210" s="16">
        <v>0</v>
      </c>
      <c r="UW210" s="16">
        <v>0</v>
      </c>
      <c r="UX210" s="16">
        <v>0</v>
      </c>
      <c r="UY210" s="16">
        <v>0</v>
      </c>
      <c r="UZ210" s="16">
        <v>0</v>
      </c>
      <c r="VA210">
        <v>0</v>
      </c>
      <c r="VE210" s="15"/>
      <c r="VF210" s="15"/>
      <c r="VM210" s="15"/>
      <c r="VN210" s="15"/>
      <c r="VU210" s="15"/>
      <c r="VV210" s="15"/>
      <c r="WC210" s="15"/>
      <c r="WD210" s="15"/>
      <c r="WK210" s="15"/>
      <c r="WL210" s="15"/>
      <c r="WS210" s="15"/>
      <c r="WT210" s="15"/>
      <c r="XA210" s="15"/>
      <c r="XB210" s="15"/>
      <c r="XI210" s="15"/>
      <c r="XJ210" s="15"/>
      <c r="XQ210" s="15"/>
      <c r="XR210" s="15"/>
      <c r="XY210" s="15"/>
      <c r="XZ210" s="15"/>
      <c r="YG210" s="15"/>
      <c r="YH210" s="15"/>
      <c r="YO210" s="15"/>
      <c r="YP210" s="15"/>
      <c r="YW210" s="15"/>
      <c r="YX210" s="15"/>
      <c r="ZE210" s="15"/>
      <c r="ZF210" s="15"/>
      <c r="ZM210" s="15"/>
      <c r="ZN210" s="15"/>
      <c r="ZU210" s="15"/>
      <c r="ZV210" s="15"/>
      <c r="AAC210" s="15"/>
      <c r="AAD210" s="15"/>
      <c r="AAK210" s="15"/>
      <c r="AAL210" s="15"/>
      <c r="AAS210" s="15"/>
      <c r="AAT210" s="15"/>
      <c r="ABA210" s="15"/>
      <c r="ABB210" s="15"/>
      <c r="ABI210" s="15"/>
      <c r="ABJ210" s="15"/>
      <c r="ABQ210" s="15"/>
      <c r="ABR210" s="15"/>
      <c r="ABY210" s="15"/>
      <c r="ABZ210" s="15"/>
      <c r="ACG210" s="15"/>
      <c r="ACH210" s="15"/>
      <c r="ACO210" s="15"/>
      <c r="ACP210" s="15"/>
      <c r="ACW210" s="15"/>
      <c r="ACX210" s="15"/>
      <c r="ADE210" s="15"/>
      <c r="ADF210" s="15"/>
      <c r="ADM210" s="15"/>
      <c r="ADN210" s="15"/>
      <c r="ADU210" s="15"/>
      <c r="ADV210" s="15"/>
      <c r="AEC210" s="15"/>
      <c r="AED210" s="15"/>
      <c r="AEK210" s="15"/>
      <c r="AEL210" s="15"/>
      <c r="AES210" s="15"/>
      <c r="AET210" s="15"/>
      <c r="AFA210" s="15"/>
      <c r="AFB210" s="15"/>
      <c r="AFI210" s="15"/>
      <c r="AFJ210" s="15"/>
      <c r="AFQ210" s="15"/>
      <c r="AFR210" s="15"/>
      <c r="AFY210" s="15"/>
      <c r="AFZ210" s="15"/>
      <c r="AGG210" s="15"/>
      <c r="AGH210" s="15"/>
      <c r="AGO210" s="15"/>
      <c r="AGP210" s="15"/>
      <c r="AGW210" s="15"/>
      <c r="AGX210" s="15"/>
      <c r="AHE210" s="15"/>
      <c r="AHF210" s="15"/>
      <c r="AHM210" s="15"/>
      <c r="AHN210" s="15"/>
      <c r="AHU210" s="15"/>
      <c r="AHV210" s="15"/>
      <c r="AIC210" s="15"/>
      <c r="AID210" s="15"/>
      <c r="AIK210" s="15"/>
      <c r="AIL210" s="15"/>
      <c r="AIS210" s="15"/>
      <c r="AIT210" s="15"/>
      <c r="AJA210" s="15"/>
      <c r="AJB210" s="15"/>
      <c r="AJI210" s="15"/>
      <c r="AJJ210" s="15"/>
      <c r="AJQ210" s="15"/>
      <c r="AJR210" s="15"/>
      <c r="AJY210" s="15"/>
      <c r="AJZ210" s="15"/>
      <c r="AKG210" s="15"/>
      <c r="AKH210" s="15"/>
      <c r="AKO210" s="15"/>
      <c r="AKP210" s="15"/>
      <c r="AKW210" s="15"/>
      <c r="AKX210" s="15"/>
      <c r="ALE210" s="15"/>
      <c r="ALF210" s="15"/>
      <c r="ALM210" s="15"/>
      <c r="ALN210" s="15"/>
      <c r="ALU210" s="15"/>
      <c r="ALV210" s="15"/>
      <c r="AMC210" s="15"/>
      <c r="AMD210" s="15"/>
    </row>
    <row r="211" spans="1:1018" x14ac:dyDescent="0.2">
      <c r="A211" s="1" t="s">
        <v>723</v>
      </c>
      <c r="B211" s="12">
        <v>42906</v>
      </c>
      <c r="C211">
        <v>2</v>
      </c>
      <c r="D211" s="13">
        <v>34670</v>
      </c>
      <c r="E211" s="12">
        <v>25965</v>
      </c>
      <c r="F211" s="14">
        <f t="shared" si="62"/>
        <v>46.381930184804929</v>
      </c>
      <c r="G211" s="14">
        <f t="shared" si="63"/>
        <v>22.548939082819988</v>
      </c>
      <c r="H211" s="15" t="s">
        <v>183</v>
      </c>
      <c r="I211" s="15" t="s">
        <v>571</v>
      </c>
      <c r="J211" s="21" t="s">
        <v>181</v>
      </c>
      <c r="K211" s="21">
        <v>8</v>
      </c>
      <c r="L211" s="19">
        <v>55</v>
      </c>
      <c r="M211">
        <v>1.7</v>
      </c>
      <c r="N211" s="16">
        <f t="shared" si="64"/>
        <v>19.031141868512112</v>
      </c>
      <c r="O211" s="19">
        <v>0</v>
      </c>
      <c r="P211" s="19">
        <v>0</v>
      </c>
      <c r="Q211" s="19">
        <v>0</v>
      </c>
      <c r="R211" s="26">
        <v>0</v>
      </c>
      <c r="S211" s="26">
        <v>0</v>
      </c>
      <c r="T211" s="26">
        <v>0</v>
      </c>
      <c r="U211" s="19">
        <v>0</v>
      </c>
      <c r="V211" s="19">
        <v>0</v>
      </c>
      <c r="W211" s="19">
        <v>1</v>
      </c>
      <c r="X211" s="19">
        <v>0</v>
      </c>
      <c r="Y211" s="19">
        <v>0</v>
      </c>
      <c r="Z211" s="19">
        <v>0</v>
      </c>
      <c r="AA211" s="19">
        <v>0</v>
      </c>
      <c r="AB211" s="19">
        <v>0</v>
      </c>
      <c r="AC211" s="19">
        <v>1</v>
      </c>
      <c r="AD211" s="19">
        <v>8</v>
      </c>
      <c r="AE211" s="19">
        <v>0</v>
      </c>
      <c r="AF211" s="19">
        <v>0</v>
      </c>
      <c r="AG211" s="19">
        <v>0</v>
      </c>
      <c r="AH211" s="19">
        <v>0</v>
      </c>
      <c r="AI211" s="19">
        <v>0</v>
      </c>
      <c r="AJ211" s="19">
        <v>0</v>
      </c>
      <c r="AK211" s="19">
        <v>0</v>
      </c>
      <c r="AL211" s="19">
        <v>0</v>
      </c>
      <c r="AM211" s="19">
        <v>0</v>
      </c>
      <c r="AN211" s="19">
        <v>3</v>
      </c>
      <c r="AO211" s="19">
        <v>0</v>
      </c>
      <c r="AP211" s="19">
        <v>0</v>
      </c>
      <c r="AQ211" s="19">
        <v>0</v>
      </c>
      <c r="AR211" s="19">
        <v>0</v>
      </c>
      <c r="AS211" s="19">
        <v>0</v>
      </c>
      <c r="AT211" s="19">
        <v>0</v>
      </c>
      <c r="AU211" s="19">
        <v>0</v>
      </c>
      <c r="AV211" s="19">
        <v>0</v>
      </c>
      <c r="AW211" s="19">
        <v>0</v>
      </c>
      <c r="AX211" s="19">
        <v>0</v>
      </c>
      <c r="AY211" s="19">
        <v>0</v>
      </c>
      <c r="AZ211" s="19">
        <v>0</v>
      </c>
      <c r="BA211" s="19">
        <v>0</v>
      </c>
      <c r="BB211" s="19">
        <v>0</v>
      </c>
      <c r="BC211" s="19">
        <v>0</v>
      </c>
      <c r="BD211" s="19">
        <v>0</v>
      </c>
      <c r="BE211" s="19">
        <v>0</v>
      </c>
      <c r="BF211" s="19">
        <v>0</v>
      </c>
      <c r="BG211" s="19">
        <v>0</v>
      </c>
      <c r="BH211" s="19">
        <v>0</v>
      </c>
      <c r="BI211" s="19">
        <v>0</v>
      </c>
      <c r="BJ211" s="19">
        <v>0</v>
      </c>
      <c r="BK211" s="19">
        <v>0</v>
      </c>
      <c r="BL211" s="19">
        <v>0</v>
      </c>
      <c r="BM211" s="19">
        <v>0</v>
      </c>
      <c r="BN211" s="19">
        <v>0</v>
      </c>
      <c r="BO211" s="19">
        <v>0</v>
      </c>
      <c r="BP211" s="19">
        <v>0</v>
      </c>
      <c r="BQ211" s="19">
        <v>0</v>
      </c>
      <c r="BR211" s="19">
        <v>1</v>
      </c>
      <c r="BS211" s="19">
        <v>2</v>
      </c>
      <c r="BT211" s="19"/>
      <c r="BU211" s="19">
        <v>5</v>
      </c>
      <c r="BV211" s="19">
        <v>4</v>
      </c>
      <c r="BW211" s="19">
        <v>2</v>
      </c>
      <c r="BX211" s="19">
        <v>3</v>
      </c>
      <c r="BY211" s="19">
        <v>3</v>
      </c>
      <c r="BZ211" s="19">
        <v>4</v>
      </c>
      <c r="CA211" s="19">
        <v>4</v>
      </c>
      <c r="CB211" s="19">
        <v>5</v>
      </c>
      <c r="CC211" s="19">
        <v>5</v>
      </c>
      <c r="CD211" s="19">
        <v>1</v>
      </c>
      <c r="CE211" s="19">
        <v>5</v>
      </c>
      <c r="CF211" s="19">
        <v>5</v>
      </c>
      <c r="CG211" s="19">
        <v>4</v>
      </c>
      <c r="CH211" s="19">
        <v>5</v>
      </c>
      <c r="CI211" s="19">
        <v>5</v>
      </c>
      <c r="CJ211" s="19">
        <v>4</v>
      </c>
      <c r="CK211" s="19">
        <v>8</v>
      </c>
      <c r="CL211" t="s">
        <v>540</v>
      </c>
      <c r="CM211">
        <v>70.5</v>
      </c>
      <c r="CN211" s="16">
        <v>88.2</v>
      </c>
      <c r="CO211" s="16">
        <v>80.400000000000006</v>
      </c>
      <c r="CP211" s="16">
        <v>36.299999999999997</v>
      </c>
      <c r="CQ211">
        <v>72.69</v>
      </c>
      <c r="CR211" s="17">
        <v>0</v>
      </c>
      <c r="CS211">
        <v>10.32</v>
      </c>
      <c r="CT211">
        <v>16.989999999999998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36.659999999999997</v>
      </c>
      <c r="DD211">
        <v>7.54</v>
      </c>
      <c r="DE211">
        <v>10.32</v>
      </c>
      <c r="DF211">
        <v>0</v>
      </c>
      <c r="DG211">
        <v>0</v>
      </c>
      <c r="DH211">
        <v>0</v>
      </c>
      <c r="DU211">
        <v>21.2</v>
      </c>
      <c r="DV211">
        <v>1</v>
      </c>
      <c r="DW211">
        <v>35</v>
      </c>
      <c r="DX211">
        <v>7</v>
      </c>
      <c r="DY211">
        <f t="shared" si="65"/>
        <v>6.25</v>
      </c>
      <c r="DZ211">
        <v>3</v>
      </c>
      <c r="EA211">
        <v>47</v>
      </c>
      <c r="EB211">
        <v>2</v>
      </c>
      <c r="EC211">
        <v>0.4</v>
      </c>
      <c r="ED211">
        <v>3</v>
      </c>
      <c r="EG211" s="20"/>
      <c r="EY211">
        <v>0</v>
      </c>
      <c r="GJ211" s="16">
        <v>11.58</v>
      </c>
      <c r="GK211" s="16">
        <v>1</v>
      </c>
      <c r="GL211" s="16">
        <v>2</v>
      </c>
      <c r="GM211" s="16"/>
      <c r="GN211" s="16">
        <f t="shared" si="66"/>
        <v>6.66</v>
      </c>
      <c r="GO211" s="16"/>
      <c r="GP211" s="16"/>
      <c r="GQ211" s="16"/>
      <c r="GR211" s="16"/>
      <c r="GS211" s="16"/>
      <c r="GT211" s="16"/>
      <c r="GU211" s="16">
        <v>0.27</v>
      </c>
      <c r="GV211" s="16">
        <v>0.27</v>
      </c>
      <c r="GW211" s="16">
        <v>0</v>
      </c>
      <c r="GX211" s="16">
        <v>0</v>
      </c>
      <c r="GY211" s="16">
        <v>0</v>
      </c>
      <c r="GZ211" s="16">
        <v>0</v>
      </c>
      <c r="HA211" s="16">
        <v>0</v>
      </c>
      <c r="HB211">
        <v>0</v>
      </c>
      <c r="HC211" t="s">
        <v>541</v>
      </c>
      <c r="HD211">
        <v>94.5</v>
      </c>
      <c r="HE211" s="16">
        <v>88.2</v>
      </c>
      <c r="HF211" s="16">
        <v>80.400000000000006</v>
      </c>
      <c r="HG211" s="16">
        <v>73.099999999999994</v>
      </c>
      <c r="HH211">
        <v>41.34</v>
      </c>
      <c r="HI211" s="17">
        <v>0</v>
      </c>
      <c r="HJ211">
        <v>8.6300000000000008</v>
      </c>
      <c r="HK211">
        <v>0.04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8.06</v>
      </c>
      <c r="HU211">
        <v>3.65</v>
      </c>
      <c r="HV211">
        <v>7.2</v>
      </c>
      <c r="HW211">
        <v>0</v>
      </c>
      <c r="HX211">
        <v>0</v>
      </c>
      <c r="HY211">
        <v>0</v>
      </c>
      <c r="IL211">
        <v>9.4</v>
      </c>
      <c r="IM211">
        <v>1</v>
      </c>
      <c r="IN211">
        <v>35</v>
      </c>
      <c r="IO211">
        <v>2</v>
      </c>
      <c r="IP211">
        <f t="shared" si="67"/>
        <v>1.21</v>
      </c>
      <c r="IQ211">
        <v>3</v>
      </c>
      <c r="IX211" s="20"/>
      <c r="JP211">
        <v>1</v>
      </c>
      <c r="JQ211">
        <v>70</v>
      </c>
      <c r="JR211">
        <v>2</v>
      </c>
      <c r="JS211">
        <f t="shared" si="68"/>
        <v>2.44</v>
      </c>
      <c r="JT211">
        <v>2</v>
      </c>
      <c r="LA211" s="16">
        <v>0.84</v>
      </c>
      <c r="LB211" s="16">
        <v>1</v>
      </c>
      <c r="LC211" s="16">
        <v>1</v>
      </c>
      <c r="LD211" s="16"/>
      <c r="LE211" s="16">
        <v>0.6</v>
      </c>
      <c r="LF211" s="16"/>
      <c r="LG211" s="16"/>
      <c r="LH211" s="16"/>
      <c r="LI211" s="16"/>
      <c r="LJ211" s="16"/>
      <c r="LK211" s="16"/>
      <c r="LL211" s="16">
        <v>10.19</v>
      </c>
      <c r="LM211" s="16">
        <v>8.4600000000000009</v>
      </c>
      <c r="LN211" s="16">
        <v>0</v>
      </c>
      <c r="LO211" s="16">
        <v>0</v>
      </c>
      <c r="LP211" s="16">
        <v>0</v>
      </c>
      <c r="LQ211" s="16">
        <v>0</v>
      </c>
      <c r="LR211" s="16">
        <v>0</v>
      </c>
      <c r="LS211">
        <v>0</v>
      </c>
      <c r="LT211" t="s">
        <v>542</v>
      </c>
      <c r="LU211">
        <v>75</v>
      </c>
      <c r="LV211" s="16">
        <v>91.2</v>
      </c>
      <c r="LW211" s="16">
        <v>80.400000000000006</v>
      </c>
      <c r="LX211" s="16">
        <v>61</v>
      </c>
      <c r="LY211">
        <v>53.67</v>
      </c>
      <c r="LZ211" s="17">
        <v>0</v>
      </c>
      <c r="MA211">
        <v>16.760000000000002</v>
      </c>
      <c r="MB211">
        <v>29.58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6.79</v>
      </c>
      <c r="ML211">
        <v>14.97</v>
      </c>
      <c r="MM211">
        <v>18.239999999999998</v>
      </c>
      <c r="MN211">
        <v>0</v>
      </c>
      <c r="MO211">
        <v>0</v>
      </c>
      <c r="MP211">
        <v>0</v>
      </c>
      <c r="NC211">
        <v>9</v>
      </c>
      <c r="ND211">
        <v>1</v>
      </c>
      <c r="NE211">
        <v>68</v>
      </c>
      <c r="NF211">
        <v>1</v>
      </c>
      <c r="NG211">
        <v>0.38</v>
      </c>
      <c r="NH211">
        <v>1</v>
      </c>
      <c r="NI211">
        <v>47</v>
      </c>
      <c r="NJ211">
        <v>1</v>
      </c>
      <c r="NK211">
        <v>1.1299999999999999</v>
      </c>
      <c r="NL211">
        <v>3</v>
      </c>
      <c r="NO211" s="20"/>
      <c r="OG211">
        <v>1</v>
      </c>
      <c r="OH211">
        <v>70</v>
      </c>
      <c r="OI211">
        <v>2</v>
      </c>
      <c r="OJ211">
        <f t="shared" si="69"/>
        <v>2.44</v>
      </c>
      <c r="OK211">
        <v>2</v>
      </c>
      <c r="PR211" s="16">
        <v>1.88</v>
      </c>
      <c r="PS211" s="16">
        <v>1</v>
      </c>
      <c r="PT211" s="16">
        <v>1</v>
      </c>
      <c r="PU211" s="16"/>
      <c r="PV211" s="16">
        <f t="shared" si="70"/>
        <v>3.12</v>
      </c>
      <c r="PW211" s="16"/>
      <c r="PX211" s="16"/>
      <c r="PY211" s="16"/>
      <c r="PZ211" s="16"/>
      <c r="QA211" s="16"/>
      <c r="QB211" s="16"/>
      <c r="QC211" s="16">
        <v>1.5</v>
      </c>
      <c r="QD211" s="16">
        <v>1.5</v>
      </c>
      <c r="QE211" s="16">
        <v>0</v>
      </c>
      <c r="QF211" s="16">
        <v>0</v>
      </c>
      <c r="QG211" s="16">
        <v>0</v>
      </c>
      <c r="QH211" s="16">
        <v>0</v>
      </c>
      <c r="QI211" s="16">
        <v>0</v>
      </c>
      <c r="QJ211">
        <v>0</v>
      </c>
      <c r="QK211" t="s">
        <v>543</v>
      </c>
      <c r="QL211">
        <v>21</v>
      </c>
      <c r="QM211" s="16">
        <v>77.900000000000006</v>
      </c>
      <c r="QN211" s="16">
        <v>160.80000000000001</v>
      </c>
      <c r="QO211" s="16">
        <v>14.1</v>
      </c>
      <c r="QP211">
        <v>87.99</v>
      </c>
      <c r="QQ211" s="17">
        <v>0</v>
      </c>
      <c r="QR211">
        <v>3.38</v>
      </c>
      <c r="QS211">
        <v>0</v>
      </c>
      <c r="QT211">
        <v>8.6300000000000008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65.599999999999994</v>
      </c>
      <c r="RD211">
        <v>0</v>
      </c>
      <c r="RE211">
        <v>0</v>
      </c>
      <c r="RF211">
        <v>0</v>
      </c>
      <c r="RG211">
        <v>0</v>
      </c>
      <c r="RT211">
        <v>1.4</v>
      </c>
      <c r="RU211">
        <v>1</v>
      </c>
      <c r="RV211">
        <v>35</v>
      </c>
      <c r="RW211">
        <v>3</v>
      </c>
      <c r="RX211">
        <f t="shared" si="71"/>
        <v>0.38</v>
      </c>
      <c r="RY211">
        <v>3</v>
      </c>
      <c r="RZ211">
        <v>34</v>
      </c>
      <c r="SA211">
        <v>27</v>
      </c>
      <c r="SB211">
        <f t="shared" si="72"/>
        <v>8.4599999999999991</v>
      </c>
      <c r="SC211">
        <v>1</v>
      </c>
      <c r="SF211" s="20"/>
      <c r="SX211">
        <v>1</v>
      </c>
      <c r="SY211">
        <v>40</v>
      </c>
      <c r="SZ211">
        <v>9</v>
      </c>
      <c r="TA211">
        <f t="shared" si="73"/>
        <v>7.14</v>
      </c>
      <c r="TB211">
        <v>3</v>
      </c>
      <c r="UI211" s="16">
        <v>0</v>
      </c>
      <c r="UJ211" s="16">
        <v>0</v>
      </c>
      <c r="UK211" s="16"/>
      <c r="UL211" s="16"/>
      <c r="UM211" s="16"/>
      <c r="UN211" s="16"/>
      <c r="UO211" s="16"/>
      <c r="UP211" s="16"/>
      <c r="UQ211" s="16"/>
      <c r="UR211" s="16"/>
      <c r="US211" s="16"/>
      <c r="UT211" s="16">
        <v>5.27</v>
      </c>
      <c r="UU211" s="16">
        <v>1.5</v>
      </c>
      <c r="UV211" s="16">
        <v>0</v>
      </c>
      <c r="UW211" s="16">
        <v>0</v>
      </c>
      <c r="UX211" s="16">
        <v>0</v>
      </c>
      <c r="UY211" s="16">
        <v>0</v>
      </c>
      <c r="UZ211" s="16">
        <v>0</v>
      </c>
      <c r="VA211">
        <v>0</v>
      </c>
      <c r="VE211" s="15"/>
      <c r="VF211" s="15"/>
      <c r="VM211" s="15"/>
      <c r="VN211" s="15"/>
      <c r="VU211" s="15"/>
      <c r="VV211" s="15"/>
      <c r="WC211" s="15"/>
      <c r="WD211" s="15"/>
      <c r="WK211" s="15"/>
      <c r="WL211" s="15"/>
      <c r="WS211" s="15"/>
      <c r="WT211" s="15"/>
      <c r="XA211" s="15"/>
      <c r="XB211" s="15"/>
      <c r="XI211" s="15"/>
      <c r="XJ211" s="15"/>
      <c r="XQ211" s="15"/>
      <c r="XR211" s="15"/>
      <c r="XY211" s="15"/>
      <c r="XZ211" s="15"/>
      <c r="YG211" s="15"/>
      <c r="YH211" s="15"/>
      <c r="YO211" s="15"/>
      <c r="YP211" s="15"/>
      <c r="YW211" s="15"/>
      <c r="YX211" s="15"/>
      <c r="ZE211" s="15"/>
      <c r="ZF211" s="15"/>
      <c r="ZM211" s="15"/>
      <c r="ZN211" s="15"/>
      <c r="ZU211" s="15"/>
      <c r="ZV211" s="15"/>
      <c r="AAC211" s="15"/>
      <c r="AAD211" s="15"/>
      <c r="AAK211" s="15"/>
      <c r="AAL211" s="15"/>
      <c r="AAS211" s="15"/>
      <c r="AAT211" s="15"/>
      <c r="ABA211" s="15"/>
      <c r="ABB211" s="15"/>
      <c r="ABI211" s="15"/>
      <c r="ABJ211" s="15"/>
      <c r="ABQ211" s="15"/>
      <c r="ABR211" s="15"/>
      <c r="ABY211" s="15"/>
      <c r="ABZ211" s="15"/>
      <c r="ACG211" s="15"/>
      <c r="ACH211" s="15"/>
      <c r="ACO211" s="15"/>
      <c r="ACP211" s="15"/>
      <c r="ACW211" s="15"/>
      <c r="ACX211" s="15"/>
      <c r="ADE211" s="15"/>
      <c r="ADF211" s="15"/>
      <c r="ADM211" s="15"/>
      <c r="ADN211" s="15"/>
      <c r="ADU211" s="15"/>
      <c r="ADV211" s="15"/>
      <c r="AEC211" s="15"/>
      <c r="AED211" s="15"/>
      <c r="AEK211" s="15"/>
      <c r="AEL211" s="15"/>
      <c r="AES211" s="15"/>
      <c r="AET211" s="15"/>
      <c r="AFA211" s="15"/>
      <c r="AFB211" s="15"/>
      <c r="AFI211" s="15"/>
      <c r="AFJ211" s="15"/>
      <c r="AFQ211" s="15"/>
      <c r="AFR211" s="15"/>
      <c r="AFY211" s="15"/>
      <c r="AFZ211" s="15"/>
      <c r="AGG211" s="15"/>
      <c r="AGH211" s="15"/>
      <c r="AGO211" s="15"/>
      <c r="AGP211" s="15"/>
      <c r="AGW211" s="15"/>
      <c r="AGX211" s="15"/>
      <c r="AHE211" s="15"/>
      <c r="AHF211" s="15"/>
      <c r="AHM211" s="15"/>
      <c r="AHN211" s="15"/>
      <c r="AHU211" s="15"/>
      <c r="AHV211" s="15"/>
      <c r="AIC211" s="15"/>
      <c r="AID211" s="15"/>
      <c r="AIK211" s="15"/>
      <c r="AIL211" s="15"/>
      <c r="AIS211" s="15"/>
      <c r="AIT211" s="15"/>
      <c r="AJA211" s="15"/>
      <c r="AJB211" s="15"/>
      <c r="AJI211" s="15"/>
      <c r="AJJ211" s="15"/>
      <c r="AJQ211" s="15"/>
      <c r="AJR211" s="15"/>
      <c r="AJY211" s="15"/>
      <c r="AJZ211" s="15"/>
      <c r="AKG211" s="15"/>
      <c r="AKH211" s="15"/>
      <c r="AKO211" s="15"/>
      <c r="AKP211" s="15"/>
      <c r="AKW211" s="15"/>
      <c r="AKX211" s="15"/>
      <c r="ALE211" s="15"/>
      <c r="ALF211" s="15"/>
      <c r="ALM211" s="15"/>
      <c r="ALN211" s="15"/>
      <c r="ALU211" s="15"/>
      <c r="ALV211" s="15"/>
      <c r="AMC211" s="15"/>
      <c r="AMD211" s="15"/>
    </row>
    <row r="212" spans="1:1018" x14ac:dyDescent="0.2">
      <c r="A212" s="1" t="s">
        <v>724</v>
      </c>
      <c r="B212" s="12">
        <v>42906</v>
      </c>
      <c r="C212">
        <v>1</v>
      </c>
      <c r="D212" s="13">
        <v>42790</v>
      </c>
      <c r="E212" s="12">
        <v>30319</v>
      </c>
      <c r="F212" s="14">
        <f t="shared" si="62"/>
        <v>34.461327857631758</v>
      </c>
      <c r="G212" s="14">
        <f t="shared" si="63"/>
        <v>0.31759069130732376</v>
      </c>
      <c r="H212" s="15" t="s">
        <v>183</v>
      </c>
      <c r="I212" s="15" t="s">
        <v>571</v>
      </c>
      <c r="J212" s="21" t="s">
        <v>181</v>
      </c>
      <c r="K212" s="21">
        <v>8</v>
      </c>
      <c r="L212" s="19">
        <v>86</v>
      </c>
      <c r="M212">
        <v>1.73</v>
      </c>
      <c r="N212" s="16">
        <f t="shared" si="64"/>
        <v>28.734672057202044</v>
      </c>
      <c r="O212" s="19">
        <v>0</v>
      </c>
      <c r="P212" s="19">
        <v>0</v>
      </c>
      <c r="Q212" s="19">
        <v>0</v>
      </c>
      <c r="R212" s="26">
        <v>0</v>
      </c>
      <c r="S212" s="26">
        <v>0</v>
      </c>
      <c r="T212" s="26">
        <v>0</v>
      </c>
      <c r="U212" s="19">
        <v>0</v>
      </c>
      <c r="V212" s="19">
        <v>0</v>
      </c>
      <c r="W212" s="19">
        <v>1</v>
      </c>
      <c r="X212" s="19">
        <v>0</v>
      </c>
      <c r="Y212" s="19">
        <v>0</v>
      </c>
      <c r="Z212" s="19">
        <v>0</v>
      </c>
      <c r="AA212" s="19">
        <v>0</v>
      </c>
      <c r="AB212" s="19">
        <v>0</v>
      </c>
      <c r="AC212" s="19">
        <v>0</v>
      </c>
      <c r="AD212" s="19">
        <v>0</v>
      </c>
      <c r="AE212" s="19">
        <v>1</v>
      </c>
      <c r="AF212" s="19">
        <v>1</v>
      </c>
      <c r="AG212" s="19">
        <v>1</v>
      </c>
      <c r="AH212" s="19">
        <v>4</v>
      </c>
      <c r="AI212" s="19">
        <v>0</v>
      </c>
      <c r="AJ212" s="19">
        <v>0</v>
      </c>
      <c r="AK212" s="19">
        <v>0</v>
      </c>
      <c r="AL212" s="19">
        <v>0</v>
      </c>
      <c r="AM212" s="19">
        <v>0</v>
      </c>
      <c r="AN212" s="19">
        <v>0</v>
      </c>
      <c r="AO212" s="19">
        <v>0</v>
      </c>
      <c r="AP212" s="19">
        <v>0</v>
      </c>
      <c r="AQ212" s="19">
        <v>0</v>
      </c>
      <c r="AR212" s="19">
        <v>0</v>
      </c>
      <c r="AS212" s="19">
        <v>1</v>
      </c>
      <c r="AT212" s="19">
        <v>0</v>
      </c>
      <c r="AU212" s="19">
        <v>1</v>
      </c>
      <c r="AV212" s="19">
        <v>7</v>
      </c>
      <c r="AW212" s="19">
        <v>0</v>
      </c>
      <c r="AX212" s="19">
        <v>0</v>
      </c>
      <c r="AY212" s="19">
        <v>0</v>
      </c>
      <c r="AZ212" s="19">
        <v>0</v>
      </c>
      <c r="BA212" s="19">
        <v>0</v>
      </c>
      <c r="BB212" s="19">
        <v>1</v>
      </c>
      <c r="BC212" s="19">
        <v>0</v>
      </c>
      <c r="BD212" s="19">
        <v>1</v>
      </c>
      <c r="BE212" s="19">
        <v>4</v>
      </c>
      <c r="BF212" s="19">
        <v>0</v>
      </c>
      <c r="BG212" s="19">
        <v>0</v>
      </c>
      <c r="BH212" s="19">
        <v>0</v>
      </c>
      <c r="BI212" s="19">
        <v>0</v>
      </c>
      <c r="BJ212" s="19">
        <v>1</v>
      </c>
      <c r="BK212" s="19">
        <v>0</v>
      </c>
      <c r="BL212" s="19">
        <v>0</v>
      </c>
      <c r="BM212" s="19">
        <v>0</v>
      </c>
      <c r="BN212" s="19">
        <v>0</v>
      </c>
      <c r="BO212" s="19">
        <v>0</v>
      </c>
      <c r="BP212" s="19">
        <v>0</v>
      </c>
      <c r="BQ212" s="19">
        <v>0</v>
      </c>
      <c r="BR212" s="19">
        <v>3</v>
      </c>
      <c r="BS212" s="19">
        <v>2</v>
      </c>
      <c r="BT212" s="19">
        <v>4</v>
      </c>
      <c r="BU212" s="19">
        <v>5</v>
      </c>
      <c r="BV212" s="19">
        <v>1</v>
      </c>
      <c r="BW212" s="19">
        <v>1</v>
      </c>
      <c r="BX212" s="19">
        <v>1</v>
      </c>
      <c r="BY212" s="19">
        <v>3</v>
      </c>
      <c r="BZ212" s="19">
        <v>2</v>
      </c>
      <c r="CA212" s="19">
        <v>3</v>
      </c>
      <c r="CB212" s="19">
        <v>3</v>
      </c>
      <c r="CC212" s="19">
        <v>4</v>
      </c>
      <c r="CD212" s="19">
        <v>3</v>
      </c>
      <c r="CE212" s="19">
        <v>4</v>
      </c>
      <c r="CF212" s="19">
        <v>4</v>
      </c>
      <c r="CG212" s="19">
        <v>4</v>
      </c>
      <c r="CH212" s="19">
        <v>3</v>
      </c>
      <c r="CI212" s="19">
        <v>4</v>
      </c>
      <c r="CJ212" s="19">
        <v>3</v>
      </c>
      <c r="CK212" s="19">
        <v>8</v>
      </c>
      <c r="CL212" t="s">
        <v>540</v>
      </c>
      <c r="CM212">
        <v>70.5</v>
      </c>
      <c r="CN212" s="16">
        <v>88.2</v>
      </c>
      <c r="CO212" s="16">
        <v>80.400000000000006</v>
      </c>
      <c r="CP212" s="16">
        <v>36.299999999999997</v>
      </c>
      <c r="CQ212">
        <v>72.69</v>
      </c>
      <c r="CR212" s="17">
        <v>0</v>
      </c>
      <c r="CS212">
        <v>10.32</v>
      </c>
      <c r="CT212">
        <v>16.989999999999998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36.659999999999997</v>
      </c>
      <c r="DD212">
        <v>7.54</v>
      </c>
      <c r="DE212">
        <v>10.32</v>
      </c>
      <c r="DF212">
        <v>0</v>
      </c>
      <c r="DG212">
        <v>0</v>
      </c>
      <c r="DH212">
        <v>0</v>
      </c>
      <c r="DU212">
        <v>21.2</v>
      </c>
      <c r="DV212">
        <v>1</v>
      </c>
      <c r="DW212">
        <v>35</v>
      </c>
      <c r="DX212">
        <v>7</v>
      </c>
      <c r="DY212">
        <f t="shared" si="65"/>
        <v>6.25</v>
      </c>
      <c r="DZ212">
        <v>3</v>
      </c>
      <c r="EA212">
        <v>47</v>
      </c>
      <c r="EB212">
        <v>2</v>
      </c>
      <c r="EC212">
        <v>0.4</v>
      </c>
      <c r="ED212">
        <v>3</v>
      </c>
      <c r="EG212" s="20"/>
      <c r="EY212">
        <v>0</v>
      </c>
      <c r="GJ212" s="16">
        <v>11.58</v>
      </c>
      <c r="GK212" s="16">
        <v>1</v>
      </c>
      <c r="GL212" s="16">
        <v>2</v>
      </c>
      <c r="GM212" s="16"/>
      <c r="GN212" s="16">
        <f t="shared" si="66"/>
        <v>6.66</v>
      </c>
      <c r="GO212" s="16"/>
      <c r="GP212" s="16"/>
      <c r="GQ212" s="16"/>
      <c r="GR212" s="16"/>
      <c r="GS212" s="16"/>
      <c r="GT212" s="16"/>
      <c r="GU212" s="16">
        <v>0.27</v>
      </c>
      <c r="GV212" s="16">
        <v>0.27</v>
      </c>
      <c r="GW212" s="16">
        <v>0</v>
      </c>
      <c r="GX212" s="16">
        <v>0</v>
      </c>
      <c r="GY212" s="16">
        <v>0</v>
      </c>
      <c r="GZ212" s="16">
        <v>0</v>
      </c>
      <c r="HA212" s="16">
        <v>0</v>
      </c>
      <c r="HB212">
        <v>0</v>
      </c>
      <c r="HC212" t="s">
        <v>541</v>
      </c>
      <c r="HD212">
        <v>94.5</v>
      </c>
      <c r="HE212" s="16">
        <v>88.2</v>
      </c>
      <c r="HF212" s="16">
        <v>80.400000000000006</v>
      </c>
      <c r="HG212" s="16">
        <v>73.099999999999994</v>
      </c>
      <c r="HH212">
        <v>41.34</v>
      </c>
      <c r="HI212" s="17">
        <v>0</v>
      </c>
      <c r="HJ212">
        <v>8.6300000000000008</v>
      </c>
      <c r="HK212">
        <v>0.04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8.06</v>
      </c>
      <c r="HU212">
        <v>3.65</v>
      </c>
      <c r="HV212">
        <v>7.2</v>
      </c>
      <c r="HW212">
        <v>0</v>
      </c>
      <c r="HX212">
        <v>0</v>
      </c>
      <c r="HY212">
        <v>0</v>
      </c>
      <c r="IL212">
        <v>9.4</v>
      </c>
      <c r="IM212">
        <v>1</v>
      </c>
      <c r="IN212">
        <v>35</v>
      </c>
      <c r="IO212">
        <v>2</v>
      </c>
      <c r="IP212">
        <f t="shared" si="67"/>
        <v>1.21</v>
      </c>
      <c r="IQ212">
        <v>3</v>
      </c>
      <c r="IX212" s="20"/>
      <c r="JP212">
        <v>1</v>
      </c>
      <c r="JQ212">
        <v>70</v>
      </c>
      <c r="JR212">
        <v>2</v>
      </c>
      <c r="JS212">
        <f t="shared" si="68"/>
        <v>2.44</v>
      </c>
      <c r="JT212">
        <v>2</v>
      </c>
      <c r="LA212" s="16">
        <v>0.84</v>
      </c>
      <c r="LB212" s="16">
        <v>1</v>
      </c>
      <c r="LC212" s="16">
        <v>1</v>
      </c>
      <c r="LD212" s="16"/>
      <c r="LE212" s="16">
        <v>0.6</v>
      </c>
      <c r="LF212" s="16"/>
      <c r="LG212" s="16"/>
      <c r="LH212" s="16"/>
      <c r="LI212" s="16"/>
      <c r="LJ212" s="16"/>
      <c r="LK212" s="16"/>
      <c r="LL212" s="16">
        <v>10.19</v>
      </c>
      <c r="LM212" s="16">
        <v>8.4600000000000009</v>
      </c>
      <c r="LN212" s="16">
        <v>0</v>
      </c>
      <c r="LO212" s="16">
        <v>0</v>
      </c>
      <c r="LP212" s="16">
        <v>0</v>
      </c>
      <c r="LQ212" s="16">
        <v>0</v>
      </c>
      <c r="LR212" s="16">
        <v>0</v>
      </c>
      <c r="LS212">
        <v>0</v>
      </c>
      <c r="LT212" t="s">
        <v>542</v>
      </c>
      <c r="LU212">
        <v>75</v>
      </c>
      <c r="LV212" s="16">
        <v>91.2</v>
      </c>
      <c r="LW212" s="16">
        <v>80.400000000000006</v>
      </c>
      <c r="LX212" s="16">
        <v>61</v>
      </c>
      <c r="LY212">
        <v>53.67</v>
      </c>
      <c r="LZ212" s="17">
        <v>0</v>
      </c>
      <c r="MA212">
        <v>16.760000000000002</v>
      </c>
      <c r="MB212">
        <v>29.58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6.79</v>
      </c>
      <c r="ML212">
        <v>14.97</v>
      </c>
      <c r="MM212">
        <v>18.239999999999998</v>
      </c>
      <c r="MN212">
        <v>0</v>
      </c>
      <c r="MO212">
        <v>0</v>
      </c>
      <c r="MP212">
        <v>0</v>
      </c>
      <c r="NC212">
        <v>9</v>
      </c>
      <c r="ND212">
        <v>1</v>
      </c>
      <c r="NE212">
        <v>68</v>
      </c>
      <c r="NF212">
        <v>1</v>
      </c>
      <c r="NG212">
        <v>0.38</v>
      </c>
      <c r="NH212">
        <v>1</v>
      </c>
      <c r="NI212">
        <v>47</v>
      </c>
      <c r="NJ212">
        <v>1</v>
      </c>
      <c r="NK212">
        <v>1.1299999999999999</v>
      </c>
      <c r="NL212">
        <v>3</v>
      </c>
      <c r="NO212" s="20"/>
      <c r="OG212">
        <v>1</v>
      </c>
      <c r="OH212">
        <v>70</v>
      </c>
      <c r="OI212">
        <v>2</v>
      </c>
      <c r="OJ212">
        <f t="shared" si="69"/>
        <v>2.44</v>
      </c>
      <c r="OK212">
        <v>2</v>
      </c>
      <c r="PR212" s="16">
        <v>1.88</v>
      </c>
      <c r="PS212" s="16">
        <v>1</v>
      </c>
      <c r="PT212" s="16">
        <v>1</v>
      </c>
      <c r="PU212" s="16"/>
      <c r="PV212" s="16">
        <f t="shared" si="70"/>
        <v>3.12</v>
      </c>
      <c r="PW212" s="16"/>
      <c r="PX212" s="16"/>
      <c r="PY212" s="16"/>
      <c r="PZ212" s="16"/>
      <c r="QA212" s="16"/>
      <c r="QB212" s="16"/>
      <c r="QC212" s="16">
        <v>1.5</v>
      </c>
      <c r="QD212" s="16">
        <v>1.5</v>
      </c>
      <c r="QE212" s="16">
        <v>0</v>
      </c>
      <c r="QF212" s="16">
        <v>0</v>
      </c>
      <c r="QG212" s="16">
        <v>0</v>
      </c>
      <c r="QH212" s="16">
        <v>0</v>
      </c>
      <c r="QI212" s="16">
        <v>0</v>
      </c>
      <c r="QJ212">
        <v>0</v>
      </c>
      <c r="QK212" t="s">
        <v>543</v>
      </c>
      <c r="QL212">
        <v>21</v>
      </c>
      <c r="QM212" s="16">
        <v>77.900000000000006</v>
      </c>
      <c r="QN212" s="16">
        <v>160.80000000000001</v>
      </c>
      <c r="QO212" s="16">
        <v>14.1</v>
      </c>
      <c r="QP212">
        <v>87.99</v>
      </c>
      <c r="QQ212" s="17">
        <v>0</v>
      </c>
      <c r="QR212">
        <v>3.38</v>
      </c>
      <c r="QS212">
        <v>0</v>
      </c>
      <c r="QT212">
        <v>8.6300000000000008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65.599999999999994</v>
      </c>
      <c r="RD212">
        <v>0</v>
      </c>
      <c r="RE212">
        <v>0</v>
      </c>
      <c r="RF212">
        <v>0</v>
      </c>
      <c r="RG212">
        <v>0</v>
      </c>
      <c r="RT212">
        <v>1.4</v>
      </c>
      <c r="RU212">
        <v>1</v>
      </c>
      <c r="RV212">
        <v>35</v>
      </c>
      <c r="RW212">
        <v>3</v>
      </c>
      <c r="RX212">
        <f t="shared" si="71"/>
        <v>0.38</v>
      </c>
      <c r="RY212">
        <v>3</v>
      </c>
      <c r="RZ212">
        <v>34</v>
      </c>
      <c r="SA212">
        <v>27</v>
      </c>
      <c r="SB212">
        <f t="shared" si="72"/>
        <v>8.4599999999999991</v>
      </c>
      <c r="SC212">
        <v>1</v>
      </c>
      <c r="SF212" s="20"/>
      <c r="SX212">
        <v>1</v>
      </c>
      <c r="SY212">
        <v>40</v>
      </c>
      <c r="SZ212">
        <v>9</v>
      </c>
      <c r="TA212">
        <f t="shared" si="73"/>
        <v>7.14</v>
      </c>
      <c r="TB212">
        <v>3</v>
      </c>
      <c r="UI212" s="16">
        <v>0</v>
      </c>
      <c r="UJ212" s="16">
        <v>0</v>
      </c>
      <c r="UK212" s="16"/>
      <c r="UL212" s="16"/>
      <c r="UM212" s="16"/>
      <c r="UN212" s="16"/>
      <c r="UO212" s="16"/>
      <c r="UP212" s="16"/>
      <c r="UQ212" s="16"/>
      <c r="UR212" s="16"/>
      <c r="US212" s="16"/>
      <c r="UT212" s="16">
        <v>5.27</v>
      </c>
      <c r="UU212" s="16">
        <v>1.5</v>
      </c>
      <c r="UV212" s="16">
        <v>0</v>
      </c>
      <c r="UW212" s="16">
        <v>0</v>
      </c>
      <c r="UX212" s="16">
        <v>0</v>
      </c>
      <c r="UY212" s="16">
        <v>0</v>
      </c>
      <c r="UZ212" s="16">
        <v>0</v>
      </c>
      <c r="VA212">
        <v>0</v>
      </c>
      <c r="VE212" s="15"/>
      <c r="VF212" s="15"/>
      <c r="VM212" s="15"/>
      <c r="VN212" s="15"/>
      <c r="VU212" s="15"/>
      <c r="VV212" s="15"/>
      <c r="WC212" s="15"/>
      <c r="WD212" s="15"/>
      <c r="WK212" s="15"/>
      <c r="WL212" s="15"/>
      <c r="WS212" s="15"/>
      <c r="WT212" s="15"/>
      <c r="XA212" s="15"/>
      <c r="XB212" s="15"/>
      <c r="XI212" s="15"/>
      <c r="XJ212" s="15"/>
      <c r="XQ212" s="15"/>
      <c r="XR212" s="15"/>
      <c r="XY212" s="15"/>
      <c r="XZ212" s="15"/>
      <c r="YG212" s="15"/>
      <c r="YH212" s="15"/>
      <c r="YO212" s="15"/>
      <c r="YP212" s="15"/>
      <c r="YW212" s="15"/>
      <c r="YX212" s="15"/>
      <c r="ZE212" s="15"/>
      <c r="ZF212" s="15"/>
      <c r="ZM212" s="15"/>
      <c r="ZN212" s="15"/>
      <c r="ZU212" s="15"/>
      <c r="ZV212" s="15"/>
      <c r="AAC212" s="15"/>
      <c r="AAD212" s="15"/>
      <c r="AAK212" s="15"/>
      <c r="AAL212" s="15"/>
      <c r="AAS212" s="15"/>
      <c r="AAT212" s="15"/>
      <c r="ABA212" s="15"/>
      <c r="ABB212" s="15"/>
      <c r="ABI212" s="15"/>
      <c r="ABJ212" s="15"/>
      <c r="ABQ212" s="15"/>
      <c r="ABR212" s="15"/>
      <c r="ABY212" s="15"/>
      <c r="ABZ212" s="15"/>
      <c r="ACG212" s="15"/>
      <c r="ACH212" s="15"/>
      <c r="ACO212" s="15"/>
      <c r="ACP212" s="15"/>
      <c r="ACW212" s="15"/>
      <c r="ACX212" s="15"/>
      <c r="ADE212" s="15"/>
      <c r="ADF212" s="15"/>
      <c r="ADM212" s="15"/>
      <c r="ADN212" s="15"/>
      <c r="ADU212" s="15"/>
      <c r="ADV212" s="15"/>
      <c r="AEC212" s="15"/>
      <c r="AED212" s="15"/>
      <c r="AEK212" s="15"/>
      <c r="AEL212" s="15"/>
      <c r="AES212" s="15"/>
      <c r="AET212" s="15"/>
      <c r="AFA212" s="15"/>
      <c r="AFB212" s="15"/>
      <c r="AFI212" s="15"/>
      <c r="AFJ212" s="15"/>
      <c r="AFQ212" s="15"/>
      <c r="AFR212" s="15"/>
      <c r="AFY212" s="15"/>
      <c r="AFZ212" s="15"/>
      <c r="AGG212" s="15"/>
      <c r="AGH212" s="15"/>
      <c r="AGO212" s="15"/>
      <c r="AGP212" s="15"/>
      <c r="AGW212" s="15"/>
      <c r="AGX212" s="15"/>
      <c r="AHE212" s="15"/>
      <c r="AHF212" s="15"/>
      <c r="AHM212" s="15"/>
      <c r="AHN212" s="15"/>
      <c r="AHU212" s="15"/>
      <c r="AHV212" s="15"/>
      <c r="AIC212" s="15"/>
      <c r="AID212" s="15"/>
      <c r="AIK212" s="15"/>
      <c r="AIL212" s="15"/>
      <c r="AIS212" s="15"/>
      <c r="AIT212" s="15"/>
      <c r="AJA212" s="15"/>
      <c r="AJB212" s="15"/>
      <c r="AJI212" s="15"/>
      <c r="AJJ212" s="15"/>
      <c r="AJQ212" s="15"/>
      <c r="AJR212" s="15"/>
      <c r="AJY212" s="15"/>
      <c r="AJZ212" s="15"/>
      <c r="AKG212" s="15"/>
      <c r="AKH212" s="15"/>
      <c r="AKO212" s="15"/>
      <c r="AKP212" s="15"/>
      <c r="AKW212" s="15"/>
      <c r="AKX212" s="15"/>
      <c r="ALE212" s="15"/>
      <c r="ALF212" s="15"/>
      <c r="ALM212" s="15"/>
      <c r="ALN212" s="15"/>
      <c r="ALU212" s="15"/>
      <c r="ALV212" s="15"/>
      <c r="AMC212" s="15"/>
      <c r="AMD212" s="15"/>
    </row>
    <row r="213" spans="1:1018" s="24" customFormat="1" x14ac:dyDescent="0.2">
      <c r="A213" s="22" t="s">
        <v>725</v>
      </c>
      <c r="B213" s="23">
        <v>42906</v>
      </c>
      <c r="C213" s="24">
        <v>2</v>
      </c>
      <c r="D213" s="25">
        <v>40513</v>
      </c>
      <c r="E213" s="23">
        <v>31113</v>
      </c>
      <c r="F213" s="14">
        <f t="shared" si="62"/>
        <v>32.28747433264887</v>
      </c>
      <c r="G213" s="14">
        <f t="shared" si="63"/>
        <v>6.5516769336071183</v>
      </c>
      <c r="H213" s="21" t="s">
        <v>181</v>
      </c>
      <c r="I213" s="21" t="s">
        <v>283</v>
      </c>
      <c r="J213" s="21" t="s">
        <v>181</v>
      </c>
      <c r="K213" s="21">
        <v>8</v>
      </c>
      <c r="L213" s="26">
        <v>78</v>
      </c>
      <c r="M213" s="24">
        <v>1.82</v>
      </c>
      <c r="N213" s="27">
        <f t="shared" si="64"/>
        <v>23.547880690737831</v>
      </c>
      <c r="O213" s="26">
        <v>0</v>
      </c>
      <c r="P213" s="26">
        <v>0</v>
      </c>
      <c r="Q213" s="26">
        <v>0</v>
      </c>
      <c r="R213" s="26">
        <v>0</v>
      </c>
      <c r="S213" s="26">
        <v>0</v>
      </c>
      <c r="T213" s="26">
        <v>0</v>
      </c>
      <c r="U213" s="19">
        <v>0</v>
      </c>
      <c r="V213" s="19">
        <v>0</v>
      </c>
      <c r="W213" s="26">
        <v>0</v>
      </c>
      <c r="X213" s="26">
        <v>0</v>
      </c>
      <c r="Y213" s="26">
        <v>1</v>
      </c>
      <c r="Z213" s="26">
        <v>2</v>
      </c>
      <c r="AA213" s="26">
        <v>30</v>
      </c>
      <c r="AB213" s="26" t="s">
        <v>273</v>
      </c>
      <c r="AC213" s="26">
        <v>1</v>
      </c>
      <c r="AD213" s="26">
        <v>20</v>
      </c>
      <c r="AE213" s="26">
        <v>0</v>
      </c>
      <c r="AF213" s="26">
        <v>0</v>
      </c>
      <c r="AG213" s="26">
        <v>0</v>
      </c>
      <c r="AH213" s="26">
        <v>0</v>
      </c>
      <c r="AI213" s="26">
        <v>0</v>
      </c>
      <c r="AJ213" s="26">
        <v>0</v>
      </c>
      <c r="AK213" s="26">
        <v>0</v>
      </c>
      <c r="AL213" s="26">
        <v>0</v>
      </c>
      <c r="AM213" s="19">
        <v>0</v>
      </c>
      <c r="AN213" s="26">
        <v>0</v>
      </c>
      <c r="AO213" s="26">
        <v>0</v>
      </c>
      <c r="AP213" s="26">
        <v>0</v>
      </c>
      <c r="AQ213" s="26">
        <v>0</v>
      </c>
      <c r="AR213" s="26">
        <v>0</v>
      </c>
      <c r="AS213" s="26">
        <v>0</v>
      </c>
      <c r="AT213" s="26">
        <v>0</v>
      </c>
      <c r="AU213" s="26">
        <v>0</v>
      </c>
      <c r="AV213" s="26">
        <v>0</v>
      </c>
      <c r="AW213" s="26">
        <v>0</v>
      </c>
      <c r="AX213" s="26">
        <v>0</v>
      </c>
      <c r="AY213" s="26">
        <v>0</v>
      </c>
      <c r="AZ213" s="26">
        <v>0</v>
      </c>
      <c r="BA213" s="26">
        <v>0</v>
      </c>
      <c r="BB213" s="26">
        <v>0</v>
      </c>
      <c r="BC213" s="26">
        <v>0</v>
      </c>
      <c r="BD213" s="26">
        <v>0</v>
      </c>
      <c r="BE213" s="26">
        <v>0</v>
      </c>
      <c r="BF213" s="26">
        <v>0</v>
      </c>
      <c r="BG213" s="26">
        <v>0</v>
      </c>
      <c r="BH213" s="26">
        <v>0</v>
      </c>
      <c r="BI213" s="26">
        <v>0</v>
      </c>
      <c r="BJ213" s="26">
        <v>0</v>
      </c>
      <c r="BK213" s="26">
        <v>0</v>
      </c>
      <c r="BL213" s="26">
        <v>0</v>
      </c>
      <c r="BM213" s="26">
        <v>0</v>
      </c>
      <c r="BN213" s="26">
        <v>0</v>
      </c>
      <c r="BO213" s="26">
        <v>0</v>
      </c>
      <c r="BP213" s="26">
        <v>0</v>
      </c>
      <c r="BQ213" s="26">
        <v>0</v>
      </c>
      <c r="BR213" s="26">
        <v>4</v>
      </c>
      <c r="BS213" s="26">
        <v>3</v>
      </c>
      <c r="BT213" s="26">
        <v>3</v>
      </c>
      <c r="BU213" s="26">
        <v>5</v>
      </c>
      <c r="BV213" s="26">
        <v>4</v>
      </c>
      <c r="BW213" s="26">
        <v>2</v>
      </c>
      <c r="BX213" s="26">
        <v>5</v>
      </c>
      <c r="BY213" s="26">
        <v>5</v>
      </c>
      <c r="BZ213" s="26">
        <v>5</v>
      </c>
      <c r="CA213" s="26">
        <v>2</v>
      </c>
      <c r="CB213" s="26">
        <v>2</v>
      </c>
      <c r="CC213" s="26">
        <v>5</v>
      </c>
      <c r="CD213" s="26">
        <v>5</v>
      </c>
      <c r="CE213" s="26">
        <v>5</v>
      </c>
      <c r="CF213" s="26">
        <v>5</v>
      </c>
      <c r="CG213" s="26">
        <v>5</v>
      </c>
      <c r="CH213" s="26">
        <v>5</v>
      </c>
      <c r="CI213" s="26">
        <v>5</v>
      </c>
      <c r="CJ213" s="26">
        <v>5</v>
      </c>
      <c r="CK213" s="26">
        <v>9</v>
      </c>
      <c r="CL213" s="24" t="s">
        <v>285</v>
      </c>
      <c r="CM213" s="24">
        <v>70</v>
      </c>
      <c r="CN213" s="27">
        <v>79.8</v>
      </c>
      <c r="CO213" s="27">
        <v>80.400000000000006</v>
      </c>
      <c r="CP213" s="27">
        <v>62.1</v>
      </c>
      <c r="CQ213" s="24">
        <v>39.51</v>
      </c>
      <c r="CR213" s="29">
        <v>0</v>
      </c>
      <c r="CS213" s="24">
        <v>47.45</v>
      </c>
      <c r="CT213" s="24">
        <v>13.05</v>
      </c>
      <c r="CU213" s="24">
        <v>0</v>
      </c>
      <c r="CV213" s="24">
        <v>0</v>
      </c>
      <c r="CW213" s="24">
        <v>0</v>
      </c>
      <c r="CX213" s="24">
        <v>0</v>
      </c>
      <c r="CY213" s="24">
        <v>0</v>
      </c>
      <c r="CZ213" s="24">
        <v>0</v>
      </c>
      <c r="DA213" s="24">
        <v>0</v>
      </c>
      <c r="DB213" s="24">
        <v>0</v>
      </c>
      <c r="DC213" s="24">
        <v>0</v>
      </c>
      <c r="DD213" s="24">
        <v>30.76</v>
      </c>
      <c r="DE213" s="24">
        <v>14.19</v>
      </c>
      <c r="DF213" s="24">
        <v>0</v>
      </c>
      <c r="DG213" s="24">
        <v>0</v>
      </c>
      <c r="DH213" s="24">
        <v>0</v>
      </c>
      <c r="DU213" s="24">
        <v>0.3</v>
      </c>
      <c r="DV213" s="24">
        <v>1</v>
      </c>
      <c r="DW213" s="24">
        <v>68</v>
      </c>
      <c r="DX213" s="24">
        <v>1</v>
      </c>
      <c r="DY213" s="24">
        <v>0.13</v>
      </c>
      <c r="DZ213" s="24">
        <v>1</v>
      </c>
      <c r="EG213" s="28"/>
      <c r="EY213" s="24">
        <v>0</v>
      </c>
      <c r="GJ213" s="27">
        <v>0.63</v>
      </c>
      <c r="GK213" s="27">
        <v>1</v>
      </c>
      <c r="GL213" s="27">
        <v>1</v>
      </c>
      <c r="GM213" s="27"/>
      <c r="GN213" s="27">
        <v>1.52</v>
      </c>
      <c r="GO213" s="27"/>
      <c r="GP213" s="27"/>
      <c r="GQ213" s="27"/>
      <c r="GR213" s="27"/>
      <c r="GS213" s="27"/>
      <c r="GT213" s="27"/>
      <c r="GU213" s="27">
        <v>3.55</v>
      </c>
      <c r="GV213" s="27">
        <v>4.46</v>
      </c>
      <c r="GW213" s="27"/>
      <c r="GX213" s="27"/>
      <c r="GY213" s="27">
        <v>0</v>
      </c>
      <c r="GZ213" s="27">
        <v>0</v>
      </c>
      <c r="HA213" s="27">
        <v>0</v>
      </c>
      <c r="HB213" s="24">
        <v>0</v>
      </c>
      <c r="HC213" s="24" t="s">
        <v>286</v>
      </c>
      <c r="HD213" s="24">
        <v>95.5</v>
      </c>
      <c r="HE213" s="27">
        <v>99.1</v>
      </c>
      <c r="HF213" s="27">
        <v>80.400000000000006</v>
      </c>
      <c r="HG213" s="27">
        <v>90.4</v>
      </c>
      <c r="HH213" s="24">
        <v>24.15</v>
      </c>
      <c r="HI213" s="29">
        <v>0</v>
      </c>
      <c r="HJ213" s="24">
        <v>31.26</v>
      </c>
      <c r="HK213" s="24">
        <v>44.6</v>
      </c>
      <c r="HL213" s="24">
        <v>0</v>
      </c>
      <c r="HM213" s="24">
        <v>0</v>
      </c>
      <c r="HN213" s="24">
        <v>0</v>
      </c>
      <c r="HO213" s="24">
        <v>0</v>
      </c>
      <c r="HP213" s="24">
        <v>0</v>
      </c>
      <c r="HQ213" s="24">
        <v>0</v>
      </c>
      <c r="HR213" s="24">
        <v>0</v>
      </c>
      <c r="HS213" s="24">
        <v>0</v>
      </c>
      <c r="HT213" s="24">
        <v>0</v>
      </c>
      <c r="HU213" s="24">
        <v>24.75</v>
      </c>
      <c r="HV213" s="24">
        <v>2.4700000000000002</v>
      </c>
      <c r="HW213" s="24">
        <v>0</v>
      </c>
      <c r="HX213" s="24">
        <v>0</v>
      </c>
      <c r="HY213" s="24">
        <v>0</v>
      </c>
      <c r="IL213" s="24">
        <v>0.2</v>
      </c>
      <c r="IM213" s="24">
        <v>1</v>
      </c>
      <c r="IN213" s="24">
        <v>34</v>
      </c>
      <c r="IO213" s="24">
        <v>16</v>
      </c>
      <c r="IP213" s="24">
        <f>6.09+1.07</f>
        <v>7.16</v>
      </c>
      <c r="IQ213" s="24">
        <v>1</v>
      </c>
      <c r="IR213" s="24">
        <v>68</v>
      </c>
      <c r="IS213" s="24">
        <v>1</v>
      </c>
      <c r="IT213" s="24">
        <v>0.13</v>
      </c>
      <c r="IU213" s="24">
        <v>1</v>
      </c>
      <c r="IX213" s="28"/>
      <c r="JP213" s="24">
        <v>0</v>
      </c>
      <c r="LA213" s="27">
        <v>0.63</v>
      </c>
      <c r="LB213" s="27">
        <v>1</v>
      </c>
      <c r="LC213" s="27">
        <v>1</v>
      </c>
      <c r="LD213" s="27"/>
      <c r="LE213" s="27">
        <v>1.52</v>
      </c>
      <c r="LF213" s="27"/>
      <c r="LG213" s="27"/>
      <c r="LH213" s="27"/>
      <c r="LI213" s="27"/>
      <c r="LJ213" s="27"/>
      <c r="LK213" s="27"/>
      <c r="LL213" s="27">
        <v>0</v>
      </c>
      <c r="LM213" s="27">
        <v>0</v>
      </c>
      <c r="LN213" s="27"/>
      <c r="LO213" s="27"/>
      <c r="LP213" s="27">
        <v>0</v>
      </c>
      <c r="LQ213" s="27">
        <v>0</v>
      </c>
      <c r="LR213" s="27">
        <v>0</v>
      </c>
      <c r="LS213" s="24">
        <v>0</v>
      </c>
      <c r="LT213" s="24" t="s">
        <v>287</v>
      </c>
      <c r="LU213" s="24">
        <v>61.5</v>
      </c>
      <c r="LV213" s="27">
        <v>83.5</v>
      </c>
      <c r="LW213" s="27">
        <v>80.400000000000006</v>
      </c>
      <c r="LX213" s="27">
        <v>56.1</v>
      </c>
      <c r="LY213" s="24">
        <v>51.73</v>
      </c>
      <c r="LZ213" s="29">
        <v>0</v>
      </c>
      <c r="MA213" s="24">
        <v>30.08</v>
      </c>
      <c r="MB213" s="24">
        <v>18.190000000000001</v>
      </c>
      <c r="MC213" s="24">
        <v>0</v>
      </c>
      <c r="MD213" s="24">
        <v>0</v>
      </c>
      <c r="ME213" s="24">
        <v>0</v>
      </c>
      <c r="MF213" s="24">
        <v>0</v>
      </c>
      <c r="MG213" s="24">
        <v>0</v>
      </c>
      <c r="MH213" s="24">
        <v>0</v>
      </c>
      <c r="MI213" s="24">
        <v>0</v>
      </c>
      <c r="MJ213" s="24">
        <v>0</v>
      </c>
      <c r="MK213" s="24">
        <v>0.3</v>
      </c>
      <c r="ML213" s="24">
        <v>27.59</v>
      </c>
      <c r="MM213" s="24">
        <v>0</v>
      </c>
      <c r="MN213" s="24">
        <v>0</v>
      </c>
      <c r="MO213" s="24">
        <v>0</v>
      </c>
      <c r="MP213" s="24">
        <v>0</v>
      </c>
      <c r="NC213" s="24">
        <v>0</v>
      </c>
      <c r="ND213" s="24">
        <v>0</v>
      </c>
      <c r="NO213" s="28"/>
      <c r="OG213" s="24">
        <v>0</v>
      </c>
      <c r="PR213" s="27">
        <v>1.96</v>
      </c>
      <c r="PS213" s="27">
        <v>1</v>
      </c>
      <c r="PT213" s="27">
        <v>1</v>
      </c>
      <c r="PU213" s="27"/>
      <c r="PV213" s="27">
        <f>5.53+3.68+1.71+1.12+0.74</f>
        <v>12.780000000000003</v>
      </c>
      <c r="PW213" s="27"/>
      <c r="PX213" s="27"/>
      <c r="PY213" s="27"/>
      <c r="PZ213" s="27"/>
      <c r="QA213" s="27"/>
      <c r="QB213" s="27"/>
      <c r="QC213" s="27">
        <v>0.94</v>
      </c>
      <c r="QD213" s="27">
        <v>0.94</v>
      </c>
      <c r="QE213" s="27"/>
      <c r="QF213" s="27"/>
      <c r="QG213" s="27">
        <v>0</v>
      </c>
      <c r="QH213" s="27">
        <v>0</v>
      </c>
      <c r="QI213" s="27">
        <v>0</v>
      </c>
      <c r="QJ213" s="24">
        <v>0</v>
      </c>
      <c r="QK213" s="24" t="s">
        <v>288</v>
      </c>
      <c r="QL213" s="24">
        <v>77.5</v>
      </c>
      <c r="QM213" s="27">
        <v>87.4</v>
      </c>
      <c r="QN213" s="27">
        <v>80.400000000000006</v>
      </c>
      <c r="QO213" s="27">
        <v>53.5</v>
      </c>
      <c r="QP213" s="24">
        <v>51.28</v>
      </c>
      <c r="QQ213" s="29">
        <v>0</v>
      </c>
      <c r="QR213" s="24">
        <v>27.27</v>
      </c>
      <c r="QS213" s="24">
        <v>21.22</v>
      </c>
      <c r="QT213" s="24">
        <v>0</v>
      </c>
      <c r="QU213" s="24">
        <v>0</v>
      </c>
      <c r="QV213" s="24">
        <v>0</v>
      </c>
      <c r="QW213" s="24">
        <v>0</v>
      </c>
      <c r="QX213" s="24">
        <v>0</v>
      </c>
      <c r="QY213" s="24">
        <v>0</v>
      </c>
      <c r="QZ213" s="24">
        <v>0</v>
      </c>
      <c r="RA213" s="24">
        <v>0</v>
      </c>
      <c r="RB213" s="24">
        <v>5.93</v>
      </c>
      <c r="RC213" s="24">
        <v>4.6100000000000003</v>
      </c>
      <c r="RD213" s="24">
        <v>5.38</v>
      </c>
      <c r="RE213" s="24">
        <v>0</v>
      </c>
      <c r="RF213" s="24">
        <v>15.4</v>
      </c>
      <c r="RG213" s="24">
        <v>1</v>
      </c>
      <c r="RH213" s="24">
        <v>4</v>
      </c>
      <c r="RJ213" s="24">
        <v>2</v>
      </c>
      <c r="RN213" s="24">
        <v>4</v>
      </c>
      <c r="RP213" s="24">
        <v>2</v>
      </c>
      <c r="RT213" s="24">
        <v>6.7</v>
      </c>
      <c r="RU213" s="24">
        <v>1</v>
      </c>
      <c r="RV213" s="24">
        <v>35</v>
      </c>
      <c r="RW213" s="24">
        <v>6</v>
      </c>
      <c r="RX213" s="24">
        <v>0.8</v>
      </c>
      <c r="RY213" s="24">
        <v>3</v>
      </c>
      <c r="RZ213" s="24">
        <v>47</v>
      </c>
      <c r="SA213" s="24">
        <v>1</v>
      </c>
      <c r="SB213" s="24">
        <v>0.13</v>
      </c>
      <c r="SC213" s="24">
        <v>3</v>
      </c>
      <c r="SF213" s="28"/>
      <c r="SX213" s="24">
        <v>1</v>
      </c>
      <c r="SY213" s="24">
        <v>60</v>
      </c>
      <c r="SZ213" s="24">
        <v>3</v>
      </c>
      <c r="TA213" s="24">
        <v>1.35</v>
      </c>
      <c r="TB213" s="24">
        <v>2</v>
      </c>
      <c r="UI213" s="27">
        <v>0</v>
      </c>
      <c r="UJ213" s="27">
        <v>0</v>
      </c>
      <c r="UK213" s="27"/>
      <c r="UL213" s="27"/>
      <c r="UM213" s="27"/>
      <c r="UN213" s="27"/>
      <c r="UO213" s="27"/>
      <c r="UP213" s="27"/>
      <c r="UQ213" s="27"/>
      <c r="UR213" s="27"/>
      <c r="US213" s="27"/>
      <c r="UT213" s="27">
        <v>0</v>
      </c>
      <c r="UU213" s="27">
        <v>0</v>
      </c>
      <c r="UV213" s="27"/>
      <c r="UW213" s="27"/>
      <c r="UX213" s="27">
        <v>0</v>
      </c>
      <c r="UY213" s="27">
        <v>0</v>
      </c>
      <c r="UZ213" s="27">
        <v>0</v>
      </c>
      <c r="VA213" s="24">
        <v>0</v>
      </c>
      <c r="VB213" s="24" t="s">
        <v>289</v>
      </c>
      <c r="VC213" s="24">
        <v>44</v>
      </c>
      <c r="VD213" s="27">
        <v>69.900000000000006</v>
      </c>
      <c r="VE213" s="27">
        <v>80.400000000000006</v>
      </c>
      <c r="VF213" s="27">
        <v>41</v>
      </c>
      <c r="VG213" s="24">
        <v>68.16</v>
      </c>
      <c r="VH213" s="29">
        <v>0</v>
      </c>
      <c r="VI213" s="24">
        <v>11.52</v>
      </c>
      <c r="VJ213" s="24">
        <v>20.32</v>
      </c>
      <c r="VK213" s="24">
        <v>0</v>
      </c>
      <c r="VL213" s="24">
        <v>0</v>
      </c>
      <c r="VM213" s="24">
        <v>0</v>
      </c>
      <c r="VN213" s="24">
        <v>0</v>
      </c>
      <c r="VO213" s="24">
        <v>0</v>
      </c>
      <c r="VP213" s="24">
        <v>0</v>
      </c>
      <c r="VQ213" s="24">
        <v>0</v>
      </c>
      <c r="VR213" s="24">
        <v>0</v>
      </c>
      <c r="VS213" s="24">
        <v>13.13</v>
      </c>
      <c r="VT213" s="24">
        <v>8.66</v>
      </c>
      <c r="VU213" s="24">
        <v>0</v>
      </c>
      <c r="VV213" s="24">
        <v>0</v>
      </c>
      <c r="VW213" s="24">
        <v>0</v>
      </c>
      <c r="VX213" s="24">
        <v>0</v>
      </c>
      <c r="WK213" s="24">
        <v>1.5</v>
      </c>
      <c r="WL213" s="24">
        <v>1</v>
      </c>
      <c r="WM213" s="24">
        <v>47</v>
      </c>
      <c r="WN213" s="24">
        <v>5</v>
      </c>
      <c r="WO213" s="24">
        <f>0.15+0.04</f>
        <v>0.19</v>
      </c>
      <c r="WP213" s="24">
        <v>3</v>
      </c>
      <c r="WQ213" s="24">
        <v>25</v>
      </c>
      <c r="WR213" s="24">
        <v>1</v>
      </c>
      <c r="WS213" s="24">
        <v>0.4</v>
      </c>
      <c r="WT213" s="24">
        <v>1</v>
      </c>
      <c r="WW213" s="28"/>
      <c r="XO213" s="24">
        <v>0</v>
      </c>
      <c r="YZ213" s="27">
        <v>0.11</v>
      </c>
      <c r="ZA213" s="27">
        <v>1</v>
      </c>
      <c r="ZB213" s="27">
        <v>1</v>
      </c>
      <c r="ZC213" s="27"/>
      <c r="ZD213" s="27">
        <v>0.56000000000000005</v>
      </c>
      <c r="ZE213" s="27"/>
      <c r="ZF213" s="27"/>
      <c r="ZG213" s="27"/>
      <c r="ZH213" s="27"/>
      <c r="ZI213" s="27"/>
      <c r="ZJ213" s="27"/>
      <c r="ZK213" s="27">
        <v>0</v>
      </c>
      <c r="ZL213" s="27">
        <v>0</v>
      </c>
      <c r="ZM213" s="27"/>
      <c r="ZN213" s="27"/>
      <c r="ZO213" s="27">
        <v>0</v>
      </c>
      <c r="ZP213" s="27">
        <v>0</v>
      </c>
      <c r="ZQ213" s="27">
        <v>0</v>
      </c>
      <c r="ZR213" s="24">
        <v>0</v>
      </c>
      <c r="ZS213" s="24" t="s">
        <v>290</v>
      </c>
      <c r="ZT213" s="24">
        <v>43</v>
      </c>
      <c r="ZU213" s="27">
        <v>49.3</v>
      </c>
      <c r="ZV213" s="27">
        <v>80.400000000000006</v>
      </c>
      <c r="ZW213" s="27">
        <v>32.9</v>
      </c>
      <c r="ZX213" s="24">
        <v>73.52</v>
      </c>
      <c r="ZY213" s="29">
        <v>0</v>
      </c>
      <c r="ZZ213" s="24">
        <v>16.84</v>
      </c>
      <c r="AAA213" s="24">
        <v>9.64</v>
      </c>
      <c r="AAB213" s="24">
        <v>0</v>
      </c>
      <c r="AAC213" s="24">
        <v>0</v>
      </c>
      <c r="AAD213" s="24">
        <v>0</v>
      </c>
      <c r="AAE213" s="24">
        <v>0</v>
      </c>
      <c r="AAF213" s="24">
        <v>0</v>
      </c>
      <c r="AAG213" s="24">
        <v>0</v>
      </c>
      <c r="AAH213" s="24">
        <v>0</v>
      </c>
      <c r="AAI213" s="24">
        <v>0</v>
      </c>
      <c r="AAJ213" s="24">
        <v>13.52</v>
      </c>
      <c r="AAK213" s="24">
        <v>3.69</v>
      </c>
      <c r="AAL213" s="24">
        <v>3.85</v>
      </c>
      <c r="AAM213" s="24">
        <v>0</v>
      </c>
      <c r="AAN213" s="24">
        <v>0</v>
      </c>
      <c r="AAO213" s="24">
        <v>0</v>
      </c>
      <c r="ABB213" s="24">
        <v>7.4</v>
      </c>
      <c r="ABC213" s="24">
        <v>1</v>
      </c>
      <c r="ABD213" s="24">
        <v>47</v>
      </c>
      <c r="ABE213" s="24">
        <v>11</v>
      </c>
      <c r="ABF213" s="24">
        <f>2.09+0.15+0.04</f>
        <v>2.2799999999999998</v>
      </c>
      <c r="ABG213" s="24">
        <v>3</v>
      </c>
      <c r="ABN213" s="28"/>
      <c r="ACF213" s="24">
        <v>0</v>
      </c>
      <c r="ADQ213" s="27">
        <v>0.28000000000000003</v>
      </c>
      <c r="ADR213" s="27">
        <v>1</v>
      </c>
      <c r="ADS213" s="27">
        <v>1</v>
      </c>
      <c r="ADT213" s="27"/>
      <c r="ADU213" s="27">
        <v>0.56000000000000005</v>
      </c>
      <c r="ADV213" s="27"/>
      <c r="ADW213" s="27"/>
      <c r="ADX213" s="27"/>
      <c r="ADY213" s="27"/>
      <c r="ADZ213" s="27"/>
      <c r="AEA213" s="27"/>
      <c r="AEB213" s="27">
        <v>0.99</v>
      </c>
      <c r="AEC213" s="27">
        <v>0.39</v>
      </c>
      <c r="AED213" s="27"/>
      <c r="AEE213" s="27"/>
      <c r="AEF213" s="27">
        <v>0</v>
      </c>
      <c r="AEG213" s="27">
        <v>0</v>
      </c>
      <c r="AEH213" s="27">
        <v>0</v>
      </c>
      <c r="AEI213" s="24">
        <v>0</v>
      </c>
      <c r="AEJ213" s="24">
        <v>56</v>
      </c>
      <c r="AEK213" s="24">
        <v>26.5</v>
      </c>
      <c r="AEL213" s="27">
        <v>66.099999999999994</v>
      </c>
      <c r="AEM213" s="27">
        <v>80.400000000000006</v>
      </c>
      <c r="AEN213" s="27">
        <v>15</v>
      </c>
      <c r="AEO213" s="24">
        <v>89</v>
      </c>
      <c r="AEP213" s="29">
        <v>0</v>
      </c>
      <c r="AEQ213" s="24">
        <v>7.09</v>
      </c>
      <c r="AER213" s="24">
        <v>2.12</v>
      </c>
      <c r="AES213" s="24">
        <v>0</v>
      </c>
      <c r="AET213" s="24">
        <v>0</v>
      </c>
      <c r="AEU213" s="24">
        <v>0</v>
      </c>
      <c r="AEV213" s="24">
        <v>0</v>
      </c>
      <c r="AEW213" s="24">
        <v>0</v>
      </c>
      <c r="AEX213" s="24">
        <v>0</v>
      </c>
      <c r="AEY213" s="24">
        <v>0</v>
      </c>
      <c r="AEZ213" s="24">
        <v>0</v>
      </c>
      <c r="AFA213" s="24">
        <v>4.26</v>
      </c>
      <c r="AFB213" s="24">
        <v>32.68</v>
      </c>
      <c r="AFC213" s="24">
        <v>1.91</v>
      </c>
      <c r="AFD213" s="24">
        <v>0</v>
      </c>
      <c r="AFE213" s="24">
        <v>0</v>
      </c>
      <c r="AFF213" s="24">
        <v>0</v>
      </c>
      <c r="AFS213" s="24">
        <v>0</v>
      </c>
      <c r="AFT213" s="24">
        <v>0</v>
      </c>
      <c r="AGE213" s="28"/>
      <c r="AGW213" s="24">
        <v>0</v>
      </c>
      <c r="AIH213" s="27">
        <v>3.52</v>
      </c>
      <c r="AII213" s="27">
        <v>1</v>
      </c>
      <c r="AIJ213" s="27">
        <v>1</v>
      </c>
      <c r="AIK213" s="27"/>
      <c r="AIL213" s="27">
        <f>3.13+3.17*4</f>
        <v>15.809999999999999</v>
      </c>
      <c r="AIM213" s="27">
        <v>2</v>
      </c>
      <c r="AIN213" s="27"/>
      <c r="AIO213" s="27">
        <v>0.87</v>
      </c>
      <c r="AIP213" s="27"/>
      <c r="AIQ213" s="27"/>
      <c r="AIR213" s="27"/>
      <c r="AIS213" s="27">
        <v>5.36</v>
      </c>
      <c r="AIT213" s="27">
        <v>8.39</v>
      </c>
      <c r="AIU213" s="27"/>
      <c r="AIV213" s="27"/>
      <c r="AIW213" s="27">
        <v>0</v>
      </c>
      <c r="AIX213" s="27">
        <v>0</v>
      </c>
      <c r="AIY213" s="27">
        <v>0</v>
      </c>
      <c r="AIZ213" s="24">
        <v>0</v>
      </c>
      <c r="AJA213" s="24" t="s">
        <v>291</v>
      </c>
      <c r="AJB213" s="24">
        <v>35.5</v>
      </c>
      <c r="AJC213" s="27">
        <v>84</v>
      </c>
      <c r="AJD213" s="27">
        <v>80.400000000000006</v>
      </c>
      <c r="AJE213" s="27">
        <v>10.5</v>
      </c>
      <c r="AJF213" s="24">
        <v>95.42</v>
      </c>
      <c r="AJG213" s="29">
        <v>0</v>
      </c>
      <c r="AJH213" s="24">
        <v>4.58</v>
      </c>
      <c r="AJI213" s="24">
        <v>0</v>
      </c>
      <c r="AJJ213" s="24">
        <v>0</v>
      </c>
      <c r="AJK213" s="24">
        <v>0</v>
      </c>
      <c r="AJL213" s="24">
        <v>0</v>
      </c>
      <c r="AJM213" s="24">
        <v>0</v>
      </c>
      <c r="AJN213" s="24">
        <v>0</v>
      </c>
      <c r="AJO213" s="24">
        <v>0</v>
      </c>
      <c r="AJP213" s="24">
        <v>0</v>
      </c>
      <c r="AJQ213" s="24">
        <v>0</v>
      </c>
      <c r="AJR213" s="24">
        <v>17.829999999999998</v>
      </c>
      <c r="AJS213" s="24">
        <v>40.99</v>
      </c>
      <c r="AJT213" s="24">
        <v>9.34</v>
      </c>
      <c r="AJU213" s="24">
        <v>0</v>
      </c>
      <c r="AJV213" s="24">
        <v>0</v>
      </c>
      <c r="AJW213" s="24">
        <v>0</v>
      </c>
      <c r="AKJ213" s="24">
        <v>4.4000000000000004</v>
      </c>
      <c r="AKK213" s="24">
        <v>1</v>
      </c>
      <c r="AKL213" s="24">
        <v>34</v>
      </c>
      <c r="AKM213" s="24">
        <v>10</v>
      </c>
      <c r="AKN213" s="24">
        <f>8.56+1.51</f>
        <v>10.07</v>
      </c>
      <c r="AKO213" s="24">
        <v>1</v>
      </c>
      <c r="AKP213" s="24">
        <v>68</v>
      </c>
      <c r="AKQ213" s="24">
        <v>6</v>
      </c>
      <c r="AKR213" s="24">
        <f>3.43+0.6</f>
        <v>4.03</v>
      </c>
      <c r="AKS213" s="24">
        <v>1</v>
      </c>
      <c r="AKV213" s="28"/>
      <c r="ALN213" s="24">
        <v>0</v>
      </c>
    </row>
    <row r="214" spans="1:1018" x14ac:dyDescent="0.2">
      <c r="A214" s="1" t="s">
        <v>726</v>
      </c>
      <c r="B214" s="12">
        <v>42905</v>
      </c>
      <c r="C214">
        <v>2</v>
      </c>
      <c r="D214" s="13">
        <v>42818</v>
      </c>
      <c r="E214" s="12">
        <v>33617</v>
      </c>
      <c r="F214" s="14">
        <f t="shared" si="62"/>
        <v>25.429158110882955</v>
      </c>
      <c r="G214" s="14">
        <f t="shared" si="63"/>
        <v>0.23819301848049282</v>
      </c>
      <c r="H214" s="15" t="s">
        <v>181</v>
      </c>
      <c r="I214" s="15" t="s">
        <v>194</v>
      </c>
      <c r="J214" s="21" t="s">
        <v>181</v>
      </c>
      <c r="K214" s="21">
        <v>8</v>
      </c>
      <c r="L214" s="19">
        <v>78</v>
      </c>
      <c r="M214">
        <v>1.7</v>
      </c>
      <c r="N214" s="16">
        <f t="shared" si="64"/>
        <v>26.989619377162633</v>
      </c>
      <c r="O214" s="19">
        <v>0</v>
      </c>
      <c r="P214" s="19">
        <v>0</v>
      </c>
      <c r="Q214" s="19">
        <v>0</v>
      </c>
      <c r="R214" s="26">
        <v>0</v>
      </c>
      <c r="S214" s="26">
        <v>0</v>
      </c>
      <c r="T214" s="26">
        <v>0</v>
      </c>
      <c r="U214" s="19">
        <v>0</v>
      </c>
      <c r="V214" s="19">
        <v>0</v>
      </c>
      <c r="W214" s="19">
        <v>0</v>
      </c>
      <c r="X214" s="19">
        <v>0</v>
      </c>
      <c r="Y214" s="19">
        <v>1</v>
      </c>
      <c r="Z214" s="19">
        <v>1</v>
      </c>
      <c r="AA214" s="19">
        <v>90</v>
      </c>
      <c r="AB214" s="19" t="s">
        <v>308</v>
      </c>
      <c r="AC214" s="19">
        <v>0</v>
      </c>
      <c r="AD214" s="19">
        <v>0</v>
      </c>
      <c r="AE214" s="19">
        <v>0</v>
      </c>
      <c r="AF214" s="19">
        <v>0</v>
      </c>
      <c r="AG214" s="19">
        <v>0</v>
      </c>
      <c r="AH214" s="19">
        <v>0</v>
      </c>
      <c r="AI214" s="19">
        <v>0</v>
      </c>
      <c r="AJ214" s="19">
        <v>0</v>
      </c>
      <c r="AK214" s="19">
        <v>0</v>
      </c>
      <c r="AL214" s="19">
        <v>0</v>
      </c>
      <c r="AM214" s="19">
        <v>0</v>
      </c>
      <c r="AN214" s="19">
        <v>0</v>
      </c>
      <c r="AO214" s="19">
        <v>0</v>
      </c>
      <c r="AP214" s="19">
        <v>0</v>
      </c>
      <c r="AQ214" s="19">
        <v>0</v>
      </c>
      <c r="AR214" s="19">
        <v>0</v>
      </c>
      <c r="AS214" s="19">
        <v>0</v>
      </c>
      <c r="AT214" s="19">
        <v>0</v>
      </c>
      <c r="AU214" s="19">
        <v>0</v>
      </c>
      <c r="AV214" s="19">
        <v>0</v>
      </c>
      <c r="AW214" s="19">
        <v>0</v>
      </c>
      <c r="AX214" s="19">
        <v>0</v>
      </c>
      <c r="AY214" s="19">
        <v>0</v>
      </c>
      <c r="AZ214" s="19">
        <v>0</v>
      </c>
      <c r="BA214" s="19">
        <v>0</v>
      </c>
      <c r="BB214" s="19">
        <v>0</v>
      </c>
      <c r="BC214" s="19">
        <v>0</v>
      </c>
      <c r="BD214" s="19">
        <v>0</v>
      </c>
      <c r="BE214" s="19">
        <v>0</v>
      </c>
      <c r="BF214" s="19">
        <v>0</v>
      </c>
      <c r="BG214" s="19">
        <v>0</v>
      </c>
      <c r="BH214" s="19">
        <v>0</v>
      </c>
      <c r="BI214" s="19">
        <v>0</v>
      </c>
      <c r="BJ214" s="19">
        <v>0</v>
      </c>
      <c r="BK214" s="19">
        <v>0</v>
      </c>
      <c r="BL214" s="19">
        <v>0</v>
      </c>
      <c r="BM214" s="19">
        <v>0</v>
      </c>
      <c r="BN214" s="19">
        <v>0</v>
      </c>
      <c r="BO214" s="19">
        <v>0</v>
      </c>
      <c r="BP214" s="19">
        <v>0</v>
      </c>
      <c r="BQ214" s="19">
        <v>0</v>
      </c>
      <c r="BR214" s="19">
        <v>2</v>
      </c>
      <c r="BS214" s="19">
        <v>2</v>
      </c>
      <c r="BT214" s="19">
        <v>3</v>
      </c>
      <c r="BU214" s="19">
        <v>3</v>
      </c>
      <c r="BV214" s="19">
        <v>3</v>
      </c>
      <c r="BW214" s="19">
        <v>3</v>
      </c>
      <c r="BX214" s="19">
        <v>3</v>
      </c>
      <c r="BY214" s="19">
        <v>4</v>
      </c>
      <c r="BZ214" s="19">
        <v>4</v>
      </c>
      <c r="CA214" s="19">
        <v>4</v>
      </c>
      <c r="CB214" s="19">
        <v>4</v>
      </c>
      <c r="CC214" s="19">
        <v>4</v>
      </c>
      <c r="CD214" s="19">
        <v>4</v>
      </c>
      <c r="CE214" s="19">
        <v>4</v>
      </c>
      <c r="CF214" s="19">
        <v>4</v>
      </c>
      <c r="CG214" s="19">
        <v>4</v>
      </c>
      <c r="CH214" s="19">
        <v>4</v>
      </c>
      <c r="CI214" s="19">
        <v>4</v>
      </c>
      <c r="CJ214" s="19">
        <v>4</v>
      </c>
      <c r="CK214" s="19">
        <v>7</v>
      </c>
      <c r="CL214" t="s">
        <v>195</v>
      </c>
      <c r="CM214">
        <v>37.5</v>
      </c>
      <c r="CN214" s="16">
        <v>87.4</v>
      </c>
      <c r="CO214" s="16">
        <v>80.400000000000006</v>
      </c>
      <c r="CP214" s="16">
        <v>18.5</v>
      </c>
      <c r="CQ214">
        <v>84.21</v>
      </c>
      <c r="CR214" s="17">
        <v>0</v>
      </c>
      <c r="CS214">
        <v>0</v>
      </c>
      <c r="CT214">
        <v>0</v>
      </c>
      <c r="CU214">
        <v>15.79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26.71</v>
      </c>
      <c r="DC214">
        <v>13.13</v>
      </c>
      <c r="DD214">
        <v>49.12</v>
      </c>
      <c r="DE214">
        <v>14.67</v>
      </c>
      <c r="DF214">
        <v>0</v>
      </c>
      <c r="DG214">
        <v>0</v>
      </c>
      <c r="DH214">
        <v>0</v>
      </c>
      <c r="DU214">
        <v>1.1000000000000001</v>
      </c>
      <c r="DV214">
        <v>1</v>
      </c>
      <c r="DW214">
        <v>52</v>
      </c>
      <c r="DX214">
        <v>1</v>
      </c>
      <c r="DY214">
        <v>0.22</v>
      </c>
      <c r="DZ214">
        <v>2</v>
      </c>
      <c r="EA214">
        <v>35</v>
      </c>
      <c r="EB214">
        <v>2</v>
      </c>
      <c r="EC214">
        <v>0.16</v>
      </c>
      <c r="ED214">
        <v>3</v>
      </c>
      <c r="EG214" s="20"/>
      <c r="EY214">
        <v>0</v>
      </c>
      <c r="GJ214" s="16">
        <v>4.3</v>
      </c>
      <c r="GK214" s="16">
        <v>1</v>
      </c>
      <c r="GL214" s="16">
        <v>1</v>
      </c>
      <c r="GM214" s="16"/>
      <c r="GN214" s="16">
        <f>(2.11*6)+0.9+0.9+0.62+0.62+0.93+0.3+0.3+0.22+0.22+0.23+0.22+0.22+0.22</f>
        <v>18.559999999999995</v>
      </c>
      <c r="GO214" s="16"/>
      <c r="GP214" s="16"/>
      <c r="GQ214" s="16"/>
      <c r="GR214" s="16"/>
      <c r="GS214" s="16"/>
      <c r="GT214" s="16"/>
      <c r="GU214" s="16">
        <v>10.31</v>
      </c>
      <c r="GV214" s="16">
        <v>34.85</v>
      </c>
      <c r="GW214" s="16">
        <v>0</v>
      </c>
      <c r="GX214" s="16">
        <v>0</v>
      </c>
      <c r="GY214" s="16">
        <v>0</v>
      </c>
      <c r="GZ214" s="16">
        <v>0</v>
      </c>
      <c r="HA214" s="16">
        <v>0</v>
      </c>
      <c r="HB214">
        <v>0</v>
      </c>
      <c r="HC214" t="s">
        <v>196</v>
      </c>
      <c r="HD214">
        <v>39.5</v>
      </c>
      <c r="HE214" s="16">
        <v>89.8</v>
      </c>
      <c r="HF214" s="16">
        <v>80.400000000000006</v>
      </c>
      <c r="HG214" s="16">
        <v>5.0999999999999996</v>
      </c>
      <c r="HH214">
        <v>100</v>
      </c>
      <c r="HI214" s="17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50.37</v>
      </c>
      <c r="HU214">
        <v>16.55</v>
      </c>
      <c r="HV214">
        <v>0.4</v>
      </c>
      <c r="HW214">
        <v>0</v>
      </c>
      <c r="HX214">
        <v>27.4</v>
      </c>
      <c r="HY214">
        <v>1</v>
      </c>
      <c r="HZ214">
        <v>3</v>
      </c>
      <c r="IB214">
        <v>4</v>
      </c>
      <c r="IF214">
        <v>3</v>
      </c>
      <c r="IH214">
        <v>4</v>
      </c>
      <c r="IL214">
        <v>0.1</v>
      </c>
      <c r="IM214">
        <v>1</v>
      </c>
      <c r="IN214">
        <v>34</v>
      </c>
      <c r="IO214">
        <v>9</v>
      </c>
      <c r="IP214">
        <f>(1.71*3)+(0.2*2)</f>
        <v>5.53</v>
      </c>
      <c r="IQ214">
        <v>1</v>
      </c>
      <c r="IR214">
        <v>35</v>
      </c>
      <c r="IS214">
        <v>1</v>
      </c>
      <c r="IT214" s="16">
        <v>0.02</v>
      </c>
      <c r="IU214">
        <v>3</v>
      </c>
      <c r="IX214" s="20"/>
      <c r="JP214">
        <v>0</v>
      </c>
      <c r="LA214" s="16">
        <v>1.49</v>
      </c>
      <c r="LB214" s="16">
        <v>1</v>
      </c>
      <c r="LC214" s="16">
        <v>1</v>
      </c>
      <c r="LD214" s="16"/>
      <c r="LE214" s="16">
        <f>2.11+2.11+0.56+0.56</f>
        <v>5.34</v>
      </c>
      <c r="LF214" s="16"/>
      <c r="LG214" s="16"/>
      <c r="LH214" s="16"/>
      <c r="LI214" s="16"/>
      <c r="LJ214" s="16"/>
      <c r="LK214" s="16"/>
      <c r="LL214" s="16">
        <v>5.01</v>
      </c>
      <c r="LM214" s="16">
        <v>5.13</v>
      </c>
      <c r="LN214" s="16">
        <v>0</v>
      </c>
      <c r="LO214" s="16">
        <v>0</v>
      </c>
      <c r="LP214" s="16">
        <v>0</v>
      </c>
      <c r="LQ214" s="16">
        <v>0</v>
      </c>
      <c r="LR214" s="16">
        <v>0</v>
      </c>
      <c r="LS214">
        <v>0</v>
      </c>
      <c r="LT214" t="s">
        <v>197</v>
      </c>
      <c r="LU214">
        <v>49.5</v>
      </c>
      <c r="LV214" s="16">
        <v>90.1</v>
      </c>
      <c r="LW214" s="16">
        <v>80.400000000000006</v>
      </c>
      <c r="LX214" s="16">
        <v>9.9</v>
      </c>
      <c r="LY214">
        <v>94.62</v>
      </c>
      <c r="LZ214" s="17">
        <v>0</v>
      </c>
      <c r="MA214">
        <v>0.32</v>
      </c>
      <c r="MB214">
        <v>0</v>
      </c>
      <c r="MC214">
        <v>5.05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3.42</v>
      </c>
      <c r="MK214">
        <v>32.25</v>
      </c>
      <c r="ML214">
        <v>29.89</v>
      </c>
      <c r="MM214">
        <v>8.2799999999999994</v>
      </c>
      <c r="MN214">
        <v>0</v>
      </c>
      <c r="MO214">
        <v>12.9</v>
      </c>
      <c r="MP214">
        <v>1</v>
      </c>
      <c r="MQ214">
        <v>7</v>
      </c>
      <c r="MS214">
        <v>5</v>
      </c>
      <c r="MT214">
        <v>3</v>
      </c>
      <c r="MV214">
        <v>3</v>
      </c>
      <c r="MW214">
        <v>7</v>
      </c>
      <c r="MY214">
        <v>5</v>
      </c>
      <c r="MZ214">
        <v>3</v>
      </c>
      <c r="NB214">
        <v>3</v>
      </c>
      <c r="NC214">
        <v>16.600000000000001</v>
      </c>
      <c r="ND214">
        <v>1</v>
      </c>
      <c r="NE214">
        <v>68</v>
      </c>
      <c r="NF214">
        <v>6</v>
      </c>
      <c r="NG214">
        <v>0.21</v>
      </c>
      <c r="NH214">
        <v>1</v>
      </c>
      <c r="NI214">
        <v>35</v>
      </c>
      <c r="NJ214">
        <v>3</v>
      </c>
      <c r="NK214">
        <v>0.51</v>
      </c>
      <c r="NL214">
        <v>3</v>
      </c>
      <c r="NM214">
        <v>47</v>
      </c>
      <c r="NN214">
        <v>22</v>
      </c>
      <c r="NO214" s="20">
        <f>(0.43*3)+(0.07*4)+0.22</f>
        <v>1.79</v>
      </c>
      <c r="NP214">
        <v>3</v>
      </c>
      <c r="OG214">
        <v>1</v>
      </c>
      <c r="OH214">
        <v>60</v>
      </c>
      <c r="OI214">
        <v>17</v>
      </c>
      <c r="OJ214">
        <f>0.22+0.04+0.11+0.08+0.08+0.05</f>
        <v>0.58000000000000007</v>
      </c>
      <c r="OK214">
        <v>3</v>
      </c>
      <c r="OL214">
        <v>60</v>
      </c>
      <c r="OM214">
        <v>12</v>
      </c>
      <c r="ON214">
        <f>0.87+0.43+0.15+0.07</f>
        <v>1.52</v>
      </c>
      <c r="OO214">
        <v>1</v>
      </c>
      <c r="PR214" s="16">
        <v>2.4900000000000002</v>
      </c>
      <c r="PS214" s="16">
        <v>1</v>
      </c>
      <c r="PT214" s="16">
        <v>1</v>
      </c>
      <c r="PU214" s="16"/>
      <c r="PV214" s="16">
        <v>10.89</v>
      </c>
      <c r="PW214" s="16"/>
      <c r="PX214" s="16"/>
      <c r="PY214" s="16"/>
      <c r="PZ214" s="16"/>
      <c r="QA214" s="16"/>
      <c r="QB214" s="16"/>
      <c r="QC214" s="16">
        <v>4.17</v>
      </c>
      <c r="QD214" s="16">
        <v>3.7</v>
      </c>
      <c r="QE214" s="16">
        <v>0</v>
      </c>
      <c r="QF214" s="16">
        <v>0</v>
      </c>
      <c r="QG214" s="16">
        <v>0</v>
      </c>
      <c r="QH214" s="16">
        <v>0</v>
      </c>
      <c r="QI214" s="16">
        <v>0</v>
      </c>
      <c r="QJ214">
        <v>0</v>
      </c>
      <c r="QK214" t="s">
        <v>198</v>
      </c>
      <c r="QL214">
        <v>28.5</v>
      </c>
      <c r="QM214" s="16">
        <v>78.400000000000006</v>
      </c>
      <c r="QN214" s="16">
        <v>80.400000000000006</v>
      </c>
      <c r="QO214" s="16">
        <v>16</v>
      </c>
      <c r="QP214">
        <v>95.22</v>
      </c>
      <c r="QQ214" s="17">
        <v>0</v>
      </c>
      <c r="QR214">
        <v>4.2300000000000004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9.77</v>
      </c>
      <c r="RB214">
        <v>2.1800000000000002</v>
      </c>
      <c r="RC214">
        <v>46.81</v>
      </c>
      <c r="RD214">
        <v>10.57</v>
      </c>
      <c r="RE214">
        <v>0</v>
      </c>
      <c r="RF214">
        <v>0</v>
      </c>
      <c r="RG214">
        <v>0</v>
      </c>
      <c r="RT214">
        <v>0</v>
      </c>
      <c r="RU214">
        <v>0</v>
      </c>
      <c r="SF214" s="20"/>
      <c r="SX214">
        <v>0</v>
      </c>
      <c r="UI214" s="16">
        <v>4.2300000000000004</v>
      </c>
      <c r="UJ214" s="16">
        <v>1</v>
      </c>
      <c r="UK214" s="16">
        <v>2</v>
      </c>
      <c r="UL214" s="16"/>
      <c r="UM214" s="16">
        <v>6.34</v>
      </c>
      <c r="UN214" s="16">
        <v>1</v>
      </c>
      <c r="UO214" s="16">
        <v>1</v>
      </c>
      <c r="UP214" s="16">
        <f>9.52+3.17+3.17+3.17+1.12+1.12+1.12</f>
        <v>22.390000000000004</v>
      </c>
      <c r="UQ214" s="16"/>
      <c r="UR214" s="16"/>
      <c r="US214" s="16"/>
      <c r="UT214" s="16">
        <v>5.41</v>
      </c>
      <c r="UU214" s="16">
        <v>8.9600000000000009</v>
      </c>
      <c r="UV214" s="16">
        <v>0</v>
      </c>
      <c r="UW214" s="16">
        <v>0</v>
      </c>
      <c r="UX214" s="16">
        <v>0</v>
      </c>
      <c r="UY214" s="16">
        <v>0</v>
      </c>
      <c r="UZ214" s="16">
        <v>0</v>
      </c>
      <c r="VA214">
        <v>0</v>
      </c>
      <c r="VB214" t="s">
        <v>202</v>
      </c>
      <c r="VC214">
        <v>60</v>
      </c>
      <c r="VD214" s="16">
        <v>55.4</v>
      </c>
      <c r="VE214" s="16">
        <v>80.400000000000006</v>
      </c>
      <c r="VF214" s="16">
        <v>29.6</v>
      </c>
      <c r="VG214">
        <v>76.8</v>
      </c>
      <c r="VH214" s="17">
        <v>0</v>
      </c>
      <c r="VI214">
        <v>0</v>
      </c>
      <c r="VJ214">
        <v>0</v>
      </c>
      <c r="VK214">
        <v>0</v>
      </c>
      <c r="VM214">
        <v>4.83</v>
      </c>
      <c r="VN214">
        <v>1.71</v>
      </c>
      <c r="VO214">
        <v>0</v>
      </c>
      <c r="VP214">
        <v>0</v>
      </c>
      <c r="VQ214">
        <v>0</v>
      </c>
      <c r="VR214">
        <v>1.51</v>
      </c>
      <c r="VS214">
        <v>1.85</v>
      </c>
      <c r="VT214">
        <v>2.31</v>
      </c>
      <c r="VU214">
        <v>19.079999999999998</v>
      </c>
      <c r="VV214">
        <v>18.37</v>
      </c>
      <c r="VW214">
        <v>0</v>
      </c>
      <c r="VX214">
        <v>0</v>
      </c>
      <c r="VY214">
        <v>0</v>
      </c>
      <c r="WE214">
        <v>0</v>
      </c>
      <c r="WK214">
        <v>22.9</v>
      </c>
      <c r="WL214">
        <v>1</v>
      </c>
      <c r="WM214">
        <v>34</v>
      </c>
      <c r="WN214">
        <v>1</v>
      </c>
      <c r="WO214">
        <v>1.19</v>
      </c>
      <c r="WP214">
        <v>1</v>
      </c>
      <c r="WQ214">
        <v>47</v>
      </c>
      <c r="WR214">
        <f>7+3+1+2+3+5+7+1+7+2+7+5+5</f>
        <v>55</v>
      </c>
      <c r="WS214">
        <f>(0.3*7)+0.15+0.3+0.9+0.6+0.45+0.6+(0.3*3)+(0.3*5)+(0.3*7)+0.9+(0.3*7)+(0.4)+(0.3*7)+(0.3*5)+(0.3*5)</f>
        <v>18.100000000000001</v>
      </c>
      <c r="WT214">
        <v>2</v>
      </c>
      <c r="WW214" s="20"/>
      <c r="XO214">
        <v>0</v>
      </c>
      <c r="YZ214" s="16">
        <v>0.06</v>
      </c>
      <c r="ZA214" s="16">
        <v>1</v>
      </c>
      <c r="ZB214" s="16">
        <v>1</v>
      </c>
      <c r="ZC214" s="16"/>
      <c r="ZD214" s="16">
        <v>0.1</v>
      </c>
      <c r="ZE214" s="16"/>
      <c r="ZF214" s="16"/>
      <c r="ZG214" s="16"/>
      <c r="ZH214" s="16"/>
      <c r="ZI214" s="16"/>
      <c r="ZJ214" s="16"/>
      <c r="ZK214" s="16">
        <v>5.42</v>
      </c>
      <c r="ZL214" s="16">
        <v>8.83</v>
      </c>
      <c r="ZM214" s="16">
        <v>0</v>
      </c>
      <c r="ZN214" s="16">
        <v>0</v>
      </c>
      <c r="ZO214" s="16">
        <v>1.99</v>
      </c>
      <c r="ZP214" s="16">
        <v>0</v>
      </c>
      <c r="ZQ214" s="16">
        <v>0</v>
      </c>
      <c r="ZR214">
        <v>2</v>
      </c>
      <c r="ZS214" t="s">
        <v>727</v>
      </c>
      <c r="ZT214">
        <v>47.5</v>
      </c>
      <c r="ZU214" s="16">
        <v>58.6</v>
      </c>
      <c r="ZV214" s="16">
        <v>80.400000000000006</v>
      </c>
      <c r="ZW214" s="16">
        <v>19.5</v>
      </c>
      <c r="ZX214">
        <v>76.23</v>
      </c>
      <c r="ZY214" s="17">
        <v>0</v>
      </c>
      <c r="ZZ214">
        <v>7.5</v>
      </c>
      <c r="AAA214">
        <v>0</v>
      </c>
      <c r="AAB214">
        <v>16.260000000000002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22.34</v>
      </c>
      <c r="AAK214">
        <v>19.22</v>
      </c>
      <c r="AAL214">
        <v>9.8000000000000007</v>
      </c>
      <c r="AAM214">
        <v>0.28000000000000003</v>
      </c>
      <c r="AAN214">
        <v>0</v>
      </c>
      <c r="ABB214">
        <v>24.1</v>
      </c>
      <c r="ABC214">
        <v>1</v>
      </c>
      <c r="ABD214">
        <v>47</v>
      </c>
      <c r="ABE214">
        <v>6</v>
      </c>
      <c r="ABF214">
        <f>2.28+0.81</f>
        <v>3.09</v>
      </c>
      <c r="ABG214">
        <v>3</v>
      </c>
      <c r="ABH214">
        <v>23</v>
      </c>
      <c r="ABI214">
        <v>2</v>
      </c>
      <c r="ABJ214">
        <v>0.54</v>
      </c>
      <c r="ABK214">
        <v>3</v>
      </c>
      <c r="ABN214" s="20"/>
      <c r="ACF214">
        <v>0</v>
      </c>
      <c r="ADQ214" s="16">
        <v>0</v>
      </c>
      <c r="ADR214" s="16">
        <v>0</v>
      </c>
      <c r="ADS214" s="16"/>
      <c r="ADT214" s="16"/>
      <c r="ADU214" s="16"/>
      <c r="ADV214" s="16"/>
      <c r="ADW214" s="16"/>
      <c r="ADX214" s="16"/>
      <c r="ADY214" s="16"/>
      <c r="ADZ214" s="16"/>
      <c r="AEA214" s="16"/>
      <c r="AEB214" s="16">
        <v>2.97</v>
      </c>
      <c r="AEC214" s="16">
        <v>2.96</v>
      </c>
      <c r="AED214" s="16">
        <v>0</v>
      </c>
      <c r="AEE214" s="16">
        <v>0</v>
      </c>
      <c r="AEF214" s="16">
        <v>0</v>
      </c>
      <c r="AEG214" s="16">
        <v>0</v>
      </c>
      <c r="AEH214" s="16">
        <v>0</v>
      </c>
      <c r="AEI214">
        <v>0</v>
      </c>
      <c r="AEJ214" t="s">
        <v>213</v>
      </c>
      <c r="AEK214">
        <v>49.5</v>
      </c>
      <c r="AEL214" s="16">
        <v>78.900000000000006</v>
      </c>
      <c r="AEM214" s="16">
        <v>80.400000000000006</v>
      </c>
      <c r="AEN214" s="16">
        <v>31.1</v>
      </c>
      <c r="AEO214">
        <v>22.13</v>
      </c>
      <c r="AEP214" s="17">
        <v>0</v>
      </c>
      <c r="AEQ214">
        <v>0</v>
      </c>
      <c r="AER214">
        <v>0</v>
      </c>
      <c r="AES214">
        <v>3.8</v>
      </c>
      <c r="AET214">
        <v>0</v>
      </c>
      <c r="AEU214">
        <v>74.069999999999993</v>
      </c>
      <c r="AEV214">
        <v>28.31</v>
      </c>
      <c r="AEW214">
        <v>0</v>
      </c>
      <c r="AEX214">
        <v>0</v>
      </c>
      <c r="AEY214">
        <v>0</v>
      </c>
      <c r="AEZ214">
        <v>8.07</v>
      </c>
      <c r="AFA214">
        <v>1.71</v>
      </c>
      <c r="AFB214">
        <v>33.85</v>
      </c>
      <c r="AFC214">
        <v>17.12</v>
      </c>
      <c r="AFD214">
        <v>0</v>
      </c>
      <c r="AFE214">
        <v>0</v>
      </c>
      <c r="AFF214">
        <v>0</v>
      </c>
      <c r="AFS214">
        <v>3.4</v>
      </c>
      <c r="AFT214">
        <v>1</v>
      </c>
      <c r="AFU214">
        <v>34</v>
      </c>
      <c r="AFV214">
        <v>1</v>
      </c>
      <c r="AFW214">
        <v>1.6</v>
      </c>
      <c r="AFX214">
        <v>1</v>
      </c>
      <c r="AFY214">
        <v>68</v>
      </c>
      <c r="AFZ214">
        <v>2</v>
      </c>
      <c r="AGA214">
        <f>0.65+0.11</f>
        <v>0.76</v>
      </c>
      <c r="AGB214">
        <v>1</v>
      </c>
      <c r="AGC214">
        <v>52</v>
      </c>
      <c r="AGD214">
        <v>2</v>
      </c>
      <c r="AGE214" s="20">
        <f>1.33+0.34</f>
        <v>1.6700000000000002</v>
      </c>
      <c r="AGF214">
        <v>2</v>
      </c>
      <c r="AGW214">
        <v>0</v>
      </c>
      <c r="AIH214" s="16">
        <v>0</v>
      </c>
      <c r="AII214" s="16">
        <v>0</v>
      </c>
      <c r="AIJ214" s="16"/>
      <c r="AIK214" s="16"/>
      <c r="AIL214" s="16"/>
      <c r="AIM214" s="16"/>
      <c r="AIN214" s="16"/>
      <c r="AIO214" s="16"/>
      <c r="AIP214" s="16"/>
      <c r="AIQ214" s="16"/>
      <c r="AIR214" s="16"/>
      <c r="AIS214" s="16">
        <v>5.13</v>
      </c>
      <c r="AIT214" s="16">
        <v>6.28</v>
      </c>
      <c r="AIU214" s="16">
        <v>0</v>
      </c>
      <c r="AIV214" s="16">
        <v>0</v>
      </c>
      <c r="AIW214" s="16">
        <v>6.72</v>
      </c>
      <c r="AIX214" s="16">
        <v>0</v>
      </c>
      <c r="AIY214" s="16">
        <v>2.54</v>
      </c>
      <c r="AIZ214">
        <v>2</v>
      </c>
      <c r="AJA214" s="15"/>
      <c r="AJB214" s="15"/>
      <c r="AJI214" s="15"/>
      <c r="AJJ214" s="15"/>
      <c r="AJQ214" s="15"/>
      <c r="AJR214" s="15"/>
      <c r="AJY214" s="15"/>
      <c r="AJZ214" s="15"/>
      <c r="AKG214" s="15"/>
      <c r="AKH214" s="15"/>
      <c r="AKO214" s="15"/>
      <c r="AKP214" s="15"/>
      <c r="AKW214" s="15"/>
      <c r="AKX214" s="15"/>
      <c r="ALE214" s="15"/>
      <c r="ALF214" s="15"/>
      <c r="ALM214" s="15"/>
      <c r="ALN214" s="15"/>
      <c r="ALU214" s="15"/>
      <c r="ALV214" s="15"/>
      <c r="AMC214" s="15"/>
      <c r="AMD214" s="15"/>
    </row>
    <row r="215" spans="1:1018" x14ac:dyDescent="0.2">
      <c r="A215" s="1" t="s">
        <v>728</v>
      </c>
      <c r="B215" s="12">
        <v>42905</v>
      </c>
      <c r="C215">
        <v>1</v>
      </c>
      <c r="D215" s="13">
        <v>42801</v>
      </c>
      <c r="E215" s="12">
        <v>35268</v>
      </c>
      <c r="F215" s="14">
        <f t="shared" si="62"/>
        <v>20.908966461327857</v>
      </c>
      <c r="G215" s="14">
        <f t="shared" si="63"/>
        <v>0.28473648186173856</v>
      </c>
      <c r="H215" s="15" t="s">
        <v>181</v>
      </c>
      <c r="I215" s="15" t="s">
        <v>194</v>
      </c>
      <c r="J215" s="21" t="s">
        <v>181</v>
      </c>
      <c r="K215" s="21">
        <v>8</v>
      </c>
      <c r="L215" s="19">
        <v>57</v>
      </c>
      <c r="M215">
        <v>1.57</v>
      </c>
      <c r="N215" s="16">
        <f t="shared" si="64"/>
        <v>23.124670372023203</v>
      </c>
      <c r="O215" s="19">
        <v>0</v>
      </c>
      <c r="P215" s="19">
        <v>0</v>
      </c>
      <c r="Q215" s="19">
        <v>0</v>
      </c>
      <c r="R215" s="26">
        <v>0</v>
      </c>
      <c r="S215" s="26">
        <v>0</v>
      </c>
      <c r="T215" s="26">
        <v>0</v>
      </c>
      <c r="U215" s="19">
        <v>0</v>
      </c>
      <c r="V215" s="19">
        <v>0</v>
      </c>
      <c r="W215" s="19">
        <v>0</v>
      </c>
      <c r="X215" s="19">
        <v>0</v>
      </c>
      <c r="Y215" s="19">
        <v>0</v>
      </c>
      <c r="Z215" s="19">
        <v>0</v>
      </c>
      <c r="AA215" s="19">
        <v>0</v>
      </c>
      <c r="AB215" s="19">
        <v>0</v>
      </c>
      <c r="AC215" s="19">
        <v>0</v>
      </c>
      <c r="AD215" s="19">
        <v>0</v>
      </c>
      <c r="AE215" s="19">
        <v>0</v>
      </c>
      <c r="AF215" s="19">
        <v>0</v>
      </c>
      <c r="AG215" s="19">
        <v>0</v>
      </c>
      <c r="AH215" s="19">
        <v>0</v>
      </c>
      <c r="AI215" s="19">
        <v>0</v>
      </c>
      <c r="AJ215" s="19">
        <v>0</v>
      </c>
      <c r="AK215" s="19">
        <v>0</v>
      </c>
      <c r="AL215" s="19">
        <v>0</v>
      </c>
      <c r="AM215" s="19">
        <v>0</v>
      </c>
      <c r="AN215" s="19">
        <v>0</v>
      </c>
      <c r="AO215" s="19">
        <v>0</v>
      </c>
      <c r="AP215" s="19">
        <v>0</v>
      </c>
      <c r="AQ215" s="19">
        <v>0</v>
      </c>
      <c r="AR215" s="19">
        <v>0</v>
      </c>
      <c r="AS215" s="19">
        <v>0</v>
      </c>
      <c r="AT215" s="19">
        <v>0</v>
      </c>
      <c r="AU215" s="19">
        <v>0</v>
      </c>
      <c r="AV215" s="19">
        <v>0</v>
      </c>
      <c r="AW215" s="19">
        <v>0</v>
      </c>
      <c r="AX215" s="19">
        <v>0</v>
      </c>
      <c r="AY215" s="19">
        <v>0</v>
      </c>
      <c r="AZ215" s="19">
        <v>0</v>
      </c>
      <c r="BA215" s="19">
        <v>0</v>
      </c>
      <c r="BB215" s="26">
        <v>0</v>
      </c>
      <c r="BC215" s="26">
        <v>0</v>
      </c>
      <c r="BD215" s="26">
        <v>0</v>
      </c>
      <c r="BE215" s="26">
        <v>0</v>
      </c>
      <c r="BF215" s="19">
        <v>0</v>
      </c>
      <c r="BG215" s="19">
        <v>0</v>
      </c>
      <c r="BH215" s="19">
        <v>0</v>
      </c>
      <c r="BI215" s="19">
        <v>0</v>
      </c>
      <c r="BJ215" s="19">
        <v>0</v>
      </c>
      <c r="BK215" s="19">
        <v>0</v>
      </c>
      <c r="BL215" s="19">
        <v>0</v>
      </c>
      <c r="BM215" s="19">
        <v>0</v>
      </c>
      <c r="BN215" s="19">
        <v>0</v>
      </c>
      <c r="BO215" s="19">
        <v>0</v>
      </c>
      <c r="BP215" s="19">
        <v>0</v>
      </c>
      <c r="BQ215" s="19">
        <v>0</v>
      </c>
      <c r="BR215" s="19">
        <v>2</v>
      </c>
      <c r="BS215" s="19">
        <v>2</v>
      </c>
      <c r="BT215" s="19">
        <v>2</v>
      </c>
      <c r="BU215" s="19">
        <v>3</v>
      </c>
      <c r="BV215" s="19">
        <v>2</v>
      </c>
      <c r="BW215" s="19">
        <v>2</v>
      </c>
      <c r="BX215" s="19">
        <v>2</v>
      </c>
      <c r="BY215" s="19">
        <v>3</v>
      </c>
      <c r="BZ215" s="19">
        <v>3</v>
      </c>
      <c r="CA215" s="19">
        <v>3</v>
      </c>
      <c r="CB215" s="19">
        <v>3</v>
      </c>
      <c r="CC215" s="19">
        <v>3</v>
      </c>
      <c r="CD215" s="19">
        <v>4</v>
      </c>
      <c r="CE215" s="19">
        <v>4</v>
      </c>
      <c r="CF215" s="19">
        <v>2</v>
      </c>
      <c r="CG215" s="19">
        <v>4</v>
      </c>
      <c r="CH215" s="19">
        <v>4</v>
      </c>
      <c r="CI215" s="19">
        <v>4</v>
      </c>
      <c r="CJ215" s="19">
        <v>4</v>
      </c>
      <c r="CK215" s="19">
        <v>8</v>
      </c>
      <c r="CL215" t="s">
        <v>198</v>
      </c>
      <c r="CM215">
        <v>28.5</v>
      </c>
      <c r="CN215" s="16">
        <v>78.400000000000006</v>
      </c>
      <c r="CO215" s="16">
        <v>80.400000000000006</v>
      </c>
      <c r="CP215" s="16">
        <v>16</v>
      </c>
      <c r="CQ215">
        <v>95.22</v>
      </c>
      <c r="CR215" s="17">
        <v>0</v>
      </c>
      <c r="CS215">
        <v>4.2300000000000004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9.77</v>
      </c>
      <c r="DC215">
        <v>2.1800000000000002</v>
      </c>
      <c r="DD215">
        <v>46.81</v>
      </c>
      <c r="DE215">
        <v>10.57</v>
      </c>
      <c r="DF215">
        <v>0</v>
      </c>
      <c r="DG215">
        <v>0</v>
      </c>
      <c r="DH215">
        <v>0</v>
      </c>
      <c r="DU215">
        <v>0</v>
      </c>
      <c r="DV215">
        <v>0</v>
      </c>
      <c r="EG215" s="20"/>
      <c r="EY215">
        <v>0</v>
      </c>
      <c r="GJ215" s="16">
        <v>4.2300000000000004</v>
      </c>
      <c r="GK215" s="16">
        <v>1</v>
      </c>
      <c r="GL215" s="16">
        <v>2</v>
      </c>
      <c r="GM215" s="16"/>
      <c r="GN215" s="16">
        <v>6.34</v>
      </c>
      <c r="GO215" s="16">
        <v>1</v>
      </c>
      <c r="GP215" s="16">
        <v>1</v>
      </c>
      <c r="GQ215" s="16">
        <f>9.52+3.17+3.17+3.17+1.12+1.12+1.12</f>
        <v>22.390000000000004</v>
      </c>
      <c r="GR215" s="16"/>
      <c r="GS215" s="16"/>
      <c r="GT215" s="16"/>
      <c r="GU215" s="16">
        <v>5.41</v>
      </c>
      <c r="GV215" s="16">
        <v>8.9600000000000009</v>
      </c>
      <c r="GW215" s="16">
        <v>0</v>
      </c>
      <c r="GX215" s="16">
        <v>0</v>
      </c>
      <c r="GY215" s="16">
        <v>0</v>
      </c>
      <c r="GZ215" s="16">
        <v>0</v>
      </c>
      <c r="HA215" s="16">
        <v>0</v>
      </c>
      <c r="HB215">
        <v>0</v>
      </c>
      <c r="HC215" t="s">
        <v>200</v>
      </c>
      <c r="HD215">
        <v>28.5</v>
      </c>
      <c r="HE215" s="16">
        <v>69.400000000000006</v>
      </c>
      <c r="HF215" s="16">
        <v>80.400000000000006</v>
      </c>
      <c r="HG215" s="16">
        <v>9.8000000000000007</v>
      </c>
      <c r="HH215">
        <v>96.02</v>
      </c>
      <c r="HI215" s="17">
        <v>0</v>
      </c>
      <c r="HJ215">
        <v>3.98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16.55</v>
      </c>
      <c r="HU215">
        <v>26.49</v>
      </c>
      <c r="HV215">
        <v>6.34</v>
      </c>
      <c r="HW215">
        <v>0</v>
      </c>
      <c r="HX215">
        <v>0</v>
      </c>
      <c r="HY215">
        <v>0</v>
      </c>
      <c r="IL215">
        <v>10.199999999999999</v>
      </c>
      <c r="IM215">
        <v>1</v>
      </c>
      <c r="IN215">
        <v>35</v>
      </c>
      <c r="IO215">
        <v>1</v>
      </c>
      <c r="IP215">
        <v>0.02</v>
      </c>
      <c r="IQ215">
        <v>3</v>
      </c>
      <c r="IR215">
        <v>70</v>
      </c>
      <c r="IS215">
        <v>2</v>
      </c>
      <c r="IT215">
        <v>0.27</v>
      </c>
      <c r="IU215">
        <v>3</v>
      </c>
      <c r="IX215" s="20"/>
      <c r="JP215">
        <v>1</v>
      </c>
      <c r="JQ215">
        <v>50</v>
      </c>
      <c r="JR215">
        <v>5</v>
      </c>
      <c r="JS215">
        <f>1.52+0.5+0.19+0.12</f>
        <v>2.33</v>
      </c>
      <c r="JT215">
        <v>3</v>
      </c>
      <c r="LA215" s="16">
        <v>2.63</v>
      </c>
      <c r="LB215" s="16">
        <v>1</v>
      </c>
      <c r="LC215" s="16">
        <v>1</v>
      </c>
      <c r="LD215" s="16"/>
      <c r="LE215" s="16">
        <f>0.04+2.11+3.17+0.37+0.56</f>
        <v>6.25</v>
      </c>
      <c r="LF215" s="16">
        <v>2</v>
      </c>
      <c r="LG215" s="16"/>
      <c r="LH215" s="16">
        <f>0.53+0.53+0.11+0.07+0.15</f>
        <v>1.3900000000000001</v>
      </c>
      <c r="LI215" s="16"/>
      <c r="LJ215" s="16"/>
      <c r="LK215" s="16"/>
      <c r="LL215" s="16">
        <v>3.33</v>
      </c>
      <c r="LM215" s="16">
        <v>2.06</v>
      </c>
      <c r="LN215" s="16">
        <v>0</v>
      </c>
      <c r="LO215" s="16">
        <v>0</v>
      </c>
      <c r="LP215" s="16">
        <v>0</v>
      </c>
      <c r="LQ215" s="16">
        <v>0</v>
      </c>
      <c r="LR215" s="16">
        <v>0</v>
      </c>
      <c r="LS215">
        <v>0</v>
      </c>
      <c r="LT215" t="s">
        <v>202</v>
      </c>
      <c r="LU215">
        <v>60</v>
      </c>
      <c r="LV215" s="16">
        <v>55.4</v>
      </c>
      <c r="LW215" s="16">
        <v>80.400000000000006</v>
      </c>
      <c r="LX215" s="16">
        <v>29.6</v>
      </c>
      <c r="LY215">
        <v>76.8</v>
      </c>
      <c r="LZ215" s="17">
        <v>0</v>
      </c>
      <c r="MA215">
        <v>0</v>
      </c>
      <c r="MB215">
        <v>0</v>
      </c>
      <c r="MC215">
        <v>0</v>
      </c>
      <c r="ME215">
        <v>4.83</v>
      </c>
      <c r="MF215">
        <v>1.71</v>
      </c>
      <c r="MG215">
        <v>0</v>
      </c>
      <c r="MH215">
        <v>0</v>
      </c>
      <c r="MI215">
        <v>0</v>
      </c>
      <c r="MJ215">
        <v>1.51</v>
      </c>
      <c r="MK215">
        <v>1.85</v>
      </c>
      <c r="ML215">
        <v>2.31</v>
      </c>
      <c r="MM215">
        <v>19.079999999999998</v>
      </c>
      <c r="MN215">
        <v>18.37</v>
      </c>
      <c r="MO215">
        <v>0</v>
      </c>
      <c r="MP215">
        <v>0</v>
      </c>
      <c r="MQ215">
        <v>0</v>
      </c>
      <c r="MW215">
        <v>0</v>
      </c>
      <c r="NC215">
        <v>22.9</v>
      </c>
      <c r="ND215">
        <v>1</v>
      </c>
      <c r="NE215">
        <v>34</v>
      </c>
      <c r="NF215">
        <v>1</v>
      </c>
      <c r="NG215">
        <v>1.19</v>
      </c>
      <c r="NH215">
        <v>1</v>
      </c>
      <c r="NI215">
        <v>47</v>
      </c>
      <c r="NJ215">
        <f>7+3+1+2+3+5+7+1+7+2+7+5+5</f>
        <v>55</v>
      </c>
      <c r="NK215">
        <f>(0.3*7)+0.15+0.3+0.9+0.6+0.45+0.6+(0.3*3)+(0.3*5)+(0.3*7)+0.9+(0.3*7)+(0.4)+(0.3*7)+(0.3*5)+(0.3*5)</f>
        <v>18.100000000000001</v>
      </c>
      <c r="NL215">
        <v>2</v>
      </c>
      <c r="NO215" s="20"/>
      <c r="OG215">
        <v>0</v>
      </c>
      <c r="PR215" s="16">
        <v>0.06</v>
      </c>
      <c r="PS215" s="16">
        <v>1</v>
      </c>
      <c r="PT215" s="16">
        <v>1</v>
      </c>
      <c r="PU215" s="16"/>
      <c r="PV215" s="16">
        <v>0.1</v>
      </c>
      <c r="PW215" s="16"/>
      <c r="PX215" s="16"/>
      <c r="PY215" s="16"/>
      <c r="PZ215" s="16"/>
      <c r="QA215" s="16"/>
      <c r="QB215" s="16"/>
      <c r="QC215" s="16">
        <v>5.42</v>
      </c>
      <c r="QD215" s="16">
        <v>8.83</v>
      </c>
      <c r="QE215" s="16">
        <v>0</v>
      </c>
      <c r="QF215" s="16">
        <v>0</v>
      </c>
      <c r="QG215" s="16">
        <v>1.99</v>
      </c>
      <c r="QH215" s="16">
        <v>0</v>
      </c>
      <c r="QI215" s="16">
        <v>0</v>
      </c>
      <c r="QJ215">
        <v>2</v>
      </c>
      <c r="QK215" t="s">
        <v>727</v>
      </c>
      <c r="QL215">
        <v>47.5</v>
      </c>
      <c r="QM215" s="16">
        <v>58.6</v>
      </c>
      <c r="QN215" s="16">
        <v>80.400000000000006</v>
      </c>
      <c r="QO215" s="16">
        <v>19.5</v>
      </c>
      <c r="QP215">
        <v>76.23</v>
      </c>
      <c r="QQ215" s="17">
        <v>0</v>
      </c>
      <c r="QR215">
        <v>7.5</v>
      </c>
      <c r="QS215">
        <v>0</v>
      </c>
      <c r="QT215">
        <v>16.260000000000002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22.34</v>
      </c>
      <c r="RC215">
        <v>19.22</v>
      </c>
      <c r="RD215">
        <v>9.8000000000000007</v>
      </c>
      <c r="RE215">
        <v>0.28000000000000003</v>
      </c>
      <c r="RF215">
        <v>0</v>
      </c>
      <c r="RT215">
        <v>24.1</v>
      </c>
      <c r="RU215">
        <v>1</v>
      </c>
      <c r="RV215">
        <v>47</v>
      </c>
      <c r="RW215">
        <v>6</v>
      </c>
      <c r="RX215">
        <f>2.28+0.81</f>
        <v>3.09</v>
      </c>
      <c r="RY215">
        <v>3</v>
      </c>
      <c r="RZ215">
        <v>23</v>
      </c>
      <c r="SA215">
        <v>2</v>
      </c>
      <c r="SB215">
        <v>0.54</v>
      </c>
      <c r="SC215">
        <v>3</v>
      </c>
      <c r="SF215" s="20"/>
      <c r="SX215">
        <v>0</v>
      </c>
      <c r="UI215" s="16">
        <v>0</v>
      </c>
      <c r="UJ215" s="16">
        <v>0</v>
      </c>
      <c r="UK215" s="16"/>
      <c r="UL215" s="16"/>
      <c r="UM215" s="16"/>
      <c r="UN215" s="16"/>
      <c r="UO215" s="16"/>
      <c r="UP215" s="16"/>
      <c r="UQ215" s="16"/>
      <c r="UR215" s="16"/>
      <c r="US215" s="16"/>
      <c r="UT215" s="16">
        <v>2.97</v>
      </c>
      <c r="UU215" s="16">
        <v>2.96</v>
      </c>
      <c r="UV215" s="16">
        <v>0</v>
      </c>
      <c r="UW215" s="16">
        <v>0</v>
      </c>
      <c r="UX215" s="16">
        <v>0</v>
      </c>
      <c r="UY215" s="16">
        <v>0</v>
      </c>
      <c r="UZ215" s="16">
        <v>0</v>
      </c>
      <c r="VA215">
        <v>0</v>
      </c>
      <c r="VB215" t="s">
        <v>213</v>
      </c>
      <c r="VC215">
        <v>49.5</v>
      </c>
      <c r="VD215" s="16">
        <v>78.900000000000006</v>
      </c>
      <c r="VE215" s="16">
        <v>80.400000000000006</v>
      </c>
      <c r="VF215" s="16">
        <v>31.1</v>
      </c>
      <c r="VG215">
        <v>22.13</v>
      </c>
      <c r="VH215" s="17">
        <v>0</v>
      </c>
      <c r="VI215">
        <v>0</v>
      </c>
      <c r="VJ215">
        <v>0</v>
      </c>
      <c r="VK215">
        <v>3.8</v>
      </c>
      <c r="VL215">
        <v>0</v>
      </c>
      <c r="VM215">
        <v>74.069999999999993</v>
      </c>
      <c r="VN215">
        <v>28.31</v>
      </c>
      <c r="VO215">
        <v>0</v>
      </c>
      <c r="VP215">
        <v>0</v>
      </c>
      <c r="VQ215">
        <v>0</v>
      </c>
      <c r="VR215">
        <v>8.07</v>
      </c>
      <c r="VS215">
        <v>1.71</v>
      </c>
      <c r="VT215">
        <v>33.85</v>
      </c>
      <c r="VU215">
        <v>17.12</v>
      </c>
      <c r="VV215">
        <v>0</v>
      </c>
      <c r="VW215">
        <v>0</v>
      </c>
      <c r="VX215">
        <v>0</v>
      </c>
      <c r="WK215">
        <v>3.4</v>
      </c>
      <c r="WL215">
        <v>1</v>
      </c>
      <c r="WM215">
        <v>34</v>
      </c>
      <c r="WN215">
        <v>1</v>
      </c>
      <c r="WO215">
        <v>1.6</v>
      </c>
      <c r="WP215">
        <v>1</v>
      </c>
      <c r="WQ215">
        <v>68</v>
      </c>
      <c r="WR215">
        <v>2</v>
      </c>
      <c r="WS215">
        <f>0.65+0.11</f>
        <v>0.76</v>
      </c>
      <c r="WT215">
        <v>1</v>
      </c>
      <c r="WU215">
        <v>52</v>
      </c>
      <c r="WV215">
        <v>2</v>
      </c>
      <c r="WW215" s="20">
        <f>1.33+0.34</f>
        <v>1.6700000000000002</v>
      </c>
      <c r="WX215">
        <v>2</v>
      </c>
      <c r="XO215">
        <v>0</v>
      </c>
      <c r="YZ215" s="16">
        <v>0</v>
      </c>
      <c r="ZA215" s="16">
        <v>0</v>
      </c>
      <c r="ZB215" s="16"/>
      <c r="ZC215" s="16"/>
      <c r="ZD215" s="16"/>
      <c r="ZE215" s="16"/>
      <c r="ZF215" s="16"/>
      <c r="ZG215" s="16"/>
      <c r="ZH215" s="16"/>
      <c r="ZI215" s="16"/>
      <c r="ZJ215" s="16"/>
      <c r="ZK215" s="16">
        <v>5.13</v>
      </c>
      <c r="ZL215" s="16">
        <v>6.28</v>
      </c>
      <c r="ZM215" s="16">
        <v>0</v>
      </c>
      <c r="ZN215" s="16">
        <v>0</v>
      </c>
      <c r="ZO215" s="16">
        <v>6.72</v>
      </c>
      <c r="ZP215" s="16">
        <v>0</v>
      </c>
      <c r="ZQ215" s="16">
        <v>2.54</v>
      </c>
      <c r="ZR215">
        <v>2</v>
      </c>
      <c r="ZU215" s="15"/>
      <c r="ZV215" s="15"/>
      <c r="AAC215" s="15"/>
      <c r="AAD215" s="15"/>
      <c r="AAK215" s="15"/>
      <c r="AAL215" s="15"/>
      <c r="AAS215" s="15"/>
      <c r="AAT215" s="15"/>
      <c r="ABA215" s="15"/>
      <c r="ABB215" s="15"/>
      <c r="ABI215" s="15"/>
      <c r="ABJ215" s="15"/>
      <c r="ABQ215" s="15"/>
      <c r="ABR215" s="15"/>
      <c r="ABY215" s="15"/>
      <c r="ABZ215" s="15"/>
      <c r="ACG215" s="15"/>
      <c r="ACH215" s="15"/>
      <c r="ACO215" s="15"/>
      <c r="ACP215" s="15"/>
      <c r="ACW215" s="15"/>
      <c r="ACX215" s="15"/>
      <c r="ADE215" s="15"/>
      <c r="ADF215" s="15"/>
      <c r="ADM215" s="15"/>
      <c r="ADN215" s="15"/>
      <c r="ADU215" s="15"/>
      <c r="ADV215" s="15"/>
      <c r="AEC215" s="15"/>
      <c r="AED215" s="15"/>
      <c r="AEK215" s="15"/>
      <c r="AEL215" s="15"/>
      <c r="AES215" s="15"/>
      <c r="AET215" s="15"/>
      <c r="AFA215" s="15"/>
      <c r="AFB215" s="15"/>
      <c r="AFI215" s="15"/>
      <c r="AFJ215" s="15"/>
      <c r="AFQ215" s="15"/>
      <c r="AFR215" s="15"/>
      <c r="AFY215" s="15"/>
      <c r="AFZ215" s="15"/>
      <c r="AGG215" s="15"/>
      <c r="AGH215" s="15"/>
      <c r="AGO215" s="15"/>
      <c r="AGP215" s="15"/>
      <c r="AGW215" s="15"/>
      <c r="AGX215" s="15"/>
      <c r="AHE215" s="15"/>
      <c r="AHF215" s="15"/>
      <c r="AHM215" s="15"/>
      <c r="AHN215" s="15"/>
      <c r="AHU215" s="15"/>
      <c r="AHV215" s="15"/>
      <c r="AIC215" s="15"/>
      <c r="AID215" s="15"/>
      <c r="AIK215" s="15"/>
      <c r="AIL215" s="15"/>
      <c r="AIS215" s="15"/>
      <c r="AIT215" s="15"/>
      <c r="AJA215" s="15"/>
      <c r="AJB215" s="15"/>
      <c r="AJI215" s="15"/>
      <c r="AJJ215" s="15"/>
      <c r="AJQ215" s="15"/>
      <c r="AJR215" s="15"/>
      <c r="AJY215" s="15"/>
      <c r="AJZ215" s="15"/>
      <c r="AKG215" s="15"/>
      <c r="AKH215" s="15"/>
      <c r="AKO215" s="15"/>
      <c r="AKP215" s="15"/>
      <c r="AKW215" s="15"/>
      <c r="AKX215" s="15"/>
      <c r="ALE215" s="15"/>
      <c r="ALF215" s="15"/>
      <c r="ALM215" s="15"/>
      <c r="ALN215" s="15"/>
      <c r="ALU215" s="15"/>
      <c r="ALV215" s="15"/>
      <c r="AMC215" s="15"/>
      <c r="AMD215" s="15"/>
    </row>
    <row r="216" spans="1:1018" x14ac:dyDescent="0.2">
      <c r="A216" s="1" t="s">
        <v>729</v>
      </c>
      <c r="B216" s="12">
        <v>42905</v>
      </c>
      <c r="C216">
        <v>2</v>
      </c>
      <c r="D216" s="13">
        <v>40751</v>
      </c>
      <c r="E216" s="12">
        <v>33326</v>
      </c>
      <c r="F216" s="14">
        <f t="shared" si="62"/>
        <v>26.225872689938399</v>
      </c>
      <c r="G216" s="14">
        <f t="shared" si="63"/>
        <v>5.8973305954825461</v>
      </c>
      <c r="H216" s="15" t="s">
        <v>181</v>
      </c>
      <c r="I216" s="15" t="s">
        <v>194</v>
      </c>
      <c r="J216" s="21" t="s">
        <v>181</v>
      </c>
      <c r="K216" s="21">
        <v>8</v>
      </c>
      <c r="L216" s="19">
        <v>75</v>
      </c>
      <c r="M216">
        <v>1.82</v>
      </c>
      <c r="N216" s="16">
        <f t="shared" si="64"/>
        <v>22.642192971863299</v>
      </c>
      <c r="O216" s="19">
        <v>0</v>
      </c>
      <c r="P216" s="19">
        <v>0</v>
      </c>
      <c r="Q216" s="19">
        <v>0</v>
      </c>
      <c r="R216" s="26">
        <v>0</v>
      </c>
      <c r="S216" s="26">
        <v>0</v>
      </c>
      <c r="T216" s="26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1</v>
      </c>
      <c r="AD216" s="19">
        <v>8</v>
      </c>
      <c r="AE216" s="19">
        <v>1</v>
      </c>
      <c r="AF216" s="19">
        <v>0</v>
      </c>
      <c r="AG216" s="19">
        <v>0</v>
      </c>
      <c r="AH216" s="19">
        <v>0</v>
      </c>
      <c r="AI216" s="19">
        <v>1</v>
      </c>
      <c r="AJ216" s="19">
        <v>1</v>
      </c>
      <c r="AK216" s="19">
        <v>0</v>
      </c>
      <c r="AL216" s="19">
        <v>0</v>
      </c>
      <c r="AM216" s="19">
        <v>0</v>
      </c>
      <c r="AN216" s="19">
        <v>0</v>
      </c>
      <c r="AO216" s="19">
        <v>0</v>
      </c>
      <c r="AP216" s="19">
        <v>0</v>
      </c>
      <c r="AQ216" s="19">
        <v>0</v>
      </c>
      <c r="AR216" s="19">
        <v>0</v>
      </c>
      <c r="AS216" s="19">
        <v>3</v>
      </c>
      <c r="AT216" s="19">
        <v>0</v>
      </c>
      <c r="AU216" s="19">
        <v>0</v>
      </c>
      <c r="AV216" s="19">
        <v>0</v>
      </c>
      <c r="AW216" s="19">
        <v>0</v>
      </c>
      <c r="AX216" s="19">
        <v>0</v>
      </c>
      <c r="AY216" s="19">
        <v>0</v>
      </c>
      <c r="AZ216" s="19">
        <v>0</v>
      </c>
      <c r="BA216" s="19">
        <v>0</v>
      </c>
      <c r="BB216" s="19">
        <v>1</v>
      </c>
      <c r="BC216" s="19">
        <v>1</v>
      </c>
      <c r="BD216" s="19">
        <v>0</v>
      </c>
      <c r="BE216" s="19">
        <v>0</v>
      </c>
      <c r="BF216" s="19">
        <v>0</v>
      </c>
      <c r="BG216" s="19">
        <v>0</v>
      </c>
      <c r="BH216" s="19">
        <v>0</v>
      </c>
      <c r="BI216" s="19">
        <v>0</v>
      </c>
      <c r="BJ216" s="19">
        <v>1</v>
      </c>
      <c r="BK216" s="19">
        <v>1</v>
      </c>
      <c r="BL216" s="19">
        <v>0</v>
      </c>
      <c r="BM216" s="19">
        <v>0</v>
      </c>
      <c r="BN216" s="19">
        <v>1</v>
      </c>
      <c r="BO216" s="19">
        <v>0</v>
      </c>
      <c r="BP216" s="19">
        <v>0</v>
      </c>
      <c r="BQ216" s="19">
        <v>0</v>
      </c>
      <c r="BR216" s="19">
        <v>4</v>
      </c>
      <c r="BS216" s="19">
        <v>3</v>
      </c>
      <c r="BT216" s="19">
        <v>4</v>
      </c>
      <c r="BU216" s="19">
        <v>4</v>
      </c>
      <c r="BV216" s="19">
        <v>3</v>
      </c>
      <c r="BW216" s="19">
        <v>3</v>
      </c>
      <c r="BX216" s="19">
        <v>3</v>
      </c>
      <c r="BY216" s="19">
        <v>4</v>
      </c>
      <c r="BZ216" s="19">
        <v>2</v>
      </c>
      <c r="CA216" s="19">
        <v>2</v>
      </c>
      <c r="CB216" s="19">
        <v>3</v>
      </c>
      <c r="CC216" s="19">
        <v>4</v>
      </c>
      <c r="CD216" s="19">
        <v>2</v>
      </c>
      <c r="CE216" s="19">
        <v>3</v>
      </c>
      <c r="CF216" s="19">
        <v>4</v>
      </c>
      <c r="CG216" s="19">
        <v>4</v>
      </c>
      <c r="CH216" s="19">
        <v>3</v>
      </c>
      <c r="CI216" s="19">
        <v>3</v>
      </c>
      <c r="CJ216" s="19">
        <v>3</v>
      </c>
      <c r="CK216" s="19">
        <v>10</v>
      </c>
      <c r="CL216" t="s">
        <v>195</v>
      </c>
      <c r="CM216">
        <v>37.5</v>
      </c>
      <c r="CN216" s="16">
        <v>87.4</v>
      </c>
      <c r="CO216" s="16">
        <v>80.400000000000006</v>
      </c>
      <c r="CP216" s="16">
        <v>18.5</v>
      </c>
      <c r="CQ216">
        <v>84.21</v>
      </c>
      <c r="CR216" s="17">
        <v>0</v>
      </c>
      <c r="CS216">
        <v>0</v>
      </c>
      <c r="CT216">
        <v>0</v>
      </c>
      <c r="CU216">
        <v>15.79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26.71</v>
      </c>
      <c r="DC216">
        <v>13.13</v>
      </c>
      <c r="DD216">
        <v>49.12</v>
      </c>
      <c r="DE216">
        <v>14.67</v>
      </c>
      <c r="DF216">
        <v>0</v>
      </c>
      <c r="DG216">
        <v>0</v>
      </c>
      <c r="DH216">
        <v>0</v>
      </c>
      <c r="DU216">
        <v>1.1000000000000001</v>
      </c>
      <c r="DV216">
        <v>1</v>
      </c>
      <c r="DW216">
        <v>52</v>
      </c>
      <c r="DX216">
        <v>1</v>
      </c>
      <c r="DY216">
        <v>0.22</v>
      </c>
      <c r="DZ216">
        <v>2</v>
      </c>
      <c r="EA216">
        <v>35</v>
      </c>
      <c r="EB216">
        <v>2</v>
      </c>
      <c r="EC216">
        <v>0.16</v>
      </c>
      <c r="ED216">
        <v>3</v>
      </c>
      <c r="EG216" s="20"/>
      <c r="EY216">
        <v>0</v>
      </c>
      <c r="GJ216" s="16">
        <v>4.3</v>
      </c>
      <c r="GK216" s="16">
        <v>1</v>
      </c>
      <c r="GL216" s="16">
        <v>1</v>
      </c>
      <c r="GM216" s="16"/>
      <c r="GN216" s="16">
        <f>(2.11*6)+0.9+0.9+0.62+0.62+0.93+0.3+0.3+0.22+0.22+0.23+0.22+0.22+0.22</f>
        <v>18.559999999999995</v>
      </c>
      <c r="GO216" s="16"/>
      <c r="GP216" s="16"/>
      <c r="GQ216" s="16"/>
      <c r="GR216" s="16"/>
      <c r="GS216" s="16"/>
      <c r="GT216" s="16"/>
      <c r="GU216" s="16">
        <v>10.31</v>
      </c>
      <c r="GV216" s="16">
        <v>34.85</v>
      </c>
      <c r="GW216" s="16">
        <v>0</v>
      </c>
      <c r="GX216" s="16">
        <v>0</v>
      </c>
      <c r="GY216" s="16">
        <v>0</v>
      </c>
      <c r="GZ216" s="16">
        <v>0</v>
      </c>
      <c r="HA216" s="16">
        <v>0</v>
      </c>
      <c r="HB216">
        <v>0</v>
      </c>
      <c r="HC216" t="s">
        <v>196</v>
      </c>
      <c r="HD216">
        <v>39.5</v>
      </c>
      <c r="HE216" s="16">
        <v>89.8</v>
      </c>
      <c r="HF216" s="16">
        <v>80.400000000000006</v>
      </c>
      <c r="HG216" s="16">
        <v>5.0999999999999996</v>
      </c>
      <c r="HH216">
        <v>100</v>
      </c>
      <c r="HI216" s="17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50.37</v>
      </c>
      <c r="HU216">
        <v>16.55</v>
      </c>
      <c r="HV216">
        <v>0.4</v>
      </c>
      <c r="HW216">
        <v>0</v>
      </c>
      <c r="HX216">
        <v>27.4</v>
      </c>
      <c r="HY216">
        <v>1</v>
      </c>
      <c r="HZ216">
        <v>3</v>
      </c>
      <c r="IB216">
        <v>4</v>
      </c>
      <c r="IF216">
        <v>3</v>
      </c>
      <c r="IH216">
        <v>4</v>
      </c>
      <c r="IL216">
        <v>0.1</v>
      </c>
      <c r="IM216">
        <v>1</v>
      </c>
      <c r="IN216">
        <v>34</v>
      </c>
      <c r="IO216">
        <v>9</v>
      </c>
      <c r="IP216">
        <f>(1.71*3)+(0.2*2)</f>
        <v>5.53</v>
      </c>
      <c r="IQ216">
        <v>1</v>
      </c>
      <c r="IR216">
        <v>35</v>
      </c>
      <c r="IS216">
        <v>1</v>
      </c>
      <c r="IT216" s="16">
        <v>0.02</v>
      </c>
      <c r="IU216">
        <v>3</v>
      </c>
      <c r="IX216" s="20"/>
      <c r="JP216">
        <v>0</v>
      </c>
      <c r="LA216" s="16">
        <v>1.49</v>
      </c>
      <c r="LB216" s="16">
        <v>1</v>
      </c>
      <c r="LC216" s="16">
        <v>1</v>
      </c>
      <c r="LD216" s="16"/>
      <c r="LE216" s="16">
        <f>2.11+2.11+0.56+0.56</f>
        <v>5.34</v>
      </c>
      <c r="LF216" s="16"/>
      <c r="LG216" s="16"/>
      <c r="LH216" s="16"/>
      <c r="LI216" s="16"/>
      <c r="LJ216" s="16"/>
      <c r="LK216" s="16"/>
      <c r="LL216" s="16">
        <v>5.01</v>
      </c>
      <c r="LM216" s="16">
        <v>5.13</v>
      </c>
      <c r="LN216" s="16">
        <v>0</v>
      </c>
      <c r="LO216" s="16">
        <v>0</v>
      </c>
      <c r="LP216" s="16">
        <v>0</v>
      </c>
      <c r="LQ216" s="16">
        <v>0</v>
      </c>
      <c r="LR216" s="16">
        <v>0</v>
      </c>
      <c r="LS216">
        <v>0</v>
      </c>
      <c r="LT216" t="s">
        <v>197</v>
      </c>
      <c r="LU216">
        <v>49.5</v>
      </c>
      <c r="LV216" s="16">
        <v>90.1</v>
      </c>
      <c r="LW216" s="16">
        <v>80.400000000000006</v>
      </c>
      <c r="LX216" s="16">
        <v>9.9</v>
      </c>
      <c r="LY216">
        <v>94.62</v>
      </c>
      <c r="LZ216" s="17">
        <v>0</v>
      </c>
      <c r="MA216">
        <v>0.32</v>
      </c>
      <c r="MB216">
        <v>0</v>
      </c>
      <c r="MC216">
        <v>5.05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3.42</v>
      </c>
      <c r="MK216">
        <v>32.25</v>
      </c>
      <c r="ML216">
        <v>29.89</v>
      </c>
      <c r="MM216">
        <v>8.2799999999999994</v>
      </c>
      <c r="MN216">
        <v>0</v>
      </c>
      <c r="MO216">
        <v>12.9</v>
      </c>
      <c r="MP216">
        <v>1</v>
      </c>
      <c r="MQ216">
        <v>7</v>
      </c>
      <c r="MS216">
        <v>5</v>
      </c>
      <c r="MT216">
        <v>3</v>
      </c>
      <c r="MV216">
        <v>3</v>
      </c>
      <c r="MW216">
        <v>7</v>
      </c>
      <c r="MY216">
        <v>5</v>
      </c>
      <c r="MZ216">
        <v>3</v>
      </c>
      <c r="NB216">
        <v>3</v>
      </c>
      <c r="NC216">
        <v>16.600000000000001</v>
      </c>
      <c r="ND216">
        <v>1</v>
      </c>
      <c r="NE216">
        <v>68</v>
      </c>
      <c r="NF216">
        <v>6</v>
      </c>
      <c r="NG216">
        <v>0.21</v>
      </c>
      <c r="NH216">
        <v>1</v>
      </c>
      <c r="NI216">
        <v>35</v>
      </c>
      <c r="NJ216">
        <v>3</v>
      </c>
      <c r="NK216">
        <v>0.51</v>
      </c>
      <c r="NL216">
        <v>3</v>
      </c>
      <c r="NM216">
        <v>47</v>
      </c>
      <c r="NN216">
        <v>22</v>
      </c>
      <c r="NO216" s="20">
        <f>(0.43*3)+(0.07*4)+0.22</f>
        <v>1.79</v>
      </c>
      <c r="NP216">
        <v>3</v>
      </c>
      <c r="OG216">
        <v>1</v>
      </c>
      <c r="OH216">
        <v>60</v>
      </c>
      <c r="OI216">
        <v>17</v>
      </c>
      <c r="OJ216">
        <f>0.22+0.04+0.11+0.08+0.08+0.05</f>
        <v>0.58000000000000007</v>
      </c>
      <c r="OK216">
        <v>3</v>
      </c>
      <c r="OL216">
        <v>60</v>
      </c>
      <c r="OM216">
        <v>12</v>
      </c>
      <c r="ON216">
        <f>0.87+0.43+0.15+0.07</f>
        <v>1.52</v>
      </c>
      <c r="OO216">
        <v>1</v>
      </c>
      <c r="PR216" s="16">
        <v>2.4900000000000002</v>
      </c>
      <c r="PS216" s="16">
        <v>1</v>
      </c>
      <c r="PT216" s="16">
        <v>1</v>
      </c>
      <c r="PU216" s="16"/>
      <c r="PV216" s="16">
        <v>10.89</v>
      </c>
      <c r="PW216" s="16"/>
      <c r="PX216" s="16"/>
      <c r="PY216" s="16"/>
      <c r="PZ216" s="16"/>
      <c r="QA216" s="16"/>
      <c r="QB216" s="16"/>
      <c r="QC216" s="16">
        <v>4.17</v>
      </c>
      <c r="QD216" s="16">
        <v>3.7</v>
      </c>
      <c r="QE216" s="16">
        <v>0</v>
      </c>
      <c r="QF216" s="16">
        <v>0</v>
      </c>
      <c r="QG216" s="16">
        <v>0</v>
      </c>
      <c r="QH216" s="16">
        <v>0</v>
      </c>
      <c r="QI216" s="16">
        <v>0</v>
      </c>
      <c r="QJ216">
        <v>0</v>
      </c>
      <c r="QK216" t="s">
        <v>198</v>
      </c>
      <c r="QL216">
        <v>28.5</v>
      </c>
      <c r="QM216" s="16">
        <v>78.400000000000006</v>
      </c>
      <c r="QN216" s="16">
        <v>80.400000000000006</v>
      </c>
      <c r="QO216" s="16">
        <v>16</v>
      </c>
      <c r="QP216">
        <v>95.22</v>
      </c>
      <c r="QQ216" s="17">
        <v>0</v>
      </c>
      <c r="QR216">
        <v>4.2300000000000004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9.77</v>
      </c>
      <c r="RB216">
        <v>2.1800000000000002</v>
      </c>
      <c r="RC216">
        <v>46.81</v>
      </c>
      <c r="RD216">
        <v>10.57</v>
      </c>
      <c r="RE216">
        <v>0</v>
      </c>
      <c r="RF216">
        <v>0</v>
      </c>
      <c r="RG216">
        <v>0</v>
      </c>
      <c r="RT216">
        <v>0</v>
      </c>
      <c r="RU216">
        <v>0</v>
      </c>
      <c r="SF216" s="20"/>
      <c r="SX216">
        <v>0</v>
      </c>
      <c r="UI216" s="16">
        <v>4.2300000000000004</v>
      </c>
      <c r="UJ216" s="16">
        <v>1</v>
      </c>
      <c r="UK216" s="16">
        <v>2</v>
      </c>
      <c r="UL216" s="16"/>
      <c r="UM216" s="16">
        <v>6.34</v>
      </c>
      <c r="UN216" s="16">
        <v>1</v>
      </c>
      <c r="UO216" s="16">
        <v>1</v>
      </c>
      <c r="UP216" s="16">
        <f>9.52+3.17+3.17+3.17+1.12+1.12+1.12</f>
        <v>22.390000000000004</v>
      </c>
      <c r="UQ216" s="16"/>
      <c r="UR216" s="16"/>
      <c r="US216" s="16"/>
      <c r="UT216" s="16">
        <v>5.41</v>
      </c>
      <c r="UU216" s="16">
        <v>8.9600000000000009</v>
      </c>
      <c r="UV216" s="16">
        <v>0</v>
      </c>
      <c r="UW216" s="16">
        <v>0</v>
      </c>
      <c r="UX216" s="16">
        <v>0</v>
      </c>
      <c r="UY216" s="16">
        <v>0</v>
      </c>
      <c r="UZ216" s="16">
        <v>0</v>
      </c>
      <c r="VA216">
        <v>0</v>
      </c>
      <c r="VB216" t="s">
        <v>199</v>
      </c>
      <c r="VC216">
        <v>56.5</v>
      </c>
      <c r="VD216" s="16">
        <v>88.4</v>
      </c>
      <c r="VE216" s="16">
        <v>80.400000000000006</v>
      </c>
      <c r="VF216" s="16">
        <v>24.8</v>
      </c>
      <c r="VG216">
        <v>77.37</v>
      </c>
      <c r="VH216" s="17">
        <v>0</v>
      </c>
      <c r="VI216">
        <v>7.99</v>
      </c>
      <c r="VJ216">
        <v>0</v>
      </c>
      <c r="VK216">
        <v>14.63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8.0399999999999991</v>
      </c>
      <c r="VS216">
        <v>23.21</v>
      </c>
      <c r="VT216">
        <v>37.03</v>
      </c>
      <c r="VU216">
        <v>14.79</v>
      </c>
      <c r="VV216">
        <v>0</v>
      </c>
      <c r="VW216">
        <v>0</v>
      </c>
      <c r="VX216">
        <v>0</v>
      </c>
      <c r="WK216">
        <v>25.5</v>
      </c>
      <c r="WL216">
        <v>1</v>
      </c>
      <c r="WM216">
        <v>52</v>
      </c>
      <c r="WN216">
        <v>13</v>
      </c>
      <c r="WO216">
        <f>0.27+1.07+0.13+0.27</f>
        <v>1.7400000000000002</v>
      </c>
      <c r="WP216">
        <v>2</v>
      </c>
      <c r="WQ216">
        <v>35</v>
      </c>
      <c r="WR216">
        <v>3</v>
      </c>
      <c r="WS216">
        <f>0.13+0.08+0.24</f>
        <v>0.45</v>
      </c>
      <c r="WT216">
        <v>3</v>
      </c>
      <c r="WU216">
        <v>47</v>
      </c>
      <c r="WV216">
        <v>5</v>
      </c>
      <c r="WW216" s="20">
        <f>0.76+1.14+0.76+0.13+0.08</f>
        <v>2.87</v>
      </c>
      <c r="WX216">
        <v>3</v>
      </c>
      <c r="XO216">
        <v>0</v>
      </c>
      <c r="YZ216" s="16">
        <v>2.59</v>
      </c>
      <c r="ZA216" s="16">
        <v>1</v>
      </c>
      <c r="ZB216" s="16">
        <v>1</v>
      </c>
      <c r="ZC216" s="16"/>
      <c r="ZD216" s="16">
        <f>(2.11*4)+0.37</f>
        <v>8.8099999999999987</v>
      </c>
      <c r="ZE216" s="16"/>
      <c r="ZF216" s="16"/>
      <c r="ZG216" s="16"/>
      <c r="ZH216" s="16"/>
      <c r="ZI216" s="16"/>
      <c r="ZJ216" s="16"/>
      <c r="ZK216" s="16">
        <v>1.33</v>
      </c>
      <c r="ZL216" s="16">
        <v>0.89</v>
      </c>
      <c r="ZM216" s="16">
        <v>0</v>
      </c>
      <c r="ZN216" s="16">
        <v>0</v>
      </c>
      <c r="ZO216" s="16">
        <v>0</v>
      </c>
      <c r="ZP216" s="16">
        <v>0</v>
      </c>
      <c r="ZQ216" s="16">
        <v>0</v>
      </c>
      <c r="ZR216">
        <v>0</v>
      </c>
      <c r="ZS216" t="s">
        <v>200</v>
      </c>
      <c r="ZT216">
        <v>28.5</v>
      </c>
      <c r="ZU216" s="16">
        <v>69.400000000000006</v>
      </c>
      <c r="ZV216" s="16">
        <v>80.400000000000006</v>
      </c>
      <c r="ZW216" s="16">
        <v>9.8000000000000007</v>
      </c>
      <c r="ZX216">
        <v>96.02</v>
      </c>
      <c r="ZY216" s="17">
        <v>0</v>
      </c>
      <c r="ZZ216">
        <v>3.98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16.55</v>
      </c>
      <c r="AAK216">
        <v>26.49</v>
      </c>
      <c r="AAL216">
        <v>6.34</v>
      </c>
      <c r="AAM216">
        <v>0</v>
      </c>
      <c r="AAN216">
        <v>0</v>
      </c>
      <c r="AAO216">
        <v>0</v>
      </c>
      <c r="ABB216">
        <v>10.199999999999999</v>
      </c>
      <c r="ABC216">
        <v>1</v>
      </c>
      <c r="ABD216">
        <v>35</v>
      </c>
      <c r="ABE216">
        <v>1</v>
      </c>
      <c r="ABF216">
        <v>0.02</v>
      </c>
      <c r="ABG216">
        <v>3</v>
      </c>
      <c r="ABH216">
        <v>70</v>
      </c>
      <c r="ABI216">
        <v>2</v>
      </c>
      <c r="ABJ216">
        <v>0.27</v>
      </c>
      <c r="ABK216">
        <v>3</v>
      </c>
      <c r="ABN216" s="20"/>
      <c r="ACF216">
        <v>1</v>
      </c>
      <c r="ACG216">
        <v>50</v>
      </c>
      <c r="ACH216">
        <v>5</v>
      </c>
      <c r="ACI216">
        <f>1.52+0.5+0.19+0.12</f>
        <v>2.33</v>
      </c>
      <c r="ACJ216">
        <v>3</v>
      </c>
      <c r="ADQ216" s="16">
        <v>2.63</v>
      </c>
      <c r="ADR216" s="16">
        <v>1</v>
      </c>
      <c r="ADS216" s="16">
        <v>1</v>
      </c>
      <c r="ADT216" s="16"/>
      <c r="ADU216" s="16">
        <f>0.04+2.11+3.17+0.37+0.56</f>
        <v>6.25</v>
      </c>
      <c r="ADV216" s="16">
        <v>2</v>
      </c>
      <c r="ADW216" s="16"/>
      <c r="ADX216" s="16">
        <f>0.53+0.53+0.11+0.07+0.15</f>
        <v>1.3900000000000001</v>
      </c>
      <c r="ADY216" s="16"/>
      <c r="ADZ216" s="16"/>
      <c r="AEA216" s="16"/>
      <c r="AEB216" s="16">
        <v>3.33</v>
      </c>
      <c r="AEC216" s="16">
        <v>2.06</v>
      </c>
      <c r="AED216" s="16">
        <v>0</v>
      </c>
      <c r="AEE216" s="16">
        <v>0</v>
      </c>
      <c r="AEF216" s="16">
        <v>0</v>
      </c>
      <c r="AEG216" s="16">
        <v>0</v>
      </c>
      <c r="AEH216" s="16">
        <v>0</v>
      </c>
      <c r="AEI216">
        <v>0</v>
      </c>
      <c r="AEJ216" t="s">
        <v>201</v>
      </c>
      <c r="AEK216">
        <v>48.5</v>
      </c>
      <c r="AEL216" s="16">
        <v>89.7</v>
      </c>
      <c r="AEM216" s="16">
        <v>80.400000000000006</v>
      </c>
      <c r="AEN216" s="16">
        <v>9.3000000000000007</v>
      </c>
      <c r="AEO216">
        <v>100</v>
      </c>
      <c r="AEP216" s="17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1.65</v>
      </c>
      <c r="AFA216">
        <v>2.69</v>
      </c>
      <c r="AFB216">
        <v>54.55</v>
      </c>
      <c r="AFC216">
        <v>11.29</v>
      </c>
      <c r="AFD216">
        <v>0</v>
      </c>
      <c r="AFE216">
        <v>0</v>
      </c>
      <c r="AFF216">
        <v>0</v>
      </c>
      <c r="AFS216">
        <v>30.6</v>
      </c>
      <c r="AFT216">
        <v>1</v>
      </c>
      <c r="AFU216">
        <v>35</v>
      </c>
      <c r="AFV216">
        <v>14</v>
      </c>
      <c r="AFW216">
        <f>3.05+1.52+1.52+0.27+0.03+0.07</f>
        <v>6.46</v>
      </c>
      <c r="AFX216">
        <v>3</v>
      </c>
      <c r="AFY216">
        <v>47</v>
      </c>
      <c r="AFZ216">
        <v>6</v>
      </c>
      <c r="AGA216">
        <f>1.52+0.27*2</f>
        <v>2.06</v>
      </c>
      <c r="AGB216">
        <v>3</v>
      </c>
      <c r="AGE216" s="20"/>
      <c r="AGW216">
        <v>0</v>
      </c>
      <c r="AIH216" s="16">
        <v>3.34</v>
      </c>
      <c r="AII216" s="16">
        <v>1</v>
      </c>
      <c r="AIJ216" s="16">
        <v>1</v>
      </c>
      <c r="AIK216" s="16"/>
      <c r="AIL216" s="16">
        <f>4.23+1.14+2.11+4.23+1.37+0.02+2.03+0.75+0.37+0.13</f>
        <v>16.38</v>
      </c>
      <c r="AIM216" s="16"/>
      <c r="AIN216" s="16"/>
      <c r="AIO216" s="16"/>
      <c r="AIP216" s="16"/>
      <c r="AIQ216" s="16"/>
      <c r="AIR216" s="16"/>
      <c r="AIS216" s="16">
        <v>1.45</v>
      </c>
      <c r="AIT216" s="16">
        <v>1.46</v>
      </c>
      <c r="AIU216" s="16">
        <v>0</v>
      </c>
      <c r="AIV216" s="16">
        <v>0</v>
      </c>
      <c r="AIW216" s="16">
        <v>0</v>
      </c>
      <c r="AIX216" s="16">
        <v>0</v>
      </c>
      <c r="AIY216" s="16">
        <v>0</v>
      </c>
      <c r="AIZ216">
        <v>0</v>
      </c>
      <c r="AJA216" s="15"/>
      <c r="AJB216" s="15"/>
      <c r="AJI216" s="15"/>
      <c r="AJJ216" s="15"/>
      <c r="AJQ216" s="15"/>
      <c r="AJR216" s="15"/>
      <c r="AJY216" s="15"/>
      <c r="AJZ216" s="15"/>
      <c r="AKG216" s="15"/>
      <c r="AKH216" s="15"/>
      <c r="AKO216" s="15"/>
      <c r="AKP216" s="15"/>
      <c r="AKW216" s="15"/>
      <c r="AKX216" s="15"/>
      <c r="ALE216" s="15"/>
      <c r="ALF216" s="15"/>
      <c r="ALM216" s="15"/>
      <c r="ALN216" s="15"/>
      <c r="ALU216" s="15"/>
      <c r="ALV216" s="15"/>
      <c r="AMC216" s="15"/>
      <c r="AMD216" s="15"/>
    </row>
    <row r="217" spans="1:1018" x14ac:dyDescent="0.2">
      <c r="A217" s="1" t="s">
        <v>730</v>
      </c>
      <c r="B217" s="12">
        <v>42905</v>
      </c>
      <c r="C217">
        <v>2</v>
      </c>
      <c r="D217" s="13">
        <v>42814</v>
      </c>
      <c r="E217" s="12">
        <v>34638</v>
      </c>
      <c r="F217" s="14">
        <f t="shared" si="62"/>
        <v>22.633812457221083</v>
      </c>
      <c r="G217" s="14">
        <f t="shared" si="63"/>
        <v>0.24914442162902123</v>
      </c>
      <c r="H217" s="15" t="s">
        <v>181</v>
      </c>
      <c r="I217" s="15" t="s">
        <v>194</v>
      </c>
      <c r="J217" s="21" t="s">
        <v>181</v>
      </c>
      <c r="K217" s="21">
        <v>8</v>
      </c>
      <c r="L217" s="19">
        <v>64</v>
      </c>
      <c r="M217">
        <v>1.72</v>
      </c>
      <c r="N217" s="16">
        <f t="shared" si="64"/>
        <v>21.63331530557058</v>
      </c>
      <c r="O217" s="19">
        <v>0</v>
      </c>
      <c r="P217" s="19">
        <v>0</v>
      </c>
      <c r="Q217" s="19">
        <v>0</v>
      </c>
      <c r="R217" s="26">
        <v>0</v>
      </c>
      <c r="S217" s="26">
        <v>0</v>
      </c>
      <c r="T217" s="26">
        <v>0</v>
      </c>
      <c r="U217" s="19">
        <v>0</v>
      </c>
      <c r="V217" s="19">
        <v>0</v>
      </c>
      <c r="W217" s="19">
        <v>0</v>
      </c>
      <c r="X217" s="19">
        <v>0</v>
      </c>
      <c r="Y217" s="19">
        <v>1</v>
      </c>
      <c r="Z217" s="19">
        <v>2</v>
      </c>
      <c r="AA217" s="19">
        <v>20</v>
      </c>
      <c r="AB217" s="19" t="s">
        <v>349</v>
      </c>
      <c r="AC217" s="19">
        <v>0</v>
      </c>
      <c r="AD217" s="19">
        <v>0</v>
      </c>
      <c r="AE217" s="19">
        <v>0</v>
      </c>
      <c r="AF217" s="19">
        <v>0</v>
      </c>
      <c r="AG217" s="19">
        <v>0</v>
      </c>
      <c r="AH217" s="19">
        <v>0</v>
      </c>
      <c r="AI217" s="19">
        <v>0</v>
      </c>
      <c r="AJ217" s="19">
        <v>0</v>
      </c>
      <c r="AK217" s="19">
        <v>0</v>
      </c>
      <c r="AL217" s="19">
        <v>0</v>
      </c>
      <c r="AM217" s="19">
        <v>0</v>
      </c>
      <c r="AN217" s="19">
        <v>0</v>
      </c>
      <c r="AO217" s="19">
        <v>0</v>
      </c>
      <c r="AP217" s="19">
        <v>0</v>
      </c>
      <c r="AQ217" s="19">
        <v>0</v>
      </c>
      <c r="AR217" s="19">
        <v>0</v>
      </c>
      <c r="AS217" s="19">
        <v>0</v>
      </c>
      <c r="AT217" s="19">
        <v>0</v>
      </c>
      <c r="AU217" s="19">
        <v>0</v>
      </c>
      <c r="AV217" s="19">
        <v>0</v>
      </c>
      <c r="AW217" s="19">
        <v>0</v>
      </c>
      <c r="AX217" s="19">
        <v>0</v>
      </c>
      <c r="AY217" s="19">
        <v>0</v>
      </c>
      <c r="AZ217" s="19">
        <v>0</v>
      </c>
      <c r="BA217" s="19">
        <v>0</v>
      </c>
      <c r="BB217" s="19">
        <v>0</v>
      </c>
      <c r="BC217" s="19">
        <v>0</v>
      </c>
      <c r="BD217" s="19">
        <v>0</v>
      </c>
      <c r="BE217" s="19">
        <v>0</v>
      </c>
      <c r="BF217" s="19">
        <v>1</v>
      </c>
      <c r="BG217" s="19">
        <v>1</v>
      </c>
      <c r="BH217" s="19">
        <v>0</v>
      </c>
      <c r="BI217" s="19">
        <v>0</v>
      </c>
      <c r="BJ217" s="19">
        <v>0</v>
      </c>
      <c r="BK217" s="19">
        <v>0</v>
      </c>
      <c r="BL217" s="19">
        <v>0</v>
      </c>
      <c r="BM217" s="19">
        <v>0</v>
      </c>
      <c r="BN217" s="19">
        <v>1</v>
      </c>
      <c r="BO217" s="19">
        <v>1</v>
      </c>
      <c r="BP217" s="19">
        <v>0</v>
      </c>
      <c r="BQ217" s="19">
        <v>0</v>
      </c>
      <c r="BR217" s="19">
        <v>1</v>
      </c>
      <c r="BS217" s="19">
        <v>2</v>
      </c>
      <c r="BT217" s="19">
        <v>4</v>
      </c>
      <c r="BU217" s="19">
        <v>5</v>
      </c>
      <c r="BV217" s="19">
        <v>3</v>
      </c>
      <c r="BW217" s="19">
        <v>1</v>
      </c>
      <c r="BX217" s="19">
        <v>4</v>
      </c>
      <c r="BY217" s="19">
        <v>4</v>
      </c>
      <c r="BZ217" s="19">
        <v>5</v>
      </c>
      <c r="CA217" s="19">
        <v>5</v>
      </c>
      <c r="CB217" s="19">
        <v>5</v>
      </c>
      <c r="CC217" s="19">
        <v>5</v>
      </c>
      <c r="CD217" s="19">
        <v>4</v>
      </c>
      <c r="CE217" s="19">
        <v>5</v>
      </c>
      <c r="CF217" s="19">
        <v>5</v>
      </c>
      <c r="CG217" s="19">
        <v>5</v>
      </c>
      <c r="CH217" s="19">
        <v>5</v>
      </c>
      <c r="CI217" s="19">
        <v>5</v>
      </c>
      <c r="CJ217" s="19">
        <v>4</v>
      </c>
      <c r="CK217" s="19">
        <v>8</v>
      </c>
      <c r="CL217" t="s">
        <v>195</v>
      </c>
      <c r="CM217">
        <v>37.5</v>
      </c>
      <c r="CN217" s="16">
        <v>87.4</v>
      </c>
      <c r="CO217" s="16">
        <v>80.400000000000006</v>
      </c>
      <c r="CP217" s="16">
        <v>18.5</v>
      </c>
      <c r="CQ217">
        <v>84.21</v>
      </c>
      <c r="CR217" s="17">
        <v>0</v>
      </c>
      <c r="CS217">
        <v>0</v>
      </c>
      <c r="CT217">
        <v>0</v>
      </c>
      <c r="CU217">
        <v>15.79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26.71</v>
      </c>
      <c r="DC217">
        <v>13.13</v>
      </c>
      <c r="DD217">
        <v>49.12</v>
      </c>
      <c r="DE217">
        <v>14.67</v>
      </c>
      <c r="DF217">
        <v>0</v>
      </c>
      <c r="DG217">
        <v>0</v>
      </c>
      <c r="DH217">
        <v>0</v>
      </c>
      <c r="DU217">
        <v>1.1000000000000001</v>
      </c>
      <c r="DV217">
        <v>1</v>
      </c>
      <c r="DW217">
        <v>52</v>
      </c>
      <c r="DX217">
        <v>1</v>
      </c>
      <c r="DY217">
        <v>0.22</v>
      </c>
      <c r="DZ217">
        <v>2</v>
      </c>
      <c r="EA217">
        <v>35</v>
      </c>
      <c r="EB217">
        <v>2</v>
      </c>
      <c r="EC217">
        <v>0.16</v>
      </c>
      <c r="ED217">
        <v>3</v>
      </c>
      <c r="EG217" s="20"/>
      <c r="EY217">
        <v>0</v>
      </c>
      <c r="GJ217" s="16">
        <v>4.3</v>
      </c>
      <c r="GK217" s="16">
        <v>1</v>
      </c>
      <c r="GL217" s="16">
        <v>1</v>
      </c>
      <c r="GM217" s="16"/>
      <c r="GN217" s="16">
        <f>(2.11*6)+0.9+0.9+0.62+0.62+0.93+0.3+0.3+0.22+0.22+0.23+0.22+0.22+0.22</f>
        <v>18.559999999999995</v>
      </c>
      <c r="GO217" s="16"/>
      <c r="GP217" s="16"/>
      <c r="GQ217" s="16"/>
      <c r="GR217" s="16"/>
      <c r="GS217" s="16"/>
      <c r="GT217" s="16"/>
      <c r="GU217" s="16">
        <v>10.31</v>
      </c>
      <c r="GV217" s="16">
        <v>34.85</v>
      </c>
      <c r="GW217" s="16">
        <v>0</v>
      </c>
      <c r="GX217" s="16">
        <v>0</v>
      </c>
      <c r="GY217" s="16">
        <v>0</v>
      </c>
      <c r="GZ217" s="16">
        <v>0</v>
      </c>
      <c r="HA217" s="16">
        <v>0</v>
      </c>
      <c r="HB217">
        <v>0</v>
      </c>
      <c r="HC217" t="s">
        <v>196</v>
      </c>
      <c r="HD217">
        <v>39.5</v>
      </c>
      <c r="HE217" s="16">
        <v>89.8</v>
      </c>
      <c r="HF217" s="16">
        <v>80.400000000000006</v>
      </c>
      <c r="HG217" s="16">
        <v>5.0999999999999996</v>
      </c>
      <c r="HH217">
        <v>100</v>
      </c>
      <c r="HI217" s="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50.37</v>
      </c>
      <c r="HU217">
        <v>16.55</v>
      </c>
      <c r="HV217">
        <v>0.4</v>
      </c>
      <c r="HW217">
        <v>0</v>
      </c>
      <c r="HX217">
        <v>27.4</v>
      </c>
      <c r="HY217">
        <v>1</v>
      </c>
      <c r="HZ217">
        <v>3</v>
      </c>
      <c r="IB217">
        <v>4</v>
      </c>
      <c r="IF217">
        <v>3</v>
      </c>
      <c r="IH217">
        <v>4</v>
      </c>
      <c r="IL217">
        <v>0.1</v>
      </c>
      <c r="IM217">
        <v>1</v>
      </c>
      <c r="IN217">
        <v>34</v>
      </c>
      <c r="IO217">
        <v>9</v>
      </c>
      <c r="IP217">
        <f>(1.71*3)+(0.2*2)</f>
        <v>5.53</v>
      </c>
      <c r="IQ217">
        <v>1</v>
      </c>
      <c r="IR217">
        <v>35</v>
      </c>
      <c r="IS217">
        <v>1</v>
      </c>
      <c r="IT217" s="16">
        <v>0.02</v>
      </c>
      <c r="IU217">
        <v>3</v>
      </c>
      <c r="IX217" s="20"/>
      <c r="JP217">
        <v>0</v>
      </c>
      <c r="LA217" s="16">
        <v>1.49</v>
      </c>
      <c r="LB217" s="16">
        <v>1</v>
      </c>
      <c r="LC217" s="16">
        <v>1</v>
      </c>
      <c r="LD217" s="16"/>
      <c r="LE217" s="16">
        <f>2.11+2.11+0.56+0.56</f>
        <v>5.34</v>
      </c>
      <c r="LF217" s="16"/>
      <c r="LG217" s="16"/>
      <c r="LH217" s="16"/>
      <c r="LI217" s="16"/>
      <c r="LJ217" s="16"/>
      <c r="LK217" s="16"/>
      <c r="LL217" s="16">
        <v>5.01</v>
      </c>
      <c r="LM217" s="16">
        <v>5.13</v>
      </c>
      <c r="LN217" s="16">
        <v>0</v>
      </c>
      <c r="LO217" s="16">
        <v>0</v>
      </c>
      <c r="LP217" s="16">
        <v>0</v>
      </c>
      <c r="LQ217" s="16">
        <v>0</v>
      </c>
      <c r="LR217" s="16">
        <v>0</v>
      </c>
      <c r="LS217">
        <v>0</v>
      </c>
      <c r="LT217" t="s">
        <v>197</v>
      </c>
      <c r="LU217">
        <v>49.5</v>
      </c>
      <c r="LV217" s="16">
        <v>90.1</v>
      </c>
      <c r="LW217" s="16">
        <v>80.400000000000006</v>
      </c>
      <c r="LX217" s="16">
        <v>9.9</v>
      </c>
      <c r="LY217">
        <v>94.62</v>
      </c>
      <c r="LZ217" s="17">
        <v>0</v>
      </c>
      <c r="MA217">
        <v>0.32</v>
      </c>
      <c r="MB217">
        <v>0</v>
      </c>
      <c r="MC217">
        <v>5.05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3.42</v>
      </c>
      <c r="MK217">
        <v>32.25</v>
      </c>
      <c r="ML217">
        <v>29.89</v>
      </c>
      <c r="MM217">
        <v>8.2799999999999994</v>
      </c>
      <c r="MN217">
        <v>0</v>
      </c>
      <c r="MO217">
        <v>12.9</v>
      </c>
      <c r="MP217">
        <v>1</v>
      </c>
      <c r="MQ217">
        <v>7</v>
      </c>
      <c r="MS217">
        <v>5</v>
      </c>
      <c r="MT217">
        <v>3</v>
      </c>
      <c r="MV217">
        <v>3</v>
      </c>
      <c r="MW217">
        <v>7</v>
      </c>
      <c r="MY217">
        <v>5</v>
      </c>
      <c r="MZ217">
        <v>3</v>
      </c>
      <c r="NB217">
        <v>3</v>
      </c>
      <c r="NC217">
        <v>16.600000000000001</v>
      </c>
      <c r="ND217">
        <v>1</v>
      </c>
      <c r="NE217">
        <v>68</v>
      </c>
      <c r="NF217">
        <v>6</v>
      </c>
      <c r="NG217">
        <v>0.21</v>
      </c>
      <c r="NH217">
        <v>1</v>
      </c>
      <c r="NI217">
        <v>35</v>
      </c>
      <c r="NJ217">
        <v>3</v>
      </c>
      <c r="NK217">
        <v>0.51</v>
      </c>
      <c r="NL217">
        <v>3</v>
      </c>
      <c r="NM217">
        <v>47</v>
      </c>
      <c r="NN217">
        <v>22</v>
      </c>
      <c r="NO217" s="20">
        <f>(0.43*3)+(0.07*4)+0.22</f>
        <v>1.79</v>
      </c>
      <c r="NP217">
        <v>3</v>
      </c>
      <c r="OG217">
        <v>1</v>
      </c>
      <c r="OH217">
        <v>60</v>
      </c>
      <c r="OI217">
        <v>17</v>
      </c>
      <c r="OJ217">
        <f>0.22+0.04+0.11+0.08+0.08+0.05</f>
        <v>0.58000000000000007</v>
      </c>
      <c r="OK217">
        <v>3</v>
      </c>
      <c r="OL217">
        <v>60</v>
      </c>
      <c r="OM217">
        <v>12</v>
      </c>
      <c r="ON217">
        <f>0.87+0.43+0.15+0.07</f>
        <v>1.52</v>
      </c>
      <c r="OO217">
        <v>1</v>
      </c>
      <c r="PR217" s="16">
        <v>2.4900000000000002</v>
      </c>
      <c r="PS217" s="16">
        <v>1</v>
      </c>
      <c r="PT217" s="16">
        <v>1</v>
      </c>
      <c r="PU217" s="16"/>
      <c r="PV217" s="16">
        <v>10.89</v>
      </c>
      <c r="PW217" s="16"/>
      <c r="PX217" s="16"/>
      <c r="PY217" s="16"/>
      <c r="PZ217" s="16"/>
      <c r="QA217" s="16"/>
      <c r="QB217" s="16"/>
      <c r="QC217" s="16">
        <v>4.17</v>
      </c>
      <c r="QD217" s="16">
        <v>3.7</v>
      </c>
      <c r="QE217" s="16">
        <v>0</v>
      </c>
      <c r="QF217" s="16">
        <v>0</v>
      </c>
      <c r="QG217" s="16">
        <v>0</v>
      </c>
      <c r="QH217" s="16">
        <v>0</v>
      </c>
      <c r="QI217" s="16">
        <v>0</v>
      </c>
      <c r="QJ217">
        <v>0</v>
      </c>
      <c r="QK217" t="s">
        <v>198</v>
      </c>
      <c r="QL217">
        <v>28.5</v>
      </c>
      <c r="QM217" s="16">
        <v>78.400000000000006</v>
      </c>
      <c r="QN217" s="16">
        <v>80.400000000000006</v>
      </c>
      <c r="QO217" s="16">
        <v>16</v>
      </c>
      <c r="QP217">
        <v>95.22</v>
      </c>
      <c r="QQ217" s="17">
        <v>0</v>
      </c>
      <c r="QR217">
        <v>4.2300000000000004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9.77</v>
      </c>
      <c r="RB217">
        <v>2.1800000000000002</v>
      </c>
      <c r="RC217">
        <v>46.81</v>
      </c>
      <c r="RD217">
        <v>10.57</v>
      </c>
      <c r="RE217">
        <v>0</v>
      </c>
      <c r="RF217">
        <v>0</v>
      </c>
      <c r="RG217">
        <v>0</v>
      </c>
      <c r="RT217">
        <v>0</v>
      </c>
      <c r="RU217">
        <v>0</v>
      </c>
      <c r="SF217" s="20"/>
      <c r="SX217">
        <v>0</v>
      </c>
      <c r="UI217" s="16">
        <v>4.2300000000000004</v>
      </c>
      <c r="UJ217" s="16">
        <v>1</v>
      </c>
      <c r="UK217" s="16">
        <v>2</v>
      </c>
      <c r="UL217" s="16"/>
      <c r="UM217" s="16">
        <v>6.34</v>
      </c>
      <c r="UN217" s="16">
        <v>1</v>
      </c>
      <c r="UO217" s="16">
        <v>1</v>
      </c>
      <c r="UP217" s="16">
        <f>9.52+3.17+3.17+3.17+1.12+1.12+1.12</f>
        <v>22.390000000000004</v>
      </c>
      <c r="UQ217" s="16"/>
      <c r="UR217" s="16"/>
      <c r="US217" s="16"/>
      <c r="UT217" s="16">
        <v>5.41</v>
      </c>
      <c r="UU217" s="16">
        <v>8.9600000000000009</v>
      </c>
      <c r="UV217" s="16">
        <v>0</v>
      </c>
      <c r="UW217" s="16">
        <v>0</v>
      </c>
      <c r="UX217" s="16">
        <v>0</v>
      </c>
      <c r="UY217" s="16">
        <v>0</v>
      </c>
      <c r="UZ217" s="16">
        <v>0</v>
      </c>
      <c r="VA217">
        <v>0</v>
      </c>
      <c r="VB217" t="s">
        <v>200</v>
      </c>
      <c r="VC217">
        <v>28.5</v>
      </c>
      <c r="VD217" s="16">
        <v>69.400000000000006</v>
      </c>
      <c r="VE217" s="16">
        <v>80.400000000000006</v>
      </c>
      <c r="VF217" s="16">
        <v>9.8000000000000007</v>
      </c>
      <c r="VG217">
        <v>96.02</v>
      </c>
      <c r="VH217" s="17">
        <v>0</v>
      </c>
      <c r="VI217">
        <v>3.98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16.55</v>
      </c>
      <c r="VT217">
        <v>26.49</v>
      </c>
      <c r="VU217">
        <v>6.34</v>
      </c>
      <c r="VV217">
        <v>0</v>
      </c>
      <c r="VW217">
        <v>0</v>
      </c>
      <c r="VX217">
        <v>0</v>
      </c>
      <c r="WK217">
        <v>10.199999999999999</v>
      </c>
      <c r="WL217">
        <v>1</v>
      </c>
      <c r="WM217">
        <v>35</v>
      </c>
      <c r="WN217">
        <v>1</v>
      </c>
      <c r="WO217">
        <v>0.02</v>
      </c>
      <c r="WP217">
        <v>3</v>
      </c>
      <c r="WQ217">
        <v>70</v>
      </c>
      <c r="WR217">
        <v>2</v>
      </c>
      <c r="WS217">
        <v>0.27</v>
      </c>
      <c r="WT217">
        <v>3</v>
      </c>
      <c r="WW217" s="20"/>
      <c r="XO217">
        <v>1</v>
      </c>
      <c r="XP217">
        <v>50</v>
      </c>
      <c r="XQ217">
        <v>5</v>
      </c>
      <c r="XR217">
        <f>1.52+0.5+0.19+0.12</f>
        <v>2.33</v>
      </c>
      <c r="XS217">
        <v>3</v>
      </c>
      <c r="YZ217" s="16">
        <v>2.63</v>
      </c>
      <c r="ZA217" s="16">
        <v>1</v>
      </c>
      <c r="ZB217" s="16">
        <v>1</v>
      </c>
      <c r="ZC217" s="16"/>
      <c r="ZD217" s="16">
        <f>0.04+2.11+3.17+0.37+0.56</f>
        <v>6.25</v>
      </c>
      <c r="ZE217" s="16">
        <v>2</v>
      </c>
      <c r="ZF217" s="16"/>
      <c r="ZG217" s="16">
        <f>0.53+0.53+0.11+0.07+0.15</f>
        <v>1.3900000000000001</v>
      </c>
      <c r="ZH217" s="16"/>
      <c r="ZI217" s="16"/>
      <c r="ZJ217" s="16"/>
      <c r="ZK217" s="16">
        <v>3.33</v>
      </c>
      <c r="ZL217" s="16">
        <v>2.06</v>
      </c>
      <c r="ZM217" s="16">
        <v>0</v>
      </c>
      <c r="ZN217" s="16">
        <v>0</v>
      </c>
      <c r="ZO217" s="16">
        <v>0</v>
      </c>
      <c r="ZP217" s="16">
        <v>0</v>
      </c>
      <c r="ZQ217" s="16">
        <v>0</v>
      </c>
      <c r="ZR217">
        <v>0</v>
      </c>
      <c r="ZS217" t="s">
        <v>202</v>
      </c>
      <c r="ZT217">
        <v>60</v>
      </c>
      <c r="ZU217" s="16">
        <v>55.4</v>
      </c>
      <c r="ZV217" s="16">
        <v>80.400000000000006</v>
      </c>
      <c r="ZW217" s="16">
        <v>29.6</v>
      </c>
      <c r="ZX217">
        <v>76.8</v>
      </c>
      <c r="ZY217" s="17">
        <v>0</v>
      </c>
      <c r="ZZ217">
        <v>0</v>
      </c>
      <c r="AAA217">
        <v>0</v>
      </c>
      <c r="AAB217">
        <v>0</v>
      </c>
      <c r="AAD217">
        <v>4.83</v>
      </c>
      <c r="AAE217">
        <v>1.71</v>
      </c>
      <c r="AAF217">
        <v>0</v>
      </c>
      <c r="AAG217">
        <v>0</v>
      </c>
      <c r="AAH217">
        <v>0</v>
      </c>
      <c r="AAI217">
        <v>1.51</v>
      </c>
      <c r="AAJ217">
        <v>1.85</v>
      </c>
      <c r="AAK217">
        <v>2.31</v>
      </c>
      <c r="AAL217">
        <v>19.079999999999998</v>
      </c>
      <c r="AAM217">
        <v>18.37</v>
      </c>
      <c r="AAN217">
        <v>0</v>
      </c>
      <c r="AAO217">
        <v>0</v>
      </c>
      <c r="AAP217">
        <v>0</v>
      </c>
      <c r="AAV217">
        <v>0</v>
      </c>
      <c r="ABB217">
        <v>22.9</v>
      </c>
      <c r="ABC217">
        <v>1</v>
      </c>
      <c r="ABD217">
        <v>34</v>
      </c>
      <c r="ABE217">
        <v>1</v>
      </c>
      <c r="ABF217">
        <v>1.19</v>
      </c>
      <c r="ABG217">
        <v>1</v>
      </c>
      <c r="ABH217">
        <v>47</v>
      </c>
      <c r="ABI217">
        <f>7+3+1+2+3+5+7+1+7+2+7+5+5</f>
        <v>55</v>
      </c>
      <c r="ABJ217">
        <f>(0.3*7)+0.15+0.3+0.9+0.6+0.45+0.6+(0.3*3)+(0.3*5)+(0.3*7)+0.9+(0.3*7)+(0.4)+(0.3*7)+(0.3*5)+(0.3*5)</f>
        <v>18.100000000000001</v>
      </c>
      <c r="ABK217">
        <v>2</v>
      </c>
      <c r="ABN217" s="20"/>
      <c r="ACF217">
        <v>0</v>
      </c>
      <c r="ADQ217" s="16">
        <v>0.06</v>
      </c>
      <c r="ADR217" s="16">
        <v>1</v>
      </c>
      <c r="ADS217" s="16">
        <v>1</v>
      </c>
      <c r="ADT217" s="16"/>
      <c r="ADU217" s="16">
        <v>0.1</v>
      </c>
      <c r="ADV217" s="16"/>
      <c r="ADW217" s="16"/>
      <c r="ADX217" s="16"/>
      <c r="ADY217" s="16"/>
      <c r="ADZ217" s="16"/>
      <c r="AEA217" s="16"/>
      <c r="AEB217" s="16">
        <v>5.42</v>
      </c>
      <c r="AEC217" s="16">
        <v>8.83</v>
      </c>
      <c r="AED217" s="16">
        <v>0</v>
      </c>
      <c r="AEE217" s="16">
        <v>0</v>
      </c>
      <c r="AEF217" s="16">
        <v>1.99</v>
      </c>
      <c r="AEG217" s="16">
        <v>0</v>
      </c>
      <c r="AEH217" s="16">
        <v>0</v>
      </c>
      <c r="AEI217">
        <v>2</v>
      </c>
      <c r="AEJ217" t="s">
        <v>727</v>
      </c>
      <c r="AEK217">
        <v>47.5</v>
      </c>
      <c r="AEL217" s="16">
        <v>58.6</v>
      </c>
      <c r="AEM217" s="16">
        <v>80.400000000000006</v>
      </c>
      <c r="AEN217" s="16">
        <v>19.5</v>
      </c>
      <c r="AEO217">
        <v>76.23</v>
      </c>
      <c r="AEP217" s="17">
        <v>0</v>
      </c>
      <c r="AEQ217">
        <v>7.5</v>
      </c>
      <c r="AER217">
        <v>0</v>
      </c>
      <c r="AES217">
        <v>16.260000000000002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22.34</v>
      </c>
      <c r="AFB217">
        <v>19.22</v>
      </c>
      <c r="AFC217">
        <v>9.8000000000000007</v>
      </c>
      <c r="AFD217">
        <v>0.28000000000000003</v>
      </c>
      <c r="AFE217">
        <v>0</v>
      </c>
      <c r="AFS217">
        <v>24.1</v>
      </c>
      <c r="AFT217">
        <v>1</v>
      </c>
      <c r="AFU217">
        <v>47</v>
      </c>
      <c r="AFV217">
        <v>6</v>
      </c>
      <c r="AFW217">
        <f>2.28+0.81</f>
        <v>3.09</v>
      </c>
      <c r="AFX217">
        <v>3</v>
      </c>
      <c r="AFY217">
        <v>23</v>
      </c>
      <c r="AFZ217">
        <v>2</v>
      </c>
      <c r="AGA217">
        <v>0.54</v>
      </c>
      <c r="AGB217">
        <v>3</v>
      </c>
      <c r="AGE217" s="20"/>
      <c r="AGW217">
        <v>0</v>
      </c>
      <c r="AIH217" s="16">
        <v>0</v>
      </c>
      <c r="AII217" s="16">
        <v>0</v>
      </c>
      <c r="AIJ217" s="16"/>
      <c r="AIK217" s="16"/>
      <c r="AIL217" s="16"/>
      <c r="AIM217" s="16"/>
      <c r="AIN217" s="16"/>
      <c r="AIO217" s="16"/>
      <c r="AIP217" s="16"/>
      <c r="AIQ217" s="16"/>
      <c r="AIR217" s="16"/>
      <c r="AIS217" s="16">
        <v>2.97</v>
      </c>
      <c r="AIT217" s="16">
        <v>2.96</v>
      </c>
      <c r="AIU217" s="16">
        <v>0</v>
      </c>
      <c r="AIV217" s="16">
        <v>0</v>
      </c>
      <c r="AIW217" s="16">
        <v>0</v>
      </c>
      <c r="AIX217" s="16">
        <v>0</v>
      </c>
      <c r="AIY217" s="16">
        <v>0</v>
      </c>
      <c r="AIZ217">
        <v>0</v>
      </c>
      <c r="AJA217" s="15"/>
      <c r="AJB217" s="15"/>
      <c r="AJI217" s="15"/>
      <c r="AJJ217" s="15"/>
      <c r="AJQ217" s="15"/>
      <c r="AJR217" s="15"/>
      <c r="AJY217" s="15"/>
      <c r="AJZ217" s="15"/>
      <c r="AKG217" s="15"/>
      <c r="AKH217" s="15"/>
      <c r="AKO217" s="15"/>
      <c r="AKP217" s="15"/>
      <c r="AKW217" s="15"/>
      <c r="AKX217" s="15"/>
      <c r="ALE217" s="15"/>
      <c r="ALF217" s="15"/>
      <c r="ALM217" s="15"/>
      <c r="ALN217" s="15"/>
      <c r="ALU217" s="15"/>
      <c r="ALV217" s="15"/>
      <c r="AMC217" s="15"/>
      <c r="AMD217" s="15"/>
    </row>
    <row r="218" spans="1:1018" x14ac:dyDescent="0.2">
      <c r="A218" s="1" t="s">
        <v>731</v>
      </c>
      <c r="B218" s="12">
        <v>42903</v>
      </c>
      <c r="C218">
        <v>2</v>
      </c>
      <c r="D218" s="13">
        <v>42811</v>
      </c>
      <c r="E218" s="12">
        <v>29954</v>
      </c>
      <c r="F218" s="14">
        <f t="shared" si="62"/>
        <v>35.452429842573579</v>
      </c>
      <c r="G218" s="14">
        <f t="shared" si="63"/>
        <v>0.2518822724161533</v>
      </c>
      <c r="H218" s="15" t="s">
        <v>181</v>
      </c>
      <c r="I218" s="15" t="s">
        <v>194</v>
      </c>
      <c r="J218" s="21" t="s">
        <v>181</v>
      </c>
      <c r="K218" s="21">
        <v>8</v>
      </c>
      <c r="L218" s="19">
        <v>70</v>
      </c>
      <c r="M218">
        <v>1.7</v>
      </c>
      <c r="N218" s="16">
        <f t="shared" si="64"/>
        <v>24.221453287197235</v>
      </c>
      <c r="O218" s="19">
        <v>0</v>
      </c>
      <c r="P218" s="19">
        <v>0</v>
      </c>
      <c r="Q218" s="19">
        <v>0</v>
      </c>
      <c r="R218" s="26">
        <v>0</v>
      </c>
      <c r="S218" s="26">
        <v>0</v>
      </c>
      <c r="T218" s="26">
        <v>0</v>
      </c>
      <c r="U218" s="19">
        <v>0</v>
      </c>
      <c r="V218" s="19">
        <v>0</v>
      </c>
      <c r="W218" s="19">
        <v>0</v>
      </c>
      <c r="X218" s="19">
        <v>0</v>
      </c>
      <c r="Y218" s="19">
        <v>1</v>
      </c>
      <c r="Z218" s="19">
        <v>1</v>
      </c>
      <c r="AA218" s="19">
        <v>60</v>
      </c>
      <c r="AB218" s="19" t="s">
        <v>308</v>
      </c>
      <c r="AC218" s="19">
        <v>0</v>
      </c>
      <c r="AD218" s="19">
        <v>0</v>
      </c>
      <c r="AE218" s="19">
        <v>0</v>
      </c>
      <c r="AF218" s="19">
        <v>0</v>
      </c>
      <c r="AG218" s="19">
        <v>0</v>
      </c>
      <c r="AH218" s="19">
        <v>0</v>
      </c>
      <c r="AI218" s="19">
        <v>0</v>
      </c>
      <c r="AJ218" s="19">
        <v>0</v>
      </c>
      <c r="AK218" s="19">
        <v>0</v>
      </c>
      <c r="AL218" s="19">
        <v>0</v>
      </c>
      <c r="AM218" s="19">
        <v>0</v>
      </c>
      <c r="AN218" s="19">
        <v>0</v>
      </c>
      <c r="AO218" s="19">
        <v>0</v>
      </c>
      <c r="AP218" s="19">
        <v>0</v>
      </c>
      <c r="AQ218" s="19">
        <v>0</v>
      </c>
      <c r="AR218" s="19">
        <v>0</v>
      </c>
      <c r="AS218" s="19">
        <v>0</v>
      </c>
      <c r="AT218" s="19">
        <v>0</v>
      </c>
      <c r="AU218" s="19">
        <v>0</v>
      </c>
      <c r="AV218" s="19">
        <v>0</v>
      </c>
      <c r="AW218" s="19">
        <v>0</v>
      </c>
      <c r="AX218" s="19">
        <v>0</v>
      </c>
      <c r="AY218" s="19">
        <v>0</v>
      </c>
      <c r="AZ218" s="19">
        <v>0</v>
      </c>
      <c r="BA218" s="19">
        <v>0</v>
      </c>
      <c r="BB218" s="19">
        <v>0</v>
      </c>
      <c r="BC218" s="19">
        <v>0</v>
      </c>
      <c r="BD218" s="19">
        <v>0</v>
      </c>
      <c r="BE218" s="19">
        <v>0</v>
      </c>
      <c r="BF218" s="19">
        <v>0</v>
      </c>
      <c r="BG218" s="19">
        <v>0</v>
      </c>
      <c r="BH218" s="19">
        <v>0</v>
      </c>
      <c r="BI218" s="19">
        <v>0</v>
      </c>
      <c r="BJ218" s="19">
        <v>0</v>
      </c>
      <c r="BK218" s="19">
        <v>0</v>
      </c>
      <c r="BL218" s="19">
        <v>0</v>
      </c>
      <c r="BM218" s="19">
        <v>0</v>
      </c>
      <c r="BN218" s="19">
        <v>0</v>
      </c>
      <c r="BO218" s="19">
        <v>0</v>
      </c>
      <c r="BP218" s="19">
        <v>0</v>
      </c>
      <c r="BQ218" s="19">
        <v>0</v>
      </c>
      <c r="BR218" s="19">
        <v>1</v>
      </c>
      <c r="BS218" s="19">
        <v>3</v>
      </c>
      <c r="BT218" s="19">
        <v>3</v>
      </c>
      <c r="BU218" s="19">
        <v>3</v>
      </c>
      <c r="BV218" s="19">
        <v>1</v>
      </c>
      <c r="BW218" s="19">
        <v>1</v>
      </c>
      <c r="BX218" s="19">
        <v>3</v>
      </c>
      <c r="BY218" s="19">
        <v>3</v>
      </c>
      <c r="BZ218" s="19">
        <v>5</v>
      </c>
      <c r="CA218" s="19">
        <v>5</v>
      </c>
      <c r="CB218" s="19">
        <v>5</v>
      </c>
      <c r="CC218" s="19">
        <v>5</v>
      </c>
      <c r="CD218" s="19">
        <v>1</v>
      </c>
      <c r="CE218" s="19">
        <v>5</v>
      </c>
      <c r="CF218" s="19">
        <v>5</v>
      </c>
      <c r="CG218" s="19">
        <v>5</v>
      </c>
      <c r="CH218" s="19">
        <v>5</v>
      </c>
      <c r="CI218" s="19">
        <v>3</v>
      </c>
      <c r="CJ218" s="19">
        <v>3</v>
      </c>
      <c r="CK218" s="19">
        <v>6</v>
      </c>
      <c r="CL218" t="s">
        <v>198</v>
      </c>
      <c r="CM218">
        <v>28.5</v>
      </c>
      <c r="CN218" s="16">
        <v>78.400000000000006</v>
      </c>
      <c r="CO218" s="16">
        <v>80.400000000000006</v>
      </c>
      <c r="CP218" s="16">
        <v>16</v>
      </c>
      <c r="CQ218">
        <v>95.22</v>
      </c>
      <c r="CR218" s="17">
        <v>0</v>
      </c>
      <c r="CS218">
        <v>4.2300000000000004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9.77</v>
      </c>
      <c r="DC218">
        <v>2.1800000000000002</v>
      </c>
      <c r="DD218">
        <v>46.81</v>
      </c>
      <c r="DE218">
        <v>10.57</v>
      </c>
      <c r="DF218">
        <v>0</v>
      </c>
      <c r="DG218">
        <v>0</v>
      </c>
      <c r="DH218">
        <v>0</v>
      </c>
      <c r="DU218">
        <v>0</v>
      </c>
      <c r="DV218">
        <v>0</v>
      </c>
      <c r="EG218" s="20"/>
      <c r="EY218">
        <v>0</v>
      </c>
      <c r="GJ218" s="16">
        <v>4.2300000000000004</v>
      </c>
      <c r="GK218" s="16">
        <v>1</v>
      </c>
      <c r="GL218" s="16">
        <v>2</v>
      </c>
      <c r="GM218" s="16"/>
      <c r="GN218" s="16">
        <v>6.34</v>
      </c>
      <c r="GO218" s="16">
        <v>1</v>
      </c>
      <c r="GP218" s="16">
        <v>1</v>
      </c>
      <c r="GQ218" s="16">
        <f>9.52+3.17+3.17+3.17+1.12+1.12+1.12</f>
        <v>22.390000000000004</v>
      </c>
      <c r="GR218" s="16"/>
      <c r="GS218" s="16"/>
      <c r="GT218" s="16"/>
      <c r="GU218" s="16">
        <v>5.41</v>
      </c>
      <c r="GV218" s="16">
        <v>8.9600000000000009</v>
      </c>
      <c r="GW218" s="16">
        <v>0</v>
      </c>
      <c r="GX218" s="16">
        <v>0</v>
      </c>
      <c r="GY218" s="16">
        <v>0</v>
      </c>
      <c r="GZ218" s="16">
        <v>0</v>
      </c>
      <c r="HA218" s="16">
        <v>0</v>
      </c>
      <c r="HB218">
        <v>0</v>
      </c>
      <c r="HC218" t="s">
        <v>200</v>
      </c>
      <c r="HD218">
        <v>28.5</v>
      </c>
      <c r="HE218" s="16">
        <v>69.400000000000006</v>
      </c>
      <c r="HF218" s="16">
        <v>80.400000000000006</v>
      </c>
      <c r="HG218" s="16">
        <v>9.8000000000000007</v>
      </c>
      <c r="HH218">
        <v>96.02</v>
      </c>
      <c r="HI218" s="17">
        <v>0</v>
      </c>
      <c r="HJ218">
        <v>3.98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16.55</v>
      </c>
      <c r="HU218">
        <v>26.49</v>
      </c>
      <c r="HV218">
        <v>6.34</v>
      </c>
      <c r="HW218">
        <v>0</v>
      </c>
      <c r="HX218">
        <v>0</v>
      </c>
      <c r="HY218">
        <v>0</v>
      </c>
      <c r="IL218">
        <v>10.199999999999999</v>
      </c>
      <c r="IM218">
        <v>1</v>
      </c>
      <c r="IN218">
        <v>35</v>
      </c>
      <c r="IO218">
        <v>1</v>
      </c>
      <c r="IP218">
        <v>0.02</v>
      </c>
      <c r="IQ218">
        <v>3</v>
      </c>
      <c r="IR218">
        <v>70</v>
      </c>
      <c r="IS218">
        <v>2</v>
      </c>
      <c r="IT218">
        <v>0.27</v>
      </c>
      <c r="IU218">
        <v>3</v>
      </c>
      <c r="IX218" s="20"/>
      <c r="JP218">
        <v>1</v>
      </c>
      <c r="JQ218">
        <v>50</v>
      </c>
      <c r="JR218">
        <v>5</v>
      </c>
      <c r="JS218">
        <f>1.52+0.5+0.19+0.12</f>
        <v>2.33</v>
      </c>
      <c r="JT218">
        <v>3</v>
      </c>
      <c r="LA218" s="16">
        <v>2.63</v>
      </c>
      <c r="LB218" s="16">
        <v>1</v>
      </c>
      <c r="LC218" s="16">
        <v>1</v>
      </c>
      <c r="LD218" s="16"/>
      <c r="LE218" s="16">
        <f>0.04+2.11+3.17+0.37+0.56</f>
        <v>6.25</v>
      </c>
      <c r="LF218" s="16">
        <v>2</v>
      </c>
      <c r="LG218" s="16"/>
      <c r="LH218" s="16">
        <f>0.53+0.53+0.11+0.07+0.15</f>
        <v>1.3900000000000001</v>
      </c>
      <c r="LI218" s="16"/>
      <c r="LJ218" s="16"/>
      <c r="LK218" s="16"/>
      <c r="LL218" s="16">
        <v>3.33</v>
      </c>
      <c r="LM218" s="16">
        <v>2.06</v>
      </c>
      <c r="LN218" s="16">
        <v>0</v>
      </c>
      <c r="LO218" s="16">
        <v>0</v>
      </c>
      <c r="LP218" s="16">
        <v>0</v>
      </c>
      <c r="LQ218" s="16">
        <v>0</v>
      </c>
      <c r="LR218" s="16">
        <v>0</v>
      </c>
      <c r="LS218">
        <v>0</v>
      </c>
      <c r="LT218" t="s">
        <v>727</v>
      </c>
      <c r="LU218">
        <v>47.5</v>
      </c>
      <c r="LV218" s="16">
        <v>58.6</v>
      </c>
      <c r="LW218" s="16">
        <v>80.400000000000006</v>
      </c>
      <c r="LX218" s="16">
        <v>19.5</v>
      </c>
      <c r="LY218">
        <v>76.23</v>
      </c>
      <c r="LZ218" s="17">
        <v>0</v>
      </c>
      <c r="MA218">
        <v>7.5</v>
      </c>
      <c r="MB218">
        <v>0</v>
      </c>
      <c r="MC218">
        <v>16.260000000000002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22.34</v>
      </c>
      <c r="ML218">
        <v>19.22</v>
      </c>
      <c r="MM218">
        <v>9.8000000000000007</v>
      </c>
      <c r="MN218">
        <v>0.28000000000000003</v>
      </c>
      <c r="MO218">
        <v>0</v>
      </c>
      <c r="NC218">
        <v>24.1</v>
      </c>
      <c r="ND218">
        <v>1</v>
      </c>
      <c r="NE218">
        <v>47</v>
      </c>
      <c r="NF218">
        <v>6</v>
      </c>
      <c r="NG218">
        <f>2.28+0.81</f>
        <v>3.09</v>
      </c>
      <c r="NH218">
        <v>3</v>
      </c>
      <c r="NI218">
        <v>23</v>
      </c>
      <c r="NJ218">
        <v>2</v>
      </c>
      <c r="NK218">
        <v>0.54</v>
      </c>
      <c r="NL218">
        <v>3</v>
      </c>
      <c r="NO218" s="20"/>
      <c r="OG218">
        <v>0</v>
      </c>
      <c r="PR218" s="16">
        <v>0</v>
      </c>
      <c r="PS218" s="16">
        <v>0</v>
      </c>
      <c r="PT218" s="16"/>
      <c r="PU218" s="16"/>
      <c r="PV218" s="16"/>
      <c r="PW218" s="16"/>
      <c r="PX218" s="16"/>
      <c r="PY218" s="16"/>
      <c r="PZ218" s="16"/>
      <c r="QA218" s="16"/>
      <c r="QB218" s="16"/>
      <c r="QC218" s="16">
        <v>2.97</v>
      </c>
      <c r="QD218" s="16">
        <v>2.96</v>
      </c>
      <c r="QE218" s="16">
        <v>0</v>
      </c>
      <c r="QF218" s="16">
        <v>0</v>
      </c>
      <c r="QG218" s="16">
        <v>0</v>
      </c>
      <c r="QH218" s="16">
        <v>0</v>
      </c>
      <c r="QI218" s="16">
        <v>0</v>
      </c>
      <c r="QJ218">
        <v>0</v>
      </c>
      <c r="QK218" t="s">
        <v>213</v>
      </c>
      <c r="QL218">
        <v>49.5</v>
      </c>
      <c r="QM218" s="16">
        <v>78.900000000000006</v>
      </c>
      <c r="QN218" s="16">
        <v>80.400000000000006</v>
      </c>
      <c r="QO218" s="16">
        <v>31.1</v>
      </c>
      <c r="QP218">
        <v>22.13</v>
      </c>
      <c r="QQ218" s="17">
        <v>0</v>
      </c>
      <c r="QR218">
        <v>0</v>
      </c>
      <c r="QS218">
        <v>0</v>
      </c>
      <c r="QT218">
        <v>3.8</v>
      </c>
      <c r="QU218">
        <v>0</v>
      </c>
      <c r="QV218">
        <v>74.069999999999993</v>
      </c>
      <c r="QW218">
        <v>28.31</v>
      </c>
      <c r="QX218">
        <v>0</v>
      </c>
      <c r="QY218">
        <v>0</v>
      </c>
      <c r="QZ218">
        <v>0</v>
      </c>
      <c r="RA218">
        <v>8.07</v>
      </c>
      <c r="RB218">
        <v>1.71</v>
      </c>
      <c r="RC218">
        <v>33.85</v>
      </c>
      <c r="RD218">
        <v>17.12</v>
      </c>
      <c r="RE218">
        <v>0</v>
      </c>
      <c r="RF218">
        <v>0</v>
      </c>
      <c r="RG218">
        <v>0</v>
      </c>
      <c r="RT218">
        <v>3.4</v>
      </c>
      <c r="RU218">
        <v>1</v>
      </c>
      <c r="RV218">
        <v>34</v>
      </c>
      <c r="RW218">
        <v>1</v>
      </c>
      <c r="RX218">
        <v>1.6</v>
      </c>
      <c r="RY218">
        <v>1</v>
      </c>
      <c r="RZ218">
        <v>68</v>
      </c>
      <c r="SA218">
        <v>2</v>
      </c>
      <c r="SB218">
        <f>0.65+0.11</f>
        <v>0.76</v>
      </c>
      <c r="SC218">
        <v>1</v>
      </c>
      <c r="SD218">
        <v>52</v>
      </c>
      <c r="SE218">
        <v>2</v>
      </c>
      <c r="SF218" s="20">
        <f>1.33+0.34</f>
        <v>1.6700000000000002</v>
      </c>
      <c r="SG218">
        <v>2</v>
      </c>
      <c r="SX218">
        <v>0</v>
      </c>
      <c r="UI218" s="16">
        <v>0</v>
      </c>
      <c r="UJ218" s="16">
        <v>0</v>
      </c>
      <c r="UK218" s="16"/>
      <c r="UL218" s="16"/>
      <c r="UM218" s="16"/>
      <c r="UN218" s="16"/>
      <c r="UO218" s="16"/>
      <c r="UP218" s="16"/>
      <c r="UQ218" s="16"/>
      <c r="UR218" s="16"/>
      <c r="US218" s="16"/>
      <c r="UT218" s="16">
        <v>5.13</v>
      </c>
      <c r="UU218" s="16">
        <v>6.28</v>
      </c>
      <c r="UV218" s="16">
        <v>0</v>
      </c>
      <c r="UW218" s="16">
        <v>0</v>
      </c>
      <c r="UX218" s="16">
        <v>6.72</v>
      </c>
      <c r="UY218" s="16">
        <v>0</v>
      </c>
      <c r="UZ218" s="16">
        <v>2.54</v>
      </c>
      <c r="VA218">
        <v>2</v>
      </c>
      <c r="VE218" s="15"/>
      <c r="VF218" s="15"/>
      <c r="VM218" s="15"/>
      <c r="VN218" s="15"/>
      <c r="VU218" s="15"/>
      <c r="VV218" s="15"/>
      <c r="WC218" s="15"/>
      <c r="WD218" s="15"/>
      <c r="WK218" s="15"/>
      <c r="WL218" s="15"/>
      <c r="WS218" s="15"/>
      <c r="WT218" s="15"/>
      <c r="XA218" s="15"/>
      <c r="XB218" s="15"/>
      <c r="XI218" s="15"/>
      <c r="XJ218" s="15"/>
      <c r="XQ218" s="15"/>
      <c r="XR218" s="15"/>
      <c r="XY218" s="15"/>
      <c r="XZ218" s="15"/>
      <c r="YG218" s="15"/>
      <c r="YH218" s="15"/>
      <c r="YO218" s="15"/>
      <c r="YP218" s="15"/>
      <c r="YW218" s="15"/>
      <c r="YX218" s="15"/>
      <c r="ZE218" s="15"/>
      <c r="ZF218" s="15"/>
      <c r="ZM218" s="15"/>
      <c r="ZN218" s="15"/>
      <c r="ZU218" s="15"/>
      <c r="ZV218" s="15"/>
      <c r="AAC218" s="15"/>
      <c r="AAD218" s="15"/>
      <c r="AAK218" s="15"/>
      <c r="AAL218" s="15"/>
      <c r="AAS218" s="15"/>
      <c r="AAT218" s="15"/>
      <c r="ABA218" s="15"/>
      <c r="ABB218" s="15"/>
      <c r="ABI218" s="15"/>
      <c r="ABJ218" s="15"/>
      <c r="ABQ218" s="15"/>
      <c r="ABR218" s="15"/>
      <c r="ABY218" s="15"/>
      <c r="ABZ218" s="15"/>
      <c r="ACG218" s="15"/>
      <c r="ACH218" s="15"/>
      <c r="ACO218" s="15"/>
      <c r="ACP218" s="15"/>
      <c r="ACW218" s="15"/>
      <c r="ACX218" s="15"/>
      <c r="ADE218" s="15"/>
      <c r="ADF218" s="15"/>
      <c r="ADM218" s="15"/>
      <c r="ADN218" s="15"/>
      <c r="ADU218" s="15"/>
      <c r="ADV218" s="15"/>
      <c r="AEC218" s="15"/>
      <c r="AED218" s="15"/>
      <c r="AEK218" s="15"/>
      <c r="AEL218" s="15"/>
      <c r="AES218" s="15"/>
      <c r="AET218" s="15"/>
      <c r="AFA218" s="15"/>
      <c r="AFB218" s="15"/>
      <c r="AFI218" s="15"/>
      <c r="AFJ218" s="15"/>
      <c r="AFQ218" s="15"/>
      <c r="AFR218" s="15"/>
      <c r="AFY218" s="15"/>
      <c r="AFZ218" s="15"/>
      <c r="AGG218" s="15"/>
      <c r="AGH218" s="15"/>
      <c r="AGO218" s="15"/>
      <c r="AGP218" s="15"/>
      <c r="AGW218" s="15"/>
      <c r="AGX218" s="15"/>
      <c r="AHE218" s="15"/>
      <c r="AHF218" s="15"/>
      <c r="AHM218" s="15"/>
      <c r="AHN218" s="15"/>
      <c r="AHU218" s="15"/>
      <c r="AHV218" s="15"/>
      <c r="AIC218" s="15"/>
      <c r="AID218" s="15"/>
      <c r="AIK218" s="15"/>
      <c r="AIL218" s="15"/>
      <c r="AIS218" s="15"/>
      <c r="AIT218" s="15"/>
      <c r="AJA218" s="15"/>
      <c r="AJB218" s="15"/>
      <c r="AJI218" s="15"/>
      <c r="AJJ218" s="15"/>
      <c r="AJQ218" s="15"/>
      <c r="AJR218" s="15"/>
      <c r="AJY218" s="15"/>
      <c r="AJZ218" s="15"/>
      <c r="AKG218" s="15"/>
      <c r="AKH218" s="15"/>
      <c r="AKO218" s="15"/>
      <c r="AKP218" s="15"/>
      <c r="AKW218" s="15"/>
      <c r="AKX218" s="15"/>
      <c r="ALE218" s="15"/>
      <c r="ALF218" s="15"/>
      <c r="ALM218" s="15"/>
      <c r="ALN218" s="15"/>
      <c r="ALU218" s="15"/>
      <c r="ALV218" s="15"/>
      <c r="AMC218" s="15"/>
      <c r="AMD218" s="15"/>
    </row>
    <row r="219" spans="1:1018" x14ac:dyDescent="0.2">
      <c r="A219" s="1" t="s">
        <v>732</v>
      </c>
      <c r="B219" s="12">
        <v>42905</v>
      </c>
      <c r="C219">
        <v>2</v>
      </c>
      <c r="D219" s="13">
        <v>42807</v>
      </c>
      <c r="E219" s="12">
        <v>31871</v>
      </c>
      <c r="F219" s="14">
        <f t="shared" si="62"/>
        <v>30.209445585215605</v>
      </c>
      <c r="G219" s="14">
        <f t="shared" si="63"/>
        <v>0.26830937713894593</v>
      </c>
      <c r="H219" s="15" t="s">
        <v>181</v>
      </c>
      <c r="I219" s="15" t="s">
        <v>194</v>
      </c>
      <c r="J219" s="21" t="s">
        <v>181</v>
      </c>
      <c r="K219" s="21">
        <v>8</v>
      </c>
      <c r="L219" s="19">
        <v>70</v>
      </c>
      <c r="M219">
        <v>1.7</v>
      </c>
      <c r="N219" s="16">
        <f t="shared" si="64"/>
        <v>24.221453287197235</v>
      </c>
      <c r="O219" s="19">
        <v>0</v>
      </c>
      <c r="P219" s="19">
        <v>0</v>
      </c>
      <c r="Q219" s="19">
        <v>0</v>
      </c>
      <c r="R219" s="26">
        <v>0</v>
      </c>
      <c r="S219" s="26">
        <v>0</v>
      </c>
      <c r="T219" s="26">
        <v>0</v>
      </c>
      <c r="U219" s="19">
        <v>1</v>
      </c>
      <c r="V219" s="19">
        <v>3</v>
      </c>
      <c r="W219" s="19">
        <v>0</v>
      </c>
      <c r="X219" s="19">
        <v>0</v>
      </c>
      <c r="Y219" s="19">
        <v>0</v>
      </c>
      <c r="Z219" s="19">
        <v>0</v>
      </c>
      <c r="AA219" s="19">
        <v>0</v>
      </c>
      <c r="AB219" s="19">
        <v>0</v>
      </c>
      <c r="AC219" s="19">
        <v>0</v>
      </c>
      <c r="AD219" s="19">
        <v>0</v>
      </c>
      <c r="AE219" s="19">
        <v>0</v>
      </c>
      <c r="AF219" s="19">
        <v>0</v>
      </c>
      <c r="AG219" s="19">
        <v>0</v>
      </c>
      <c r="AH219" s="19">
        <v>0</v>
      </c>
      <c r="AI219" s="19">
        <v>0</v>
      </c>
      <c r="AJ219" s="19">
        <v>0</v>
      </c>
      <c r="AK219" s="19">
        <v>0</v>
      </c>
      <c r="AL219" s="19">
        <v>0</v>
      </c>
      <c r="AM219" s="19">
        <v>0</v>
      </c>
      <c r="AN219" s="19">
        <v>0</v>
      </c>
      <c r="AO219" s="19">
        <v>0</v>
      </c>
      <c r="AP219" s="19">
        <v>0</v>
      </c>
      <c r="AQ219" s="19">
        <v>0</v>
      </c>
      <c r="AR219" s="19">
        <v>0</v>
      </c>
      <c r="AS219" s="19">
        <v>0</v>
      </c>
      <c r="AT219" s="19">
        <v>0</v>
      </c>
      <c r="AU219" s="19">
        <v>0</v>
      </c>
      <c r="AV219" s="19">
        <v>0</v>
      </c>
      <c r="AW219" s="19">
        <v>0</v>
      </c>
      <c r="AX219" s="19">
        <v>0</v>
      </c>
      <c r="AY219" s="19">
        <v>0</v>
      </c>
      <c r="AZ219" s="19">
        <v>0</v>
      </c>
      <c r="BA219" s="19">
        <v>0</v>
      </c>
      <c r="BB219" s="19">
        <v>0</v>
      </c>
      <c r="BC219" s="19">
        <v>0</v>
      </c>
      <c r="BD219" s="19">
        <v>0</v>
      </c>
      <c r="BE219" s="19">
        <v>0</v>
      </c>
      <c r="BF219" s="19">
        <v>0</v>
      </c>
      <c r="BG219" s="19">
        <v>0</v>
      </c>
      <c r="BH219" s="19">
        <v>0</v>
      </c>
      <c r="BI219" s="19">
        <v>0</v>
      </c>
      <c r="BJ219" s="19">
        <v>0</v>
      </c>
      <c r="BK219" s="19">
        <v>0</v>
      </c>
      <c r="BL219" s="19">
        <v>0</v>
      </c>
      <c r="BM219" s="19">
        <v>0</v>
      </c>
      <c r="BN219" s="19">
        <v>0</v>
      </c>
      <c r="BO219" s="19">
        <v>0</v>
      </c>
      <c r="BP219" s="19">
        <v>0</v>
      </c>
      <c r="BQ219" s="19">
        <v>0</v>
      </c>
      <c r="BR219" s="19">
        <v>2</v>
      </c>
      <c r="BS219" s="19">
        <v>1</v>
      </c>
      <c r="BT219" s="19">
        <v>3</v>
      </c>
      <c r="BU219" s="19">
        <v>5</v>
      </c>
      <c r="BV219" s="19">
        <v>5</v>
      </c>
      <c r="BW219" s="19">
        <v>4</v>
      </c>
      <c r="BX219" s="19">
        <v>4</v>
      </c>
      <c r="BY219" s="19">
        <v>5</v>
      </c>
      <c r="BZ219" s="19">
        <v>5</v>
      </c>
      <c r="CA219" s="19">
        <v>4</v>
      </c>
      <c r="CB219" s="19">
        <v>4</v>
      </c>
      <c r="CC219" s="19">
        <v>5</v>
      </c>
      <c r="CD219" s="19">
        <v>4</v>
      </c>
      <c r="CE219" s="19">
        <v>5</v>
      </c>
      <c r="CF219" s="19">
        <v>5</v>
      </c>
      <c r="CG219" s="19">
        <v>5</v>
      </c>
      <c r="CH219" s="19">
        <v>4</v>
      </c>
      <c r="CI219" s="19">
        <v>4</v>
      </c>
      <c r="CJ219" s="19">
        <v>4</v>
      </c>
      <c r="CK219" s="19">
        <v>8</v>
      </c>
      <c r="CL219" t="s">
        <v>195</v>
      </c>
      <c r="CM219">
        <v>37.5</v>
      </c>
      <c r="CN219" s="16">
        <v>87.4</v>
      </c>
      <c r="CO219" s="16">
        <v>80.400000000000006</v>
      </c>
      <c r="CP219" s="16">
        <v>18.5</v>
      </c>
      <c r="CQ219">
        <v>84.21</v>
      </c>
      <c r="CR219" s="17">
        <v>0</v>
      </c>
      <c r="CS219">
        <v>0</v>
      </c>
      <c r="CT219">
        <v>0</v>
      </c>
      <c r="CU219">
        <v>15.79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26.71</v>
      </c>
      <c r="DC219">
        <v>13.13</v>
      </c>
      <c r="DD219">
        <v>49.12</v>
      </c>
      <c r="DE219">
        <v>14.67</v>
      </c>
      <c r="DF219">
        <v>0</v>
      </c>
      <c r="DG219">
        <v>0</v>
      </c>
      <c r="DH219">
        <v>0</v>
      </c>
      <c r="DU219">
        <v>1.1000000000000001</v>
      </c>
      <c r="DV219">
        <v>1</v>
      </c>
      <c r="DW219">
        <v>52</v>
      </c>
      <c r="DX219">
        <v>1</v>
      </c>
      <c r="DY219">
        <v>0.22</v>
      </c>
      <c r="DZ219">
        <v>2</v>
      </c>
      <c r="EA219">
        <v>35</v>
      </c>
      <c r="EB219">
        <v>2</v>
      </c>
      <c r="EC219">
        <v>0.16</v>
      </c>
      <c r="ED219">
        <v>3</v>
      </c>
      <c r="EG219" s="20"/>
      <c r="EY219">
        <v>0</v>
      </c>
      <c r="GJ219" s="16">
        <v>4.3</v>
      </c>
      <c r="GK219" s="16">
        <v>1</v>
      </c>
      <c r="GL219" s="16">
        <v>1</v>
      </c>
      <c r="GM219" s="16"/>
      <c r="GN219" s="16">
        <f>(2.11*6)+0.9+0.9+0.62+0.62+0.93+0.3+0.3+0.22+0.22+0.23+0.22+0.22+0.22</f>
        <v>18.559999999999995</v>
      </c>
      <c r="GO219" s="16"/>
      <c r="GP219" s="16"/>
      <c r="GQ219" s="16"/>
      <c r="GR219" s="16"/>
      <c r="GS219" s="16"/>
      <c r="GT219" s="16"/>
      <c r="GU219" s="16">
        <v>10.31</v>
      </c>
      <c r="GV219" s="16">
        <v>34.85</v>
      </c>
      <c r="GW219" s="16">
        <v>0</v>
      </c>
      <c r="GX219" s="16">
        <v>0</v>
      </c>
      <c r="GY219" s="16">
        <v>0</v>
      </c>
      <c r="GZ219" s="16">
        <v>0</v>
      </c>
      <c r="HA219" s="16">
        <v>0</v>
      </c>
      <c r="HB219">
        <v>0</v>
      </c>
      <c r="HC219" t="s">
        <v>198</v>
      </c>
      <c r="HD219">
        <v>28.5</v>
      </c>
      <c r="HE219" s="16">
        <v>78.400000000000006</v>
      </c>
      <c r="HF219" s="16">
        <v>80.400000000000006</v>
      </c>
      <c r="HG219" s="16">
        <v>16</v>
      </c>
      <c r="HH219">
        <v>95.22</v>
      </c>
      <c r="HI219" s="17">
        <v>0</v>
      </c>
      <c r="HJ219">
        <v>4.2300000000000004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9.77</v>
      </c>
      <c r="HT219">
        <v>2.1800000000000002</v>
      </c>
      <c r="HU219">
        <v>46.81</v>
      </c>
      <c r="HV219">
        <v>10.57</v>
      </c>
      <c r="HW219">
        <v>0</v>
      </c>
      <c r="HX219">
        <v>0</v>
      </c>
      <c r="HY219">
        <v>0</v>
      </c>
      <c r="IL219">
        <v>0</v>
      </c>
      <c r="IM219">
        <v>0</v>
      </c>
      <c r="IX219" s="20"/>
      <c r="JP219">
        <v>0</v>
      </c>
      <c r="LA219" s="16">
        <v>4.2300000000000004</v>
      </c>
      <c r="LB219" s="16">
        <v>1</v>
      </c>
      <c r="LC219" s="16">
        <v>2</v>
      </c>
      <c r="LD219" s="16"/>
      <c r="LE219" s="16">
        <v>6.34</v>
      </c>
      <c r="LF219" s="16">
        <v>1</v>
      </c>
      <c r="LG219" s="16">
        <v>1</v>
      </c>
      <c r="LH219" s="16">
        <f>9.52+3.17+3.17+3.17+1.12+1.12+1.12</f>
        <v>22.390000000000004</v>
      </c>
      <c r="LI219" s="16"/>
      <c r="LJ219" s="16"/>
      <c r="LK219" s="16"/>
      <c r="LL219" s="16">
        <v>5.41</v>
      </c>
      <c r="LM219" s="16">
        <v>8.9600000000000009</v>
      </c>
      <c r="LN219" s="16">
        <v>0</v>
      </c>
      <c r="LO219" s="16">
        <v>0</v>
      </c>
      <c r="LP219" s="16">
        <v>0</v>
      </c>
      <c r="LQ219" s="16">
        <v>0</v>
      </c>
      <c r="LR219" s="16">
        <v>0</v>
      </c>
      <c r="LS219">
        <v>0</v>
      </c>
      <c r="LT219" t="s">
        <v>201</v>
      </c>
      <c r="LU219">
        <v>48.5</v>
      </c>
      <c r="LV219" s="16">
        <v>89.7</v>
      </c>
      <c r="LW219" s="16">
        <v>80.400000000000006</v>
      </c>
      <c r="LX219" s="16">
        <v>9.3000000000000007</v>
      </c>
      <c r="LY219">
        <v>100</v>
      </c>
      <c r="LZ219" s="17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1.65</v>
      </c>
      <c r="MK219">
        <v>2.69</v>
      </c>
      <c r="ML219">
        <v>54.55</v>
      </c>
      <c r="MM219">
        <v>11.29</v>
      </c>
      <c r="MN219">
        <v>0</v>
      </c>
      <c r="MO219">
        <v>0</v>
      </c>
      <c r="MP219">
        <v>0</v>
      </c>
      <c r="NC219">
        <v>30.6</v>
      </c>
      <c r="ND219">
        <v>1</v>
      </c>
      <c r="NE219">
        <v>35</v>
      </c>
      <c r="NF219">
        <v>14</v>
      </c>
      <c r="NG219">
        <f>3.05+1.52+1.52+0.27+0.03+0.07</f>
        <v>6.46</v>
      </c>
      <c r="NH219">
        <v>3</v>
      </c>
      <c r="NI219">
        <v>47</v>
      </c>
      <c r="NJ219">
        <v>6</v>
      </c>
      <c r="NK219">
        <f>1.52+0.27*2</f>
        <v>2.06</v>
      </c>
      <c r="NL219">
        <v>3</v>
      </c>
      <c r="NO219" s="20"/>
      <c r="OG219">
        <v>0</v>
      </c>
      <c r="PR219" s="16">
        <v>3.34</v>
      </c>
      <c r="PS219" s="16">
        <v>1</v>
      </c>
      <c r="PT219" s="16">
        <v>1</v>
      </c>
      <c r="PU219" s="16"/>
      <c r="PV219" s="16">
        <f>4.23+1.14+2.11+4.23+1.37+0.02+2.03+0.75+0.37+0.13</f>
        <v>16.38</v>
      </c>
      <c r="PW219" s="16"/>
      <c r="PX219" s="16"/>
      <c r="PY219" s="16"/>
      <c r="PZ219" s="16"/>
      <c r="QA219" s="16"/>
      <c r="QB219" s="16"/>
      <c r="QC219" s="16">
        <v>1.45</v>
      </c>
      <c r="QD219" s="16">
        <v>1.46</v>
      </c>
      <c r="QE219" s="16">
        <v>0</v>
      </c>
      <c r="QF219" s="16">
        <v>0</v>
      </c>
      <c r="QG219" s="16">
        <v>0</v>
      </c>
      <c r="QH219" s="16">
        <v>0</v>
      </c>
      <c r="QI219" s="16">
        <v>0</v>
      </c>
      <c r="QJ219">
        <v>0</v>
      </c>
      <c r="QK219" t="s">
        <v>202</v>
      </c>
      <c r="QL219">
        <v>60</v>
      </c>
      <c r="QM219" s="16">
        <v>55.4</v>
      </c>
      <c r="QN219" s="16">
        <v>80.400000000000006</v>
      </c>
      <c r="QO219" s="16">
        <v>29.6</v>
      </c>
      <c r="QP219">
        <v>76.8</v>
      </c>
      <c r="QQ219" s="17">
        <v>0</v>
      </c>
      <c r="QR219">
        <v>0</v>
      </c>
      <c r="QS219">
        <v>0</v>
      </c>
      <c r="QT219">
        <v>0</v>
      </c>
      <c r="QV219">
        <v>4.83</v>
      </c>
      <c r="QW219">
        <v>1.71</v>
      </c>
      <c r="QX219">
        <v>0</v>
      </c>
      <c r="QY219">
        <v>0</v>
      </c>
      <c r="QZ219">
        <v>0</v>
      </c>
      <c r="RA219">
        <v>1.51</v>
      </c>
      <c r="RB219">
        <v>1.85</v>
      </c>
      <c r="RC219">
        <v>2.31</v>
      </c>
      <c r="RD219">
        <v>19.079999999999998</v>
      </c>
      <c r="RE219">
        <v>18.37</v>
      </c>
      <c r="RF219">
        <v>0</v>
      </c>
      <c r="RG219">
        <v>0</v>
      </c>
      <c r="RH219">
        <v>0</v>
      </c>
      <c r="RN219">
        <v>0</v>
      </c>
      <c r="RT219">
        <v>22.9</v>
      </c>
      <c r="RU219">
        <v>1</v>
      </c>
      <c r="RV219">
        <v>34</v>
      </c>
      <c r="RW219">
        <v>1</v>
      </c>
      <c r="RX219">
        <v>1.19</v>
      </c>
      <c r="RY219">
        <v>1</v>
      </c>
      <c r="RZ219">
        <v>47</v>
      </c>
      <c r="SA219">
        <f>7+3+1+2+3+5+7+1+7+2+7+5+5</f>
        <v>55</v>
      </c>
      <c r="SB219">
        <f>(0.3*7)+0.15+0.3+0.9+0.6+0.45+0.6+(0.3*3)+(0.3*5)+(0.3*7)+0.9+(0.3*7)+(0.4)+(0.3*7)+(0.3*5)+(0.3*5)</f>
        <v>18.100000000000001</v>
      </c>
      <c r="SC219">
        <v>2</v>
      </c>
      <c r="SF219" s="20"/>
      <c r="SX219">
        <v>0</v>
      </c>
      <c r="UI219" s="16">
        <v>0.06</v>
      </c>
      <c r="UJ219" s="16">
        <v>1</v>
      </c>
      <c r="UK219" s="16">
        <v>1</v>
      </c>
      <c r="UL219" s="16"/>
      <c r="UM219" s="16">
        <v>0.1</v>
      </c>
      <c r="UN219" s="16"/>
      <c r="UO219" s="16"/>
      <c r="UP219" s="16"/>
      <c r="UQ219" s="16"/>
      <c r="UR219" s="16"/>
      <c r="US219" s="16"/>
      <c r="UT219" s="16">
        <v>5.42</v>
      </c>
      <c r="UU219" s="16">
        <v>8.83</v>
      </c>
      <c r="UV219" s="16">
        <v>0</v>
      </c>
      <c r="UW219" s="16">
        <v>0</v>
      </c>
      <c r="UX219" s="16">
        <v>1.99</v>
      </c>
      <c r="UY219" s="16">
        <v>0</v>
      </c>
      <c r="UZ219" s="16">
        <v>0</v>
      </c>
      <c r="VA219">
        <v>2</v>
      </c>
      <c r="VB219" t="s">
        <v>727</v>
      </c>
      <c r="VC219">
        <v>47.5</v>
      </c>
      <c r="VD219" s="16">
        <v>58.6</v>
      </c>
      <c r="VE219" s="16">
        <v>80.400000000000006</v>
      </c>
      <c r="VF219" s="16">
        <v>19.5</v>
      </c>
      <c r="VG219">
        <v>76.23</v>
      </c>
      <c r="VH219" s="17">
        <v>0</v>
      </c>
      <c r="VI219">
        <v>7.5</v>
      </c>
      <c r="VJ219">
        <v>0</v>
      </c>
      <c r="VK219">
        <v>16.260000000000002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22.34</v>
      </c>
      <c r="VT219">
        <v>19.22</v>
      </c>
      <c r="VU219">
        <v>9.8000000000000007</v>
      </c>
      <c r="VV219">
        <v>0.28000000000000003</v>
      </c>
      <c r="VW219">
        <v>0</v>
      </c>
      <c r="WK219">
        <v>24.1</v>
      </c>
      <c r="WL219">
        <v>1</v>
      </c>
      <c r="WM219">
        <v>47</v>
      </c>
      <c r="WN219">
        <v>6</v>
      </c>
      <c r="WO219">
        <f>2.28+0.81</f>
        <v>3.09</v>
      </c>
      <c r="WP219">
        <v>3</v>
      </c>
      <c r="WQ219">
        <v>23</v>
      </c>
      <c r="WR219">
        <v>2</v>
      </c>
      <c r="WS219">
        <v>0.54</v>
      </c>
      <c r="WT219">
        <v>3</v>
      </c>
      <c r="WW219" s="20"/>
      <c r="XO219">
        <v>0</v>
      </c>
      <c r="YZ219" s="16">
        <v>0</v>
      </c>
      <c r="ZA219" s="16">
        <v>0</v>
      </c>
      <c r="ZB219" s="16"/>
      <c r="ZC219" s="16"/>
      <c r="ZD219" s="16"/>
      <c r="ZE219" s="16"/>
      <c r="ZF219" s="16"/>
      <c r="ZG219" s="16"/>
      <c r="ZH219" s="16"/>
      <c r="ZI219" s="16"/>
      <c r="ZJ219" s="16"/>
      <c r="ZK219" s="16">
        <v>2.97</v>
      </c>
      <c r="ZL219" s="16">
        <v>2.96</v>
      </c>
      <c r="ZM219" s="16">
        <v>0</v>
      </c>
      <c r="ZN219" s="16">
        <v>0</v>
      </c>
      <c r="ZO219" s="16">
        <v>0</v>
      </c>
      <c r="ZP219" s="16">
        <v>0</v>
      </c>
      <c r="ZQ219" s="16">
        <v>0</v>
      </c>
      <c r="ZR219">
        <v>0</v>
      </c>
      <c r="ZS219" t="s">
        <v>213</v>
      </c>
      <c r="ZT219">
        <v>49.5</v>
      </c>
      <c r="ZU219" s="16">
        <v>78.900000000000006</v>
      </c>
      <c r="ZV219" s="16">
        <v>80.400000000000006</v>
      </c>
      <c r="ZW219" s="16">
        <v>31.1</v>
      </c>
      <c r="ZX219">
        <v>22.13</v>
      </c>
      <c r="ZY219" s="17">
        <v>0</v>
      </c>
      <c r="ZZ219">
        <v>0</v>
      </c>
      <c r="AAA219">
        <v>0</v>
      </c>
      <c r="AAB219">
        <v>3.8</v>
      </c>
      <c r="AAC219">
        <v>0</v>
      </c>
      <c r="AAD219">
        <v>74.069999999999993</v>
      </c>
      <c r="AAE219">
        <v>28.31</v>
      </c>
      <c r="AAF219">
        <v>0</v>
      </c>
      <c r="AAG219">
        <v>0</v>
      </c>
      <c r="AAH219">
        <v>0</v>
      </c>
      <c r="AAI219">
        <v>8.07</v>
      </c>
      <c r="AAJ219">
        <v>1.71</v>
      </c>
      <c r="AAK219">
        <v>33.85</v>
      </c>
      <c r="AAL219">
        <v>17.12</v>
      </c>
      <c r="AAM219">
        <v>0</v>
      </c>
      <c r="AAN219">
        <v>0</v>
      </c>
      <c r="AAO219">
        <v>0</v>
      </c>
      <c r="ABB219">
        <v>3.4</v>
      </c>
      <c r="ABC219">
        <v>1</v>
      </c>
      <c r="ABD219">
        <v>34</v>
      </c>
      <c r="ABE219">
        <v>1</v>
      </c>
      <c r="ABF219">
        <v>1.6</v>
      </c>
      <c r="ABG219">
        <v>1</v>
      </c>
      <c r="ABH219">
        <v>68</v>
      </c>
      <c r="ABI219">
        <v>2</v>
      </c>
      <c r="ABJ219">
        <f>0.65+0.11</f>
        <v>0.76</v>
      </c>
      <c r="ABK219">
        <v>1</v>
      </c>
      <c r="ABL219">
        <v>52</v>
      </c>
      <c r="ABM219">
        <v>2</v>
      </c>
      <c r="ABN219" s="20">
        <f>1.33+0.34</f>
        <v>1.6700000000000002</v>
      </c>
      <c r="ABO219">
        <v>2</v>
      </c>
      <c r="ACF219">
        <v>0</v>
      </c>
      <c r="ADQ219" s="16">
        <v>0</v>
      </c>
      <c r="ADR219" s="16">
        <v>0</v>
      </c>
      <c r="ADS219" s="16"/>
      <c r="ADT219" s="16"/>
      <c r="ADU219" s="16"/>
      <c r="ADV219" s="16"/>
      <c r="ADW219" s="16"/>
      <c r="ADX219" s="16"/>
      <c r="ADY219" s="16"/>
      <c r="ADZ219" s="16"/>
      <c r="AEA219" s="16"/>
      <c r="AEB219" s="16">
        <v>5.13</v>
      </c>
      <c r="AEC219" s="16">
        <v>6.28</v>
      </c>
      <c r="AED219" s="16">
        <v>0</v>
      </c>
      <c r="AEE219" s="16">
        <v>0</v>
      </c>
      <c r="AEF219" s="16">
        <v>6.72</v>
      </c>
      <c r="AEG219" s="16">
        <v>0</v>
      </c>
      <c r="AEH219" s="16">
        <v>2.54</v>
      </c>
      <c r="AEI219">
        <v>2</v>
      </c>
      <c r="AEK219" s="15"/>
      <c r="AEL219" s="15"/>
      <c r="AES219" s="15"/>
      <c r="AET219" s="15"/>
      <c r="AFA219" s="15"/>
      <c r="AFB219" s="15"/>
      <c r="AFI219" s="15"/>
      <c r="AFJ219" s="15"/>
      <c r="AFQ219" s="15"/>
      <c r="AFR219" s="15"/>
      <c r="AFY219" s="15"/>
      <c r="AFZ219" s="15"/>
      <c r="AGG219" s="15"/>
      <c r="AGH219" s="15"/>
      <c r="AGO219" s="15"/>
      <c r="AGP219" s="15"/>
      <c r="AGW219" s="15"/>
      <c r="AGX219" s="15"/>
      <c r="AHE219" s="15"/>
      <c r="AHF219" s="15"/>
      <c r="AHM219" s="15"/>
      <c r="AHN219" s="15"/>
      <c r="AHU219" s="15"/>
      <c r="AHV219" s="15"/>
      <c r="AIC219" s="15"/>
      <c r="AID219" s="15"/>
      <c r="AIK219" s="15"/>
      <c r="AIL219" s="15"/>
      <c r="AIS219" s="15"/>
      <c r="AIT219" s="15"/>
      <c r="AJA219" s="15"/>
      <c r="AJB219" s="15"/>
      <c r="AJI219" s="15"/>
      <c r="AJJ219" s="15"/>
      <c r="AJQ219" s="15"/>
      <c r="AJR219" s="15"/>
      <c r="AJY219" s="15"/>
      <c r="AJZ219" s="15"/>
      <c r="AKG219" s="15"/>
      <c r="AKH219" s="15"/>
      <c r="AKO219" s="15"/>
      <c r="AKP219" s="15"/>
      <c r="AKW219" s="15"/>
      <c r="AKX219" s="15"/>
      <c r="ALE219" s="15"/>
      <c r="ALF219" s="15"/>
      <c r="ALM219" s="15"/>
      <c r="ALN219" s="15"/>
      <c r="ALU219" s="15"/>
      <c r="ALV219" s="15"/>
      <c r="AMC219" s="15"/>
      <c r="AMD219" s="15"/>
    </row>
    <row r="220" spans="1:1018" x14ac:dyDescent="0.2">
      <c r="A220" s="1" t="s">
        <v>733</v>
      </c>
      <c r="B220" s="12">
        <v>42905</v>
      </c>
      <c r="C220">
        <v>2</v>
      </c>
      <c r="D220" s="13">
        <v>42786</v>
      </c>
      <c r="E220" s="12">
        <v>28523</v>
      </c>
      <c r="F220" s="14">
        <f t="shared" si="62"/>
        <v>39.375770020533878</v>
      </c>
      <c r="G220" s="14">
        <f t="shared" si="63"/>
        <v>0.32580424366872007</v>
      </c>
      <c r="H220" s="15" t="s">
        <v>181</v>
      </c>
      <c r="I220" s="15" t="s">
        <v>194</v>
      </c>
      <c r="J220" s="21" t="s">
        <v>183</v>
      </c>
      <c r="K220" s="21">
        <v>4</v>
      </c>
      <c r="L220" s="19">
        <v>81</v>
      </c>
      <c r="M220">
        <v>1.7</v>
      </c>
      <c r="N220" s="16">
        <f t="shared" si="64"/>
        <v>28.027681660899656</v>
      </c>
      <c r="O220" s="19">
        <v>0</v>
      </c>
      <c r="P220" s="19">
        <v>0</v>
      </c>
      <c r="Q220" s="19">
        <v>0</v>
      </c>
      <c r="R220" s="26">
        <v>0</v>
      </c>
      <c r="S220" s="26">
        <v>0</v>
      </c>
      <c r="T220" s="26">
        <v>0</v>
      </c>
      <c r="U220" s="19">
        <v>0</v>
      </c>
      <c r="V220" s="19">
        <v>0</v>
      </c>
      <c r="W220" s="19">
        <v>0</v>
      </c>
      <c r="X220" s="19">
        <v>0</v>
      </c>
      <c r="Y220" s="19">
        <v>0</v>
      </c>
      <c r="Z220" s="19">
        <v>0</v>
      </c>
      <c r="AA220" s="19">
        <v>0</v>
      </c>
      <c r="AB220" s="19">
        <v>0</v>
      </c>
      <c r="AC220" s="19">
        <v>1</v>
      </c>
      <c r="AD220" s="19">
        <v>10</v>
      </c>
      <c r="AE220" s="19">
        <v>0</v>
      </c>
      <c r="AF220" s="19">
        <v>0</v>
      </c>
      <c r="AG220" s="19">
        <v>0</v>
      </c>
      <c r="AH220" s="19">
        <v>0</v>
      </c>
      <c r="AI220" s="19">
        <v>0</v>
      </c>
      <c r="AJ220" s="19">
        <v>0</v>
      </c>
      <c r="AK220" s="19">
        <v>0</v>
      </c>
      <c r="AL220" s="19">
        <v>0</v>
      </c>
      <c r="AM220" s="19">
        <v>0</v>
      </c>
      <c r="AN220" s="19">
        <v>0</v>
      </c>
      <c r="AO220" s="19">
        <v>0</v>
      </c>
      <c r="AP220" s="19">
        <v>0</v>
      </c>
      <c r="AQ220" s="19">
        <v>0</v>
      </c>
      <c r="AR220" s="19">
        <v>0</v>
      </c>
      <c r="AS220" s="19">
        <v>0</v>
      </c>
      <c r="AT220" s="19">
        <v>0</v>
      </c>
      <c r="AU220" s="19">
        <v>0</v>
      </c>
      <c r="AV220" s="19">
        <v>0</v>
      </c>
      <c r="AW220" s="19">
        <v>0</v>
      </c>
      <c r="AX220" s="19">
        <v>0</v>
      </c>
      <c r="AY220" s="19">
        <v>0</v>
      </c>
      <c r="AZ220" s="19">
        <v>0</v>
      </c>
      <c r="BA220" s="19">
        <v>0</v>
      </c>
      <c r="BB220" s="19">
        <v>0</v>
      </c>
      <c r="BC220" s="19">
        <v>0</v>
      </c>
      <c r="BD220" s="19">
        <v>0</v>
      </c>
      <c r="BE220" s="19">
        <v>0</v>
      </c>
      <c r="BF220" s="19">
        <v>0</v>
      </c>
      <c r="BG220" s="19">
        <v>0</v>
      </c>
      <c r="BH220" s="19">
        <v>0</v>
      </c>
      <c r="BI220" s="19">
        <v>0</v>
      </c>
      <c r="BJ220" s="19">
        <v>0</v>
      </c>
      <c r="BK220" s="19">
        <v>0</v>
      </c>
      <c r="BL220" s="19">
        <v>0</v>
      </c>
      <c r="BM220" s="19">
        <v>0</v>
      </c>
      <c r="BN220" s="19">
        <v>0</v>
      </c>
      <c r="BO220" s="19">
        <v>0</v>
      </c>
      <c r="BP220" s="19">
        <v>0</v>
      </c>
      <c r="BQ220" s="19">
        <v>0</v>
      </c>
      <c r="BR220" s="19">
        <v>3</v>
      </c>
      <c r="BS220" s="19">
        <v>2</v>
      </c>
      <c r="BT220" s="19">
        <v>3</v>
      </c>
      <c r="BU220" s="19">
        <v>4</v>
      </c>
      <c r="BV220" s="19">
        <v>4</v>
      </c>
      <c r="BW220" s="19">
        <v>4</v>
      </c>
      <c r="BX220" s="19">
        <v>5</v>
      </c>
      <c r="BY220" s="19">
        <v>4</v>
      </c>
      <c r="BZ220" s="19">
        <v>3</v>
      </c>
      <c r="CA220" s="19">
        <v>4</v>
      </c>
      <c r="CB220" s="19">
        <v>4</v>
      </c>
      <c r="CC220" s="19">
        <v>4</v>
      </c>
      <c r="CD220" s="19">
        <v>5</v>
      </c>
      <c r="CE220" s="19">
        <v>5</v>
      </c>
      <c r="CF220" s="19">
        <v>4</v>
      </c>
      <c r="CG220" s="19">
        <v>5</v>
      </c>
      <c r="CH220" s="19">
        <v>4</v>
      </c>
      <c r="CI220" s="19">
        <v>4</v>
      </c>
      <c r="CJ220" s="19">
        <v>4</v>
      </c>
      <c r="CK220" s="19">
        <v>8</v>
      </c>
      <c r="CL220" t="s">
        <v>196</v>
      </c>
      <c r="CM220">
        <v>39.5</v>
      </c>
      <c r="CN220" s="16">
        <v>89.8</v>
      </c>
      <c r="CO220" s="16">
        <v>80.400000000000006</v>
      </c>
      <c r="CP220" s="16">
        <v>5.0999999999999996</v>
      </c>
      <c r="CQ220">
        <v>100</v>
      </c>
      <c r="CR220" s="17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50.37</v>
      </c>
      <c r="DD220">
        <v>16.55</v>
      </c>
      <c r="DE220">
        <v>0.4</v>
      </c>
      <c r="DF220">
        <v>0</v>
      </c>
      <c r="DG220">
        <v>27.4</v>
      </c>
      <c r="DH220">
        <v>1</v>
      </c>
      <c r="DI220">
        <v>3</v>
      </c>
      <c r="DK220">
        <v>4</v>
      </c>
      <c r="DO220">
        <v>3</v>
      </c>
      <c r="DQ220">
        <v>4</v>
      </c>
      <c r="DU220">
        <v>0.1</v>
      </c>
      <c r="DV220">
        <v>1</v>
      </c>
      <c r="DW220">
        <v>34</v>
      </c>
      <c r="DX220">
        <v>9</v>
      </c>
      <c r="DY220">
        <f>(1.71*3)+(0.2*2)</f>
        <v>5.53</v>
      </c>
      <c r="DZ220">
        <v>1</v>
      </c>
      <c r="EA220">
        <v>35</v>
      </c>
      <c r="EB220">
        <v>1</v>
      </c>
      <c r="EC220" s="16">
        <v>0.02</v>
      </c>
      <c r="ED220">
        <v>3</v>
      </c>
      <c r="EG220" s="20"/>
      <c r="EY220">
        <v>0</v>
      </c>
      <c r="GJ220" s="16">
        <v>1.49</v>
      </c>
      <c r="GK220" s="16">
        <v>1</v>
      </c>
      <c r="GL220" s="16">
        <v>1</v>
      </c>
      <c r="GM220" s="16"/>
      <c r="GN220" s="16">
        <f>2.11+2.11+0.56+0.56</f>
        <v>5.34</v>
      </c>
      <c r="GO220" s="16"/>
      <c r="GP220" s="16"/>
      <c r="GQ220" s="16"/>
      <c r="GR220" s="16"/>
      <c r="GS220" s="16"/>
      <c r="GT220" s="16"/>
      <c r="GU220" s="16">
        <v>5.01</v>
      </c>
      <c r="GV220" s="16">
        <v>5.13</v>
      </c>
      <c r="GW220" s="16">
        <v>0</v>
      </c>
      <c r="GX220" s="16">
        <v>0</v>
      </c>
      <c r="GY220" s="16">
        <v>0</v>
      </c>
      <c r="GZ220" s="16">
        <v>0</v>
      </c>
      <c r="HA220" s="16">
        <v>0</v>
      </c>
      <c r="HB220">
        <v>0</v>
      </c>
      <c r="HC220" t="s">
        <v>197</v>
      </c>
      <c r="HD220">
        <v>49.5</v>
      </c>
      <c r="HE220" s="16">
        <v>90.1</v>
      </c>
      <c r="HF220" s="16">
        <v>80.400000000000006</v>
      </c>
      <c r="HG220" s="16">
        <v>9.9</v>
      </c>
      <c r="HH220">
        <v>94.62</v>
      </c>
      <c r="HI220" s="17">
        <v>0</v>
      </c>
      <c r="HJ220">
        <v>0.32</v>
      </c>
      <c r="HK220">
        <v>0</v>
      </c>
      <c r="HL220">
        <v>5.05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3.42</v>
      </c>
      <c r="HT220">
        <v>32.25</v>
      </c>
      <c r="HU220">
        <v>29.89</v>
      </c>
      <c r="HV220">
        <v>8.2799999999999994</v>
      </c>
      <c r="HW220">
        <v>0</v>
      </c>
      <c r="HX220">
        <v>12.9</v>
      </c>
      <c r="HY220">
        <v>1</v>
      </c>
      <c r="HZ220">
        <v>7</v>
      </c>
      <c r="IB220">
        <v>5</v>
      </c>
      <c r="IC220">
        <v>3</v>
      </c>
      <c r="IE220">
        <v>3</v>
      </c>
      <c r="IF220">
        <v>7</v>
      </c>
      <c r="IH220">
        <v>5</v>
      </c>
      <c r="II220">
        <v>3</v>
      </c>
      <c r="IK220">
        <v>3</v>
      </c>
      <c r="IL220">
        <v>16.600000000000001</v>
      </c>
      <c r="IM220">
        <v>1</v>
      </c>
      <c r="IN220">
        <v>68</v>
      </c>
      <c r="IO220">
        <v>6</v>
      </c>
      <c r="IP220">
        <v>0.21</v>
      </c>
      <c r="IQ220">
        <v>1</v>
      </c>
      <c r="IR220">
        <v>35</v>
      </c>
      <c r="IS220">
        <v>3</v>
      </c>
      <c r="IT220">
        <v>0.51</v>
      </c>
      <c r="IU220">
        <v>3</v>
      </c>
      <c r="IV220">
        <v>47</v>
      </c>
      <c r="IW220">
        <v>22</v>
      </c>
      <c r="IX220" s="20">
        <f>(0.43*3)+(0.07*4)+0.22</f>
        <v>1.79</v>
      </c>
      <c r="IY220">
        <v>3</v>
      </c>
      <c r="JP220">
        <v>1</v>
      </c>
      <c r="JQ220">
        <v>60</v>
      </c>
      <c r="JR220">
        <v>17</v>
      </c>
      <c r="JS220">
        <f>0.22+0.04+0.11+0.08+0.08+0.05</f>
        <v>0.58000000000000007</v>
      </c>
      <c r="JT220">
        <v>3</v>
      </c>
      <c r="JU220">
        <v>60</v>
      </c>
      <c r="JV220">
        <v>12</v>
      </c>
      <c r="JW220">
        <f>0.87+0.43+0.15+0.07</f>
        <v>1.52</v>
      </c>
      <c r="JX220">
        <v>1</v>
      </c>
      <c r="LA220" s="16">
        <v>2.4900000000000002</v>
      </c>
      <c r="LB220" s="16">
        <v>1</v>
      </c>
      <c r="LC220" s="16">
        <v>1</v>
      </c>
      <c r="LD220" s="16"/>
      <c r="LE220" s="16">
        <v>10.89</v>
      </c>
      <c r="LF220" s="16"/>
      <c r="LG220" s="16"/>
      <c r="LH220" s="16"/>
      <c r="LI220" s="16"/>
      <c r="LJ220" s="16"/>
      <c r="LK220" s="16"/>
      <c r="LL220" s="16">
        <v>4.17</v>
      </c>
      <c r="LM220" s="16">
        <v>3.7</v>
      </c>
      <c r="LN220" s="16">
        <v>0</v>
      </c>
      <c r="LO220" s="16">
        <v>0</v>
      </c>
      <c r="LP220" s="16">
        <v>0</v>
      </c>
      <c r="LQ220" s="16">
        <v>0</v>
      </c>
      <c r="LR220" s="16">
        <v>0</v>
      </c>
      <c r="LS220">
        <v>0</v>
      </c>
      <c r="LT220" t="s">
        <v>198</v>
      </c>
      <c r="LU220">
        <v>28.5</v>
      </c>
      <c r="LV220" s="16">
        <v>78.400000000000006</v>
      </c>
      <c r="LW220" s="16">
        <v>80.400000000000006</v>
      </c>
      <c r="LX220" s="16">
        <v>16</v>
      </c>
      <c r="LY220">
        <v>95.22</v>
      </c>
      <c r="LZ220" s="17">
        <v>0</v>
      </c>
      <c r="MA220">
        <v>4.2300000000000004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9.77</v>
      </c>
      <c r="MK220">
        <v>2.1800000000000002</v>
      </c>
      <c r="ML220">
        <v>46.81</v>
      </c>
      <c r="MM220">
        <v>10.57</v>
      </c>
      <c r="MN220">
        <v>0</v>
      </c>
      <c r="MO220">
        <v>0</v>
      </c>
      <c r="MP220">
        <v>0</v>
      </c>
      <c r="NC220">
        <v>0</v>
      </c>
      <c r="ND220">
        <v>0</v>
      </c>
      <c r="NO220" s="20"/>
      <c r="OG220">
        <v>0</v>
      </c>
      <c r="PR220" s="16">
        <v>4.2300000000000004</v>
      </c>
      <c r="PS220" s="16">
        <v>1</v>
      </c>
      <c r="PT220" s="16">
        <v>2</v>
      </c>
      <c r="PU220" s="16"/>
      <c r="PV220" s="16">
        <v>6.34</v>
      </c>
      <c r="PW220" s="16">
        <v>1</v>
      </c>
      <c r="PX220" s="16">
        <v>1</v>
      </c>
      <c r="PY220" s="16">
        <f>9.52+3.17+3.17+3.17+1.12+1.12+1.12</f>
        <v>22.390000000000004</v>
      </c>
      <c r="PZ220" s="16"/>
      <c r="QA220" s="16"/>
      <c r="QB220" s="16"/>
      <c r="QC220" s="16">
        <v>5.41</v>
      </c>
      <c r="QD220" s="16">
        <v>8.9600000000000009</v>
      </c>
      <c r="QE220" s="16">
        <v>0</v>
      </c>
      <c r="QF220" s="16">
        <v>0</v>
      </c>
      <c r="QG220" s="16">
        <v>0</v>
      </c>
      <c r="QH220" s="16">
        <v>0</v>
      </c>
      <c r="QI220" s="16">
        <v>0</v>
      </c>
      <c r="QJ220">
        <v>0</v>
      </c>
      <c r="QK220" t="s">
        <v>202</v>
      </c>
      <c r="QL220">
        <v>60</v>
      </c>
      <c r="QM220" s="16">
        <v>55.4</v>
      </c>
      <c r="QN220" s="16">
        <v>80.400000000000006</v>
      </c>
      <c r="QO220" s="16">
        <v>29.6</v>
      </c>
      <c r="QP220">
        <v>76.8</v>
      </c>
      <c r="QQ220" s="17">
        <v>0</v>
      </c>
      <c r="QR220">
        <v>0</v>
      </c>
      <c r="QS220">
        <v>0</v>
      </c>
      <c r="QT220">
        <v>0</v>
      </c>
      <c r="QV220">
        <v>4.83</v>
      </c>
      <c r="QW220">
        <v>1.71</v>
      </c>
      <c r="QX220">
        <v>0</v>
      </c>
      <c r="QY220">
        <v>0</v>
      </c>
      <c r="QZ220">
        <v>0</v>
      </c>
      <c r="RA220">
        <v>1.51</v>
      </c>
      <c r="RB220">
        <v>1.85</v>
      </c>
      <c r="RC220">
        <v>2.31</v>
      </c>
      <c r="RD220">
        <v>19.079999999999998</v>
      </c>
      <c r="RE220">
        <v>18.37</v>
      </c>
      <c r="RF220">
        <v>0</v>
      </c>
      <c r="RG220">
        <v>0</v>
      </c>
      <c r="RH220">
        <v>0</v>
      </c>
      <c r="RN220">
        <v>0</v>
      </c>
      <c r="RT220">
        <v>22.9</v>
      </c>
      <c r="RU220">
        <v>1</v>
      </c>
      <c r="RV220">
        <v>34</v>
      </c>
      <c r="RW220">
        <v>1</v>
      </c>
      <c r="RX220">
        <v>1.19</v>
      </c>
      <c r="RY220">
        <v>1</v>
      </c>
      <c r="RZ220">
        <v>47</v>
      </c>
      <c r="SA220">
        <f>7+3+1+2+3+5+7+1+7+2+7+5+5</f>
        <v>55</v>
      </c>
      <c r="SB220">
        <f>(0.3*7)+0.15+0.3+0.9+0.6+0.45+0.6+(0.3*3)+(0.3*5)+(0.3*7)+0.9+(0.3*7)+(0.4)+(0.3*7)+(0.3*5)+(0.3*5)</f>
        <v>18.100000000000001</v>
      </c>
      <c r="SC220">
        <v>2</v>
      </c>
      <c r="SF220" s="20"/>
      <c r="SX220">
        <v>0</v>
      </c>
      <c r="UI220" s="16">
        <v>0.06</v>
      </c>
      <c r="UJ220" s="16">
        <v>1</v>
      </c>
      <c r="UK220" s="16">
        <v>1</v>
      </c>
      <c r="UL220" s="16"/>
      <c r="UM220" s="16">
        <v>0.1</v>
      </c>
      <c r="UN220" s="16"/>
      <c r="UO220" s="16"/>
      <c r="UP220" s="16"/>
      <c r="UQ220" s="16"/>
      <c r="UR220" s="16"/>
      <c r="US220" s="16"/>
      <c r="UT220" s="16">
        <v>5.42</v>
      </c>
      <c r="UU220" s="16">
        <v>8.83</v>
      </c>
      <c r="UV220" s="16">
        <v>0</v>
      </c>
      <c r="UW220" s="16">
        <v>0</v>
      </c>
      <c r="UX220" s="16">
        <v>1.99</v>
      </c>
      <c r="UY220" s="16">
        <v>0</v>
      </c>
      <c r="UZ220" s="16">
        <v>0</v>
      </c>
      <c r="VA220">
        <v>2</v>
      </c>
      <c r="VB220" t="s">
        <v>202</v>
      </c>
      <c r="VC220">
        <v>60</v>
      </c>
      <c r="VD220" s="16">
        <v>55.4</v>
      </c>
      <c r="VE220" s="16">
        <v>80.400000000000006</v>
      </c>
      <c r="VF220" s="16">
        <v>29.6</v>
      </c>
      <c r="VG220">
        <v>76.8</v>
      </c>
      <c r="VH220" s="17">
        <v>0</v>
      </c>
      <c r="VI220">
        <v>0</v>
      </c>
      <c r="VJ220">
        <v>0</v>
      </c>
      <c r="VK220">
        <v>0</v>
      </c>
      <c r="VM220">
        <v>4.83</v>
      </c>
      <c r="VN220">
        <v>1.71</v>
      </c>
      <c r="VO220">
        <v>0</v>
      </c>
      <c r="VP220">
        <v>0</v>
      </c>
      <c r="VQ220">
        <v>0</v>
      </c>
      <c r="VR220">
        <v>1.51</v>
      </c>
      <c r="VS220">
        <v>1.85</v>
      </c>
      <c r="VT220">
        <v>2.31</v>
      </c>
      <c r="VU220">
        <v>19.079999999999998</v>
      </c>
      <c r="VV220">
        <v>18.37</v>
      </c>
      <c r="VW220">
        <v>0</v>
      </c>
      <c r="VX220">
        <v>0</v>
      </c>
      <c r="VY220">
        <v>0</v>
      </c>
      <c r="WE220">
        <v>0</v>
      </c>
      <c r="WK220">
        <v>22.9</v>
      </c>
      <c r="WL220">
        <v>1</v>
      </c>
      <c r="WM220">
        <v>34</v>
      </c>
      <c r="WN220">
        <v>1</v>
      </c>
      <c r="WO220">
        <v>1.19</v>
      </c>
      <c r="WP220">
        <v>1</v>
      </c>
      <c r="WQ220">
        <v>47</v>
      </c>
      <c r="WR220">
        <f>7+3+1+2+3+5+7+1+7+2+7+5+5</f>
        <v>55</v>
      </c>
      <c r="WS220">
        <f>(0.3*7)+0.15+0.3+0.9+0.6+0.45+0.6+(0.3*3)+(0.3*5)+(0.3*7)+0.9+(0.3*7)+(0.4)+(0.3*7)+(0.3*5)+(0.3*5)</f>
        <v>18.100000000000001</v>
      </c>
      <c r="WT220">
        <v>2</v>
      </c>
      <c r="WW220" s="20"/>
      <c r="XO220">
        <v>0</v>
      </c>
      <c r="YZ220" s="16">
        <v>0.06</v>
      </c>
      <c r="ZA220" s="16">
        <v>1</v>
      </c>
      <c r="ZB220" s="16">
        <v>1</v>
      </c>
      <c r="ZC220" s="16"/>
      <c r="ZD220" s="16">
        <v>0.1</v>
      </c>
      <c r="ZE220" s="16"/>
      <c r="ZF220" s="16"/>
      <c r="ZG220" s="16"/>
      <c r="ZH220" s="16"/>
      <c r="ZI220" s="16"/>
      <c r="ZJ220" s="16"/>
      <c r="ZK220" s="16">
        <v>5.42</v>
      </c>
      <c r="ZL220" s="16">
        <v>8.83</v>
      </c>
      <c r="ZM220" s="16">
        <v>0</v>
      </c>
      <c r="ZN220" s="16">
        <v>0</v>
      </c>
      <c r="ZO220" s="16">
        <v>1.99</v>
      </c>
      <c r="ZP220" s="16">
        <v>0</v>
      </c>
      <c r="ZQ220" s="16">
        <v>0</v>
      </c>
      <c r="ZR220">
        <v>2</v>
      </c>
      <c r="ZS220" t="s">
        <v>727</v>
      </c>
      <c r="ZT220">
        <v>47.5</v>
      </c>
      <c r="ZU220" s="16">
        <v>58.6</v>
      </c>
      <c r="ZV220" s="16">
        <v>80.400000000000006</v>
      </c>
      <c r="ZW220" s="16">
        <v>19.5</v>
      </c>
      <c r="ZX220">
        <v>76.23</v>
      </c>
      <c r="ZY220" s="17">
        <v>0</v>
      </c>
      <c r="ZZ220">
        <v>7.5</v>
      </c>
      <c r="AAA220">
        <v>0</v>
      </c>
      <c r="AAB220">
        <v>16.260000000000002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22.34</v>
      </c>
      <c r="AAK220">
        <v>19.22</v>
      </c>
      <c r="AAL220">
        <v>9.8000000000000007</v>
      </c>
      <c r="AAM220">
        <v>0.28000000000000003</v>
      </c>
      <c r="AAN220">
        <v>0</v>
      </c>
      <c r="ABB220">
        <v>24.1</v>
      </c>
      <c r="ABC220">
        <v>1</v>
      </c>
      <c r="ABD220">
        <v>47</v>
      </c>
      <c r="ABE220">
        <v>6</v>
      </c>
      <c r="ABF220">
        <f>2.28+0.81</f>
        <v>3.09</v>
      </c>
      <c r="ABG220">
        <v>3</v>
      </c>
      <c r="ABH220">
        <v>23</v>
      </c>
      <c r="ABI220">
        <v>2</v>
      </c>
      <c r="ABJ220">
        <v>0.54</v>
      </c>
      <c r="ABK220">
        <v>3</v>
      </c>
      <c r="ABN220" s="20"/>
      <c r="ACF220">
        <v>0</v>
      </c>
      <c r="ADQ220" s="16">
        <v>0</v>
      </c>
      <c r="ADR220" s="16">
        <v>0</v>
      </c>
      <c r="ADS220" s="16"/>
      <c r="ADT220" s="16"/>
      <c r="ADU220" s="16"/>
      <c r="ADV220" s="16"/>
      <c r="ADW220" s="16"/>
      <c r="ADX220" s="16"/>
      <c r="ADY220" s="16"/>
      <c r="ADZ220" s="16"/>
      <c r="AEA220" s="16"/>
      <c r="AEB220" s="16">
        <v>2.97</v>
      </c>
      <c r="AEC220" s="16">
        <v>2.96</v>
      </c>
      <c r="AED220" s="16">
        <v>0</v>
      </c>
      <c r="AEE220" s="16">
        <v>0</v>
      </c>
      <c r="AEF220" s="16">
        <v>0</v>
      </c>
      <c r="AEG220" s="16">
        <v>0</v>
      </c>
      <c r="AEH220" s="16">
        <v>0</v>
      </c>
      <c r="AEI220">
        <v>0</v>
      </c>
      <c r="AEJ220" t="s">
        <v>213</v>
      </c>
      <c r="AEK220">
        <v>49.5</v>
      </c>
      <c r="AEL220" s="16">
        <v>78.900000000000006</v>
      </c>
      <c r="AEM220" s="16">
        <v>80.400000000000006</v>
      </c>
      <c r="AEN220" s="16">
        <v>31.1</v>
      </c>
      <c r="AEO220">
        <v>22.13</v>
      </c>
      <c r="AEP220" s="17">
        <v>0</v>
      </c>
      <c r="AEQ220">
        <v>0</v>
      </c>
      <c r="AER220">
        <v>0</v>
      </c>
      <c r="AES220">
        <v>3.8</v>
      </c>
      <c r="AET220">
        <v>0</v>
      </c>
      <c r="AEU220">
        <v>74.069999999999993</v>
      </c>
      <c r="AEV220">
        <v>28.31</v>
      </c>
      <c r="AEW220">
        <v>0</v>
      </c>
      <c r="AEX220">
        <v>0</v>
      </c>
      <c r="AEY220">
        <v>0</v>
      </c>
      <c r="AEZ220">
        <v>8.07</v>
      </c>
      <c r="AFA220">
        <v>1.71</v>
      </c>
      <c r="AFB220">
        <v>33.85</v>
      </c>
      <c r="AFC220">
        <v>17.12</v>
      </c>
      <c r="AFD220">
        <v>0</v>
      </c>
      <c r="AFE220">
        <v>0</v>
      </c>
      <c r="AFF220">
        <v>0</v>
      </c>
      <c r="AFS220">
        <v>3.4</v>
      </c>
      <c r="AFT220">
        <v>1</v>
      </c>
      <c r="AFU220">
        <v>34</v>
      </c>
      <c r="AFV220">
        <v>1</v>
      </c>
      <c r="AFW220">
        <v>1.6</v>
      </c>
      <c r="AFX220">
        <v>1</v>
      </c>
      <c r="AFY220">
        <v>68</v>
      </c>
      <c r="AFZ220">
        <v>2</v>
      </c>
      <c r="AGA220">
        <f>0.65+0.11</f>
        <v>0.76</v>
      </c>
      <c r="AGB220">
        <v>1</v>
      </c>
      <c r="AGC220">
        <v>52</v>
      </c>
      <c r="AGD220">
        <v>2</v>
      </c>
      <c r="AGE220" s="20">
        <f>1.33+0.34</f>
        <v>1.6700000000000002</v>
      </c>
      <c r="AGF220">
        <v>2</v>
      </c>
      <c r="AGW220">
        <v>0</v>
      </c>
      <c r="AIH220" s="16">
        <v>0</v>
      </c>
      <c r="AII220" s="16">
        <v>0</v>
      </c>
      <c r="AIJ220" s="16"/>
      <c r="AIK220" s="16"/>
      <c r="AIL220" s="16"/>
      <c r="AIM220" s="16"/>
      <c r="AIN220" s="16"/>
      <c r="AIO220" s="16"/>
      <c r="AIP220" s="16"/>
      <c r="AIQ220" s="16"/>
      <c r="AIR220" s="16"/>
      <c r="AIS220" s="16">
        <v>5.13</v>
      </c>
      <c r="AIT220" s="16">
        <v>6.28</v>
      </c>
      <c r="AIU220" s="16">
        <v>0</v>
      </c>
      <c r="AIV220" s="16">
        <v>0</v>
      </c>
      <c r="AIW220" s="16">
        <v>6.72</v>
      </c>
      <c r="AIX220" s="16">
        <v>0</v>
      </c>
      <c r="AIY220" s="16">
        <v>2.54</v>
      </c>
      <c r="AIZ220">
        <v>2</v>
      </c>
      <c r="AJA220" s="15"/>
      <c r="AJB220" s="15"/>
      <c r="AJI220" s="15"/>
      <c r="AJJ220" s="15"/>
      <c r="AJQ220" s="15"/>
      <c r="AJR220" s="15"/>
      <c r="AJY220" s="15"/>
      <c r="AJZ220" s="15"/>
      <c r="AKG220" s="15"/>
      <c r="AKH220" s="15"/>
      <c r="AKO220" s="15"/>
      <c r="AKP220" s="15"/>
      <c r="AKW220" s="15"/>
      <c r="AKX220" s="15"/>
      <c r="ALE220" s="15"/>
      <c r="ALF220" s="15"/>
      <c r="ALM220" s="15"/>
      <c r="ALN220" s="15"/>
      <c r="ALU220" s="15"/>
      <c r="ALV220" s="15"/>
      <c r="AMC220" s="15"/>
      <c r="AMD220" s="15"/>
    </row>
    <row r="221" spans="1:1018" x14ac:dyDescent="0.2">
      <c r="A221" s="1" t="s">
        <v>734</v>
      </c>
      <c r="B221" s="12">
        <v>42905</v>
      </c>
      <c r="C221">
        <v>2</v>
      </c>
      <c r="D221" s="13">
        <v>38930</v>
      </c>
      <c r="E221" s="12">
        <v>30160</v>
      </c>
      <c r="F221" s="14">
        <f t="shared" si="62"/>
        <v>34.893908281998634</v>
      </c>
      <c r="G221" s="14">
        <f t="shared" si="63"/>
        <v>10.882956878850102</v>
      </c>
      <c r="H221" s="15" t="s">
        <v>181</v>
      </c>
      <c r="I221" s="15" t="s">
        <v>194</v>
      </c>
      <c r="J221" s="21" t="s">
        <v>183</v>
      </c>
      <c r="K221" s="21">
        <v>4</v>
      </c>
      <c r="L221" s="19">
        <v>90</v>
      </c>
      <c r="M221">
        <v>1.72</v>
      </c>
      <c r="N221" s="16">
        <f t="shared" si="64"/>
        <v>30.421849648458629</v>
      </c>
      <c r="O221" s="19">
        <v>0</v>
      </c>
      <c r="P221" s="19">
        <v>0</v>
      </c>
      <c r="Q221" s="19">
        <v>0</v>
      </c>
      <c r="R221" s="26">
        <v>0</v>
      </c>
      <c r="S221" s="26">
        <v>0</v>
      </c>
      <c r="T221" s="26">
        <v>0</v>
      </c>
      <c r="U221" s="19">
        <v>0</v>
      </c>
      <c r="V221" s="19">
        <v>0</v>
      </c>
      <c r="W221" s="19">
        <v>1</v>
      </c>
      <c r="X221" s="19">
        <v>0</v>
      </c>
      <c r="Y221" s="19">
        <v>0</v>
      </c>
      <c r="Z221" s="19">
        <v>0</v>
      </c>
      <c r="AA221" s="19">
        <v>0</v>
      </c>
      <c r="AB221" s="19">
        <v>0</v>
      </c>
      <c r="AC221" s="19">
        <v>1</v>
      </c>
      <c r="AD221" s="19">
        <v>10</v>
      </c>
      <c r="AE221" s="19">
        <v>1</v>
      </c>
      <c r="AF221" s="19">
        <v>1</v>
      </c>
      <c r="AG221" s="19">
        <v>1</v>
      </c>
      <c r="AH221" s="19">
        <v>5</v>
      </c>
      <c r="AI221" s="19">
        <v>3</v>
      </c>
      <c r="AJ221" s="19">
        <v>3</v>
      </c>
      <c r="AK221" s="19">
        <v>0</v>
      </c>
      <c r="AL221" s="19">
        <v>0</v>
      </c>
      <c r="AM221" s="19">
        <v>0</v>
      </c>
      <c r="AN221" s="19">
        <v>0</v>
      </c>
      <c r="AO221" s="19">
        <v>0</v>
      </c>
      <c r="AP221" s="19">
        <v>0</v>
      </c>
      <c r="AQ221" s="19">
        <v>0</v>
      </c>
      <c r="AR221" s="19">
        <v>0</v>
      </c>
      <c r="AS221" s="19">
        <v>3</v>
      </c>
      <c r="AT221" s="19">
        <v>3</v>
      </c>
      <c r="AU221" s="19">
        <v>3</v>
      </c>
      <c r="AV221" s="19">
        <v>6</v>
      </c>
      <c r="AW221" s="19">
        <v>6</v>
      </c>
      <c r="AX221" s="19">
        <v>0</v>
      </c>
      <c r="AY221" s="19">
        <v>0</v>
      </c>
      <c r="AZ221" s="19">
        <v>0</v>
      </c>
      <c r="BA221" s="19">
        <v>0</v>
      </c>
      <c r="BB221" s="19">
        <v>1</v>
      </c>
      <c r="BC221" s="19">
        <v>0</v>
      </c>
      <c r="BD221" s="19">
        <v>0</v>
      </c>
      <c r="BE221" s="19">
        <v>0</v>
      </c>
      <c r="BF221" s="19">
        <v>0</v>
      </c>
      <c r="BG221" s="19">
        <v>0</v>
      </c>
      <c r="BH221" s="19">
        <v>0</v>
      </c>
      <c r="BI221" s="19">
        <v>0</v>
      </c>
      <c r="BJ221" s="19">
        <v>0</v>
      </c>
      <c r="BK221" s="19">
        <v>0</v>
      </c>
      <c r="BL221" s="19">
        <v>0</v>
      </c>
      <c r="BM221" s="19">
        <v>0</v>
      </c>
      <c r="BN221" s="19">
        <v>0</v>
      </c>
      <c r="BO221" s="19">
        <v>0</v>
      </c>
      <c r="BP221" s="19">
        <v>0</v>
      </c>
      <c r="BQ221" s="19">
        <v>0</v>
      </c>
      <c r="BR221" s="19">
        <v>5</v>
      </c>
      <c r="BS221" s="19">
        <v>4</v>
      </c>
      <c r="BT221" s="19">
        <v>5</v>
      </c>
      <c r="BU221" s="19">
        <v>5</v>
      </c>
      <c r="BV221" s="19">
        <v>5</v>
      </c>
      <c r="BW221" s="19">
        <v>4</v>
      </c>
      <c r="BX221" s="19">
        <v>4</v>
      </c>
      <c r="BY221" s="19">
        <v>1</v>
      </c>
      <c r="BZ221" s="19">
        <v>1</v>
      </c>
      <c r="CA221" s="19">
        <v>3</v>
      </c>
      <c r="CB221" s="19">
        <v>5</v>
      </c>
      <c r="CC221" s="19">
        <v>5</v>
      </c>
      <c r="CD221" s="19">
        <v>5</v>
      </c>
      <c r="CE221" s="19">
        <v>3</v>
      </c>
      <c r="CF221" s="19">
        <v>5</v>
      </c>
      <c r="CG221" s="19">
        <v>3</v>
      </c>
      <c r="CH221" s="19">
        <v>4</v>
      </c>
      <c r="CI221" s="19">
        <v>5</v>
      </c>
      <c r="CJ221" s="19">
        <v>1</v>
      </c>
      <c r="CK221" s="19">
        <v>10</v>
      </c>
      <c r="CL221" t="s">
        <v>195</v>
      </c>
      <c r="CM221">
        <v>37.5</v>
      </c>
      <c r="CN221" s="16">
        <v>87.4</v>
      </c>
      <c r="CO221" s="16">
        <v>80.400000000000006</v>
      </c>
      <c r="CP221" s="16">
        <v>18.5</v>
      </c>
      <c r="CQ221">
        <v>84.21</v>
      </c>
      <c r="CR221" s="17">
        <v>0</v>
      </c>
      <c r="CS221">
        <v>0</v>
      </c>
      <c r="CT221">
        <v>0</v>
      </c>
      <c r="CU221">
        <v>15.79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26.71</v>
      </c>
      <c r="DC221">
        <v>13.13</v>
      </c>
      <c r="DD221">
        <v>49.12</v>
      </c>
      <c r="DE221">
        <v>14.67</v>
      </c>
      <c r="DF221">
        <v>0</v>
      </c>
      <c r="DG221">
        <v>0</v>
      </c>
      <c r="DH221">
        <v>0</v>
      </c>
      <c r="DU221">
        <v>1.1000000000000001</v>
      </c>
      <c r="DV221">
        <v>1</v>
      </c>
      <c r="DW221">
        <v>52</v>
      </c>
      <c r="DX221">
        <v>1</v>
      </c>
      <c r="DY221">
        <v>0.22</v>
      </c>
      <c r="DZ221">
        <v>2</v>
      </c>
      <c r="EA221">
        <v>35</v>
      </c>
      <c r="EB221">
        <v>2</v>
      </c>
      <c r="EC221">
        <v>0.16</v>
      </c>
      <c r="ED221">
        <v>3</v>
      </c>
      <c r="EG221" s="20"/>
      <c r="EY221">
        <v>0</v>
      </c>
      <c r="GJ221" s="16">
        <v>4.3</v>
      </c>
      <c r="GK221" s="16">
        <v>1</v>
      </c>
      <c r="GL221" s="16">
        <v>1</v>
      </c>
      <c r="GM221" s="16"/>
      <c r="GN221" s="16">
        <f>(2.11*6)+0.9+0.9+0.62+0.62+0.93+0.3+0.3+0.22+0.22+0.23+0.22+0.22+0.22</f>
        <v>18.559999999999995</v>
      </c>
      <c r="GO221" s="16"/>
      <c r="GP221" s="16"/>
      <c r="GQ221" s="16"/>
      <c r="GR221" s="16"/>
      <c r="GS221" s="16"/>
      <c r="GT221" s="16"/>
      <c r="GU221" s="16">
        <v>10.31</v>
      </c>
      <c r="GV221" s="16">
        <v>34.85</v>
      </c>
      <c r="GW221" s="16">
        <v>0</v>
      </c>
      <c r="GX221" s="16">
        <v>0</v>
      </c>
      <c r="GY221" s="16">
        <v>0</v>
      </c>
      <c r="GZ221" s="16">
        <v>0</v>
      </c>
      <c r="HA221" s="16">
        <v>0</v>
      </c>
      <c r="HB221">
        <v>0</v>
      </c>
      <c r="HC221" t="s">
        <v>196</v>
      </c>
      <c r="HD221">
        <v>39.5</v>
      </c>
      <c r="HE221" s="16">
        <v>89.8</v>
      </c>
      <c r="HF221" s="16">
        <v>80.400000000000006</v>
      </c>
      <c r="HG221" s="16">
        <v>5.0999999999999996</v>
      </c>
      <c r="HH221">
        <v>100</v>
      </c>
      <c r="HI221" s="17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50.37</v>
      </c>
      <c r="HU221">
        <v>16.55</v>
      </c>
      <c r="HV221">
        <v>0.4</v>
      </c>
      <c r="HW221">
        <v>0</v>
      </c>
      <c r="HX221">
        <v>27.4</v>
      </c>
      <c r="HY221">
        <v>1</v>
      </c>
      <c r="HZ221">
        <v>3</v>
      </c>
      <c r="IB221">
        <v>4</v>
      </c>
      <c r="IF221">
        <v>3</v>
      </c>
      <c r="IH221">
        <v>4</v>
      </c>
      <c r="IL221">
        <v>0.1</v>
      </c>
      <c r="IM221">
        <v>1</v>
      </c>
      <c r="IN221">
        <v>34</v>
      </c>
      <c r="IO221">
        <v>9</v>
      </c>
      <c r="IP221">
        <f>(1.71*3)+(0.2*2)</f>
        <v>5.53</v>
      </c>
      <c r="IQ221">
        <v>1</v>
      </c>
      <c r="IR221">
        <v>35</v>
      </c>
      <c r="IS221">
        <v>1</v>
      </c>
      <c r="IT221" s="16">
        <v>0.02</v>
      </c>
      <c r="IU221">
        <v>3</v>
      </c>
      <c r="IX221" s="20"/>
      <c r="JP221">
        <v>0</v>
      </c>
      <c r="LA221" s="16">
        <v>1.49</v>
      </c>
      <c r="LB221" s="16">
        <v>1</v>
      </c>
      <c r="LC221" s="16">
        <v>1</v>
      </c>
      <c r="LD221" s="16"/>
      <c r="LE221" s="16">
        <f>2.11+2.11+0.56+0.56</f>
        <v>5.34</v>
      </c>
      <c r="LF221" s="16"/>
      <c r="LG221" s="16"/>
      <c r="LH221" s="16"/>
      <c r="LI221" s="16"/>
      <c r="LJ221" s="16"/>
      <c r="LK221" s="16"/>
      <c r="LL221" s="16">
        <v>5.01</v>
      </c>
      <c r="LM221" s="16">
        <v>5.13</v>
      </c>
      <c r="LN221" s="16">
        <v>0</v>
      </c>
      <c r="LO221" s="16">
        <v>0</v>
      </c>
      <c r="LP221" s="16">
        <v>0</v>
      </c>
      <c r="LQ221" s="16">
        <v>0</v>
      </c>
      <c r="LR221" s="16">
        <v>0</v>
      </c>
      <c r="LS221">
        <v>0</v>
      </c>
      <c r="LT221" t="s">
        <v>197</v>
      </c>
      <c r="LU221">
        <v>49.5</v>
      </c>
      <c r="LV221" s="16">
        <v>90.1</v>
      </c>
      <c r="LW221" s="16">
        <v>80.400000000000006</v>
      </c>
      <c r="LX221" s="16">
        <v>9.9</v>
      </c>
      <c r="LY221">
        <v>94.62</v>
      </c>
      <c r="LZ221" s="17">
        <v>0</v>
      </c>
      <c r="MA221">
        <v>0.32</v>
      </c>
      <c r="MB221">
        <v>0</v>
      </c>
      <c r="MC221">
        <v>5.05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3.42</v>
      </c>
      <c r="MK221">
        <v>32.25</v>
      </c>
      <c r="ML221">
        <v>29.89</v>
      </c>
      <c r="MM221">
        <v>8.2799999999999994</v>
      </c>
      <c r="MN221">
        <v>0</v>
      </c>
      <c r="MO221">
        <v>12.9</v>
      </c>
      <c r="MP221">
        <v>1</v>
      </c>
      <c r="MQ221">
        <v>7</v>
      </c>
      <c r="MS221">
        <v>5</v>
      </c>
      <c r="MT221">
        <v>3</v>
      </c>
      <c r="MV221">
        <v>3</v>
      </c>
      <c r="MW221">
        <v>7</v>
      </c>
      <c r="MY221">
        <v>5</v>
      </c>
      <c r="MZ221">
        <v>3</v>
      </c>
      <c r="NB221">
        <v>3</v>
      </c>
      <c r="NC221">
        <v>16.600000000000001</v>
      </c>
      <c r="ND221">
        <v>1</v>
      </c>
      <c r="NE221">
        <v>68</v>
      </c>
      <c r="NF221">
        <v>6</v>
      </c>
      <c r="NG221">
        <v>0.21</v>
      </c>
      <c r="NH221">
        <v>1</v>
      </c>
      <c r="NI221">
        <v>35</v>
      </c>
      <c r="NJ221">
        <v>3</v>
      </c>
      <c r="NK221">
        <v>0.51</v>
      </c>
      <c r="NL221">
        <v>3</v>
      </c>
      <c r="NM221">
        <v>47</v>
      </c>
      <c r="NN221">
        <v>22</v>
      </c>
      <c r="NO221" s="20">
        <f>(0.43*3)+(0.07*4)+0.22</f>
        <v>1.79</v>
      </c>
      <c r="NP221">
        <v>3</v>
      </c>
      <c r="OG221">
        <v>1</v>
      </c>
      <c r="OH221">
        <v>60</v>
      </c>
      <c r="OI221">
        <v>17</v>
      </c>
      <c r="OJ221">
        <f>0.22+0.04+0.11+0.08+0.08+0.05</f>
        <v>0.58000000000000007</v>
      </c>
      <c r="OK221">
        <v>3</v>
      </c>
      <c r="OL221">
        <v>60</v>
      </c>
      <c r="OM221">
        <v>12</v>
      </c>
      <c r="ON221">
        <f>0.87+0.43+0.15+0.07</f>
        <v>1.52</v>
      </c>
      <c r="OO221">
        <v>1</v>
      </c>
      <c r="PR221" s="16">
        <v>2.4900000000000002</v>
      </c>
      <c r="PS221" s="16">
        <v>1</v>
      </c>
      <c r="PT221" s="16">
        <v>1</v>
      </c>
      <c r="PU221" s="16"/>
      <c r="PV221" s="16">
        <v>10.89</v>
      </c>
      <c r="PW221" s="16"/>
      <c r="PX221" s="16"/>
      <c r="PY221" s="16"/>
      <c r="PZ221" s="16"/>
      <c r="QA221" s="16"/>
      <c r="QB221" s="16"/>
      <c r="QC221" s="16">
        <v>4.17</v>
      </c>
      <c r="QD221" s="16">
        <v>3.7</v>
      </c>
      <c r="QE221" s="16">
        <v>0</v>
      </c>
      <c r="QF221" s="16">
        <v>0</v>
      </c>
      <c r="QG221" s="16">
        <v>0</v>
      </c>
      <c r="QH221" s="16">
        <v>0</v>
      </c>
      <c r="QI221" s="16">
        <v>0</v>
      </c>
      <c r="QJ221">
        <v>0</v>
      </c>
      <c r="QK221" t="s">
        <v>198</v>
      </c>
      <c r="QL221">
        <v>28.5</v>
      </c>
      <c r="QM221" s="16">
        <v>78.400000000000006</v>
      </c>
      <c r="QN221" s="16">
        <v>80.400000000000006</v>
      </c>
      <c r="QO221" s="16">
        <v>16</v>
      </c>
      <c r="QP221">
        <v>95.22</v>
      </c>
      <c r="QQ221" s="17">
        <v>0</v>
      </c>
      <c r="QR221">
        <v>4.2300000000000004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9.77</v>
      </c>
      <c r="RB221">
        <v>2.1800000000000002</v>
      </c>
      <c r="RC221">
        <v>46.81</v>
      </c>
      <c r="RD221">
        <v>10.57</v>
      </c>
      <c r="RE221">
        <v>0</v>
      </c>
      <c r="RF221">
        <v>0</v>
      </c>
      <c r="RG221">
        <v>0</v>
      </c>
      <c r="RT221">
        <v>0</v>
      </c>
      <c r="RU221">
        <v>0</v>
      </c>
      <c r="SF221" s="20"/>
      <c r="SX221">
        <v>0</v>
      </c>
      <c r="UI221" s="16">
        <v>4.2300000000000004</v>
      </c>
      <c r="UJ221" s="16">
        <v>1</v>
      </c>
      <c r="UK221" s="16">
        <v>2</v>
      </c>
      <c r="UL221" s="16"/>
      <c r="UM221" s="16">
        <v>6.34</v>
      </c>
      <c r="UN221" s="16">
        <v>1</v>
      </c>
      <c r="UO221" s="16">
        <v>1</v>
      </c>
      <c r="UP221" s="16">
        <f>9.52+3.17+3.17+3.17+1.12+1.12+1.12</f>
        <v>22.390000000000004</v>
      </c>
      <c r="UQ221" s="16"/>
      <c r="UR221" s="16"/>
      <c r="US221" s="16"/>
      <c r="UT221" s="16">
        <v>5.41</v>
      </c>
      <c r="UU221" s="16">
        <v>8.9600000000000009</v>
      </c>
      <c r="UV221" s="16">
        <v>0</v>
      </c>
      <c r="UW221" s="16">
        <v>0</v>
      </c>
      <c r="UX221" s="16">
        <v>0</v>
      </c>
      <c r="UY221" s="16">
        <v>0</v>
      </c>
      <c r="UZ221" s="16">
        <v>0</v>
      </c>
      <c r="VA221">
        <v>0</v>
      </c>
      <c r="VB221" t="s">
        <v>199</v>
      </c>
      <c r="VC221">
        <v>56.5</v>
      </c>
      <c r="VD221" s="16">
        <v>88.4</v>
      </c>
      <c r="VE221" s="16">
        <v>80.400000000000006</v>
      </c>
      <c r="VF221" s="16">
        <v>24.8</v>
      </c>
      <c r="VG221">
        <v>77.37</v>
      </c>
      <c r="VH221" s="17">
        <v>0</v>
      </c>
      <c r="VI221">
        <v>7.99</v>
      </c>
      <c r="VJ221">
        <v>0</v>
      </c>
      <c r="VK221">
        <v>14.63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8.0399999999999991</v>
      </c>
      <c r="VS221">
        <v>23.21</v>
      </c>
      <c r="VT221">
        <v>37.03</v>
      </c>
      <c r="VU221">
        <v>14.79</v>
      </c>
      <c r="VV221">
        <v>0</v>
      </c>
      <c r="VW221">
        <v>0</v>
      </c>
      <c r="VX221">
        <v>0</v>
      </c>
      <c r="WK221">
        <v>25.5</v>
      </c>
      <c r="WL221">
        <v>1</v>
      </c>
      <c r="WM221">
        <v>52</v>
      </c>
      <c r="WN221">
        <v>13</v>
      </c>
      <c r="WO221">
        <f>0.27+1.07+0.13+0.27</f>
        <v>1.7400000000000002</v>
      </c>
      <c r="WP221">
        <v>2</v>
      </c>
      <c r="WQ221">
        <v>35</v>
      </c>
      <c r="WR221">
        <v>3</v>
      </c>
      <c r="WS221">
        <f>0.13+0.08+0.24</f>
        <v>0.45</v>
      </c>
      <c r="WT221">
        <v>3</v>
      </c>
      <c r="WU221">
        <v>47</v>
      </c>
      <c r="WV221">
        <v>5</v>
      </c>
      <c r="WW221" s="20">
        <f>0.76+1.14+0.76+0.13+0.08</f>
        <v>2.87</v>
      </c>
      <c r="WX221">
        <v>3</v>
      </c>
      <c r="XO221">
        <v>0</v>
      </c>
      <c r="YZ221" s="16">
        <v>2.59</v>
      </c>
      <c r="ZA221" s="16">
        <v>1</v>
      </c>
      <c r="ZB221" s="16">
        <v>1</v>
      </c>
      <c r="ZC221" s="16"/>
      <c r="ZD221" s="16">
        <f>(2.11*4)+0.37</f>
        <v>8.8099999999999987</v>
      </c>
      <c r="ZE221" s="16"/>
      <c r="ZF221" s="16"/>
      <c r="ZG221" s="16"/>
      <c r="ZH221" s="16"/>
      <c r="ZI221" s="16"/>
      <c r="ZJ221" s="16"/>
      <c r="ZK221" s="16">
        <v>1.33</v>
      </c>
      <c r="ZL221" s="16">
        <v>0.89</v>
      </c>
      <c r="ZM221" s="16">
        <v>0</v>
      </c>
      <c r="ZN221" s="16">
        <v>0</v>
      </c>
      <c r="ZO221" s="16">
        <v>0</v>
      </c>
      <c r="ZP221" s="16">
        <v>0</v>
      </c>
      <c r="ZQ221" s="16">
        <v>0</v>
      </c>
      <c r="ZR221">
        <v>0</v>
      </c>
      <c r="ZS221" t="s">
        <v>200</v>
      </c>
      <c r="ZT221">
        <v>28.5</v>
      </c>
      <c r="ZU221" s="16">
        <v>69.400000000000006</v>
      </c>
      <c r="ZV221" s="16">
        <v>80.400000000000006</v>
      </c>
      <c r="ZW221" s="16">
        <v>9.8000000000000007</v>
      </c>
      <c r="ZX221">
        <v>96.02</v>
      </c>
      <c r="ZY221" s="17">
        <v>0</v>
      </c>
      <c r="ZZ221">
        <v>3.98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16.55</v>
      </c>
      <c r="AAK221">
        <v>26.49</v>
      </c>
      <c r="AAL221">
        <v>6.34</v>
      </c>
      <c r="AAM221">
        <v>0</v>
      </c>
      <c r="AAN221">
        <v>0</v>
      </c>
      <c r="AAO221">
        <v>0</v>
      </c>
      <c r="ABB221">
        <v>10.199999999999999</v>
      </c>
      <c r="ABC221">
        <v>1</v>
      </c>
      <c r="ABD221">
        <v>35</v>
      </c>
      <c r="ABE221">
        <v>1</v>
      </c>
      <c r="ABF221">
        <v>0.02</v>
      </c>
      <c r="ABG221">
        <v>3</v>
      </c>
      <c r="ABH221">
        <v>70</v>
      </c>
      <c r="ABI221">
        <v>2</v>
      </c>
      <c r="ABJ221">
        <v>0.27</v>
      </c>
      <c r="ABK221">
        <v>3</v>
      </c>
      <c r="ABN221" s="20"/>
      <c r="ACF221">
        <v>1</v>
      </c>
      <c r="ACG221">
        <v>50</v>
      </c>
      <c r="ACH221">
        <v>5</v>
      </c>
      <c r="ACI221">
        <f>1.52+0.5+0.19+0.12</f>
        <v>2.33</v>
      </c>
      <c r="ACJ221">
        <v>3</v>
      </c>
      <c r="ADQ221" s="16">
        <v>2.63</v>
      </c>
      <c r="ADR221" s="16">
        <v>1</v>
      </c>
      <c r="ADS221" s="16">
        <v>1</v>
      </c>
      <c r="ADT221" s="16"/>
      <c r="ADU221" s="16">
        <f>0.04+2.11+3.17+0.37+0.56</f>
        <v>6.25</v>
      </c>
      <c r="ADV221" s="16">
        <v>2</v>
      </c>
      <c r="ADW221" s="16"/>
      <c r="ADX221" s="16">
        <f>0.53+0.53+0.11+0.07+0.15</f>
        <v>1.3900000000000001</v>
      </c>
      <c r="ADY221" s="16"/>
      <c r="ADZ221" s="16"/>
      <c r="AEA221" s="16"/>
      <c r="AEB221" s="16">
        <v>3.33</v>
      </c>
      <c r="AEC221" s="16">
        <v>2.06</v>
      </c>
      <c r="AED221" s="16">
        <v>0</v>
      </c>
      <c r="AEE221" s="16">
        <v>0</v>
      </c>
      <c r="AEF221" s="16">
        <v>0</v>
      </c>
      <c r="AEG221" s="16">
        <v>0</v>
      </c>
      <c r="AEH221" s="16">
        <v>0</v>
      </c>
      <c r="AEI221">
        <v>0</v>
      </c>
      <c r="AEJ221" t="s">
        <v>201</v>
      </c>
      <c r="AEK221">
        <v>48.5</v>
      </c>
      <c r="AEL221" s="16">
        <v>89.7</v>
      </c>
      <c r="AEM221" s="16">
        <v>80.400000000000006</v>
      </c>
      <c r="AEN221" s="16">
        <v>9.3000000000000007</v>
      </c>
      <c r="AEO221">
        <v>100</v>
      </c>
      <c r="AEP221" s="17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1.65</v>
      </c>
      <c r="AFA221">
        <v>2.69</v>
      </c>
      <c r="AFB221">
        <v>54.55</v>
      </c>
      <c r="AFC221">
        <v>11.29</v>
      </c>
      <c r="AFD221">
        <v>0</v>
      </c>
      <c r="AFE221">
        <v>0</v>
      </c>
      <c r="AFF221">
        <v>0</v>
      </c>
      <c r="AFS221">
        <v>30.6</v>
      </c>
      <c r="AFT221">
        <v>1</v>
      </c>
      <c r="AFU221">
        <v>35</v>
      </c>
      <c r="AFV221">
        <v>14</v>
      </c>
      <c r="AFW221">
        <f>3.05+1.52+1.52+0.27+0.03+0.07</f>
        <v>6.46</v>
      </c>
      <c r="AFX221">
        <v>3</v>
      </c>
      <c r="AFY221">
        <v>47</v>
      </c>
      <c r="AFZ221">
        <v>6</v>
      </c>
      <c r="AGA221">
        <f>1.52+0.27*2</f>
        <v>2.06</v>
      </c>
      <c r="AGB221">
        <v>3</v>
      </c>
      <c r="AGE221" s="20"/>
      <c r="AGW221">
        <v>0</v>
      </c>
      <c r="AIH221" s="16">
        <v>3.34</v>
      </c>
      <c r="AII221" s="16">
        <v>1</v>
      </c>
      <c r="AIJ221" s="16">
        <v>1</v>
      </c>
      <c r="AIK221" s="16"/>
      <c r="AIL221" s="16">
        <f>4.23+1.14+2.11+4.23+1.37+0.02+2.03+0.75+0.37+0.13</f>
        <v>16.38</v>
      </c>
      <c r="AIM221" s="16"/>
      <c r="AIN221" s="16"/>
      <c r="AIO221" s="16"/>
      <c r="AIP221" s="16"/>
      <c r="AIQ221" s="16"/>
      <c r="AIR221" s="16"/>
      <c r="AIS221" s="16">
        <v>1.45</v>
      </c>
      <c r="AIT221" s="16">
        <v>1.46</v>
      </c>
      <c r="AIU221" s="16">
        <v>0</v>
      </c>
      <c r="AIV221" s="16">
        <v>0</v>
      </c>
      <c r="AIW221" s="16">
        <v>0</v>
      </c>
      <c r="AIX221" s="16">
        <v>0</v>
      </c>
      <c r="AIY221" s="16">
        <v>0</v>
      </c>
      <c r="AIZ221">
        <v>0</v>
      </c>
      <c r="AJA221" t="s">
        <v>202</v>
      </c>
      <c r="AJB221">
        <v>60</v>
      </c>
      <c r="AJC221" s="16">
        <v>55.4</v>
      </c>
      <c r="AJD221" s="16">
        <v>80.400000000000006</v>
      </c>
      <c r="AJE221" s="16">
        <v>29.6</v>
      </c>
      <c r="AJF221">
        <v>76.8</v>
      </c>
      <c r="AJG221" s="17">
        <v>0</v>
      </c>
      <c r="AJH221">
        <v>0</v>
      </c>
      <c r="AJI221">
        <v>0</v>
      </c>
      <c r="AJJ221">
        <v>0</v>
      </c>
      <c r="AJL221">
        <v>4.83</v>
      </c>
      <c r="AJM221">
        <v>1.71</v>
      </c>
      <c r="AJN221">
        <v>0</v>
      </c>
      <c r="AJO221">
        <v>0</v>
      </c>
      <c r="AJP221">
        <v>0</v>
      </c>
      <c r="AJQ221">
        <v>1.51</v>
      </c>
      <c r="AJR221">
        <v>1.85</v>
      </c>
      <c r="AJS221">
        <v>2.31</v>
      </c>
      <c r="AJT221">
        <v>19.079999999999998</v>
      </c>
      <c r="AJU221">
        <v>18.37</v>
      </c>
      <c r="AJV221">
        <v>0</v>
      </c>
      <c r="AJW221">
        <v>0</v>
      </c>
      <c r="AJX221">
        <v>0</v>
      </c>
      <c r="AKD221">
        <v>0</v>
      </c>
      <c r="AKJ221">
        <v>22.9</v>
      </c>
      <c r="AKK221">
        <v>1</v>
      </c>
      <c r="AKL221">
        <v>34</v>
      </c>
      <c r="AKM221">
        <v>1</v>
      </c>
      <c r="AKN221">
        <v>1.19</v>
      </c>
      <c r="AKO221">
        <v>1</v>
      </c>
      <c r="AKP221">
        <v>47</v>
      </c>
      <c r="AKQ221">
        <f>7+3+1+2+3+5+7+1+7+2+7+5+5</f>
        <v>55</v>
      </c>
      <c r="AKR221">
        <f>(0.3*7)+0.15+0.3+0.9+0.6+0.45+0.6+(0.3*3)+(0.3*5)+(0.3*7)+0.9+(0.3*7)+(0.4)+(0.3*7)+(0.3*5)+(0.3*5)</f>
        <v>18.100000000000001</v>
      </c>
      <c r="AKS221">
        <v>2</v>
      </c>
      <c r="AKV221" s="20"/>
      <c r="ALN221">
        <v>0</v>
      </c>
    </row>
    <row r="222" spans="1:1018" x14ac:dyDescent="0.2">
      <c r="A222" s="1" t="s">
        <v>735</v>
      </c>
      <c r="B222" s="12">
        <v>42905</v>
      </c>
      <c r="C222">
        <v>1</v>
      </c>
      <c r="D222" s="13">
        <v>41080</v>
      </c>
      <c r="E222" s="12">
        <v>33103</v>
      </c>
      <c r="F222" s="14">
        <f t="shared" si="62"/>
        <v>26.836413415468858</v>
      </c>
      <c r="G222" s="14">
        <f t="shared" si="63"/>
        <v>4.9965776865160851</v>
      </c>
      <c r="H222" s="15" t="s">
        <v>181</v>
      </c>
      <c r="I222" s="15" t="s">
        <v>194</v>
      </c>
      <c r="J222" s="21" t="s">
        <v>183</v>
      </c>
      <c r="K222" s="21">
        <v>4</v>
      </c>
      <c r="L222" s="19">
        <v>58</v>
      </c>
      <c r="M222">
        <v>1.56</v>
      </c>
      <c r="N222" s="16">
        <f t="shared" si="64"/>
        <v>23.83300460223537</v>
      </c>
      <c r="O222" s="19">
        <v>0</v>
      </c>
      <c r="P222" s="19">
        <v>0</v>
      </c>
      <c r="Q222" s="19">
        <v>0</v>
      </c>
      <c r="R222" s="26">
        <v>0</v>
      </c>
      <c r="S222" s="26">
        <v>0</v>
      </c>
      <c r="T222" s="26">
        <v>0</v>
      </c>
      <c r="U222" s="19">
        <v>0</v>
      </c>
      <c r="V222" s="19">
        <v>0</v>
      </c>
      <c r="W222" s="19">
        <v>0</v>
      </c>
      <c r="X222" s="19">
        <v>0</v>
      </c>
      <c r="Y222" s="19">
        <v>0</v>
      </c>
      <c r="Z222" s="19">
        <v>0</v>
      </c>
      <c r="AA222" s="19">
        <v>0</v>
      </c>
      <c r="AB222" s="19">
        <v>0</v>
      </c>
      <c r="AC222" s="19">
        <v>0</v>
      </c>
      <c r="AD222" s="19">
        <v>0</v>
      </c>
      <c r="AE222" s="19">
        <v>0</v>
      </c>
      <c r="AF222" s="19">
        <v>0</v>
      </c>
      <c r="AG222" s="19">
        <v>0</v>
      </c>
      <c r="AH222" s="19">
        <v>0</v>
      </c>
      <c r="AI222" s="19">
        <v>0</v>
      </c>
      <c r="AJ222" s="19">
        <v>0</v>
      </c>
      <c r="AK222" s="19">
        <v>0</v>
      </c>
      <c r="AL222" s="19">
        <v>0</v>
      </c>
      <c r="AM222" s="19">
        <v>0</v>
      </c>
      <c r="AN222" s="19">
        <v>0</v>
      </c>
      <c r="AO222" s="19">
        <v>0</v>
      </c>
      <c r="AP222" s="19">
        <v>0</v>
      </c>
      <c r="AQ222" s="19">
        <v>0</v>
      </c>
      <c r="AR222" s="19">
        <v>0</v>
      </c>
      <c r="AS222" s="19">
        <v>0</v>
      </c>
      <c r="AT222" s="19">
        <v>0</v>
      </c>
      <c r="AU222" s="19">
        <v>0</v>
      </c>
      <c r="AV222" s="19">
        <v>0</v>
      </c>
      <c r="AW222" s="19">
        <v>0</v>
      </c>
      <c r="AX222" s="19">
        <v>0</v>
      </c>
      <c r="AY222" s="19">
        <v>0</v>
      </c>
      <c r="AZ222" s="19">
        <v>0</v>
      </c>
      <c r="BA222" s="19">
        <v>0</v>
      </c>
      <c r="BB222" s="19">
        <v>0</v>
      </c>
      <c r="BC222" s="19">
        <v>0</v>
      </c>
      <c r="BD222" s="19">
        <v>0</v>
      </c>
      <c r="BE222" s="19">
        <v>0</v>
      </c>
      <c r="BF222" s="19">
        <v>1</v>
      </c>
      <c r="BG222" s="19">
        <v>0</v>
      </c>
      <c r="BH222" s="19">
        <v>0</v>
      </c>
      <c r="BI222" s="19">
        <v>0</v>
      </c>
      <c r="BJ222" s="19">
        <v>0</v>
      </c>
      <c r="BK222" s="19">
        <v>0</v>
      </c>
      <c r="BL222" s="19">
        <v>0</v>
      </c>
      <c r="BM222" s="19">
        <v>0</v>
      </c>
      <c r="BN222" s="19">
        <v>0</v>
      </c>
      <c r="BO222" s="19">
        <v>0</v>
      </c>
      <c r="BP222" s="19">
        <v>0</v>
      </c>
      <c r="BQ222" s="19">
        <v>0</v>
      </c>
      <c r="BR222" s="19">
        <v>1</v>
      </c>
      <c r="BS222" s="19">
        <v>1</v>
      </c>
      <c r="BT222" s="19">
        <v>4</v>
      </c>
      <c r="BU222" s="19">
        <v>5</v>
      </c>
      <c r="BV222" s="19">
        <v>2</v>
      </c>
      <c r="BW222" s="19">
        <v>3</v>
      </c>
      <c r="BX222" s="19">
        <v>1</v>
      </c>
      <c r="BY222" s="19">
        <v>3</v>
      </c>
      <c r="BZ222" s="19">
        <v>3</v>
      </c>
      <c r="CA222" s="19">
        <v>3</v>
      </c>
      <c r="CB222" s="19">
        <v>4</v>
      </c>
      <c r="CC222" s="19">
        <v>5</v>
      </c>
      <c r="CD222" s="19">
        <v>3</v>
      </c>
      <c r="CE222" s="19">
        <v>3</v>
      </c>
      <c r="CF222" s="19">
        <v>4</v>
      </c>
      <c r="CG222" s="19">
        <v>4</v>
      </c>
      <c r="CH222" s="19">
        <v>3</v>
      </c>
      <c r="CI222" s="19">
        <v>3</v>
      </c>
      <c r="CJ222" s="19">
        <v>4</v>
      </c>
      <c r="CK222" s="19">
        <v>9</v>
      </c>
      <c r="CL222" t="s">
        <v>197</v>
      </c>
      <c r="CM222">
        <v>49.5</v>
      </c>
      <c r="CN222" s="16">
        <v>90.1</v>
      </c>
      <c r="CO222" s="16">
        <v>80.400000000000006</v>
      </c>
      <c r="CP222" s="16">
        <v>9.9</v>
      </c>
      <c r="CQ222">
        <v>94.62</v>
      </c>
      <c r="CR222" s="17">
        <v>0</v>
      </c>
      <c r="CS222">
        <v>0.32</v>
      </c>
      <c r="CT222">
        <v>0</v>
      </c>
      <c r="CU222">
        <v>5.05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3.42</v>
      </c>
      <c r="DC222">
        <v>32.25</v>
      </c>
      <c r="DD222">
        <v>29.89</v>
      </c>
      <c r="DE222">
        <v>8.2799999999999994</v>
      </c>
      <c r="DF222">
        <v>0</v>
      </c>
      <c r="DG222">
        <v>12.9</v>
      </c>
      <c r="DH222">
        <v>1</v>
      </c>
      <c r="DI222">
        <v>7</v>
      </c>
      <c r="DK222">
        <v>5</v>
      </c>
      <c r="DL222">
        <v>3</v>
      </c>
      <c r="DN222">
        <v>3</v>
      </c>
      <c r="DO222">
        <v>7</v>
      </c>
      <c r="DQ222">
        <v>5</v>
      </c>
      <c r="DR222">
        <v>3</v>
      </c>
      <c r="DT222">
        <v>3</v>
      </c>
      <c r="DU222">
        <v>16.600000000000001</v>
      </c>
      <c r="DV222">
        <v>1</v>
      </c>
      <c r="DW222">
        <v>68</v>
      </c>
      <c r="DX222">
        <v>6</v>
      </c>
      <c r="DY222">
        <v>0.21</v>
      </c>
      <c r="DZ222">
        <v>1</v>
      </c>
      <c r="EA222">
        <v>35</v>
      </c>
      <c r="EB222">
        <v>3</v>
      </c>
      <c r="EC222">
        <v>0.51</v>
      </c>
      <c r="ED222">
        <v>3</v>
      </c>
      <c r="EE222">
        <v>47</v>
      </c>
      <c r="EF222">
        <v>22</v>
      </c>
      <c r="EG222" s="20">
        <f>(0.43*3)+(0.07*4)+0.22</f>
        <v>1.79</v>
      </c>
      <c r="EH222">
        <v>3</v>
      </c>
      <c r="EY222">
        <v>1</v>
      </c>
      <c r="EZ222">
        <v>60</v>
      </c>
      <c r="FA222">
        <v>17</v>
      </c>
      <c r="FB222">
        <f>0.22+0.04+0.11+0.08+0.08+0.05</f>
        <v>0.58000000000000007</v>
      </c>
      <c r="FC222">
        <v>3</v>
      </c>
      <c r="FD222">
        <v>60</v>
      </c>
      <c r="FE222">
        <v>12</v>
      </c>
      <c r="FF222">
        <f>0.87+0.43+0.15+0.07</f>
        <v>1.52</v>
      </c>
      <c r="FG222">
        <v>1</v>
      </c>
      <c r="GJ222" s="16">
        <v>2.4900000000000002</v>
      </c>
      <c r="GK222" s="16">
        <v>1</v>
      </c>
      <c r="GL222" s="16">
        <v>1</v>
      </c>
      <c r="GM222" s="16"/>
      <c r="GN222" s="16">
        <v>10.89</v>
      </c>
      <c r="GO222" s="16"/>
      <c r="GP222" s="16"/>
      <c r="GQ222" s="16"/>
      <c r="GR222" s="16"/>
      <c r="GS222" s="16"/>
      <c r="GT222" s="16"/>
      <c r="GU222" s="16">
        <v>4.17</v>
      </c>
      <c r="GV222" s="16">
        <v>3.7</v>
      </c>
      <c r="GW222" s="16">
        <v>0</v>
      </c>
      <c r="GX222" s="16">
        <v>0</v>
      </c>
      <c r="GY222" s="16">
        <v>0</v>
      </c>
      <c r="GZ222" s="16">
        <v>0</v>
      </c>
      <c r="HA222" s="16">
        <v>0</v>
      </c>
      <c r="HB222">
        <v>0</v>
      </c>
      <c r="HC222" t="s">
        <v>198</v>
      </c>
      <c r="HD222">
        <v>28.5</v>
      </c>
      <c r="HE222" s="16">
        <v>78.400000000000006</v>
      </c>
      <c r="HF222" s="16">
        <v>80.400000000000006</v>
      </c>
      <c r="HG222" s="16">
        <v>16</v>
      </c>
      <c r="HH222">
        <v>95.22</v>
      </c>
      <c r="HI222" s="17">
        <v>0</v>
      </c>
      <c r="HJ222">
        <v>4.2300000000000004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9.77</v>
      </c>
      <c r="HT222">
        <v>2.1800000000000002</v>
      </c>
      <c r="HU222">
        <v>46.81</v>
      </c>
      <c r="HV222">
        <v>10.57</v>
      </c>
      <c r="HW222">
        <v>0</v>
      </c>
      <c r="HX222">
        <v>0</v>
      </c>
      <c r="HY222">
        <v>0</v>
      </c>
      <c r="IL222">
        <v>0</v>
      </c>
      <c r="IM222">
        <v>0</v>
      </c>
      <c r="IX222" s="20"/>
      <c r="JP222">
        <v>0</v>
      </c>
      <c r="LA222" s="16">
        <v>4.2300000000000004</v>
      </c>
      <c r="LB222" s="16">
        <v>1</v>
      </c>
      <c r="LC222" s="16">
        <v>2</v>
      </c>
      <c r="LD222" s="16"/>
      <c r="LE222" s="16">
        <v>6.34</v>
      </c>
      <c r="LF222" s="16">
        <v>1</v>
      </c>
      <c r="LG222" s="16">
        <v>1</v>
      </c>
      <c r="LH222" s="16">
        <f>9.52+3.17+3.17+3.17+1.12+1.12+1.12</f>
        <v>22.390000000000004</v>
      </c>
      <c r="LI222" s="16"/>
      <c r="LJ222" s="16"/>
      <c r="LK222" s="16"/>
      <c r="LL222" s="16">
        <v>5.41</v>
      </c>
      <c r="LM222" s="16">
        <v>8.9600000000000009</v>
      </c>
      <c r="LN222" s="16">
        <v>0</v>
      </c>
      <c r="LO222" s="16">
        <v>0</v>
      </c>
      <c r="LP222" s="16">
        <v>0</v>
      </c>
      <c r="LQ222" s="16">
        <v>0</v>
      </c>
      <c r="LR222" s="16">
        <v>0</v>
      </c>
      <c r="LS222">
        <v>0</v>
      </c>
      <c r="LT222" t="s">
        <v>199</v>
      </c>
      <c r="LU222">
        <v>56.5</v>
      </c>
      <c r="LV222" s="16">
        <v>88.4</v>
      </c>
      <c r="LW222" s="16">
        <v>80.400000000000006</v>
      </c>
      <c r="LX222" s="16">
        <v>24.8</v>
      </c>
      <c r="LY222">
        <v>77.37</v>
      </c>
      <c r="LZ222" s="17">
        <v>0</v>
      </c>
      <c r="MA222">
        <v>7.99</v>
      </c>
      <c r="MB222">
        <v>0</v>
      </c>
      <c r="MC222">
        <v>14.63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8.0399999999999991</v>
      </c>
      <c r="MK222">
        <v>23.21</v>
      </c>
      <c r="ML222">
        <v>37.03</v>
      </c>
      <c r="MM222">
        <v>14.79</v>
      </c>
      <c r="MN222">
        <v>0</v>
      </c>
      <c r="MO222">
        <v>0</v>
      </c>
      <c r="MP222">
        <v>0</v>
      </c>
      <c r="NC222">
        <v>25.5</v>
      </c>
      <c r="ND222">
        <v>1</v>
      </c>
      <c r="NE222">
        <v>52</v>
      </c>
      <c r="NF222">
        <v>13</v>
      </c>
      <c r="NG222">
        <f>0.27+1.07+0.13+0.27</f>
        <v>1.7400000000000002</v>
      </c>
      <c r="NH222">
        <v>2</v>
      </c>
      <c r="NI222">
        <v>35</v>
      </c>
      <c r="NJ222">
        <v>3</v>
      </c>
      <c r="NK222">
        <f>0.13+0.08+0.24</f>
        <v>0.45</v>
      </c>
      <c r="NL222">
        <v>3</v>
      </c>
      <c r="NM222">
        <v>47</v>
      </c>
      <c r="NN222">
        <v>5</v>
      </c>
      <c r="NO222" s="20">
        <f>0.76+1.14+0.76+0.13+0.08</f>
        <v>2.87</v>
      </c>
      <c r="NP222">
        <v>3</v>
      </c>
      <c r="OG222">
        <v>0</v>
      </c>
      <c r="PR222" s="16">
        <v>2.59</v>
      </c>
      <c r="PS222" s="16">
        <v>1</v>
      </c>
      <c r="PT222" s="16">
        <v>1</v>
      </c>
      <c r="PU222" s="16"/>
      <c r="PV222" s="16">
        <f>(2.11*4)+0.37</f>
        <v>8.8099999999999987</v>
      </c>
      <c r="PW222" s="16"/>
      <c r="PX222" s="16"/>
      <c r="PY222" s="16"/>
      <c r="PZ222" s="16"/>
      <c r="QA222" s="16"/>
      <c r="QB222" s="16"/>
      <c r="QC222" s="16">
        <v>1.33</v>
      </c>
      <c r="QD222" s="16">
        <v>0.89</v>
      </c>
      <c r="QE222" s="16">
        <v>0</v>
      </c>
      <c r="QF222" s="16">
        <v>0</v>
      </c>
      <c r="QG222" s="16">
        <v>0</v>
      </c>
      <c r="QH222" s="16">
        <v>0</v>
      </c>
      <c r="QI222" s="16">
        <v>0</v>
      </c>
      <c r="QJ222">
        <v>0</v>
      </c>
      <c r="QK222" t="s">
        <v>200</v>
      </c>
      <c r="QL222">
        <v>28.5</v>
      </c>
      <c r="QM222" s="16">
        <v>69.400000000000006</v>
      </c>
      <c r="QN222" s="16">
        <v>80.400000000000006</v>
      </c>
      <c r="QO222" s="16">
        <v>9.8000000000000007</v>
      </c>
      <c r="QP222">
        <v>96.02</v>
      </c>
      <c r="QQ222" s="17">
        <v>0</v>
      </c>
      <c r="QR222">
        <v>3.98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16.55</v>
      </c>
      <c r="RC222">
        <v>26.49</v>
      </c>
      <c r="RD222">
        <v>6.34</v>
      </c>
      <c r="RE222">
        <v>0</v>
      </c>
      <c r="RF222">
        <v>0</v>
      </c>
      <c r="RG222">
        <v>0</v>
      </c>
      <c r="RT222">
        <v>10.199999999999999</v>
      </c>
      <c r="RU222">
        <v>1</v>
      </c>
      <c r="RV222">
        <v>35</v>
      </c>
      <c r="RW222">
        <v>1</v>
      </c>
      <c r="RX222">
        <v>0.02</v>
      </c>
      <c r="RY222">
        <v>3</v>
      </c>
      <c r="RZ222">
        <v>70</v>
      </c>
      <c r="SA222">
        <v>2</v>
      </c>
      <c r="SB222">
        <v>0.27</v>
      </c>
      <c r="SC222">
        <v>3</v>
      </c>
      <c r="SF222" s="20"/>
      <c r="SX222">
        <v>1</v>
      </c>
      <c r="SY222">
        <v>50</v>
      </c>
      <c r="SZ222">
        <v>5</v>
      </c>
      <c r="TA222">
        <f>1.52+0.5+0.19+0.12</f>
        <v>2.33</v>
      </c>
      <c r="TB222">
        <v>3</v>
      </c>
      <c r="UI222" s="16">
        <v>2.63</v>
      </c>
      <c r="UJ222" s="16">
        <v>1</v>
      </c>
      <c r="UK222" s="16">
        <v>1</v>
      </c>
      <c r="UL222" s="16"/>
      <c r="UM222" s="16">
        <f>0.04+2.11+3.17+0.37+0.56</f>
        <v>6.25</v>
      </c>
      <c r="UN222" s="16">
        <v>2</v>
      </c>
      <c r="UO222" s="16"/>
      <c r="UP222" s="16">
        <f>0.53+0.53+0.11+0.07+0.15</f>
        <v>1.3900000000000001</v>
      </c>
      <c r="UQ222" s="16"/>
      <c r="UR222" s="16"/>
      <c r="US222" s="16"/>
      <c r="UT222" s="16">
        <v>3.33</v>
      </c>
      <c r="UU222" s="16">
        <v>2.06</v>
      </c>
      <c r="UV222" s="16">
        <v>0</v>
      </c>
      <c r="UW222" s="16">
        <v>0</v>
      </c>
      <c r="UX222" s="16">
        <v>0</v>
      </c>
      <c r="UY222" s="16">
        <v>0</v>
      </c>
      <c r="UZ222" s="16">
        <v>0</v>
      </c>
      <c r="VA222">
        <v>0</v>
      </c>
      <c r="VB222" t="s">
        <v>201</v>
      </c>
      <c r="VC222">
        <v>48.5</v>
      </c>
      <c r="VD222" s="16">
        <v>89.7</v>
      </c>
      <c r="VE222" s="16">
        <v>80.400000000000006</v>
      </c>
      <c r="VF222" s="16">
        <v>9.3000000000000007</v>
      </c>
      <c r="VG222">
        <v>100</v>
      </c>
      <c r="VH222" s="17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1.65</v>
      </c>
      <c r="VS222">
        <v>2.69</v>
      </c>
      <c r="VT222">
        <v>54.55</v>
      </c>
      <c r="VU222">
        <v>11.29</v>
      </c>
      <c r="VV222">
        <v>0</v>
      </c>
      <c r="VW222">
        <v>0</v>
      </c>
      <c r="VX222">
        <v>0</v>
      </c>
      <c r="WK222">
        <v>30.6</v>
      </c>
      <c r="WL222">
        <v>1</v>
      </c>
      <c r="WM222">
        <v>35</v>
      </c>
      <c r="WN222">
        <v>14</v>
      </c>
      <c r="WO222">
        <f>3.05+1.52+1.52+0.27+0.03+0.07</f>
        <v>6.46</v>
      </c>
      <c r="WP222">
        <v>3</v>
      </c>
      <c r="WQ222">
        <v>47</v>
      </c>
      <c r="WR222">
        <v>6</v>
      </c>
      <c r="WS222">
        <f>1.52+0.27*2</f>
        <v>2.06</v>
      </c>
      <c r="WT222">
        <v>3</v>
      </c>
      <c r="WW222" s="20"/>
      <c r="XO222">
        <v>0</v>
      </c>
      <c r="YZ222" s="16">
        <v>3.34</v>
      </c>
      <c r="ZA222" s="16">
        <v>1</v>
      </c>
      <c r="ZB222" s="16">
        <v>1</v>
      </c>
      <c r="ZC222" s="16"/>
      <c r="ZD222" s="16">
        <f>4.23+1.14+2.11+4.23+1.37+0.02+2.03+0.75+0.37+0.13</f>
        <v>16.38</v>
      </c>
      <c r="ZE222" s="16"/>
      <c r="ZF222" s="16"/>
      <c r="ZG222" s="16"/>
      <c r="ZH222" s="16"/>
      <c r="ZI222" s="16"/>
      <c r="ZJ222" s="16"/>
      <c r="ZK222" s="16">
        <v>1.45</v>
      </c>
      <c r="ZL222" s="16">
        <v>1.46</v>
      </c>
      <c r="ZM222" s="16">
        <v>0</v>
      </c>
      <c r="ZN222" s="16">
        <v>0</v>
      </c>
      <c r="ZO222" s="16">
        <v>0</v>
      </c>
      <c r="ZP222" s="16">
        <v>0</v>
      </c>
      <c r="ZQ222" s="16">
        <v>0</v>
      </c>
      <c r="ZR222">
        <v>0</v>
      </c>
      <c r="ZS222" t="s">
        <v>202</v>
      </c>
      <c r="ZT222">
        <v>60</v>
      </c>
      <c r="ZU222" s="16">
        <v>55.4</v>
      </c>
      <c r="ZV222" s="16">
        <v>80.400000000000006</v>
      </c>
      <c r="ZW222" s="16">
        <v>29.6</v>
      </c>
      <c r="ZX222">
        <v>76.8</v>
      </c>
      <c r="ZY222" s="17">
        <v>0</v>
      </c>
      <c r="ZZ222">
        <v>0</v>
      </c>
      <c r="AAA222">
        <v>0</v>
      </c>
      <c r="AAB222">
        <v>0</v>
      </c>
      <c r="AAD222">
        <v>4.83</v>
      </c>
      <c r="AAE222">
        <v>1.71</v>
      </c>
      <c r="AAF222">
        <v>0</v>
      </c>
      <c r="AAG222">
        <v>0</v>
      </c>
      <c r="AAH222">
        <v>0</v>
      </c>
      <c r="AAI222">
        <v>1.51</v>
      </c>
      <c r="AAJ222">
        <v>1.85</v>
      </c>
      <c r="AAK222">
        <v>2.31</v>
      </c>
      <c r="AAL222">
        <v>19.079999999999998</v>
      </c>
      <c r="AAM222">
        <v>18.37</v>
      </c>
      <c r="AAN222">
        <v>0</v>
      </c>
      <c r="AAO222">
        <v>0</v>
      </c>
      <c r="AAP222">
        <v>0</v>
      </c>
      <c r="AAV222">
        <v>0</v>
      </c>
      <c r="ABB222">
        <v>22.9</v>
      </c>
      <c r="ABC222">
        <v>1</v>
      </c>
      <c r="ABD222">
        <v>34</v>
      </c>
      <c r="ABE222">
        <v>1</v>
      </c>
      <c r="ABF222">
        <v>1.19</v>
      </c>
      <c r="ABG222">
        <v>1</v>
      </c>
      <c r="ABH222">
        <v>47</v>
      </c>
      <c r="ABI222">
        <f>7+3+1+2+3+5+7+1+7+2+7+5+5</f>
        <v>55</v>
      </c>
      <c r="ABJ222">
        <f>(0.3*7)+0.15+0.3+0.9+0.6+0.45+0.6+(0.3*3)+(0.3*5)+(0.3*7)+0.9+(0.3*7)+(0.4)+(0.3*7)+(0.3*5)+(0.3*5)</f>
        <v>18.100000000000001</v>
      </c>
      <c r="ABK222">
        <v>2</v>
      </c>
      <c r="ABN222" s="20"/>
      <c r="ACF222">
        <v>0</v>
      </c>
      <c r="ADQ222" s="16">
        <v>0.06</v>
      </c>
      <c r="ADR222" s="16">
        <v>1</v>
      </c>
      <c r="ADS222" s="16">
        <v>1</v>
      </c>
      <c r="ADT222" s="16"/>
      <c r="ADU222" s="16">
        <v>0.1</v>
      </c>
      <c r="ADV222" s="16"/>
      <c r="ADW222" s="16"/>
      <c r="ADX222" s="16"/>
      <c r="ADY222" s="16"/>
      <c r="ADZ222" s="16"/>
      <c r="AEA222" s="16"/>
      <c r="AEB222" s="16">
        <v>5.42</v>
      </c>
      <c r="AEC222" s="16">
        <v>8.83</v>
      </c>
      <c r="AED222" s="16">
        <v>0</v>
      </c>
      <c r="AEE222" s="16">
        <v>0</v>
      </c>
      <c r="AEF222" s="16">
        <v>1.99</v>
      </c>
      <c r="AEG222" s="16">
        <v>0</v>
      </c>
      <c r="AEH222" s="16">
        <v>0</v>
      </c>
      <c r="AEI222">
        <v>2</v>
      </c>
      <c r="AEJ222" t="s">
        <v>727</v>
      </c>
      <c r="AEK222">
        <v>47.5</v>
      </c>
      <c r="AEL222" s="16">
        <v>58.6</v>
      </c>
      <c r="AEM222" s="16">
        <v>80.400000000000006</v>
      </c>
      <c r="AEN222" s="16">
        <v>19.5</v>
      </c>
      <c r="AEO222">
        <v>76.23</v>
      </c>
      <c r="AEP222" s="17">
        <v>0</v>
      </c>
      <c r="AEQ222">
        <v>7.5</v>
      </c>
      <c r="AER222">
        <v>0</v>
      </c>
      <c r="AES222">
        <v>16.260000000000002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22.34</v>
      </c>
      <c r="AFB222">
        <v>19.22</v>
      </c>
      <c r="AFC222">
        <v>9.8000000000000007</v>
      </c>
      <c r="AFD222">
        <v>0.28000000000000003</v>
      </c>
      <c r="AFE222">
        <v>0</v>
      </c>
      <c r="AFS222">
        <v>24.1</v>
      </c>
      <c r="AFT222">
        <v>1</v>
      </c>
      <c r="AFU222">
        <v>47</v>
      </c>
      <c r="AFV222">
        <v>6</v>
      </c>
      <c r="AFW222">
        <f>2.28+0.81</f>
        <v>3.09</v>
      </c>
      <c r="AFX222">
        <v>3</v>
      </c>
      <c r="AFY222">
        <v>23</v>
      </c>
      <c r="AFZ222">
        <v>2</v>
      </c>
      <c r="AGA222">
        <v>0.54</v>
      </c>
      <c r="AGB222">
        <v>3</v>
      </c>
      <c r="AGE222" s="20"/>
      <c r="AGW222">
        <v>0</v>
      </c>
      <c r="AIH222" s="16">
        <v>0</v>
      </c>
      <c r="AII222" s="16">
        <v>0</v>
      </c>
      <c r="AIJ222" s="16"/>
      <c r="AIK222" s="16"/>
      <c r="AIL222" s="16"/>
      <c r="AIM222" s="16"/>
      <c r="AIN222" s="16"/>
      <c r="AIO222" s="16"/>
      <c r="AIP222" s="16"/>
      <c r="AIQ222" s="16"/>
      <c r="AIR222" s="16"/>
      <c r="AIS222" s="16">
        <v>2.97</v>
      </c>
      <c r="AIT222" s="16">
        <v>2.96</v>
      </c>
      <c r="AIU222" s="16">
        <v>0</v>
      </c>
      <c r="AIV222" s="16">
        <v>0</v>
      </c>
      <c r="AIW222" s="16">
        <v>0</v>
      </c>
      <c r="AIX222" s="16">
        <v>0</v>
      </c>
      <c r="AIY222" s="16">
        <v>0</v>
      </c>
      <c r="AIZ222">
        <v>0</v>
      </c>
      <c r="AJA222" t="s">
        <v>213</v>
      </c>
      <c r="AJB222">
        <v>49.5</v>
      </c>
      <c r="AJC222" s="16">
        <v>78.900000000000006</v>
      </c>
      <c r="AJD222" s="16">
        <v>80.400000000000006</v>
      </c>
      <c r="AJE222" s="16">
        <v>31.1</v>
      </c>
      <c r="AJF222">
        <v>22.13</v>
      </c>
      <c r="AJG222" s="17">
        <v>0</v>
      </c>
      <c r="AJH222">
        <v>0</v>
      </c>
      <c r="AJI222">
        <v>0</v>
      </c>
      <c r="AJJ222">
        <v>3.8</v>
      </c>
      <c r="AJK222">
        <v>0</v>
      </c>
      <c r="AJL222">
        <v>74.069999999999993</v>
      </c>
      <c r="AJM222">
        <v>28.31</v>
      </c>
      <c r="AJN222">
        <v>0</v>
      </c>
      <c r="AJO222">
        <v>0</v>
      </c>
      <c r="AJP222">
        <v>0</v>
      </c>
      <c r="AJQ222">
        <v>8.07</v>
      </c>
      <c r="AJR222">
        <v>1.71</v>
      </c>
      <c r="AJS222">
        <v>33.85</v>
      </c>
      <c r="AJT222">
        <v>17.12</v>
      </c>
      <c r="AJU222">
        <v>0</v>
      </c>
      <c r="AJV222">
        <v>0</v>
      </c>
      <c r="AJW222">
        <v>0</v>
      </c>
      <c r="AKJ222">
        <v>3.4</v>
      </c>
      <c r="AKK222">
        <v>1</v>
      </c>
      <c r="AKL222">
        <v>34</v>
      </c>
      <c r="AKM222">
        <v>1</v>
      </c>
      <c r="AKN222">
        <v>1.6</v>
      </c>
      <c r="AKO222">
        <v>1</v>
      </c>
      <c r="AKP222">
        <v>68</v>
      </c>
      <c r="AKQ222">
        <v>2</v>
      </c>
      <c r="AKR222">
        <f>0.65+0.11</f>
        <v>0.76</v>
      </c>
      <c r="AKS222">
        <v>1</v>
      </c>
      <c r="AKT222">
        <v>52</v>
      </c>
      <c r="AKU222">
        <v>2</v>
      </c>
      <c r="AKV222" s="20">
        <f>1.33+0.34</f>
        <v>1.6700000000000002</v>
      </c>
      <c r="AKW222">
        <v>2</v>
      </c>
      <c r="ALN222">
        <v>0</v>
      </c>
    </row>
    <row r="223" spans="1:1018" x14ac:dyDescent="0.2">
      <c r="A223" s="1" t="s">
        <v>736</v>
      </c>
      <c r="B223" s="12">
        <v>42905</v>
      </c>
      <c r="C223">
        <v>2</v>
      </c>
      <c r="D223" s="13">
        <v>42807</v>
      </c>
      <c r="E223" s="12">
        <v>27614</v>
      </c>
      <c r="F223" s="14">
        <f t="shared" si="62"/>
        <v>41.864476386036962</v>
      </c>
      <c r="G223" s="14">
        <f t="shared" si="63"/>
        <v>0.26830937713894593</v>
      </c>
      <c r="H223" s="15" t="s">
        <v>181</v>
      </c>
      <c r="I223" s="15" t="s">
        <v>194</v>
      </c>
      <c r="J223" s="21" t="s">
        <v>183</v>
      </c>
      <c r="K223" s="21">
        <v>4</v>
      </c>
      <c r="L223" s="19">
        <v>93</v>
      </c>
      <c r="M223">
        <v>1.8</v>
      </c>
      <c r="N223" s="16">
        <f t="shared" si="64"/>
        <v>28.703703703703702</v>
      </c>
      <c r="O223" s="19">
        <v>1</v>
      </c>
      <c r="P223" s="19">
        <v>0</v>
      </c>
      <c r="Q223" s="19">
        <v>0</v>
      </c>
      <c r="R223" s="26">
        <v>0</v>
      </c>
      <c r="S223" s="26">
        <v>0</v>
      </c>
      <c r="T223" s="26">
        <v>0</v>
      </c>
      <c r="U223" s="19">
        <v>0</v>
      </c>
      <c r="V223" s="19">
        <v>0</v>
      </c>
      <c r="W223" s="19">
        <v>0</v>
      </c>
      <c r="X223" s="19">
        <v>0</v>
      </c>
      <c r="Y223" s="19">
        <v>0</v>
      </c>
      <c r="Z223" s="19">
        <v>0</v>
      </c>
      <c r="AA223" s="19">
        <v>0</v>
      </c>
      <c r="AB223" s="19">
        <v>0</v>
      </c>
      <c r="AC223" s="19">
        <v>1</v>
      </c>
      <c r="AD223" s="19">
        <v>15</v>
      </c>
      <c r="AE223" s="19">
        <v>0</v>
      </c>
      <c r="AF223" s="19">
        <v>0</v>
      </c>
      <c r="AG223" s="19">
        <v>0</v>
      </c>
      <c r="AH223" s="19">
        <v>0</v>
      </c>
      <c r="AI223" s="19">
        <v>0</v>
      </c>
      <c r="AJ223" s="19">
        <v>0</v>
      </c>
      <c r="AK223" s="19">
        <v>0</v>
      </c>
      <c r="AL223" s="19">
        <v>0</v>
      </c>
      <c r="AM223" s="19">
        <v>0</v>
      </c>
      <c r="AN223" s="19">
        <v>0</v>
      </c>
      <c r="AO223" s="19">
        <v>0</v>
      </c>
      <c r="AP223" s="19">
        <v>0</v>
      </c>
      <c r="AQ223" s="19">
        <v>0</v>
      </c>
      <c r="AR223" s="19">
        <v>0</v>
      </c>
      <c r="AS223" s="19">
        <v>1</v>
      </c>
      <c r="AT223" s="19">
        <v>1</v>
      </c>
      <c r="AU223" s="19">
        <v>1</v>
      </c>
      <c r="AV223" s="19">
        <v>3</v>
      </c>
      <c r="AW223" s="19">
        <v>0</v>
      </c>
      <c r="AX223" s="19">
        <v>0</v>
      </c>
      <c r="AY223" s="19">
        <v>0</v>
      </c>
      <c r="AZ223" s="19">
        <v>0</v>
      </c>
      <c r="BA223" s="19">
        <v>0</v>
      </c>
      <c r="BB223" s="19">
        <v>0</v>
      </c>
      <c r="BC223" s="19">
        <v>0</v>
      </c>
      <c r="BD223" s="19">
        <v>0</v>
      </c>
      <c r="BE223" s="19">
        <v>0</v>
      </c>
      <c r="BF223" s="19">
        <v>0</v>
      </c>
      <c r="BG223" s="19">
        <v>0</v>
      </c>
      <c r="BH223" s="19">
        <v>0</v>
      </c>
      <c r="BI223" s="19">
        <v>0</v>
      </c>
      <c r="BJ223" s="19">
        <v>0</v>
      </c>
      <c r="BK223" s="19">
        <v>0</v>
      </c>
      <c r="BL223" s="19">
        <v>0</v>
      </c>
      <c r="BM223" s="19">
        <v>0</v>
      </c>
      <c r="BN223" s="19">
        <v>0</v>
      </c>
      <c r="BO223" s="19">
        <v>0</v>
      </c>
      <c r="BP223" s="19">
        <v>0</v>
      </c>
      <c r="BQ223" s="19">
        <v>0</v>
      </c>
      <c r="BR223" s="19">
        <v>2</v>
      </c>
      <c r="BS223" s="19">
        <v>3</v>
      </c>
      <c r="BT223" s="19">
        <v>4</v>
      </c>
      <c r="BU223" s="19">
        <v>4</v>
      </c>
      <c r="BV223" s="19">
        <v>2</v>
      </c>
      <c r="BW223" s="19">
        <v>3</v>
      </c>
      <c r="BX223" s="19">
        <v>2</v>
      </c>
      <c r="BY223" s="19">
        <v>2</v>
      </c>
      <c r="BZ223" s="19">
        <v>2</v>
      </c>
      <c r="CA223" s="19">
        <v>3</v>
      </c>
      <c r="CB223" s="19">
        <v>2</v>
      </c>
      <c r="CC223" s="19">
        <v>5</v>
      </c>
      <c r="CD223" s="19">
        <v>3</v>
      </c>
      <c r="CE223" s="19"/>
      <c r="CF223" s="19">
        <v>4</v>
      </c>
      <c r="CG223" s="19">
        <v>4</v>
      </c>
      <c r="CH223" s="19">
        <v>4</v>
      </c>
      <c r="CI223" s="19">
        <v>4</v>
      </c>
      <c r="CJ223" s="19">
        <v>3</v>
      </c>
      <c r="CK223" s="19">
        <v>7</v>
      </c>
      <c r="CL223" t="s">
        <v>198</v>
      </c>
      <c r="CM223">
        <v>28.5</v>
      </c>
      <c r="CN223" s="16">
        <v>78.400000000000006</v>
      </c>
      <c r="CO223" s="16">
        <v>80.400000000000006</v>
      </c>
      <c r="CP223" s="16">
        <v>16</v>
      </c>
      <c r="CQ223">
        <v>95.22</v>
      </c>
      <c r="CR223" s="17">
        <v>0</v>
      </c>
      <c r="CS223">
        <v>4.2300000000000004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9.77</v>
      </c>
      <c r="DC223">
        <v>2.1800000000000002</v>
      </c>
      <c r="DD223">
        <v>46.81</v>
      </c>
      <c r="DE223">
        <v>10.57</v>
      </c>
      <c r="DF223">
        <v>0</v>
      </c>
      <c r="DG223">
        <v>0</v>
      </c>
      <c r="DH223">
        <v>0</v>
      </c>
      <c r="DU223">
        <v>0</v>
      </c>
      <c r="DV223">
        <v>0</v>
      </c>
      <c r="EG223" s="20"/>
      <c r="EY223">
        <v>0</v>
      </c>
      <c r="GJ223" s="16">
        <v>4.2300000000000004</v>
      </c>
      <c r="GK223" s="16">
        <v>1</v>
      </c>
      <c r="GL223" s="16">
        <v>2</v>
      </c>
      <c r="GM223" s="16"/>
      <c r="GN223" s="16">
        <v>6.34</v>
      </c>
      <c r="GO223" s="16">
        <v>1</v>
      </c>
      <c r="GP223" s="16">
        <v>1</v>
      </c>
      <c r="GQ223" s="16">
        <f>9.52+3.17+3.17+3.17+1.12+1.12+1.12</f>
        <v>22.390000000000004</v>
      </c>
      <c r="GR223" s="16"/>
      <c r="GS223" s="16"/>
      <c r="GT223" s="16"/>
      <c r="GU223" s="16">
        <v>5.41</v>
      </c>
      <c r="GV223" s="16">
        <v>8.9600000000000009</v>
      </c>
      <c r="GW223" s="16">
        <v>0</v>
      </c>
      <c r="GX223" s="16">
        <v>0</v>
      </c>
      <c r="GY223" s="16">
        <v>0</v>
      </c>
      <c r="GZ223" s="16">
        <v>0</v>
      </c>
      <c r="HA223" s="16">
        <v>0</v>
      </c>
      <c r="HB223">
        <v>0</v>
      </c>
      <c r="HC223" t="s">
        <v>199</v>
      </c>
      <c r="HD223">
        <v>56.5</v>
      </c>
      <c r="HE223" s="16">
        <v>88.4</v>
      </c>
      <c r="HF223" s="16">
        <v>80.400000000000006</v>
      </c>
      <c r="HG223" s="16">
        <v>24.8</v>
      </c>
      <c r="HH223">
        <v>77.37</v>
      </c>
      <c r="HI223" s="17">
        <v>0</v>
      </c>
      <c r="HJ223">
        <v>7.99</v>
      </c>
      <c r="HK223">
        <v>0</v>
      </c>
      <c r="HL223">
        <v>14.63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8.0399999999999991</v>
      </c>
      <c r="HT223">
        <v>23.21</v>
      </c>
      <c r="HU223">
        <v>37.03</v>
      </c>
      <c r="HV223">
        <v>14.79</v>
      </c>
      <c r="HW223">
        <v>0</v>
      </c>
      <c r="HX223">
        <v>0</v>
      </c>
      <c r="HY223">
        <v>0</v>
      </c>
      <c r="IL223">
        <v>25.5</v>
      </c>
      <c r="IM223">
        <v>1</v>
      </c>
      <c r="IN223">
        <v>52</v>
      </c>
      <c r="IO223">
        <v>13</v>
      </c>
      <c r="IP223">
        <f>0.27+1.07+0.13+0.27</f>
        <v>1.7400000000000002</v>
      </c>
      <c r="IQ223">
        <v>2</v>
      </c>
      <c r="IR223">
        <v>35</v>
      </c>
      <c r="IS223">
        <v>3</v>
      </c>
      <c r="IT223">
        <f>0.13+0.08+0.24</f>
        <v>0.45</v>
      </c>
      <c r="IU223">
        <v>3</v>
      </c>
      <c r="IV223">
        <v>47</v>
      </c>
      <c r="IW223">
        <v>5</v>
      </c>
      <c r="IX223" s="20">
        <f>0.76+1.14+0.76+0.13+0.08</f>
        <v>2.87</v>
      </c>
      <c r="IY223">
        <v>3</v>
      </c>
      <c r="JP223">
        <v>0</v>
      </c>
      <c r="LA223" s="16">
        <v>2.59</v>
      </c>
      <c r="LB223" s="16">
        <v>1</v>
      </c>
      <c r="LC223" s="16">
        <v>1</v>
      </c>
      <c r="LD223" s="16"/>
      <c r="LE223" s="16">
        <f>(2.11*4)+0.37</f>
        <v>8.8099999999999987</v>
      </c>
      <c r="LF223" s="16"/>
      <c r="LG223" s="16"/>
      <c r="LH223" s="16"/>
      <c r="LI223" s="16"/>
      <c r="LJ223" s="16"/>
      <c r="LK223" s="16"/>
      <c r="LL223" s="16">
        <v>1.33</v>
      </c>
      <c r="LM223" s="16">
        <v>0.89</v>
      </c>
      <c r="LN223" s="16">
        <v>0</v>
      </c>
      <c r="LO223" s="16">
        <v>0</v>
      </c>
      <c r="LP223" s="16">
        <v>0</v>
      </c>
      <c r="LQ223" s="16">
        <v>0</v>
      </c>
      <c r="LR223" s="16">
        <v>0</v>
      </c>
      <c r="LS223">
        <v>0</v>
      </c>
      <c r="LT223" t="s">
        <v>201</v>
      </c>
      <c r="LU223">
        <v>48.5</v>
      </c>
      <c r="LV223" s="16">
        <v>89.7</v>
      </c>
      <c r="LW223" s="16">
        <v>80.400000000000006</v>
      </c>
      <c r="LX223" s="16">
        <v>9.3000000000000007</v>
      </c>
      <c r="LY223">
        <v>100</v>
      </c>
      <c r="LZ223" s="17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1.65</v>
      </c>
      <c r="MK223">
        <v>2.69</v>
      </c>
      <c r="ML223">
        <v>54.55</v>
      </c>
      <c r="MM223">
        <v>11.29</v>
      </c>
      <c r="MN223">
        <v>0</v>
      </c>
      <c r="MO223">
        <v>0</v>
      </c>
      <c r="MP223">
        <v>0</v>
      </c>
      <c r="NC223">
        <v>30.6</v>
      </c>
      <c r="ND223">
        <v>1</v>
      </c>
      <c r="NE223">
        <v>35</v>
      </c>
      <c r="NF223">
        <v>14</v>
      </c>
      <c r="NG223">
        <f>3.05+1.52+1.52+0.27+0.03+0.07</f>
        <v>6.46</v>
      </c>
      <c r="NH223">
        <v>3</v>
      </c>
      <c r="NI223">
        <v>47</v>
      </c>
      <c r="NJ223">
        <v>6</v>
      </c>
      <c r="NK223">
        <f>1.52+0.27*2</f>
        <v>2.06</v>
      </c>
      <c r="NL223">
        <v>3</v>
      </c>
      <c r="NO223" s="20"/>
      <c r="OG223">
        <v>0</v>
      </c>
      <c r="PR223" s="16">
        <v>3.34</v>
      </c>
      <c r="PS223" s="16">
        <v>1</v>
      </c>
      <c r="PT223" s="16">
        <v>1</v>
      </c>
      <c r="PU223" s="16"/>
      <c r="PV223" s="16">
        <f>4.23+1.14+2.11+4.23+1.37+0.02+2.03+0.75+0.37+0.13</f>
        <v>16.38</v>
      </c>
      <c r="PW223" s="16"/>
      <c r="PX223" s="16"/>
      <c r="PY223" s="16"/>
      <c r="PZ223" s="16"/>
      <c r="QA223" s="16"/>
      <c r="QB223" s="16"/>
      <c r="QC223" s="16">
        <v>1.45</v>
      </c>
      <c r="QD223" s="16">
        <v>1.46</v>
      </c>
      <c r="QE223" s="16">
        <v>0</v>
      </c>
      <c r="QF223" s="16">
        <v>0</v>
      </c>
      <c r="QG223" s="16">
        <v>0</v>
      </c>
      <c r="QH223" s="16">
        <v>0</v>
      </c>
      <c r="QI223" s="16">
        <v>0</v>
      </c>
      <c r="QJ223">
        <v>0</v>
      </c>
      <c r="QK223" t="s">
        <v>213</v>
      </c>
      <c r="QL223">
        <v>49.5</v>
      </c>
      <c r="QM223" s="16">
        <v>78.900000000000006</v>
      </c>
      <c r="QN223" s="16">
        <v>80.400000000000006</v>
      </c>
      <c r="QO223" s="16">
        <v>31.1</v>
      </c>
      <c r="QP223">
        <v>22.13</v>
      </c>
      <c r="QQ223" s="17">
        <v>0</v>
      </c>
      <c r="QR223">
        <v>0</v>
      </c>
      <c r="QS223">
        <v>0</v>
      </c>
      <c r="QT223">
        <v>3.8</v>
      </c>
      <c r="QU223">
        <v>0</v>
      </c>
      <c r="QV223">
        <v>74.069999999999993</v>
      </c>
      <c r="QW223">
        <v>28.31</v>
      </c>
      <c r="QX223">
        <v>0</v>
      </c>
      <c r="QY223">
        <v>0</v>
      </c>
      <c r="QZ223">
        <v>0</v>
      </c>
      <c r="RA223">
        <v>8.07</v>
      </c>
      <c r="RB223">
        <v>1.71</v>
      </c>
      <c r="RC223">
        <v>33.85</v>
      </c>
      <c r="RD223">
        <v>17.12</v>
      </c>
      <c r="RE223">
        <v>0</v>
      </c>
      <c r="RF223">
        <v>0</v>
      </c>
      <c r="RG223">
        <v>0</v>
      </c>
      <c r="RT223">
        <v>3.4</v>
      </c>
      <c r="RU223">
        <v>1</v>
      </c>
      <c r="RV223">
        <v>34</v>
      </c>
      <c r="RW223">
        <v>1</v>
      </c>
      <c r="RX223">
        <v>1.6</v>
      </c>
      <c r="RY223">
        <v>1</v>
      </c>
      <c r="RZ223">
        <v>68</v>
      </c>
      <c r="SA223">
        <v>2</v>
      </c>
      <c r="SB223">
        <f>0.65+0.11</f>
        <v>0.76</v>
      </c>
      <c r="SC223">
        <v>1</v>
      </c>
      <c r="SD223">
        <v>52</v>
      </c>
      <c r="SE223">
        <v>2</v>
      </c>
      <c r="SF223" s="20">
        <f>1.33+0.34</f>
        <v>1.6700000000000002</v>
      </c>
      <c r="SG223">
        <v>2</v>
      </c>
      <c r="SX223">
        <v>0</v>
      </c>
      <c r="UI223" s="16">
        <v>0</v>
      </c>
      <c r="UJ223" s="16">
        <v>0</v>
      </c>
      <c r="UK223" s="16"/>
      <c r="UL223" s="16"/>
      <c r="UM223" s="16"/>
      <c r="UN223" s="16"/>
      <c r="UO223" s="16"/>
      <c r="UP223" s="16"/>
      <c r="UQ223" s="16"/>
      <c r="UR223" s="16"/>
      <c r="US223" s="16"/>
      <c r="UT223" s="16">
        <v>5.13</v>
      </c>
      <c r="UU223" s="16">
        <v>6.28</v>
      </c>
      <c r="UV223" s="16">
        <v>0</v>
      </c>
      <c r="UW223" s="16">
        <v>0</v>
      </c>
      <c r="UX223" s="16">
        <v>6.72</v>
      </c>
      <c r="UY223" s="16">
        <v>0</v>
      </c>
      <c r="UZ223" s="16">
        <v>2.54</v>
      </c>
      <c r="VA223">
        <v>2</v>
      </c>
      <c r="VE223" s="15"/>
      <c r="VF223" s="15"/>
      <c r="VM223" s="15"/>
      <c r="VN223" s="15"/>
      <c r="VU223" s="15"/>
      <c r="VV223" s="15"/>
      <c r="WC223" s="15"/>
      <c r="WD223" s="15"/>
      <c r="WK223" s="15"/>
      <c r="WL223" s="15"/>
      <c r="WS223" s="15"/>
      <c r="WT223" s="15"/>
      <c r="XA223" s="15"/>
      <c r="XB223" s="15"/>
      <c r="XI223" s="15"/>
      <c r="XJ223" s="15"/>
      <c r="XQ223" s="15"/>
      <c r="XR223" s="15"/>
      <c r="XY223" s="15"/>
      <c r="XZ223" s="15"/>
      <c r="YG223" s="15"/>
      <c r="YH223" s="15"/>
      <c r="YO223" s="15"/>
      <c r="YP223" s="15"/>
      <c r="YW223" s="15"/>
      <c r="YX223" s="15"/>
      <c r="ZE223" s="15"/>
      <c r="ZF223" s="15"/>
      <c r="ZM223" s="15"/>
      <c r="ZN223" s="15"/>
      <c r="ZU223" s="15"/>
      <c r="ZV223" s="15"/>
      <c r="AAC223" s="15"/>
      <c r="AAD223" s="15"/>
      <c r="AAK223" s="15"/>
      <c r="AAL223" s="15"/>
      <c r="AAS223" s="15"/>
      <c r="AAT223" s="15"/>
      <c r="ABA223" s="15"/>
      <c r="ABB223" s="15"/>
      <c r="ABI223" s="15"/>
      <c r="ABJ223" s="15"/>
      <c r="ABQ223" s="15"/>
      <c r="ABR223" s="15"/>
      <c r="ABY223" s="15"/>
      <c r="ABZ223" s="15"/>
      <c r="ACG223" s="15"/>
      <c r="ACH223" s="15"/>
      <c r="ACO223" s="15"/>
      <c r="ACP223" s="15"/>
      <c r="ACW223" s="15"/>
      <c r="ACX223" s="15"/>
      <c r="ADE223" s="15"/>
      <c r="ADF223" s="15"/>
      <c r="ADM223" s="15"/>
      <c r="ADN223" s="15"/>
      <c r="ADU223" s="15"/>
      <c r="ADV223" s="15"/>
      <c r="AEC223" s="15"/>
      <c r="AED223" s="15"/>
      <c r="AEK223" s="15"/>
      <c r="AEL223" s="15"/>
      <c r="AES223" s="15"/>
      <c r="AET223" s="15"/>
      <c r="AFA223" s="15"/>
      <c r="AFB223" s="15"/>
      <c r="AFI223" s="15"/>
      <c r="AFJ223" s="15"/>
      <c r="AFQ223" s="15"/>
      <c r="AFR223" s="15"/>
      <c r="AFY223" s="15"/>
      <c r="AFZ223" s="15"/>
      <c r="AGG223" s="15"/>
      <c r="AGH223" s="15"/>
      <c r="AGO223" s="15"/>
      <c r="AGP223" s="15"/>
      <c r="AGW223" s="15"/>
      <c r="AGX223" s="15"/>
      <c r="AHE223" s="15"/>
      <c r="AHF223" s="15"/>
      <c r="AHM223" s="15"/>
      <c r="AHN223" s="15"/>
      <c r="AHU223" s="15"/>
      <c r="AHV223" s="15"/>
      <c r="AIC223" s="15"/>
      <c r="AID223" s="15"/>
      <c r="AIK223" s="15"/>
      <c r="AIL223" s="15"/>
      <c r="AIS223" s="15"/>
      <c r="AIT223" s="15"/>
      <c r="AJA223" s="15"/>
      <c r="AJB223" s="15"/>
      <c r="AJI223" s="15"/>
      <c r="AJJ223" s="15"/>
      <c r="AJQ223" s="15"/>
      <c r="AJR223" s="15"/>
      <c r="AJY223" s="15"/>
      <c r="AJZ223" s="15"/>
      <c r="AKG223" s="15"/>
      <c r="AKH223" s="15"/>
      <c r="AKO223" s="15"/>
      <c r="AKP223" s="15"/>
      <c r="AKW223" s="15"/>
      <c r="AKX223" s="15"/>
      <c r="ALE223" s="15"/>
      <c r="ALF223" s="15"/>
      <c r="ALM223" s="15"/>
      <c r="ALN223" s="15"/>
      <c r="ALU223" s="15"/>
      <c r="ALV223" s="15"/>
      <c r="AMC223" s="15"/>
      <c r="AMD223" s="15"/>
    </row>
    <row r="224" spans="1:1018" x14ac:dyDescent="0.2">
      <c r="A224" s="1" t="s">
        <v>737</v>
      </c>
      <c r="B224" s="12">
        <v>42905</v>
      </c>
      <c r="C224">
        <v>2</v>
      </c>
      <c r="D224" s="13">
        <v>42821</v>
      </c>
      <c r="E224" s="12">
        <v>29428</v>
      </c>
      <c r="F224" s="14">
        <f t="shared" si="62"/>
        <v>36.898015058179332</v>
      </c>
      <c r="G224" s="14">
        <f t="shared" si="63"/>
        <v>0.2299794661190965</v>
      </c>
      <c r="H224" s="19" t="s">
        <v>181</v>
      </c>
      <c r="I224" t="s">
        <v>194</v>
      </c>
      <c r="J224" s="21" t="s">
        <v>183</v>
      </c>
      <c r="K224" s="21">
        <v>4</v>
      </c>
      <c r="L224" s="19"/>
      <c r="M224">
        <v>1.76</v>
      </c>
      <c r="N224" s="16">
        <f t="shared" si="64"/>
        <v>0</v>
      </c>
      <c r="O224" s="19">
        <v>0</v>
      </c>
      <c r="P224" s="19">
        <v>0</v>
      </c>
      <c r="Q224" s="19">
        <v>0</v>
      </c>
      <c r="R224" s="26">
        <v>0</v>
      </c>
      <c r="S224" s="26">
        <v>0</v>
      </c>
      <c r="T224" s="26">
        <v>0</v>
      </c>
      <c r="U224" s="19">
        <v>1</v>
      </c>
      <c r="V224" s="19">
        <v>5</v>
      </c>
      <c r="W224" s="19">
        <v>0</v>
      </c>
      <c r="X224" s="19">
        <v>0</v>
      </c>
      <c r="Y224" s="19">
        <v>1</v>
      </c>
      <c r="Z224" s="19">
        <v>1</v>
      </c>
      <c r="AA224" s="19">
        <v>90</v>
      </c>
      <c r="AB224" s="19" t="s">
        <v>349</v>
      </c>
      <c r="AC224" s="19">
        <v>0</v>
      </c>
      <c r="AD224" s="19">
        <v>0</v>
      </c>
      <c r="AE224" s="19"/>
      <c r="AF224" s="19"/>
      <c r="AG224" s="19"/>
      <c r="AH224" s="19"/>
      <c r="AI224" s="19">
        <v>0</v>
      </c>
      <c r="AJ224" s="19">
        <v>0</v>
      </c>
      <c r="AK224" s="19">
        <v>0</v>
      </c>
      <c r="AL224" s="19">
        <v>0</v>
      </c>
      <c r="AM224" s="19">
        <v>0</v>
      </c>
      <c r="AN224" s="19">
        <v>0</v>
      </c>
      <c r="AO224" s="19">
        <v>0</v>
      </c>
      <c r="AP224" s="19">
        <v>0</v>
      </c>
      <c r="AQ224" s="19">
        <v>0</v>
      </c>
      <c r="AR224" s="19">
        <v>0</v>
      </c>
      <c r="AS224" s="19">
        <v>0</v>
      </c>
      <c r="AT224" s="19">
        <v>0</v>
      </c>
      <c r="AU224" s="19">
        <v>0</v>
      </c>
      <c r="AV224" s="19">
        <v>0</v>
      </c>
      <c r="AW224" s="19">
        <v>0</v>
      </c>
      <c r="AX224" s="19">
        <v>0</v>
      </c>
      <c r="AY224" s="19">
        <v>0</v>
      </c>
      <c r="AZ224" s="19">
        <v>0</v>
      </c>
      <c r="BA224" s="19">
        <v>0</v>
      </c>
      <c r="BB224" s="19">
        <v>0</v>
      </c>
      <c r="BC224" s="19">
        <v>0</v>
      </c>
      <c r="BD224" s="19">
        <v>0</v>
      </c>
      <c r="BE224" s="19">
        <v>0</v>
      </c>
      <c r="BF224" s="19">
        <v>0</v>
      </c>
      <c r="BG224" s="19">
        <v>0</v>
      </c>
      <c r="BH224" s="19">
        <v>0</v>
      </c>
      <c r="BI224" s="19">
        <v>0</v>
      </c>
      <c r="BJ224" s="19">
        <v>0</v>
      </c>
      <c r="BK224" s="19">
        <v>0</v>
      </c>
      <c r="BL224" s="19">
        <v>0</v>
      </c>
      <c r="BM224" s="19">
        <v>0</v>
      </c>
      <c r="BN224" s="19">
        <v>0</v>
      </c>
      <c r="BO224" s="19">
        <v>0</v>
      </c>
      <c r="BP224" s="19">
        <v>0</v>
      </c>
      <c r="BQ224" s="19">
        <v>0</v>
      </c>
      <c r="BR224" s="19">
        <v>3</v>
      </c>
      <c r="BS224" s="19">
        <v>3</v>
      </c>
      <c r="BT224" s="19">
        <v>4</v>
      </c>
      <c r="BU224" s="19">
        <v>4</v>
      </c>
      <c r="BV224" s="19">
        <v>3</v>
      </c>
      <c r="BW224" s="19">
        <v>2</v>
      </c>
      <c r="BX224" s="19">
        <v>3</v>
      </c>
      <c r="BY224" s="19">
        <v>3</v>
      </c>
      <c r="BZ224" s="19">
        <v>5</v>
      </c>
      <c r="CA224" s="19">
        <v>4</v>
      </c>
      <c r="CB224" s="19">
        <v>4</v>
      </c>
      <c r="CC224" s="19">
        <v>5</v>
      </c>
      <c r="CD224" s="19">
        <v>3</v>
      </c>
      <c r="CE224" s="19">
        <v>4</v>
      </c>
      <c r="CF224" s="19">
        <v>4</v>
      </c>
      <c r="CG224" s="19">
        <v>4</v>
      </c>
      <c r="CH224" s="19">
        <v>4</v>
      </c>
      <c r="CI224" s="19">
        <v>4</v>
      </c>
      <c r="CJ224" s="19">
        <v>4</v>
      </c>
      <c r="CK224" s="19">
        <v>8</v>
      </c>
      <c r="CL224" t="s">
        <v>196</v>
      </c>
      <c r="CM224">
        <v>39.5</v>
      </c>
      <c r="CN224" s="16">
        <v>89.8</v>
      </c>
      <c r="CO224" s="16">
        <v>80.400000000000006</v>
      </c>
      <c r="CP224" s="16">
        <v>5.0999999999999996</v>
      </c>
      <c r="CQ224">
        <v>100</v>
      </c>
      <c r="CR224" s="17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50.37</v>
      </c>
      <c r="DD224">
        <v>16.55</v>
      </c>
      <c r="DE224">
        <v>0.4</v>
      </c>
      <c r="DF224">
        <v>0</v>
      </c>
      <c r="DG224">
        <v>27.4</v>
      </c>
      <c r="DH224">
        <v>1</v>
      </c>
      <c r="DI224">
        <v>3</v>
      </c>
      <c r="DK224">
        <v>4</v>
      </c>
      <c r="DO224">
        <v>3</v>
      </c>
      <c r="DQ224">
        <v>4</v>
      </c>
      <c r="DU224">
        <v>0.1</v>
      </c>
      <c r="DV224">
        <v>1</v>
      </c>
      <c r="DW224">
        <v>34</v>
      </c>
      <c r="DX224">
        <v>9</v>
      </c>
      <c r="DY224">
        <f>(1.71*3)+(0.2*2)</f>
        <v>5.53</v>
      </c>
      <c r="DZ224">
        <v>1</v>
      </c>
      <c r="EA224">
        <v>35</v>
      </c>
      <c r="EB224">
        <v>1</v>
      </c>
      <c r="EC224" s="16">
        <v>0.02</v>
      </c>
      <c r="ED224">
        <v>3</v>
      </c>
      <c r="EG224" s="20"/>
      <c r="EY224">
        <v>0</v>
      </c>
      <c r="GJ224" s="16">
        <v>1.49</v>
      </c>
      <c r="GK224" s="16">
        <v>1</v>
      </c>
      <c r="GL224" s="16">
        <v>1</v>
      </c>
      <c r="GM224" s="16"/>
      <c r="GN224" s="16">
        <f>2.11+2.11+0.56+0.56</f>
        <v>5.34</v>
      </c>
      <c r="GO224" s="16"/>
      <c r="GP224" s="16"/>
      <c r="GQ224" s="16"/>
      <c r="GR224" s="16"/>
      <c r="GS224" s="16"/>
      <c r="GT224" s="16"/>
      <c r="GU224" s="16">
        <v>5.01</v>
      </c>
      <c r="GV224" s="16">
        <v>5.13</v>
      </c>
      <c r="GW224" s="16">
        <v>0</v>
      </c>
      <c r="GX224" s="16">
        <v>0</v>
      </c>
      <c r="GY224" s="16">
        <v>0</v>
      </c>
      <c r="GZ224" s="16">
        <v>0</v>
      </c>
      <c r="HA224" s="16">
        <v>0</v>
      </c>
      <c r="HB224">
        <v>0</v>
      </c>
      <c r="HC224" t="s">
        <v>197</v>
      </c>
      <c r="HD224">
        <v>49.5</v>
      </c>
      <c r="HE224" s="16">
        <v>90.1</v>
      </c>
      <c r="HF224" s="16">
        <v>80.400000000000006</v>
      </c>
      <c r="HG224" s="16">
        <v>9.9</v>
      </c>
      <c r="HH224">
        <v>94.62</v>
      </c>
      <c r="HI224" s="17">
        <v>0</v>
      </c>
      <c r="HJ224">
        <v>0.32</v>
      </c>
      <c r="HK224">
        <v>0</v>
      </c>
      <c r="HL224">
        <v>5.05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3.42</v>
      </c>
      <c r="HT224">
        <v>32.25</v>
      </c>
      <c r="HU224">
        <v>29.89</v>
      </c>
      <c r="HV224">
        <v>8.2799999999999994</v>
      </c>
      <c r="HW224">
        <v>0</v>
      </c>
      <c r="HX224">
        <v>12.9</v>
      </c>
      <c r="HY224">
        <v>1</v>
      </c>
      <c r="HZ224">
        <v>7</v>
      </c>
      <c r="IB224">
        <v>5</v>
      </c>
      <c r="IC224">
        <v>3</v>
      </c>
      <c r="IE224">
        <v>3</v>
      </c>
      <c r="IF224">
        <v>7</v>
      </c>
      <c r="IH224">
        <v>5</v>
      </c>
      <c r="II224">
        <v>3</v>
      </c>
      <c r="IK224">
        <v>3</v>
      </c>
      <c r="IL224">
        <v>16.600000000000001</v>
      </c>
      <c r="IM224">
        <v>1</v>
      </c>
      <c r="IN224">
        <v>68</v>
      </c>
      <c r="IO224">
        <v>6</v>
      </c>
      <c r="IP224">
        <v>0.21</v>
      </c>
      <c r="IQ224">
        <v>1</v>
      </c>
      <c r="IR224">
        <v>35</v>
      </c>
      <c r="IS224">
        <v>3</v>
      </c>
      <c r="IT224">
        <v>0.51</v>
      </c>
      <c r="IU224">
        <v>3</v>
      </c>
      <c r="IV224">
        <v>47</v>
      </c>
      <c r="IW224">
        <v>22</v>
      </c>
      <c r="IX224" s="20">
        <f>(0.43*3)+(0.07*4)+0.22</f>
        <v>1.79</v>
      </c>
      <c r="IY224">
        <v>3</v>
      </c>
      <c r="JP224">
        <v>1</v>
      </c>
      <c r="JQ224">
        <v>60</v>
      </c>
      <c r="JR224">
        <v>17</v>
      </c>
      <c r="JS224">
        <f>0.22+0.04+0.11+0.08+0.08+0.05</f>
        <v>0.58000000000000007</v>
      </c>
      <c r="JT224">
        <v>3</v>
      </c>
      <c r="JU224">
        <v>60</v>
      </c>
      <c r="JV224">
        <v>12</v>
      </c>
      <c r="JW224">
        <f>0.87+0.43+0.15+0.07</f>
        <v>1.52</v>
      </c>
      <c r="JX224">
        <v>1</v>
      </c>
      <c r="LA224" s="16">
        <v>2.4900000000000002</v>
      </c>
      <c r="LB224" s="16">
        <v>1</v>
      </c>
      <c r="LC224" s="16">
        <v>1</v>
      </c>
      <c r="LD224" s="16"/>
      <c r="LE224" s="16">
        <v>10.89</v>
      </c>
      <c r="LF224" s="16"/>
      <c r="LG224" s="16"/>
      <c r="LH224" s="16"/>
      <c r="LI224" s="16"/>
      <c r="LJ224" s="16"/>
      <c r="LK224" s="16"/>
      <c r="LL224" s="16">
        <v>4.17</v>
      </c>
      <c r="LM224" s="16">
        <v>3.7</v>
      </c>
      <c r="LN224" s="16">
        <v>0</v>
      </c>
      <c r="LO224" s="16">
        <v>0</v>
      </c>
      <c r="LP224" s="16">
        <v>0</v>
      </c>
      <c r="LQ224" s="16">
        <v>0</v>
      </c>
      <c r="LR224" s="16">
        <v>0</v>
      </c>
      <c r="LS224">
        <v>0</v>
      </c>
      <c r="LT224" t="s">
        <v>198</v>
      </c>
      <c r="LU224">
        <v>28.5</v>
      </c>
      <c r="LV224" s="16">
        <v>78.400000000000006</v>
      </c>
      <c r="LW224" s="16">
        <v>80.400000000000006</v>
      </c>
      <c r="LX224" s="16">
        <v>16</v>
      </c>
      <c r="LY224">
        <v>95.22</v>
      </c>
      <c r="LZ224" s="17">
        <v>0</v>
      </c>
      <c r="MA224">
        <v>4.2300000000000004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9.77</v>
      </c>
      <c r="MK224">
        <v>2.1800000000000002</v>
      </c>
      <c r="ML224">
        <v>46.81</v>
      </c>
      <c r="MM224">
        <v>10.57</v>
      </c>
      <c r="MN224">
        <v>0</v>
      </c>
      <c r="MO224">
        <v>0</v>
      </c>
      <c r="MP224">
        <v>0</v>
      </c>
      <c r="NC224">
        <v>0</v>
      </c>
      <c r="ND224">
        <v>0</v>
      </c>
      <c r="NO224" s="20"/>
      <c r="OG224">
        <v>0</v>
      </c>
      <c r="PR224" s="16">
        <v>4.2300000000000004</v>
      </c>
      <c r="PS224" s="16">
        <v>1</v>
      </c>
      <c r="PT224" s="16">
        <v>2</v>
      </c>
      <c r="PU224" s="16"/>
      <c r="PV224" s="16">
        <v>6.34</v>
      </c>
      <c r="PW224" s="16">
        <v>1</v>
      </c>
      <c r="PX224" s="16">
        <v>1</v>
      </c>
      <c r="PY224" s="16">
        <f>9.52+3.17+3.17+3.17+1.12+1.12+1.12</f>
        <v>22.390000000000004</v>
      </c>
      <c r="PZ224" s="16"/>
      <c r="QA224" s="16"/>
      <c r="QB224" s="16"/>
      <c r="QC224" s="16">
        <v>5.41</v>
      </c>
      <c r="QD224" s="16">
        <v>8.9600000000000009</v>
      </c>
      <c r="QE224" s="16">
        <v>0</v>
      </c>
      <c r="QF224" s="16">
        <v>0</v>
      </c>
      <c r="QG224" s="16">
        <v>0</v>
      </c>
      <c r="QH224" s="16">
        <v>0</v>
      </c>
      <c r="QI224" s="16">
        <v>0</v>
      </c>
      <c r="QJ224">
        <v>0</v>
      </c>
      <c r="QK224" t="s">
        <v>199</v>
      </c>
      <c r="QL224">
        <v>56.5</v>
      </c>
      <c r="QM224" s="16">
        <v>88.4</v>
      </c>
      <c r="QN224" s="16">
        <v>80.400000000000006</v>
      </c>
      <c r="QO224" s="16">
        <v>24.8</v>
      </c>
      <c r="QP224">
        <v>77.37</v>
      </c>
      <c r="QQ224" s="17">
        <v>0</v>
      </c>
      <c r="QR224">
        <v>7.99</v>
      </c>
      <c r="QS224">
        <v>0</v>
      </c>
      <c r="QT224">
        <v>14.63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8.0399999999999991</v>
      </c>
      <c r="RB224">
        <v>23.21</v>
      </c>
      <c r="RC224">
        <v>37.03</v>
      </c>
      <c r="RD224">
        <v>14.79</v>
      </c>
      <c r="RE224">
        <v>0</v>
      </c>
      <c r="RF224">
        <v>0</v>
      </c>
      <c r="RG224">
        <v>0</v>
      </c>
      <c r="RT224">
        <v>25.5</v>
      </c>
      <c r="RU224">
        <v>1</v>
      </c>
      <c r="RV224">
        <v>52</v>
      </c>
      <c r="RW224">
        <v>13</v>
      </c>
      <c r="RX224">
        <f>0.27+1.07+0.13+0.27</f>
        <v>1.7400000000000002</v>
      </c>
      <c r="RY224">
        <v>2</v>
      </c>
      <c r="RZ224">
        <v>35</v>
      </c>
      <c r="SA224">
        <v>3</v>
      </c>
      <c r="SB224">
        <f>0.13+0.08+0.24</f>
        <v>0.45</v>
      </c>
      <c r="SC224">
        <v>3</v>
      </c>
      <c r="SD224">
        <v>47</v>
      </c>
      <c r="SE224">
        <v>5</v>
      </c>
      <c r="SF224" s="20">
        <f>0.76+1.14+0.76+0.13+0.08</f>
        <v>2.87</v>
      </c>
      <c r="SG224">
        <v>3</v>
      </c>
      <c r="SX224">
        <v>0</v>
      </c>
      <c r="UI224" s="16">
        <v>2.59</v>
      </c>
      <c r="UJ224" s="16">
        <v>1</v>
      </c>
      <c r="UK224" s="16">
        <v>1</v>
      </c>
      <c r="UL224" s="16"/>
      <c r="UM224" s="16">
        <f>(2.11*4)+0.37</f>
        <v>8.8099999999999987</v>
      </c>
      <c r="UN224" s="16"/>
      <c r="UO224" s="16"/>
      <c r="UP224" s="16"/>
      <c r="UQ224" s="16"/>
      <c r="UR224" s="16"/>
      <c r="US224" s="16"/>
      <c r="UT224" s="16">
        <v>1.33</v>
      </c>
      <c r="UU224" s="16">
        <v>0.89</v>
      </c>
      <c r="UV224" s="16">
        <v>0</v>
      </c>
      <c r="UW224" s="16">
        <v>0</v>
      </c>
      <c r="UX224" s="16">
        <v>0</v>
      </c>
      <c r="UY224" s="16">
        <v>0</v>
      </c>
      <c r="UZ224" s="16">
        <v>0</v>
      </c>
      <c r="VA224">
        <v>0</v>
      </c>
      <c r="VB224" t="s">
        <v>201</v>
      </c>
      <c r="VC224">
        <v>48.5</v>
      </c>
      <c r="VD224" s="16">
        <v>89.7</v>
      </c>
      <c r="VE224" s="16">
        <v>80.400000000000006</v>
      </c>
      <c r="VF224" s="16">
        <v>9.3000000000000007</v>
      </c>
      <c r="VG224">
        <v>100</v>
      </c>
      <c r="VH224" s="17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1.65</v>
      </c>
      <c r="VS224">
        <v>2.69</v>
      </c>
      <c r="VT224">
        <v>54.55</v>
      </c>
      <c r="VU224">
        <v>11.29</v>
      </c>
      <c r="VV224">
        <v>0</v>
      </c>
      <c r="VW224">
        <v>0</v>
      </c>
      <c r="VX224">
        <v>0</v>
      </c>
      <c r="WK224">
        <v>30.6</v>
      </c>
      <c r="WL224">
        <v>1</v>
      </c>
      <c r="WM224">
        <v>35</v>
      </c>
      <c r="WN224">
        <v>14</v>
      </c>
      <c r="WO224">
        <f>3.05+1.52+1.52+0.27+0.03+0.07</f>
        <v>6.46</v>
      </c>
      <c r="WP224">
        <v>3</v>
      </c>
      <c r="WQ224">
        <v>47</v>
      </c>
      <c r="WR224">
        <v>6</v>
      </c>
      <c r="WS224">
        <f>1.52+0.27*2</f>
        <v>2.06</v>
      </c>
      <c r="WT224">
        <v>3</v>
      </c>
      <c r="WW224" s="20"/>
      <c r="XO224">
        <v>0</v>
      </c>
      <c r="YZ224" s="16">
        <v>3.34</v>
      </c>
      <c r="ZA224" s="16">
        <v>1</v>
      </c>
      <c r="ZB224" s="16">
        <v>1</v>
      </c>
      <c r="ZC224" s="16"/>
      <c r="ZD224" s="16">
        <f>4.23+1.14+2.11+4.23+1.37+0.02+2.03+0.75+0.37+0.13</f>
        <v>16.38</v>
      </c>
      <c r="ZE224" s="16"/>
      <c r="ZF224" s="16"/>
      <c r="ZG224" s="16"/>
      <c r="ZH224" s="16"/>
      <c r="ZI224" s="16"/>
      <c r="ZJ224" s="16"/>
      <c r="ZK224" s="16">
        <v>1.45</v>
      </c>
      <c r="ZL224" s="16">
        <v>1.46</v>
      </c>
      <c r="ZM224" s="16">
        <v>0</v>
      </c>
      <c r="ZN224" s="16">
        <v>0</v>
      </c>
      <c r="ZO224" s="16">
        <v>0</v>
      </c>
      <c r="ZP224" s="16">
        <v>0</v>
      </c>
      <c r="ZQ224" s="16">
        <v>0</v>
      </c>
      <c r="ZR224">
        <v>0</v>
      </c>
      <c r="ZS224" t="s">
        <v>202</v>
      </c>
      <c r="ZT224">
        <v>60</v>
      </c>
      <c r="ZU224" s="16">
        <v>55.4</v>
      </c>
      <c r="ZV224" s="16">
        <v>80.400000000000006</v>
      </c>
      <c r="ZW224" s="16">
        <v>29.6</v>
      </c>
      <c r="ZX224">
        <v>76.8</v>
      </c>
      <c r="ZY224" s="17">
        <v>0</v>
      </c>
      <c r="ZZ224">
        <v>0</v>
      </c>
      <c r="AAA224">
        <v>0</v>
      </c>
      <c r="AAB224">
        <v>0</v>
      </c>
      <c r="AAD224">
        <v>4.83</v>
      </c>
      <c r="AAE224">
        <v>1.71</v>
      </c>
      <c r="AAF224">
        <v>0</v>
      </c>
      <c r="AAG224">
        <v>0</v>
      </c>
      <c r="AAH224">
        <v>0</v>
      </c>
      <c r="AAI224">
        <v>1.51</v>
      </c>
      <c r="AAJ224">
        <v>1.85</v>
      </c>
      <c r="AAK224">
        <v>2.31</v>
      </c>
      <c r="AAL224">
        <v>19.079999999999998</v>
      </c>
      <c r="AAM224">
        <v>18.37</v>
      </c>
      <c r="AAN224">
        <v>0</v>
      </c>
      <c r="AAO224">
        <v>0</v>
      </c>
      <c r="AAP224">
        <v>0</v>
      </c>
      <c r="AAV224">
        <v>0</v>
      </c>
      <c r="ABB224">
        <v>22.9</v>
      </c>
      <c r="ABC224">
        <v>1</v>
      </c>
      <c r="ABD224">
        <v>34</v>
      </c>
      <c r="ABE224">
        <v>1</v>
      </c>
      <c r="ABF224">
        <v>1.19</v>
      </c>
      <c r="ABG224">
        <v>1</v>
      </c>
      <c r="ABH224">
        <v>47</v>
      </c>
      <c r="ABI224">
        <f>7+3+1+2+3+5+7+1+7+2+7+5+5</f>
        <v>55</v>
      </c>
      <c r="ABJ224">
        <f>(0.3*7)+0.15+0.3+0.9+0.6+0.45+0.6+(0.3*3)+(0.3*5)+(0.3*7)+0.9+(0.3*7)+(0.4)+(0.3*7)+(0.3*5)+(0.3*5)</f>
        <v>18.100000000000001</v>
      </c>
      <c r="ABK224">
        <v>2</v>
      </c>
      <c r="ABN224" s="20"/>
      <c r="ACF224">
        <v>0</v>
      </c>
      <c r="ADQ224" s="16">
        <v>0.06</v>
      </c>
      <c r="ADR224" s="16">
        <v>1</v>
      </c>
      <c r="ADS224" s="16">
        <v>1</v>
      </c>
      <c r="ADT224" s="16"/>
      <c r="ADU224" s="16">
        <v>0.1</v>
      </c>
      <c r="ADV224" s="16"/>
      <c r="ADW224" s="16"/>
      <c r="ADX224" s="16"/>
      <c r="ADY224" s="16"/>
      <c r="ADZ224" s="16"/>
      <c r="AEA224" s="16"/>
      <c r="AEB224" s="16">
        <v>5.42</v>
      </c>
      <c r="AEC224" s="16">
        <v>8.83</v>
      </c>
      <c r="AED224" s="16">
        <v>0</v>
      </c>
      <c r="AEE224" s="16">
        <v>0</v>
      </c>
      <c r="AEF224" s="16">
        <v>1.99</v>
      </c>
      <c r="AEG224" s="16">
        <v>0</v>
      </c>
      <c r="AEH224" s="16">
        <v>0</v>
      </c>
      <c r="AEI224">
        <v>2</v>
      </c>
      <c r="AEJ224" t="s">
        <v>727</v>
      </c>
      <c r="AEK224">
        <v>47.5</v>
      </c>
      <c r="AEL224" s="16">
        <v>58.6</v>
      </c>
      <c r="AEM224" s="16">
        <v>80.400000000000006</v>
      </c>
      <c r="AEN224" s="16">
        <v>19.5</v>
      </c>
      <c r="AEO224">
        <v>76.23</v>
      </c>
      <c r="AEP224" s="17">
        <v>0</v>
      </c>
      <c r="AEQ224">
        <v>7.5</v>
      </c>
      <c r="AER224">
        <v>0</v>
      </c>
      <c r="AES224">
        <v>16.260000000000002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22.34</v>
      </c>
      <c r="AFB224">
        <v>19.22</v>
      </c>
      <c r="AFC224">
        <v>9.8000000000000007</v>
      </c>
      <c r="AFD224">
        <v>0.28000000000000003</v>
      </c>
      <c r="AFE224">
        <v>0</v>
      </c>
      <c r="AFS224">
        <v>24.1</v>
      </c>
      <c r="AFT224">
        <v>1</v>
      </c>
      <c r="AFU224">
        <v>47</v>
      </c>
      <c r="AFV224">
        <v>6</v>
      </c>
      <c r="AFW224">
        <f>2.28+0.81</f>
        <v>3.09</v>
      </c>
      <c r="AFX224">
        <v>3</v>
      </c>
      <c r="AFY224">
        <v>23</v>
      </c>
      <c r="AFZ224">
        <v>2</v>
      </c>
      <c r="AGA224">
        <v>0.54</v>
      </c>
      <c r="AGB224">
        <v>3</v>
      </c>
      <c r="AGE224" s="20"/>
      <c r="AGW224">
        <v>0</v>
      </c>
      <c r="AIH224" s="16">
        <v>0</v>
      </c>
      <c r="AII224" s="16">
        <v>0</v>
      </c>
      <c r="AIJ224" s="16"/>
      <c r="AIK224" s="16"/>
      <c r="AIL224" s="16"/>
      <c r="AIM224" s="16"/>
      <c r="AIN224" s="16"/>
      <c r="AIO224" s="16"/>
      <c r="AIP224" s="16"/>
      <c r="AIQ224" s="16"/>
      <c r="AIR224" s="16"/>
      <c r="AIS224" s="16">
        <v>2.97</v>
      </c>
      <c r="AIT224" s="16">
        <v>2.96</v>
      </c>
      <c r="AIU224" s="16">
        <v>0</v>
      </c>
      <c r="AIV224" s="16">
        <v>0</v>
      </c>
      <c r="AIW224" s="16">
        <v>0</v>
      </c>
      <c r="AIX224" s="16">
        <v>0</v>
      </c>
      <c r="AIY224" s="16">
        <v>0</v>
      </c>
      <c r="AIZ224">
        <v>0</v>
      </c>
      <c r="AJA224" t="s">
        <v>213</v>
      </c>
      <c r="AJB224">
        <v>49.5</v>
      </c>
      <c r="AJC224" s="16">
        <v>78.900000000000006</v>
      </c>
      <c r="AJD224" s="16">
        <v>80.400000000000006</v>
      </c>
      <c r="AJE224" s="16">
        <v>31.1</v>
      </c>
      <c r="AJF224">
        <v>22.13</v>
      </c>
      <c r="AJG224" s="17">
        <v>0</v>
      </c>
      <c r="AJH224">
        <v>0</v>
      </c>
      <c r="AJI224">
        <v>0</v>
      </c>
      <c r="AJJ224">
        <v>3.8</v>
      </c>
      <c r="AJK224">
        <v>0</v>
      </c>
      <c r="AJL224">
        <v>74.069999999999993</v>
      </c>
      <c r="AJM224">
        <v>28.31</v>
      </c>
      <c r="AJN224">
        <v>0</v>
      </c>
      <c r="AJO224">
        <v>0</v>
      </c>
      <c r="AJP224">
        <v>0</v>
      </c>
      <c r="AJQ224">
        <v>8.07</v>
      </c>
      <c r="AJR224">
        <v>1.71</v>
      </c>
      <c r="AJS224">
        <v>33.85</v>
      </c>
      <c r="AJT224">
        <v>17.12</v>
      </c>
      <c r="AJU224">
        <v>0</v>
      </c>
      <c r="AJV224">
        <v>0</v>
      </c>
      <c r="AJW224">
        <v>0</v>
      </c>
      <c r="AKJ224">
        <v>3.4</v>
      </c>
      <c r="AKK224">
        <v>1</v>
      </c>
      <c r="AKL224">
        <v>34</v>
      </c>
      <c r="AKM224">
        <v>1</v>
      </c>
      <c r="AKN224">
        <v>1.6</v>
      </c>
      <c r="AKO224">
        <v>1</v>
      </c>
      <c r="AKP224">
        <v>68</v>
      </c>
      <c r="AKQ224">
        <v>2</v>
      </c>
      <c r="AKR224">
        <f>0.65+0.11</f>
        <v>0.76</v>
      </c>
      <c r="AKS224">
        <v>1</v>
      </c>
      <c r="AKT224">
        <v>52</v>
      </c>
      <c r="AKU224">
        <v>2</v>
      </c>
      <c r="AKV224" s="20">
        <f>1.33+0.34</f>
        <v>1.6700000000000002</v>
      </c>
      <c r="AKW224">
        <v>2</v>
      </c>
      <c r="ALN224">
        <v>0</v>
      </c>
    </row>
    <row r="225" spans="1:1024" x14ac:dyDescent="0.2">
      <c r="A225" s="1" t="s">
        <v>738</v>
      </c>
      <c r="B225" s="12">
        <v>42904</v>
      </c>
      <c r="C225">
        <v>1</v>
      </c>
      <c r="D225" s="13">
        <v>42786</v>
      </c>
      <c r="E225" s="12">
        <v>35739</v>
      </c>
      <c r="F225" s="14">
        <f t="shared" si="62"/>
        <v>19.616700889801507</v>
      </c>
      <c r="G225" s="14">
        <f t="shared" si="63"/>
        <v>0.32306639288158795</v>
      </c>
      <c r="H225" s="19" t="s">
        <v>181</v>
      </c>
      <c r="I225" t="s">
        <v>194</v>
      </c>
      <c r="J225" s="21" t="s">
        <v>183</v>
      </c>
      <c r="K225" s="21">
        <v>4</v>
      </c>
      <c r="L225" s="19">
        <v>60</v>
      </c>
      <c r="M225">
        <v>1.6</v>
      </c>
      <c r="N225" s="16">
        <f t="shared" si="64"/>
        <v>23.437499999999996</v>
      </c>
      <c r="O225" s="19">
        <v>0</v>
      </c>
      <c r="P225" s="19">
        <v>0</v>
      </c>
      <c r="Q225" s="19">
        <v>0</v>
      </c>
      <c r="R225" s="26">
        <v>0</v>
      </c>
      <c r="S225" s="26">
        <v>0</v>
      </c>
      <c r="T225" s="26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</v>
      </c>
      <c r="AH225" s="19">
        <v>0</v>
      </c>
      <c r="AI225" s="19">
        <v>0</v>
      </c>
      <c r="AJ225" s="19">
        <v>0</v>
      </c>
      <c r="AK225" s="19">
        <v>0</v>
      </c>
      <c r="AL225" s="19">
        <v>0</v>
      </c>
      <c r="AM225" s="19">
        <v>0</v>
      </c>
      <c r="AN225" s="19">
        <v>0</v>
      </c>
      <c r="AO225" s="19">
        <v>0</v>
      </c>
      <c r="AP225" s="19">
        <v>0</v>
      </c>
      <c r="AQ225" s="19">
        <v>0</v>
      </c>
      <c r="AR225" s="19">
        <v>0</v>
      </c>
      <c r="AS225" s="19">
        <v>0</v>
      </c>
      <c r="AT225" s="19">
        <v>0</v>
      </c>
      <c r="AU225" s="19">
        <v>0</v>
      </c>
      <c r="AV225" s="19">
        <v>0</v>
      </c>
      <c r="AW225" s="19">
        <v>0</v>
      </c>
      <c r="AX225" s="19">
        <v>0</v>
      </c>
      <c r="AY225" s="19">
        <v>0</v>
      </c>
      <c r="AZ225" s="19">
        <v>0</v>
      </c>
      <c r="BA225" s="19">
        <v>0</v>
      </c>
      <c r="BB225" s="19">
        <v>0</v>
      </c>
      <c r="BC225" s="19">
        <v>0</v>
      </c>
      <c r="BD225" s="19">
        <v>0</v>
      </c>
      <c r="BE225" s="19">
        <v>0</v>
      </c>
      <c r="BF225" s="19">
        <v>0</v>
      </c>
      <c r="BG225" s="19">
        <v>0</v>
      </c>
      <c r="BH225" s="19">
        <v>0</v>
      </c>
      <c r="BI225" s="19">
        <v>0</v>
      </c>
      <c r="BJ225" s="19">
        <v>0</v>
      </c>
      <c r="BK225" s="19">
        <v>0</v>
      </c>
      <c r="BL225" s="19">
        <v>0</v>
      </c>
      <c r="BM225" s="19">
        <v>0</v>
      </c>
      <c r="BN225" s="19">
        <v>0</v>
      </c>
      <c r="BO225" s="19">
        <v>0</v>
      </c>
      <c r="BP225" s="19">
        <v>0</v>
      </c>
      <c r="BQ225" s="19">
        <v>0</v>
      </c>
      <c r="BR225" s="19">
        <v>3</v>
      </c>
      <c r="BS225" s="19">
        <v>1</v>
      </c>
      <c r="BT225" s="19">
        <v>2</v>
      </c>
      <c r="BU225" s="19">
        <v>3</v>
      </c>
      <c r="BV225" s="19">
        <v>1</v>
      </c>
      <c r="BW225" s="19">
        <v>1</v>
      </c>
      <c r="BX225" s="19">
        <v>4</v>
      </c>
      <c r="BY225" s="19">
        <v>5</v>
      </c>
      <c r="BZ225" s="19">
        <v>5</v>
      </c>
      <c r="CA225" s="19">
        <v>5</v>
      </c>
      <c r="CB225" s="19">
        <v>5</v>
      </c>
      <c r="CC225" s="19">
        <v>5</v>
      </c>
      <c r="CD225" s="19">
        <v>5</v>
      </c>
      <c r="CE225" s="19">
        <v>5</v>
      </c>
      <c r="CF225" s="19">
        <v>5</v>
      </c>
      <c r="CG225" s="19">
        <v>5</v>
      </c>
      <c r="CH225" s="19">
        <v>5</v>
      </c>
      <c r="CI225" s="19">
        <v>5</v>
      </c>
      <c r="CJ225" s="19">
        <v>5</v>
      </c>
      <c r="CK225" s="19">
        <v>10</v>
      </c>
      <c r="CL225" t="s">
        <v>198</v>
      </c>
      <c r="CM225">
        <v>28.5</v>
      </c>
      <c r="CN225" s="16">
        <v>78.400000000000006</v>
      </c>
      <c r="CO225" s="16">
        <v>80.400000000000006</v>
      </c>
      <c r="CP225" s="16">
        <v>16</v>
      </c>
      <c r="CQ225">
        <v>95.22</v>
      </c>
      <c r="CR225" s="17">
        <v>0</v>
      </c>
      <c r="CS225">
        <v>4.2300000000000004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9.77</v>
      </c>
      <c r="DC225">
        <v>2.1800000000000002</v>
      </c>
      <c r="DD225">
        <v>46.81</v>
      </c>
      <c r="DE225">
        <v>10.57</v>
      </c>
      <c r="DF225">
        <v>0</v>
      </c>
      <c r="DG225">
        <v>0</v>
      </c>
      <c r="DH225">
        <v>0</v>
      </c>
      <c r="DU225">
        <v>0</v>
      </c>
      <c r="DV225">
        <v>0</v>
      </c>
      <c r="EG225" s="20"/>
      <c r="EY225">
        <v>0</v>
      </c>
      <c r="GJ225" s="16">
        <v>4.2300000000000004</v>
      </c>
      <c r="GK225" s="16">
        <v>1</v>
      </c>
      <c r="GL225" s="16">
        <v>2</v>
      </c>
      <c r="GM225" s="16"/>
      <c r="GN225" s="16">
        <v>6.34</v>
      </c>
      <c r="GO225" s="16">
        <v>1</v>
      </c>
      <c r="GP225" s="16">
        <v>1</v>
      </c>
      <c r="GQ225" s="16">
        <f>9.52+3.17+3.17+3.17+1.12+1.12+1.12</f>
        <v>22.390000000000004</v>
      </c>
      <c r="GR225" s="16"/>
      <c r="GS225" s="16"/>
      <c r="GT225" s="16"/>
      <c r="GU225" s="16">
        <v>5.41</v>
      </c>
      <c r="GV225" s="16">
        <v>8.9600000000000009</v>
      </c>
      <c r="GW225" s="16">
        <v>0</v>
      </c>
      <c r="GX225" s="16">
        <v>0</v>
      </c>
      <c r="GY225" s="16">
        <v>0</v>
      </c>
      <c r="GZ225" s="16">
        <v>0</v>
      </c>
      <c r="HA225" s="16">
        <v>0</v>
      </c>
      <c r="HB225">
        <v>0</v>
      </c>
      <c r="HC225" t="s">
        <v>200</v>
      </c>
      <c r="HD225">
        <v>28.5</v>
      </c>
      <c r="HE225" s="16">
        <v>69.400000000000006</v>
      </c>
      <c r="HF225" s="16">
        <v>80.400000000000006</v>
      </c>
      <c r="HG225" s="16">
        <v>9.8000000000000007</v>
      </c>
      <c r="HH225">
        <v>96.02</v>
      </c>
      <c r="HI225" s="17">
        <v>0</v>
      </c>
      <c r="HJ225">
        <v>3.98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16.55</v>
      </c>
      <c r="HU225">
        <v>26.49</v>
      </c>
      <c r="HV225">
        <v>6.34</v>
      </c>
      <c r="HW225">
        <v>0</v>
      </c>
      <c r="HX225">
        <v>0</v>
      </c>
      <c r="HY225">
        <v>0</v>
      </c>
      <c r="IL225">
        <v>10.199999999999999</v>
      </c>
      <c r="IM225">
        <v>1</v>
      </c>
      <c r="IN225">
        <v>35</v>
      </c>
      <c r="IO225">
        <v>1</v>
      </c>
      <c r="IP225">
        <v>0.02</v>
      </c>
      <c r="IQ225">
        <v>3</v>
      </c>
      <c r="IR225">
        <v>70</v>
      </c>
      <c r="IS225">
        <v>2</v>
      </c>
      <c r="IT225">
        <v>0.27</v>
      </c>
      <c r="IU225">
        <v>3</v>
      </c>
      <c r="IX225" s="20"/>
      <c r="JP225">
        <v>1</v>
      </c>
      <c r="JQ225">
        <v>50</v>
      </c>
      <c r="JR225">
        <v>5</v>
      </c>
      <c r="JS225">
        <f>1.52+0.5+0.19+0.12</f>
        <v>2.33</v>
      </c>
      <c r="JT225">
        <v>3</v>
      </c>
      <c r="LA225" s="16">
        <v>2.63</v>
      </c>
      <c r="LB225" s="16">
        <v>1</v>
      </c>
      <c r="LC225" s="16">
        <v>1</v>
      </c>
      <c r="LD225" s="16"/>
      <c r="LE225" s="16">
        <f>0.04+2.11+3.17+0.37+0.56</f>
        <v>6.25</v>
      </c>
      <c r="LF225" s="16">
        <v>2</v>
      </c>
      <c r="LG225" s="16"/>
      <c r="LH225" s="16">
        <f>0.53+0.53+0.11+0.07+0.15</f>
        <v>1.3900000000000001</v>
      </c>
      <c r="LI225" s="16"/>
      <c r="LJ225" s="16"/>
      <c r="LK225" s="16"/>
      <c r="LL225" s="16">
        <v>3.33</v>
      </c>
      <c r="LM225" s="16">
        <v>2.06</v>
      </c>
      <c r="LN225" s="16">
        <v>0</v>
      </c>
      <c r="LO225" s="16">
        <v>0</v>
      </c>
      <c r="LP225" s="16">
        <v>0</v>
      </c>
      <c r="LQ225" s="16">
        <v>0</v>
      </c>
      <c r="LR225" s="16">
        <v>0</v>
      </c>
      <c r="LS225">
        <v>0</v>
      </c>
      <c r="LT225" t="s">
        <v>201</v>
      </c>
      <c r="LU225">
        <v>48.5</v>
      </c>
      <c r="LV225" s="16">
        <v>89.7</v>
      </c>
      <c r="LW225" s="16">
        <v>80.400000000000006</v>
      </c>
      <c r="LX225" s="16">
        <v>9.3000000000000007</v>
      </c>
      <c r="LY225">
        <v>100</v>
      </c>
      <c r="LZ225" s="17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1.65</v>
      </c>
      <c r="MK225">
        <v>2.69</v>
      </c>
      <c r="ML225">
        <v>54.55</v>
      </c>
      <c r="MM225">
        <v>11.29</v>
      </c>
      <c r="MN225">
        <v>0</v>
      </c>
      <c r="MO225">
        <v>0</v>
      </c>
      <c r="MP225">
        <v>0</v>
      </c>
      <c r="NC225">
        <v>30.6</v>
      </c>
      <c r="ND225">
        <v>1</v>
      </c>
      <c r="NE225">
        <v>35</v>
      </c>
      <c r="NF225">
        <v>14</v>
      </c>
      <c r="NG225">
        <f>3.05+1.52+1.52+0.27+0.03+0.07</f>
        <v>6.46</v>
      </c>
      <c r="NH225">
        <v>3</v>
      </c>
      <c r="NI225">
        <v>47</v>
      </c>
      <c r="NJ225">
        <v>6</v>
      </c>
      <c r="NK225">
        <f>1.52+0.27*2</f>
        <v>2.06</v>
      </c>
      <c r="NL225">
        <v>3</v>
      </c>
      <c r="NO225" s="20"/>
      <c r="OG225">
        <v>0</v>
      </c>
      <c r="PR225" s="16">
        <v>3.34</v>
      </c>
      <c r="PS225" s="16">
        <v>1</v>
      </c>
      <c r="PT225" s="16">
        <v>1</v>
      </c>
      <c r="PU225" s="16"/>
      <c r="PV225" s="16">
        <f>4.23+1.14+2.11+4.23+1.37+0.02+2.03+0.75+0.37+0.13</f>
        <v>16.38</v>
      </c>
      <c r="PW225" s="16"/>
      <c r="PX225" s="16"/>
      <c r="PY225" s="16"/>
      <c r="PZ225" s="16"/>
      <c r="QA225" s="16"/>
      <c r="QB225" s="16"/>
      <c r="QC225" s="16">
        <v>1.45</v>
      </c>
      <c r="QD225" s="16">
        <v>1.46</v>
      </c>
      <c r="QE225" s="16">
        <v>0</v>
      </c>
      <c r="QF225" s="16">
        <v>0</v>
      </c>
      <c r="QG225" s="16">
        <v>0</v>
      </c>
      <c r="QH225" s="16">
        <v>0</v>
      </c>
      <c r="QI225" s="16">
        <v>0</v>
      </c>
      <c r="QJ225">
        <v>0</v>
      </c>
      <c r="QK225" t="s">
        <v>202</v>
      </c>
      <c r="QL225">
        <v>60</v>
      </c>
      <c r="QM225" s="16">
        <v>55.4</v>
      </c>
      <c r="QN225" s="16">
        <v>80.400000000000006</v>
      </c>
      <c r="QO225" s="16">
        <v>29.6</v>
      </c>
      <c r="QP225">
        <v>76.8</v>
      </c>
      <c r="QQ225" s="17">
        <v>0</v>
      </c>
      <c r="QR225">
        <v>0</v>
      </c>
      <c r="QS225">
        <v>0</v>
      </c>
      <c r="QT225">
        <v>0</v>
      </c>
      <c r="QV225">
        <v>4.83</v>
      </c>
      <c r="QW225">
        <v>1.71</v>
      </c>
      <c r="QX225">
        <v>0</v>
      </c>
      <c r="QY225">
        <v>0</v>
      </c>
      <c r="QZ225">
        <v>0</v>
      </c>
      <c r="RA225">
        <v>1.51</v>
      </c>
      <c r="RB225">
        <v>1.85</v>
      </c>
      <c r="RC225">
        <v>2.31</v>
      </c>
      <c r="RD225">
        <v>19.079999999999998</v>
      </c>
      <c r="RE225">
        <v>18.37</v>
      </c>
      <c r="RF225">
        <v>0</v>
      </c>
      <c r="RG225">
        <v>0</v>
      </c>
      <c r="RH225">
        <v>0</v>
      </c>
      <c r="RN225">
        <v>0</v>
      </c>
      <c r="RT225">
        <v>22.9</v>
      </c>
      <c r="RU225">
        <v>1</v>
      </c>
      <c r="RV225">
        <v>34</v>
      </c>
      <c r="RW225">
        <v>1</v>
      </c>
      <c r="RX225">
        <v>1.19</v>
      </c>
      <c r="RY225">
        <v>1</v>
      </c>
      <c r="RZ225">
        <v>47</v>
      </c>
      <c r="SA225">
        <f>7+3+1+2+3+5+7+1+7+2+7+5+5</f>
        <v>55</v>
      </c>
      <c r="SB225">
        <f>(0.3*7)+0.15+0.3+0.9+0.6+0.45+0.6+(0.3*3)+(0.3*5)+(0.3*7)+0.9+(0.3*7)+(0.4)+(0.3*7)+(0.3*5)+(0.3*5)</f>
        <v>18.100000000000001</v>
      </c>
      <c r="SC225">
        <v>2</v>
      </c>
      <c r="SF225" s="20"/>
      <c r="SX225">
        <v>0</v>
      </c>
      <c r="UI225" s="16">
        <v>0.06</v>
      </c>
      <c r="UJ225" s="16">
        <v>1</v>
      </c>
      <c r="UK225" s="16">
        <v>1</v>
      </c>
      <c r="UL225" s="16"/>
      <c r="UM225" s="16">
        <v>0.1</v>
      </c>
      <c r="UN225" s="16"/>
      <c r="UO225" s="16"/>
      <c r="UP225" s="16"/>
      <c r="UQ225" s="16"/>
      <c r="UR225" s="16"/>
      <c r="US225" s="16"/>
      <c r="UT225" s="16">
        <v>5.42</v>
      </c>
      <c r="UU225" s="16">
        <v>8.83</v>
      </c>
      <c r="UV225" s="16">
        <v>0</v>
      </c>
      <c r="UW225" s="16">
        <v>0</v>
      </c>
      <c r="UX225" s="16">
        <v>1.99</v>
      </c>
      <c r="UY225" s="16">
        <v>0</v>
      </c>
      <c r="UZ225" s="16">
        <v>0</v>
      </c>
      <c r="VA225">
        <v>2</v>
      </c>
      <c r="VE225" s="15"/>
      <c r="VF225" s="15"/>
      <c r="VM225" s="15"/>
      <c r="VN225" s="15"/>
      <c r="VU225" s="15"/>
      <c r="VV225" s="15"/>
      <c r="WC225" s="15"/>
      <c r="WD225" s="15"/>
      <c r="WK225" s="15"/>
      <c r="WL225" s="15"/>
      <c r="WS225" s="15"/>
      <c r="WT225" s="15"/>
      <c r="XA225" s="15"/>
      <c r="XB225" s="15"/>
      <c r="XI225" s="15"/>
      <c r="XJ225" s="15"/>
      <c r="XQ225" s="15"/>
      <c r="XR225" s="15"/>
      <c r="XY225" s="15"/>
      <c r="XZ225" s="15"/>
      <c r="YG225" s="15"/>
      <c r="YH225" s="15"/>
      <c r="YO225" s="15"/>
      <c r="YP225" s="15"/>
      <c r="YW225" s="15"/>
      <c r="YX225" s="15"/>
      <c r="ZE225" s="15"/>
      <c r="ZF225" s="15"/>
      <c r="ZM225" s="15"/>
      <c r="ZN225" s="15"/>
      <c r="ZU225" s="15"/>
      <c r="ZV225" s="15"/>
      <c r="AAC225" s="15"/>
      <c r="AAD225" s="15"/>
      <c r="AAK225" s="15"/>
      <c r="AAL225" s="15"/>
      <c r="AAS225" s="15"/>
      <c r="AAT225" s="15"/>
      <c r="ABA225" s="15"/>
      <c r="ABB225" s="15"/>
      <c r="ABI225" s="15"/>
      <c r="ABJ225" s="15"/>
      <c r="ABQ225" s="15"/>
      <c r="ABR225" s="15"/>
      <c r="ABY225" s="15"/>
      <c r="ABZ225" s="15"/>
      <c r="ACG225" s="15"/>
      <c r="ACH225" s="15"/>
      <c r="ACO225" s="15"/>
      <c r="ACP225" s="15"/>
      <c r="ACW225" s="15"/>
      <c r="ACX225" s="15"/>
      <c r="ADE225" s="15"/>
      <c r="ADF225" s="15"/>
      <c r="ADM225" s="15"/>
      <c r="ADN225" s="15"/>
      <c r="ADU225" s="15"/>
      <c r="ADV225" s="15"/>
      <c r="AEC225" s="15"/>
      <c r="AED225" s="15"/>
      <c r="AEK225" s="15"/>
      <c r="AEL225" s="15"/>
      <c r="AES225" s="15"/>
      <c r="AET225" s="15"/>
      <c r="AFA225" s="15"/>
      <c r="AFB225" s="15"/>
      <c r="AFI225" s="15"/>
      <c r="AFJ225" s="15"/>
      <c r="AFQ225" s="15"/>
      <c r="AFR225" s="15"/>
      <c r="AFY225" s="15"/>
      <c r="AFZ225" s="15"/>
      <c r="AGG225" s="15"/>
      <c r="AGH225" s="15"/>
      <c r="AGO225" s="15"/>
      <c r="AGP225" s="15"/>
      <c r="AGW225" s="15"/>
      <c r="AGX225" s="15"/>
      <c r="AHE225" s="15"/>
      <c r="AHF225" s="15"/>
      <c r="AHM225" s="15"/>
      <c r="AHN225" s="15"/>
      <c r="AHU225" s="15"/>
      <c r="AHV225" s="15"/>
      <c r="AIC225" s="15"/>
      <c r="AID225" s="15"/>
      <c r="AIK225" s="15"/>
      <c r="AIL225" s="15"/>
      <c r="AIS225" s="15"/>
      <c r="AIT225" s="15"/>
      <c r="AJA225" s="15"/>
      <c r="AJB225" s="15"/>
      <c r="AJI225" s="15"/>
      <c r="AJJ225" s="15"/>
      <c r="AJQ225" s="15"/>
      <c r="AJR225" s="15"/>
      <c r="AJY225" s="15"/>
      <c r="AJZ225" s="15"/>
      <c r="AKG225" s="15"/>
      <c r="AKH225" s="15"/>
      <c r="AKO225" s="15"/>
      <c r="AKP225" s="15"/>
      <c r="AKW225" s="15"/>
      <c r="AKX225" s="15"/>
      <c r="ALE225" s="15"/>
      <c r="ALF225" s="15"/>
      <c r="ALM225" s="15"/>
      <c r="ALN225" s="15"/>
      <c r="ALU225" s="15"/>
      <c r="ALV225" s="15"/>
      <c r="AMC225" s="15"/>
      <c r="AMD225" s="15"/>
    </row>
    <row r="226" spans="1:1024" x14ac:dyDescent="0.2">
      <c r="A226" s="1" t="s">
        <v>739</v>
      </c>
      <c r="B226" s="12">
        <v>42905</v>
      </c>
      <c r="C226">
        <v>2</v>
      </c>
      <c r="D226" s="13">
        <v>34960</v>
      </c>
      <c r="E226" s="12">
        <v>27808</v>
      </c>
      <c r="F226" s="14">
        <f t="shared" si="62"/>
        <v>41.333333333333336</v>
      </c>
      <c r="G226" s="14">
        <f t="shared" si="63"/>
        <v>21.752224503764545</v>
      </c>
      <c r="H226" s="19" t="s">
        <v>181</v>
      </c>
      <c r="I226" t="s">
        <v>194</v>
      </c>
      <c r="J226" s="21" t="s">
        <v>183</v>
      </c>
      <c r="K226" s="21">
        <v>4</v>
      </c>
      <c r="L226" s="19">
        <v>82</v>
      </c>
      <c r="M226">
        <v>1.81</v>
      </c>
      <c r="N226" s="16">
        <f t="shared" si="64"/>
        <v>25.029760996306585</v>
      </c>
      <c r="O226" s="19">
        <v>0</v>
      </c>
      <c r="P226" s="19">
        <v>0</v>
      </c>
      <c r="Q226" s="19">
        <v>0</v>
      </c>
      <c r="R226" s="26">
        <v>0</v>
      </c>
      <c r="S226" s="26">
        <v>0</v>
      </c>
      <c r="T226" s="26">
        <v>0</v>
      </c>
      <c r="U226" s="19">
        <v>1</v>
      </c>
      <c r="V226" s="19">
        <v>1</v>
      </c>
      <c r="W226" s="19">
        <v>1</v>
      </c>
      <c r="X226" s="19">
        <v>0</v>
      </c>
      <c r="Y226" s="19">
        <v>1</v>
      </c>
      <c r="Z226" s="19">
        <v>2</v>
      </c>
      <c r="AA226" s="19">
        <v>10</v>
      </c>
      <c r="AB226" s="19" t="s">
        <v>740</v>
      </c>
      <c r="AC226" s="19">
        <v>0</v>
      </c>
      <c r="AD226" s="19">
        <v>0</v>
      </c>
      <c r="AE226" s="19">
        <v>1</v>
      </c>
      <c r="AF226" s="19"/>
      <c r="AG226" s="19"/>
      <c r="AH226" s="19"/>
      <c r="AI226" s="19">
        <v>3</v>
      </c>
      <c r="AJ226" s="19"/>
      <c r="AK226" s="19">
        <v>1</v>
      </c>
      <c r="AL226" s="19">
        <v>3</v>
      </c>
      <c r="AM226" s="19">
        <v>0</v>
      </c>
      <c r="AN226" s="19"/>
      <c r="AO226" s="19"/>
      <c r="AP226" s="19"/>
      <c r="AQ226" s="19"/>
      <c r="AR226" s="19"/>
      <c r="AS226" s="19">
        <v>1</v>
      </c>
      <c r="AT226" s="19">
        <v>1</v>
      </c>
      <c r="AU226" s="19"/>
      <c r="AV226" s="19"/>
      <c r="AW226" s="19"/>
      <c r="AX226" s="19"/>
      <c r="AY226" s="19"/>
      <c r="AZ226" s="19"/>
      <c r="BA226" s="19"/>
      <c r="BB226" s="19">
        <v>1</v>
      </c>
      <c r="BC226" s="19">
        <v>1</v>
      </c>
      <c r="BD226" s="19"/>
      <c r="BE226" s="19"/>
      <c r="BF226" s="19">
        <v>1</v>
      </c>
      <c r="BG226" s="19"/>
      <c r="BH226" s="19"/>
      <c r="BI226" s="19"/>
      <c r="BJ226" s="19"/>
      <c r="BK226" s="19"/>
      <c r="BL226" s="19"/>
      <c r="BM226" s="19"/>
      <c r="BN226" s="19"/>
      <c r="BO226" s="19"/>
      <c r="BP226" s="19"/>
      <c r="BQ226" s="19"/>
      <c r="BR226" s="19">
        <v>4</v>
      </c>
      <c r="BS226" s="19">
        <v>4</v>
      </c>
      <c r="BT226" s="19">
        <v>4</v>
      </c>
      <c r="BU226" s="19">
        <v>5</v>
      </c>
      <c r="BV226" s="19">
        <v>5</v>
      </c>
      <c r="BW226" s="19">
        <v>5</v>
      </c>
      <c r="BX226" s="19">
        <v>4</v>
      </c>
      <c r="BY226" s="19">
        <v>5</v>
      </c>
      <c r="BZ226" s="19">
        <v>1</v>
      </c>
      <c r="CA226" s="19">
        <v>4</v>
      </c>
      <c r="CB226" s="19">
        <v>3</v>
      </c>
      <c r="CC226" s="19">
        <v>5</v>
      </c>
      <c r="CD226" s="19">
        <v>1</v>
      </c>
      <c r="CE226" s="19">
        <v>1</v>
      </c>
      <c r="CF226" s="19">
        <v>3</v>
      </c>
      <c r="CG226" s="19">
        <v>3</v>
      </c>
      <c r="CH226" s="19">
        <v>5</v>
      </c>
      <c r="CI226" s="19">
        <v>3</v>
      </c>
      <c r="CJ226" s="19">
        <v>1</v>
      </c>
      <c r="CK226" s="19">
        <v>4</v>
      </c>
      <c r="CL226" t="s">
        <v>195</v>
      </c>
      <c r="CM226">
        <v>37.5</v>
      </c>
      <c r="CN226" s="16">
        <v>87.4</v>
      </c>
      <c r="CO226" s="16">
        <v>80.400000000000006</v>
      </c>
      <c r="CP226" s="16">
        <v>18.5</v>
      </c>
      <c r="CQ226">
        <v>84.21</v>
      </c>
      <c r="CR226" s="17">
        <v>0</v>
      </c>
      <c r="CS226">
        <v>0</v>
      </c>
      <c r="CT226">
        <v>0</v>
      </c>
      <c r="CU226">
        <v>15.79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26.71</v>
      </c>
      <c r="DC226">
        <v>13.13</v>
      </c>
      <c r="DD226">
        <v>49.12</v>
      </c>
      <c r="DE226">
        <v>14.67</v>
      </c>
      <c r="DF226">
        <v>0</v>
      </c>
      <c r="DG226">
        <v>0</v>
      </c>
      <c r="DH226">
        <v>0</v>
      </c>
      <c r="DU226">
        <v>1.1000000000000001</v>
      </c>
      <c r="DV226">
        <v>1</v>
      </c>
      <c r="DW226">
        <v>52</v>
      </c>
      <c r="DX226">
        <v>1</v>
      </c>
      <c r="DY226">
        <v>0.22</v>
      </c>
      <c r="DZ226">
        <v>2</v>
      </c>
      <c r="EA226">
        <v>35</v>
      </c>
      <c r="EB226">
        <v>2</v>
      </c>
      <c r="EC226">
        <v>0.16</v>
      </c>
      <c r="ED226">
        <v>3</v>
      </c>
      <c r="EG226" s="20"/>
      <c r="EY226">
        <v>0</v>
      </c>
      <c r="GJ226" s="16">
        <v>4.3</v>
      </c>
      <c r="GK226" s="16">
        <v>1</v>
      </c>
      <c r="GL226" s="16">
        <v>1</v>
      </c>
      <c r="GM226" s="16"/>
      <c r="GN226" s="16">
        <f>(2.11*6)+0.9+0.9+0.62+0.62+0.93+0.3+0.3+0.22+0.22+0.23+0.22+0.22+0.22</f>
        <v>18.559999999999995</v>
      </c>
      <c r="GO226" s="16"/>
      <c r="GP226" s="16"/>
      <c r="GQ226" s="16"/>
      <c r="GR226" s="16"/>
      <c r="GS226" s="16"/>
      <c r="GT226" s="16"/>
      <c r="GU226" s="16">
        <v>10.31</v>
      </c>
      <c r="GV226" s="16">
        <v>34.85</v>
      </c>
      <c r="GW226" s="16">
        <v>0</v>
      </c>
      <c r="GX226" s="16">
        <v>0</v>
      </c>
      <c r="GY226" s="16">
        <v>0</v>
      </c>
      <c r="GZ226" s="16">
        <v>0</v>
      </c>
      <c r="HA226" s="16">
        <v>0</v>
      </c>
      <c r="HB226">
        <v>0</v>
      </c>
      <c r="HC226" t="s">
        <v>196</v>
      </c>
      <c r="HD226">
        <v>39.5</v>
      </c>
      <c r="HE226" s="16">
        <v>89.8</v>
      </c>
      <c r="HF226" s="16">
        <v>80.400000000000006</v>
      </c>
      <c r="HG226" s="16">
        <v>5.0999999999999996</v>
      </c>
      <c r="HH226">
        <v>100</v>
      </c>
      <c r="HI226" s="17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50.37</v>
      </c>
      <c r="HU226">
        <v>16.55</v>
      </c>
      <c r="HV226">
        <v>0.4</v>
      </c>
      <c r="HW226">
        <v>0</v>
      </c>
      <c r="HX226">
        <v>27.4</v>
      </c>
      <c r="HY226">
        <v>1</v>
      </c>
      <c r="HZ226">
        <v>3</v>
      </c>
      <c r="IB226">
        <v>4</v>
      </c>
      <c r="IF226">
        <v>3</v>
      </c>
      <c r="IH226">
        <v>4</v>
      </c>
      <c r="IL226">
        <v>0.1</v>
      </c>
      <c r="IM226">
        <v>1</v>
      </c>
      <c r="IN226">
        <v>34</v>
      </c>
      <c r="IO226">
        <v>9</v>
      </c>
      <c r="IP226">
        <f>(1.71*3)+(0.2*2)</f>
        <v>5.53</v>
      </c>
      <c r="IQ226">
        <v>1</v>
      </c>
      <c r="IR226">
        <v>35</v>
      </c>
      <c r="IS226">
        <v>1</v>
      </c>
      <c r="IT226" s="16">
        <v>0.02</v>
      </c>
      <c r="IU226">
        <v>3</v>
      </c>
      <c r="IX226" s="20"/>
      <c r="JP226">
        <v>0</v>
      </c>
      <c r="LA226" s="16">
        <v>1.49</v>
      </c>
      <c r="LB226" s="16">
        <v>1</v>
      </c>
      <c r="LC226" s="16">
        <v>1</v>
      </c>
      <c r="LD226" s="16"/>
      <c r="LE226" s="16">
        <f>2.11+2.11+0.56+0.56</f>
        <v>5.34</v>
      </c>
      <c r="LF226" s="16"/>
      <c r="LG226" s="16"/>
      <c r="LH226" s="16"/>
      <c r="LI226" s="16"/>
      <c r="LJ226" s="16"/>
      <c r="LK226" s="16"/>
      <c r="LL226" s="16">
        <v>5.01</v>
      </c>
      <c r="LM226" s="16">
        <v>5.13</v>
      </c>
      <c r="LN226" s="16">
        <v>0</v>
      </c>
      <c r="LO226" s="16">
        <v>0</v>
      </c>
      <c r="LP226" s="16">
        <v>0</v>
      </c>
      <c r="LQ226" s="16">
        <v>0</v>
      </c>
      <c r="LR226" s="16">
        <v>0</v>
      </c>
      <c r="LS226">
        <v>0</v>
      </c>
      <c r="LT226" t="s">
        <v>197</v>
      </c>
      <c r="LU226">
        <v>49.5</v>
      </c>
      <c r="LV226" s="16">
        <v>90.1</v>
      </c>
      <c r="LW226" s="16">
        <v>80.400000000000006</v>
      </c>
      <c r="LX226" s="16">
        <v>9.9</v>
      </c>
      <c r="LY226">
        <v>94.62</v>
      </c>
      <c r="LZ226" s="17">
        <v>0</v>
      </c>
      <c r="MA226">
        <v>0.32</v>
      </c>
      <c r="MB226">
        <v>0</v>
      </c>
      <c r="MC226">
        <v>5.05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3.42</v>
      </c>
      <c r="MK226">
        <v>32.25</v>
      </c>
      <c r="ML226">
        <v>29.89</v>
      </c>
      <c r="MM226">
        <v>8.2799999999999994</v>
      </c>
      <c r="MN226">
        <v>0</v>
      </c>
      <c r="MO226">
        <v>12.9</v>
      </c>
      <c r="MP226">
        <v>1</v>
      </c>
      <c r="MQ226">
        <v>7</v>
      </c>
      <c r="MS226">
        <v>5</v>
      </c>
      <c r="MT226">
        <v>3</v>
      </c>
      <c r="MV226">
        <v>3</v>
      </c>
      <c r="MW226">
        <v>7</v>
      </c>
      <c r="MY226">
        <v>5</v>
      </c>
      <c r="MZ226">
        <v>3</v>
      </c>
      <c r="NB226">
        <v>3</v>
      </c>
      <c r="NC226">
        <v>16.600000000000001</v>
      </c>
      <c r="ND226">
        <v>1</v>
      </c>
      <c r="NE226">
        <v>68</v>
      </c>
      <c r="NF226">
        <v>6</v>
      </c>
      <c r="NG226">
        <v>0.21</v>
      </c>
      <c r="NH226">
        <v>1</v>
      </c>
      <c r="NI226">
        <v>35</v>
      </c>
      <c r="NJ226">
        <v>3</v>
      </c>
      <c r="NK226">
        <v>0.51</v>
      </c>
      <c r="NL226">
        <v>3</v>
      </c>
      <c r="NM226">
        <v>47</v>
      </c>
      <c r="NN226">
        <v>22</v>
      </c>
      <c r="NO226" s="20">
        <f>(0.43*3)+(0.07*4)+0.22</f>
        <v>1.79</v>
      </c>
      <c r="NP226">
        <v>3</v>
      </c>
      <c r="OG226">
        <v>1</v>
      </c>
      <c r="OH226">
        <v>60</v>
      </c>
      <c r="OI226">
        <v>17</v>
      </c>
      <c r="OJ226">
        <f>0.22+0.04+0.11+0.08+0.08+0.05</f>
        <v>0.58000000000000007</v>
      </c>
      <c r="OK226">
        <v>3</v>
      </c>
      <c r="OL226">
        <v>60</v>
      </c>
      <c r="OM226">
        <v>12</v>
      </c>
      <c r="ON226">
        <f>0.87+0.43+0.15+0.07</f>
        <v>1.52</v>
      </c>
      <c r="OO226">
        <v>1</v>
      </c>
      <c r="PR226" s="16">
        <v>2.4900000000000002</v>
      </c>
      <c r="PS226" s="16">
        <v>1</v>
      </c>
      <c r="PT226" s="16">
        <v>1</v>
      </c>
      <c r="PU226" s="16"/>
      <c r="PV226" s="16">
        <v>10.89</v>
      </c>
      <c r="PW226" s="16"/>
      <c r="PX226" s="16"/>
      <c r="PY226" s="16"/>
      <c r="PZ226" s="16"/>
      <c r="QA226" s="16"/>
      <c r="QB226" s="16"/>
      <c r="QC226" s="16">
        <v>4.17</v>
      </c>
      <c r="QD226" s="16">
        <v>3.7</v>
      </c>
      <c r="QE226" s="16">
        <v>0</v>
      </c>
      <c r="QF226" s="16">
        <v>0</v>
      </c>
      <c r="QG226" s="16">
        <v>0</v>
      </c>
      <c r="QH226" s="16">
        <v>0</v>
      </c>
      <c r="QI226" s="16">
        <v>0</v>
      </c>
      <c r="QJ226">
        <v>0</v>
      </c>
      <c r="QK226" t="s">
        <v>198</v>
      </c>
      <c r="QL226">
        <v>28.5</v>
      </c>
      <c r="QM226" s="16">
        <v>78.400000000000006</v>
      </c>
      <c r="QN226" s="16">
        <v>80.400000000000006</v>
      </c>
      <c r="QO226" s="16">
        <v>16</v>
      </c>
      <c r="QP226">
        <v>95.22</v>
      </c>
      <c r="QQ226" s="17">
        <v>0</v>
      </c>
      <c r="QR226">
        <v>4.2300000000000004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9.77</v>
      </c>
      <c r="RB226">
        <v>2.1800000000000002</v>
      </c>
      <c r="RC226">
        <v>46.81</v>
      </c>
      <c r="RD226">
        <v>10.57</v>
      </c>
      <c r="RE226">
        <v>0</v>
      </c>
      <c r="RF226">
        <v>0</v>
      </c>
      <c r="RG226">
        <v>0</v>
      </c>
      <c r="RT226">
        <v>0</v>
      </c>
      <c r="RU226">
        <v>0</v>
      </c>
      <c r="SF226" s="20"/>
      <c r="SX226">
        <v>0</v>
      </c>
      <c r="UI226" s="16">
        <v>4.2300000000000004</v>
      </c>
      <c r="UJ226" s="16">
        <v>1</v>
      </c>
      <c r="UK226" s="16">
        <v>2</v>
      </c>
      <c r="UL226" s="16"/>
      <c r="UM226" s="16">
        <v>6.34</v>
      </c>
      <c r="UN226" s="16">
        <v>1</v>
      </c>
      <c r="UO226" s="16">
        <v>1</v>
      </c>
      <c r="UP226" s="16">
        <f>9.52+3.17+3.17+3.17+1.12+1.12+1.12</f>
        <v>22.390000000000004</v>
      </c>
      <c r="UQ226" s="16"/>
      <c r="UR226" s="16"/>
      <c r="US226" s="16"/>
      <c r="UT226" s="16">
        <v>5.41</v>
      </c>
      <c r="UU226" s="16">
        <v>8.9600000000000009</v>
      </c>
      <c r="UV226" s="16">
        <v>0</v>
      </c>
      <c r="UW226" s="16">
        <v>0</v>
      </c>
      <c r="UX226" s="16">
        <v>0</v>
      </c>
      <c r="UY226" s="16">
        <v>0</v>
      </c>
      <c r="UZ226" s="16">
        <v>0</v>
      </c>
      <c r="VA226">
        <v>0</v>
      </c>
      <c r="VB226" t="s">
        <v>199</v>
      </c>
      <c r="VC226">
        <v>56.5</v>
      </c>
      <c r="VD226" s="16">
        <v>88.4</v>
      </c>
      <c r="VE226" s="16">
        <v>80.400000000000006</v>
      </c>
      <c r="VF226" s="16">
        <v>24.8</v>
      </c>
      <c r="VG226">
        <v>77.37</v>
      </c>
      <c r="VH226" s="17">
        <v>0</v>
      </c>
      <c r="VI226">
        <v>7.99</v>
      </c>
      <c r="VJ226">
        <v>0</v>
      </c>
      <c r="VK226">
        <v>14.63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8.0399999999999991</v>
      </c>
      <c r="VS226">
        <v>23.21</v>
      </c>
      <c r="VT226">
        <v>37.03</v>
      </c>
      <c r="VU226">
        <v>14.79</v>
      </c>
      <c r="VV226">
        <v>0</v>
      </c>
      <c r="VW226">
        <v>0</v>
      </c>
      <c r="VX226">
        <v>0</v>
      </c>
      <c r="WK226">
        <v>25.5</v>
      </c>
      <c r="WL226">
        <v>1</v>
      </c>
      <c r="WM226">
        <v>52</v>
      </c>
      <c r="WN226">
        <v>13</v>
      </c>
      <c r="WO226">
        <f>0.27+1.07+0.13+0.27</f>
        <v>1.7400000000000002</v>
      </c>
      <c r="WP226">
        <v>2</v>
      </c>
      <c r="WQ226">
        <v>35</v>
      </c>
      <c r="WR226">
        <v>3</v>
      </c>
      <c r="WS226">
        <f>0.13+0.08+0.24</f>
        <v>0.45</v>
      </c>
      <c r="WT226">
        <v>3</v>
      </c>
      <c r="WU226">
        <v>47</v>
      </c>
      <c r="WV226">
        <v>5</v>
      </c>
      <c r="WW226" s="20">
        <f>0.76+1.14+0.76+0.13+0.08</f>
        <v>2.87</v>
      </c>
      <c r="WX226">
        <v>3</v>
      </c>
      <c r="XO226">
        <v>0</v>
      </c>
      <c r="YZ226" s="16">
        <v>2.59</v>
      </c>
      <c r="ZA226" s="16">
        <v>1</v>
      </c>
      <c r="ZB226" s="16">
        <v>1</v>
      </c>
      <c r="ZC226" s="16"/>
      <c r="ZD226" s="16">
        <f>(2.11*4)+0.37</f>
        <v>8.8099999999999987</v>
      </c>
      <c r="ZE226" s="16"/>
      <c r="ZF226" s="16"/>
      <c r="ZG226" s="16"/>
      <c r="ZH226" s="16"/>
      <c r="ZI226" s="16"/>
      <c r="ZJ226" s="16"/>
      <c r="ZK226" s="16">
        <v>1.33</v>
      </c>
      <c r="ZL226" s="16">
        <v>0.89</v>
      </c>
      <c r="ZM226" s="16">
        <v>0</v>
      </c>
      <c r="ZN226" s="16">
        <v>0</v>
      </c>
      <c r="ZO226" s="16">
        <v>0</v>
      </c>
      <c r="ZP226" s="16">
        <v>0</v>
      </c>
      <c r="ZQ226" s="16">
        <v>0</v>
      </c>
      <c r="ZR226">
        <v>0</v>
      </c>
      <c r="ZS226" t="s">
        <v>200</v>
      </c>
      <c r="ZT226">
        <v>28.5</v>
      </c>
      <c r="ZU226" s="16">
        <v>69.400000000000006</v>
      </c>
      <c r="ZV226" s="16">
        <v>80.400000000000006</v>
      </c>
      <c r="ZW226" s="16">
        <v>9.8000000000000007</v>
      </c>
      <c r="ZX226">
        <v>96.02</v>
      </c>
      <c r="ZY226" s="17">
        <v>0</v>
      </c>
      <c r="ZZ226">
        <v>3.98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16.55</v>
      </c>
      <c r="AAK226">
        <v>26.49</v>
      </c>
      <c r="AAL226">
        <v>6.34</v>
      </c>
      <c r="AAM226">
        <v>0</v>
      </c>
      <c r="AAN226">
        <v>0</v>
      </c>
      <c r="AAO226">
        <v>0</v>
      </c>
      <c r="ABB226">
        <v>10.199999999999999</v>
      </c>
      <c r="ABC226">
        <v>1</v>
      </c>
      <c r="ABD226">
        <v>35</v>
      </c>
      <c r="ABE226">
        <v>1</v>
      </c>
      <c r="ABF226">
        <v>0.02</v>
      </c>
      <c r="ABG226">
        <v>3</v>
      </c>
      <c r="ABH226">
        <v>70</v>
      </c>
      <c r="ABI226">
        <v>2</v>
      </c>
      <c r="ABJ226">
        <v>0.27</v>
      </c>
      <c r="ABK226">
        <v>3</v>
      </c>
      <c r="ABN226" s="20"/>
      <c r="ACF226">
        <v>1</v>
      </c>
      <c r="ACG226">
        <v>50</v>
      </c>
      <c r="ACH226">
        <v>5</v>
      </c>
      <c r="ACI226">
        <f>1.52+0.5+0.19+0.12</f>
        <v>2.33</v>
      </c>
      <c r="ACJ226">
        <v>3</v>
      </c>
      <c r="ADQ226" s="16">
        <v>2.63</v>
      </c>
      <c r="ADR226" s="16">
        <v>1</v>
      </c>
      <c r="ADS226" s="16">
        <v>1</v>
      </c>
      <c r="ADT226" s="16"/>
      <c r="ADU226" s="16">
        <f>0.04+2.11+3.17+0.37+0.56</f>
        <v>6.25</v>
      </c>
      <c r="ADV226" s="16">
        <v>2</v>
      </c>
      <c r="ADW226" s="16"/>
      <c r="ADX226" s="16">
        <f>0.53+0.53+0.11+0.07+0.15</f>
        <v>1.3900000000000001</v>
      </c>
      <c r="ADY226" s="16"/>
      <c r="ADZ226" s="16"/>
      <c r="AEA226" s="16"/>
      <c r="AEB226" s="16">
        <v>3.33</v>
      </c>
      <c r="AEC226" s="16">
        <v>2.06</v>
      </c>
      <c r="AED226" s="16">
        <v>0</v>
      </c>
      <c r="AEE226" s="16">
        <v>0</v>
      </c>
      <c r="AEF226" s="16">
        <v>0</v>
      </c>
      <c r="AEG226" s="16">
        <v>0</v>
      </c>
      <c r="AEH226" s="16">
        <v>0</v>
      </c>
      <c r="AEI226">
        <v>0</v>
      </c>
      <c r="AEJ226" t="s">
        <v>201</v>
      </c>
      <c r="AEK226">
        <v>48.5</v>
      </c>
      <c r="AEL226" s="16">
        <v>89.7</v>
      </c>
      <c r="AEM226" s="16">
        <v>80.400000000000006</v>
      </c>
      <c r="AEN226" s="16">
        <v>9.3000000000000007</v>
      </c>
      <c r="AEO226">
        <v>100</v>
      </c>
      <c r="AEP226" s="17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1.65</v>
      </c>
      <c r="AFA226">
        <v>2.69</v>
      </c>
      <c r="AFB226">
        <v>54.55</v>
      </c>
      <c r="AFC226">
        <v>11.29</v>
      </c>
      <c r="AFD226">
        <v>0</v>
      </c>
      <c r="AFE226">
        <v>0</v>
      </c>
      <c r="AFF226">
        <v>0</v>
      </c>
      <c r="AFS226">
        <v>30.6</v>
      </c>
      <c r="AFT226">
        <v>1</v>
      </c>
      <c r="AFU226">
        <v>35</v>
      </c>
      <c r="AFV226">
        <v>14</v>
      </c>
      <c r="AFW226">
        <f>3.05+1.52+1.52+0.27+0.03+0.07</f>
        <v>6.46</v>
      </c>
      <c r="AFX226">
        <v>3</v>
      </c>
      <c r="AFY226">
        <v>47</v>
      </c>
      <c r="AFZ226">
        <v>6</v>
      </c>
      <c r="AGA226">
        <f>1.52+0.27*2</f>
        <v>2.06</v>
      </c>
      <c r="AGB226">
        <v>3</v>
      </c>
      <c r="AGE226" s="20"/>
      <c r="AGW226">
        <v>0</v>
      </c>
      <c r="AIH226" s="16">
        <v>3.34</v>
      </c>
      <c r="AII226" s="16">
        <v>1</v>
      </c>
      <c r="AIJ226" s="16">
        <v>1</v>
      </c>
      <c r="AIK226" s="16"/>
      <c r="AIL226" s="16">
        <f>4.23+1.14+2.11+4.23+1.37+0.02+2.03+0.75+0.37+0.13</f>
        <v>16.38</v>
      </c>
      <c r="AIM226" s="16"/>
      <c r="AIN226" s="16"/>
      <c r="AIO226" s="16"/>
      <c r="AIP226" s="16"/>
      <c r="AIQ226" s="16"/>
      <c r="AIR226" s="16"/>
      <c r="AIS226" s="16">
        <v>1.45</v>
      </c>
      <c r="AIT226" s="16">
        <v>1.46</v>
      </c>
      <c r="AIU226" s="16">
        <v>0</v>
      </c>
      <c r="AIV226" s="16">
        <v>0</v>
      </c>
      <c r="AIW226" s="16">
        <v>0</v>
      </c>
      <c r="AIX226" s="16">
        <v>0</v>
      </c>
      <c r="AIY226" s="16">
        <v>0</v>
      </c>
      <c r="AIZ226">
        <v>0</v>
      </c>
      <c r="AJA226" t="s">
        <v>202</v>
      </c>
      <c r="AJB226">
        <v>60</v>
      </c>
      <c r="AJC226" s="16">
        <v>55.4</v>
      </c>
      <c r="AJD226" s="16">
        <v>80.400000000000006</v>
      </c>
      <c r="AJE226" s="16">
        <v>29.6</v>
      </c>
      <c r="AJF226">
        <v>76.8</v>
      </c>
      <c r="AJG226" s="17">
        <v>0</v>
      </c>
      <c r="AJH226">
        <v>0</v>
      </c>
      <c r="AJI226">
        <v>0</v>
      </c>
      <c r="AJJ226">
        <v>0</v>
      </c>
      <c r="AJL226">
        <v>4.83</v>
      </c>
      <c r="AJM226">
        <v>1.71</v>
      </c>
      <c r="AJN226">
        <v>0</v>
      </c>
      <c r="AJO226">
        <v>0</v>
      </c>
      <c r="AJP226">
        <v>0</v>
      </c>
      <c r="AJQ226">
        <v>1.51</v>
      </c>
      <c r="AJR226">
        <v>1.85</v>
      </c>
      <c r="AJS226">
        <v>2.31</v>
      </c>
      <c r="AJT226">
        <v>19.079999999999998</v>
      </c>
      <c r="AJU226">
        <v>18.37</v>
      </c>
      <c r="AJV226">
        <v>0</v>
      </c>
      <c r="AJW226">
        <v>0</v>
      </c>
      <c r="AJX226">
        <v>0</v>
      </c>
      <c r="AKD226">
        <v>0</v>
      </c>
      <c r="AKJ226">
        <v>22.9</v>
      </c>
      <c r="AKK226">
        <v>1</v>
      </c>
      <c r="AKL226">
        <v>34</v>
      </c>
      <c r="AKM226">
        <v>1</v>
      </c>
      <c r="AKN226">
        <v>1.19</v>
      </c>
      <c r="AKO226">
        <v>1</v>
      </c>
      <c r="AKP226">
        <v>47</v>
      </c>
      <c r="AKQ226">
        <f>7+3+1+2+3+5+7+1+7+2+7+5+5</f>
        <v>55</v>
      </c>
      <c r="AKR226">
        <f>(0.3*7)+0.15+0.3+0.9+0.6+0.45+0.6+(0.3*3)+(0.3*5)+(0.3*7)+0.9+(0.3*7)+(0.4)+(0.3*7)+(0.3*5)+(0.3*5)</f>
        <v>18.100000000000001</v>
      </c>
      <c r="AKS226">
        <v>2</v>
      </c>
      <c r="AKV226" s="20"/>
      <c r="ALN226">
        <v>0</v>
      </c>
    </row>
    <row r="227" spans="1:1024" x14ac:dyDescent="0.2">
      <c r="A227" s="36" t="s">
        <v>741</v>
      </c>
      <c r="B227" s="12">
        <v>42905</v>
      </c>
      <c r="C227">
        <v>2</v>
      </c>
      <c r="D227" s="13">
        <v>42865</v>
      </c>
      <c r="E227" s="12">
        <v>33452</v>
      </c>
      <c r="F227" s="14">
        <f t="shared" si="62"/>
        <v>25.880903490759753</v>
      </c>
      <c r="G227" s="14">
        <f t="shared" si="63"/>
        <v>0.10951403148528405</v>
      </c>
      <c r="H227" s="19" t="s">
        <v>181</v>
      </c>
      <c r="I227" t="s">
        <v>194</v>
      </c>
      <c r="J227" s="21" t="s">
        <v>183</v>
      </c>
      <c r="K227" s="21">
        <v>4</v>
      </c>
      <c r="L227" s="19">
        <v>68</v>
      </c>
      <c r="M227">
        <v>1.75</v>
      </c>
      <c r="N227" s="16">
        <f t="shared" si="64"/>
        <v>22.204081632653061</v>
      </c>
      <c r="O227" s="19">
        <v>0</v>
      </c>
      <c r="P227" s="19">
        <v>0</v>
      </c>
      <c r="Q227" s="19">
        <v>0</v>
      </c>
      <c r="R227" s="26">
        <v>0</v>
      </c>
      <c r="S227" s="26">
        <v>0</v>
      </c>
      <c r="T227" s="26">
        <v>0</v>
      </c>
      <c r="U227" s="19">
        <v>0</v>
      </c>
      <c r="V227" s="19">
        <v>0</v>
      </c>
      <c r="W227" s="19">
        <v>0</v>
      </c>
      <c r="X227" s="19">
        <v>0</v>
      </c>
      <c r="Y227" s="19">
        <v>0</v>
      </c>
      <c r="Z227" s="19">
        <v>0</v>
      </c>
      <c r="AA227" s="19">
        <v>0</v>
      </c>
      <c r="AB227" s="19">
        <v>0</v>
      </c>
      <c r="AC227" s="19">
        <v>0</v>
      </c>
      <c r="AD227" s="19">
        <v>0</v>
      </c>
      <c r="AE227" s="19">
        <v>0</v>
      </c>
      <c r="AF227" s="19">
        <v>0</v>
      </c>
      <c r="AG227" s="19">
        <v>0</v>
      </c>
      <c r="AH227" s="19">
        <v>0</v>
      </c>
      <c r="AI227" s="19">
        <v>0</v>
      </c>
      <c r="AJ227" s="19">
        <v>0</v>
      </c>
      <c r="AK227" s="19">
        <v>0</v>
      </c>
      <c r="AL227" s="19">
        <v>0</v>
      </c>
      <c r="AM227" s="19">
        <v>0</v>
      </c>
      <c r="AN227" s="19">
        <v>0</v>
      </c>
      <c r="AO227" s="19">
        <v>0</v>
      </c>
      <c r="AP227" s="19">
        <v>0</v>
      </c>
      <c r="AQ227" s="19">
        <v>0</v>
      </c>
      <c r="AR227" s="19">
        <v>0</v>
      </c>
      <c r="AS227" s="19">
        <v>0</v>
      </c>
      <c r="AT227" s="19">
        <v>0</v>
      </c>
      <c r="AU227" s="19">
        <v>0</v>
      </c>
      <c r="AV227" s="19">
        <v>0</v>
      </c>
      <c r="AW227" s="19">
        <v>0</v>
      </c>
      <c r="AX227" s="19">
        <v>0</v>
      </c>
      <c r="AY227" s="19">
        <v>0</v>
      </c>
      <c r="AZ227" s="19">
        <v>0</v>
      </c>
      <c r="BA227" s="19">
        <v>0</v>
      </c>
      <c r="BB227" s="19">
        <v>0</v>
      </c>
      <c r="BC227" s="19">
        <v>0</v>
      </c>
      <c r="BD227" s="19">
        <v>0</v>
      </c>
      <c r="BE227" s="19">
        <v>0</v>
      </c>
      <c r="BF227" s="19">
        <v>0</v>
      </c>
      <c r="BG227" s="19">
        <v>0</v>
      </c>
      <c r="BH227" s="19">
        <v>0</v>
      </c>
      <c r="BI227" s="19">
        <v>0</v>
      </c>
      <c r="BJ227" s="19">
        <v>0</v>
      </c>
      <c r="BK227" s="19">
        <v>0</v>
      </c>
      <c r="BL227" s="19">
        <v>0</v>
      </c>
      <c r="BM227" s="19">
        <v>0</v>
      </c>
      <c r="BN227" s="19">
        <v>0</v>
      </c>
      <c r="BO227" s="19">
        <v>0</v>
      </c>
      <c r="BP227" s="19">
        <v>0</v>
      </c>
      <c r="BQ227" s="19">
        <v>0</v>
      </c>
      <c r="BR227" s="19">
        <v>1</v>
      </c>
      <c r="BS227" s="19">
        <v>1</v>
      </c>
      <c r="BT227" s="19">
        <v>5</v>
      </c>
      <c r="BU227" s="19">
        <v>5</v>
      </c>
      <c r="BV227" s="19">
        <v>3</v>
      </c>
      <c r="BW227" s="19">
        <v>1</v>
      </c>
      <c r="BX227" s="19">
        <v>4</v>
      </c>
      <c r="BY227" s="19">
        <v>5</v>
      </c>
      <c r="BZ227" s="19">
        <v>2</v>
      </c>
      <c r="CA227" s="19">
        <v>5</v>
      </c>
      <c r="CB227" s="19">
        <v>3</v>
      </c>
      <c r="CC227" s="19">
        <v>5</v>
      </c>
      <c r="CD227" s="19">
        <v>5</v>
      </c>
      <c r="CE227" s="19">
        <v>5</v>
      </c>
      <c r="CF227" s="19">
        <v>1</v>
      </c>
      <c r="CG227" s="19">
        <v>5</v>
      </c>
      <c r="CH227" s="19">
        <v>5</v>
      </c>
      <c r="CI227" s="19">
        <v>4</v>
      </c>
      <c r="CJ227" s="19">
        <v>5</v>
      </c>
      <c r="CK227" s="19">
        <v>10</v>
      </c>
      <c r="CL227" t="s">
        <v>201</v>
      </c>
      <c r="CM227">
        <v>48.5</v>
      </c>
      <c r="CN227" s="16">
        <v>89.7</v>
      </c>
      <c r="CO227" s="16">
        <v>80.400000000000006</v>
      </c>
      <c r="CP227" s="16">
        <v>9.3000000000000007</v>
      </c>
      <c r="CQ227">
        <v>100</v>
      </c>
      <c r="CR227" s="1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1.65</v>
      </c>
      <c r="DC227">
        <v>2.69</v>
      </c>
      <c r="DD227">
        <v>54.55</v>
      </c>
      <c r="DE227">
        <v>11.29</v>
      </c>
      <c r="DF227">
        <v>0</v>
      </c>
      <c r="DG227">
        <v>0</v>
      </c>
      <c r="DH227">
        <v>0</v>
      </c>
      <c r="DU227">
        <v>30.6</v>
      </c>
      <c r="DV227">
        <v>1</v>
      </c>
      <c r="DW227">
        <v>35</v>
      </c>
      <c r="DX227">
        <v>14</v>
      </c>
      <c r="DY227">
        <f>3.05+1.52+1.52+0.27+0.03+0.07</f>
        <v>6.46</v>
      </c>
      <c r="DZ227">
        <v>3</v>
      </c>
      <c r="EA227">
        <v>47</v>
      </c>
      <c r="EB227">
        <v>6</v>
      </c>
      <c r="EC227">
        <f>1.52+0.27*2</f>
        <v>2.06</v>
      </c>
      <c r="ED227">
        <v>3</v>
      </c>
      <c r="EG227" s="20"/>
      <c r="EY227">
        <v>0</v>
      </c>
      <c r="GJ227" s="16">
        <v>3.34</v>
      </c>
      <c r="GK227" s="16">
        <v>1</v>
      </c>
      <c r="GL227" s="16">
        <v>1</v>
      </c>
      <c r="GM227" s="16"/>
      <c r="GN227" s="16">
        <f>4.23+1.14+2.11+4.23+1.37+0.02+2.03+0.75+0.37+0.13</f>
        <v>16.38</v>
      </c>
      <c r="GO227" s="16"/>
      <c r="GP227" s="16"/>
      <c r="GQ227" s="16"/>
      <c r="GR227" s="16"/>
      <c r="GS227" s="16"/>
      <c r="GT227" s="16"/>
      <c r="GU227" s="16">
        <v>1.45</v>
      </c>
      <c r="GV227" s="16">
        <v>1.46</v>
      </c>
      <c r="GW227" s="16">
        <v>0</v>
      </c>
      <c r="GX227" s="16">
        <v>0</v>
      </c>
      <c r="GY227" s="16">
        <v>0</v>
      </c>
      <c r="GZ227" s="16">
        <v>0</v>
      </c>
      <c r="HA227" s="16">
        <v>0</v>
      </c>
      <c r="HB227">
        <v>0</v>
      </c>
      <c r="HC227" t="s">
        <v>202</v>
      </c>
      <c r="HD227">
        <v>60</v>
      </c>
      <c r="HE227" s="16">
        <v>55.4</v>
      </c>
      <c r="HF227" s="16">
        <v>80.400000000000006</v>
      </c>
      <c r="HG227" s="16">
        <v>29.6</v>
      </c>
      <c r="HH227">
        <v>76.8</v>
      </c>
      <c r="HI227" s="17">
        <v>0</v>
      </c>
      <c r="HJ227">
        <v>0</v>
      </c>
      <c r="HK227">
        <v>0</v>
      </c>
      <c r="HL227">
        <v>0</v>
      </c>
      <c r="HN227">
        <v>4.83</v>
      </c>
      <c r="HO227">
        <v>1.71</v>
      </c>
      <c r="HP227">
        <v>0</v>
      </c>
      <c r="HQ227">
        <v>0</v>
      </c>
      <c r="HR227">
        <v>0</v>
      </c>
      <c r="HS227">
        <v>1.51</v>
      </c>
      <c r="HT227">
        <v>1.85</v>
      </c>
      <c r="HU227">
        <v>2.31</v>
      </c>
      <c r="HV227">
        <v>19.079999999999998</v>
      </c>
      <c r="HW227">
        <v>18.37</v>
      </c>
      <c r="HX227">
        <v>0</v>
      </c>
      <c r="HY227">
        <v>0</v>
      </c>
      <c r="HZ227">
        <v>0</v>
      </c>
      <c r="IF227">
        <v>0</v>
      </c>
      <c r="IL227">
        <v>22.9</v>
      </c>
      <c r="IM227">
        <v>1</v>
      </c>
      <c r="IN227">
        <v>34</v>
      </c>
      <c r="IO227">
        <v>1</v>
      </c>
      <c r="IP227">
        <v>1.19</v>
      </c>
      <c r="IQ227">
        <v>1</v>
      </c>
      <c r="IR227">
        <v>47</v>
      </c>
      <c r="IS227">
        <f>7+3+1+2+3+5+7+1+7+2+7+5+5</f>
        <v>55</v>
      </c>
      <c r="IT227">
        <f>(0.3*7)+0.15+0.3+0.9+0.6+0.45+0.6+(0.3*3)+(0.3*5)+(0.3*7)+0.9+(0.3*7)+(0.4)+(0.3*7)+(0.3*5)+(0.3*5)</f>
        <v>18.100000000000001</v>
      </c>
      <c r="IU227">
        <v>2</v>
      </c>
      <c r="IX227" s="20"/>
      <c r="JP227">
        <v>0</v>
      </c>
      <c r="LA227" s="16">
        <v>0.06</v>
      </c>
      <c r="LB227" s="16">
        <v>1</v>
      </c>
      <c r="LC227" s="16">
        <v>1</v>
      </c>
      <c r="LD227" s="16"/>
      <c r="LE227" s="16">
        <v>0.1</v>
      </c>
      <c r="LF227" s="16"/>
      <c r="LG227" s="16"/>
      <c r="LH227" s="16"/>
      <c r="LI227" s="16"/>
      <c r="LJ227" s="16"/>
      <c r="LK227" s="16"/>
      <c r="LL227" s="16">
        <v>5.42</v>
      </c>
      <c r="LM227" s="16">
        <v>8.83</v>
      </c>
      <c r="LN227" s="16">
        <v>0</v>
      </c>
      <c r="LO227" s="16">
        <v>0</v>
      </c>
      <c r="LP227" s="16">
        <v>1.99</v>
      </c>
      <c r="LQ227" s="16">
        <v>0</v>
      </c>
      <c r="LR227" s="16">
        <v>0</v>
      </c>
      <c r="LS227">
        <v>2</v>
      </c>
      <c r="LT227" t="s">
        <v>727</v>
      </c>
      <c r="LU227">
        <v>47.5</v>
      </c>
      <c r="LV227" s="16">
        <v>58.6</v>
      </c>
      <c r="LW227" s="16">
        <v>80.400000000000006</v>
      </c>
      <c r="LX227" s="16">
        <v>19.5</v>
      </c>
      <c r="LY227">
        <v>76.23</v>
      </c>
      <c r="LZ227" s="17">
        <v>0</v>
      </c>
      <c r="MA227">
        <v>7.5</v>
      </c>
      <c r="MB227">
        <v>0</v>
      </c>
      <c r="MC227">
        <v>16.260000000000002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22.34</v>
      </c>
      <c r="ML227">
        <v>19.22</v>
      </c>
      <c r="MM227">
        <v>9.8000000000000007</v>
      </c>
      <c r="MN227">
        <v>0.28000000000000003</v>
      </c>
      <c r="MO227">
        <v>0</v>
      </c>
      <c r="NC227">
        <v>24.1</v>
      </c>
      <c r="ND227">
        <v>1</v>
      </c>
      <c r="NE227">
        <v>47</v>
      </c>
      <c r="NF227">
        <v>6</v>
      </c>
      <c r="NG227">
        <f>2.28+0.81</f>
        <v>3.09</v>
      </c>
      <c r="NH227">
        <v>3</v>
      </c>
      <c r="NI227">
        <v>23</v>
      </c>
      <c r="NJ227">
        <v>2</v>
      </c>
      <c r="NK227">
        <v>0.54</v>
      </c>
      <c r="NL227">
        <v>3</v>
      </c>
      <c r="NO227" s="20"/>
      <c r="OG227">
        <v>0</v>
      </c>
      <c r="PR227" s="16">
        <v>0</v>
      </c>
      <c r="PS227" s="16">
        <v>0</v>
      </c>
      <c r="PT227" s="16"/>
      <c r="PU227" s="16"/>
      <c r="PV227" s="16"/>
      <c r="PW227" s="16"/>
      <c r="PX227" s="16"/>
      <c r="PY227" s="16"/>
      <c r="PZ227" s="16"/>
      <c r="QA227" s="16"/>
      <c r="QB227" s="16"/>
      <c r="QC227" s="16">
        <v>2.97</v>
      </c>
      <c r="QD227" s="16">
        <v>2.96</v>
      </c>
      <c r="QE227" s="16">
        <v>0</v>
      </c>
      <c r="QF227" s="16">
        <v>0</v>
      </c>
      <c r="QG227" s="16">
        <v>0</v>
      </c>
      <c r="QH227" s="16">
        <v>0</v>
      </c>
      <c r="QI227" s="16">
        <v>0</v>
      </c>
      <c r="QJ227">
        <v>0</v>
      </c>
      <c r="QK227" t="s">
        <v>213</v>
      </c>
      <c r="QL227">
        <v>49.5</v>
      </c>
      <c r="QM227" s="16">
        <v>78.900000000000006</v>
      </c>
      <c r="QN227" s="16">
        <v>80.400000000000006</v>
      </c>
      <c r="QO227" s="16">
        <v>31.1</v>
      </c>
      <c r="QP227">
        <v>22.13</v>
      </c>
      <c r="QQ227" s="17">
        <v>0</v>
      </c>
      <c r="QR227">
        <v>0</v>
      </c>
      <c r="QS227">
        <v>0</v>
      </c>
      <c r="QT227">
        <v>3.8</v>
      </c>
      <c r="QU227">
        <v>0</v>
      </c>
      <c r="QV227">
        <v>74.069999999999993</v>
      </c>
      <c r="QW227">
        <v>28.31</v>
      </c>
      <c r="QX227">
        <v>0</v>
      </c>
      <c r="QY227">
        <v>0</v>
      </c>
      <c r="QZ227">
        <v>0</v>
      </c>
      <c r="RA227">
        <v>8.07</v>
      </c>
      <c r="RB227">
        <v>1.71</v>
      </c>
      <c r="RC227">
        <v>33.85</v>
      </c>
      <c r="RD227">
        <v>17.12</v>
      </c>
      <c r="RE227">
        <v>0</v>
      </c>
      <c r="RF227">
        <v>0</v>
      </c>
      <c r="RG227">
        <v>0</v>
      </c>
      <c r="RT227">
        <v>3.4</v>
      </c>
      <c r="RU227">
        <v>1</v>
      </c>
      <c r="RV227">
        <v>34</v>
      </c>
      <c r="RW227">
        <v>1</v>
      </c>
      <c r="RX227">
        <v>1.6</v>
      </c>
      <c r="RY227">
        <v>1</v>
      </c>
      <c r="RZ227">
        <v>68</v>
      </c>
      <c r="SA227">
        <v>2</v>
      </c>
      <c r="SB227">
        <f>0.65+0.11</f>
        <v>0.76</v>
      </c>
      <c r="SC227">
        <v>1</v>
      </c>
      <c r="SD227">
        <v>52</v>
      </c>
      <c r="SE227">
        <v>2</v>
      </c>
      <c r="SF227" s="20">
        <f>1.33+0.34</f>
        <v>1.6700000000000002</v>
      </c>
      <c r="SG227">
        <v>2</v>
      </c>
      <c r="SX227">
        <v>0</v>
      </c>
      <c r="UI227" s="16">
        <v>0</v>
      </c>
      <c r="UJ227" s="16">
        <v>0</v>
      </c>
      <c r="UK227" s="16"/>
      <c r="UL227" s="16"/>
      <c r="UM227" s="16"/>
      <c r="UN227" s="16"/>
      <c r="UO227" s="16"/>
      <c r="UP227" s="16"/>
      <c r="UQ227" s="16"/>
      <c r="UR227" s="16"/>
      <c r="US227" s="16"/>
      <c r="UT227" s="16">
        <v>5.13</v>
      </c>
      <c r="UU227" s="16">
        <v>6.28</v>
      </c>
      <c r="UV227" s="16">
        <v>0</v>
      </c>
      <c r="UW227" s="16">
        <v>0</v>
      </c>
      <c r="UX227" s="16">
        <v>6.72</v>
      </c>
      <c r="UY227" s="16">
        <v>0</v>
      </c>
      <c r="UZ227" s="16">
        <v>2.54</v>
      </c>
      <c r="VA227">
        <v>2</v>
      </c>
      <c r="VE227" s="15"/>
      <c r="VF227" s="15"/>
      <c r="VM227" s="15"/>
      <c r="VN227" s="15"/>
      <c r="VU227" s="15"/>
      <c r="VV227" s="15"/>
      <c r="WC227" s="15"/>
      <c r="WD227" s="15"/>
      <c r="WK227" s="15"/>
      <c r="WL227" s="15"/>
      <c r="WS227" s="15"/>
      <c r="WT227" s="15"/>
      <c r="XA227" s="15"/>
      <c r="XB227" s="15"/>
      <c r="XI227" s="15"/>
      <c r="XJ227" s="15"/>
      <c r="XQ227" s="15"/>
      <c r="XR227" s="15"/>
      <c r="XY227" s="15"/>
      <c r="XZ227" s="15"/>
      <c r="YG227" s="15"/>
      <c r="YH227" s="15"/>
      <c r="YO227" s="15"/>
      <c r="YP227" s="15"/>
      <c r="YW227" s="15"/>
      <c r="YX227" s="15"/>
      <c r="ZE227" s="15"/>
      <c r="ZF227" s="15"/>
      <c r="ZM227" s="15"/>
      <c r="ZN227" s="15"/>
      <c r="ZU227" s="15"/>
      <c r="ZV227" s="15"/>
      <c r="AAC227" s="15"/>
      <c r="AAD227" s="15"/>
      <c r="AAK227" s="15"/>
      <c r="AAL227" s="15"/>
      <c r="AAS227" s="15"/>
      <c r="AAT227" s="15"/>
      <c r="ABA227" s="15"/>
      <c r="ABB227" s="15"/>
      <c r="ABI227" s="15"/>
      <c r="ABJ227" s="15"/>
      <c r="ABQ227" s="15"/>
      <c r="ABR227" s="15"/>
      <c r="ABY227" s="15"/>
      <c r="ABZ227" s="15"/>
      <c r="ACG227" s="15"/>
      <c r="ACH227" s="15"/>
      <c r="ACO227" s="15"/>
      <c r="ACP227" s="15"/>
      <c r="ACW227" s="15"/>
      <c r="ACX227" s="15"/>
      <c r="ADE227" s="15"/>
      <c r="ADF227" s="15"/>
      <c r="ADM227" s="15"/>
      <c r="ADN227" s="15"/>
      <c r="ADU227" s="15"/>
      <c r="ADV227" s="15"/>
      <c r="AEC227" s="15"/>
      <c r="AED227" s="15"/>
      <c r="AEK227" s="15"/>
      <c r="AEL227" s="15"/>
      <c r="AES227" s="15"/>
      <c r="AET227" s="15"/>
      <c r="AFA227" s="15"/>
      <c r="AFB227" s="15"/>
      <c r="AFI227" s="15"/>
      <c r="AFJ227" s="15"/>
      <c r="AFQ227" s="15"/>
      <c r="AFR227" s="15"/>
      <c r="AFY227" s="15"/>
      <c r="AFZ227" s="15"/>
      <c r="AGG227" s="15"/>
      <c r="AGH227" s="15"/>
      <c r="AGO227" s="15"/>
      <c r="AGP227" s="15"/>
      <c r="AGW227" s="15"/>
      <c r="AGX227" s="15"/>
      <c r="AHE227" s="15"/>
      <c r="AHF227" s="15"/>
      <c r="AHM227" s="15"/>
      <c r="AHN227" s="15"/>
      <c r="AHU227" s="15"/>
      <c r="AHV227" s="15"/>
      <c r="AIC227" s="15"/>
      <c r="AID227" s="15"/>
      <c r="AIK227" s="15"/>
      <c r="AIL227" s="15"/>
      <c r="AIS227" s="15"/>
      <c r="AIT227" s="15"/>
      <c r="AJA227" s="15"/>
      <c r="AJB227" s="15"/>
      <c r="AJI227" s="15"/>
      <c r="AJJ227" s="15"/>
      <c r="AJQ227" s="15"/>
      <c r="AJR227" s="15"/>
      <c r="AJY227" s="15"/>
      <c r="AJZ227" s="15"/>
      <c r="AKG227" s="15"/>
      <c r="AKH227" s="15"/>
      <c r="AKO227" s="15"/>
      <c r="AKP227" s="15"/>
      <c r="AKW227" s="15"/>
      <c r="AKX227" s="15"/>
      <c r="ALE227" s="15"/>
      <c r="ALF227" s="15"/>
      <c r="ALM227" s="15"/>
      <c r="ALN227" s="15"/>
      <c r="ALU227" s="15"/>
      <c r="ALV227" s="15"/>
      <c r="AMC227" s="15"/>
      <c r="AMD227" s="15"/>
    </row>
    <row r="228" spans="1:1024" x14ac:dyDescent="0.2">
      <c r="A228" s="1" t="s">
        <v>742</v>
      </c>
      <c r="B228" s="12">
        <v>42902</v>
      </c>
      <c r="C228">
        <v>2</v>
      </c>
      <c r="D228" s="13">
        <v>42786</v>
      </c>
      <c r="E228" s="12">
        <v>29703</v>
      </c>
      <c r="F228" s="14">
        <f t="shared" si="62"/>
        <v>36.136892539356602</v>
      </c>
      <c r="G228" s="14">
        <f t="shared" si="63"/>
        <v>0.31759069130732376</v>
      </c>
      <c r="H228" s="19" t="s">
        <v>181</v>
      </c>
      <c r="I228" t="s">
        <v>182</v>
      </c>
      <c r="J228" s="21" t="s">
        <v>181</v>
      </c>
      <c r="K228" s="21">
        <v>4</v>
      </c>
      <c r="L228" s="19">
        <v>75</v>
      </c>
      <c r="M228">
        <v>1.7</v>
      </c>
      <c r="N228" s="16">
        <f t="shared" si="64"/>
        <v>25.95155709342561</v>
      </c>
      <c r="O228" s="19">
        <v>0</v>
      </c>
      <c r="P228" s="19">
        <v>0</v>
      </c>
      <c r="Q228" s="19">
        <v>0</v>
      </c>
      <c r="R228" s="26">
        <v>0</v>
      </c>
      <c r="S228" s="26">
        <v>0</v>
      </c>
      <c r="T228" s="26">
        <v>0</v>
      </c>
      <c r="U228" s="19">
        <v>0</v>
      </c>
      <c r="V228" s="19">
        <v>0</v>
      </c>
      <c r="W228" s="19">
        <v>0</v>
      </c>
      <c r="X228" s="19">
        <v>0</v>
      </c>
      <c r="Y228" s="19">
        <v>0</v>
      </c>
      <c r="Z228" s="19">
        <v>0</v>
      </c>
      <c r="AA228" s="19">
        <v>0</v>
      </c>
      <c r="AB228" s="19">
        <v>0</v>
      </c>
      <c r="AC228" s="19">
        <v>1</v>
      </c>
      <c r="AD228" s="19">
        <v>20</v>
      </c>
      <c r="AE228" s="19">
        <v>0</v>
      </c>
      <c r="AF228" s="19">
        <v>0</v>
      </c>
      <c r="AG228" s="19">
        <v>0</v>
      </c>
      <c r="AH228" s="19">
        <v>0</v>
      </c>
      <c r="AI228" s="19">
        <v>0</v>
      </c>
      <c r="AJ228" s="19">
        <v>0</v>
      </c>
      <c r="AK228" s="19">
        <v>0</v>
      </c>
      <c r="AL228" s="19">
        <v>0</v>
      </c>
      <c r="AM228" s="19">
        <v>0</v>
      </c>
      <c r="AN228" s="19">
        <v>0</v>
      </c>
      <c r="AO228" s="19">
        <v>0</v>
      </c>
      <c r="AP228" s="19">
        <v>0</v>
      </c>
      <c r="AQ228" s="19">
        <v>0</v>
      </c>
      <c r="AR228" s="19">
        <v>0</v>
      </c>
      <c r="AS228" s="19">
        <v>0</v>
      </c>
      <c r="AT228" s="19">
        <v>0</v>
      </c>
      <c r="AU228" s="19">
        <v>0</v>
      </c>
      <c r="AV228" s="19">
        <v>0</v>
      </c>
      <c r="AW228" s="19">
        <v>0</v>
      </c>
      <c r="AX228" s="19">
        <v>0</v>
      </c>
      <c r="AY228" s="19">
        <v>0</v>
      </c>
      <c r="AZ228" s="19">
        <v>0</v>
      </c>
      <c r="BA228" s="19">
        <v>0</v>
      </c>
      <c r="BB228" s="19">
        <v>0</v>
      </c>
      <c r="BC228" s="19">
        <v>0</v>
      </c>
      <c r="BD228" s="19">
        <v>0</v>
      </c>
      <c r="BE228" s="19">
        <v>0</v>
      </c>
      <c r="BF228" s="19">
        <v>0</v>
      </c>
      <c r="BG228" s="19">
        <v>0</v>
      </c>
      <c r="BH228" s="19">
        <v>0</v>
      </c>
      <c r="BI228" s="19">
        <v>0</v>
      </c>
      <c r="BJ228" s="19">
        <v>0</v>
      </c>
      <c r="BK228" s="19">
        <v>0</v>
      </c>
      <c r="BL228" s="19">
        <v>0</v>
      </c>
      <c r="BM228" s="19">
        <v>0</v>
      </c>
      <c r="BN228" s="19">
        <v>0</v>
      </c>
      <c r="BO228" s="19">
        <v>0</v>
      </c>
      <c r="BP228" s="19">
        <v>0</v>
      </c>
      <c r="BQ228" s="19">
        <v>0</v>
      </c>
      <c r="BR228" s="19">
        <v>2</v>
      </c>
      <c r="BS228" s="19">
        <v>2</v>
      </c>
      <c r="BT228" s="19">
        <v>3</v>
      </c>
      <c r="BU228" s="19">
        <v>5</v>
      </c>
      <c r="BV228" s="19">
        <v>2</v>
      </c>
      <c r="BW228" s="19">
        <v>5</v>
      </c>
      <c r="BX228" s="19">
        <v>5</v>
      </c>
      <c r="BY228" s="19">
        <v>4</v>
      </c>
      <c r="BZ228" s="19">
        <v>3</v>
      </c>
      <c r="CA228" s="19">
        <v>5</v>
      </c>
      <c r="CB228" s="19">
        <v>5</v>
      </c>
      <c r="CC228" s="19">
        <v>5</v>
      </c>
      <c r="CD228" s="19">
        <v>5</v>
      </c>
      <c r="CE228" s="19">
        <v>5</v>
      </c>
      <c r="CF228" s="19">
        <v>5</v>
      </c>
      <c r="CG228" s="19">
        <v>5</v>
      </c>
      <c r="CH228" s="19">
        <v>5</v>
      </c>
      <c r="CI228" s="19">
        <v>5</v>
      </c>
      <c r="CJ228" s="19">
        <v>4</v>
      </c>
      <c r="CK228" s="19">
        <v>10</v>
      </c>
      <c r="CL228" t="s">
        <v>186</v>
      </c>
      <c r="CM228">
        <v>52.5</v>
      </c>
      <c r="CN228" s="16">
        <v>78.3</v>
      </c>
      <c r="CO228" s="16">
        <v>80.400000000000006</v>
      </c>
      <c r="CP228" s="16">
        <v>33.200000000000003</v>
      </c>
      <c r="CQ228">
        <v>67.5</v>
      </c>
      <c r="CR228" s="17">
        <v>0</v>
      </c>
      <c r="CS228">
        <v>21.37</v>
      </c>
      <c r="CT228">
        <v>0</v>
      </c>
      <c r="CU228">
        <v>3.99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5.93</v>
      </c>
      <c r="DD228">
        <v>42.2</v>
      </c>
      <c r="DE228">
        <v>15.97</v>
      </c>
      <c r="DF228">
        <v>7.14</v>
      </c>
      <c r="DG228">
        <v>0</v>
      </c>
      <c r="DH228">
        <v>0</v>
      </c>
      <c r="DU228">
        <v>1.7</v>
      </c>
      <c r="DV228">
        <v>1</v>
      </c>
      <c r="DW228">
        <v>34</v>
      </c>
      <c r="DX228">
        <v>5</v>
      </c>
      <c r="DY228">
        <v>0.21</v>
      </c>
      <c r="DZ228">
        <v>1</v>
      </c>
      <c r="EA228">
        <v>68</v>
      </c>
      <c r="EB228">
        <v>3</v>
      </c>
      <c r="EC228">
        <v>0.3</v>
      </c>
      <c r="ED228">
        <v>1</v>
      </c>
      <c r="EE228">
        <v>47</v>
      </c>
      <c r="EF228">
        <v>4</v>
      </c>
      <c r="EG228" s="18">
        <v>0.11</v>
      </c>
      <c r="EH228">
        <v>1</v>
      </c>
      <c r="EI228">
        <v>35</v>
      </c>
      <c r="EJ228">
        <v>2</v>
      </c>
      <c r="EK228">
        <v>0.1</v>
      </c>
      <c r="EL228">
        <v>1</v>
      </c>
      <c r="EY228">
        <v>0</v>
      </c>
      <c r="GJ228" s="16">
        <v>1.04</v>
      </c>
      <c r="GK228" s="16">
        <v>1</v>
      </c>
      <c r="GL228" s="16">
        <v>1</v>
      </c>
      <c r="GM228" s="16"/>
      <c r="GN228" s="16">
        <f>3.74+3.17+0.1</f>
        <v>7.01</v>
      </c>
      <c r="GO228" s="16"/>
      <c r="GP228" s="16"/>
      <c r="GQ228" s="16"/>
      <c r="GR228" s="16"/>
      <c r="GS228" s="16"/>
      <c r="GT228" s="16"/>
      <c r="GU228" s="16">
        <v>8.9</v>
      </c>
      <c r="GV228" s="16">
        <v>9.7899999999999991</v>
      </c>
      <c r="GW228" s="16"/>
      <c r="GX228" s="16"/>
      <c r="GY228" s="16">
        <v>2.99</v>
      </c>
      <c r="GZ228" s="16">
        <v>4</v>
      </c>
      <c r="HA228" s="16">
        <v>3</v>
      </c>
      <c r="HB228">
        <v>0</v>
      </c>
      <c r="HC228" t="s">
        <v>189</v>
      </c>
      <c r="HD228">
        <v>31</v>
      </c>
      <c r="HE228" s="16">
        <v>80.2</v>
      </c>
      <c r="HF228" s="16">
        <v>80.400000000000006</v>
      </c>
      <c r="HG228" s="16">
        <v>6.5</v>
      </c>
      <c r="HH228">
        <v>99.3</v>
      </c>
      <c r="HI228" s="17">
        <v>0</v>
      </c>
      <c r="HJ228">
        <v>0.7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31.92</v>
      </c>
      <c r="HU228">
        <v>23.7</v>
      </c>
      <c r="HV228">
        <v>1.95</v>
      </c>
      <c r="HW228">
        <v>0</v>
      </c>
      <c r="HX228">
        <v>18.7</v>
      </c>
      <c r="HY228">
        <v>4</v>
      </c>
      <c r="HZ228">
        <v>49</v>
      </c>
      <c r="IB228">
        <v>1</v>
      </c>
      <c r="IF228">
        <v>49</v>
      </c>
      <c r="IH228">
        <v>1</v>
      </c>
      <c r="IL228">
        <v>0</v>
      </c>
      <c r="IM228">
        <v>0</v>
      </c>
      <c r="IX228" s="18"/>
      <c r="JP228">
        <v>0</v>
      </c>
      <c r="LA228" s="16">
        <v>0</v>
      </c>
      <c r="LB228" s="16">
        <v>0</v>
      </c>
      <c r="LC228" s="16"/>
      <c r="LD228" s="16"/>
      <c r="LE228" s="16"/>
      <c r="LF228" s="16"/>
      <c r="LG228" s="16"/>
      <c r="LH228" s="16"/>
      <c r="LI228" s="16"/>
      <c r="LJ228" s="16"/>
      <c r="LK228" s="16"/>
      <c r="LL228" s="16">
        <v>5.42</v>
      </c>
      <c r="LM228" s="16">
        <v>6.61</v>
      </c>
      <c r="LN228" s="16"/>
      <c r="LO228" s="16"/>
      <c r="LP228" s="16">
        <v>0</v>
      </c>
      <c r="LQ228" s="16">
        <v>0</v>
      </c>
      <c r="LR228" s="16">
        <v>0</v>
      </c>
      <c r="LS228">
        <v>0</v>
      </c>
      <c r="LT228" t="s">
        <v>190</v>
      </c>
      <c r="LU228">
        <v>38.5</v>
      </c>
      <c r="LV228" s="16">
        <v>92</v>
      </c>
      <c r="LW228" s="16">
        <v>80.400000000000006</v>
      </c>
      <c r="LX228" s="16">
        <v>11</v>
      </c>
      <c r="LY228">
        <v>95.37</v>
      </c>
      <c r="LZ228" s="17">
        <v>0</v>
      </c>
      <c r="MA228">
        <v>4.63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2.85</v>
      </c>
      <c r="MK228">
        <v>16.149999999999999</v>
      </c>
      <c r="ML228">
        <v>42.55</v>
      </c>
      <c r="MM228">
        <v>4.63</v>
      </c>
      <c r="MN228">
        <v>0</v>
      </c>
      <c r="MO228">
        <v>5.7</v>
      </c>
      <c r="MP228">
        <v>1</v>
      </c>
      <c r="MQ228">
        <v>3</v>
      </c>
      <c r="MS228">
        <v>1</v>
      </c>
      <c r="MW228">
        <v>3</v>
      </c>
      <c r="MY228">
        <v>1</v>
      </c>
      <c r="NC228">
        <v>4.8</v>
      </c>
      <c r="ND228">
        <v>0</v>
      </c>
      <c r="NO228" s="18"/>
      <c r="OG228">
        <v>1</v>
      </c>
      <c r="OH228">
        <v>70</v>
      </c>
      <c r="OI228">
        <v>3</v>
      </c>
      <c r="OJ228">
        <f>14.97+0.86+0.7</f>
        <v>16.53</v>
      </c>
      <c r="OK228">
        <v>3</v>
      </c>
      <c r="OL228">
        <v>60</v>
      </c>
      <c r="OM228">
        <v>3</v>
      </c>
      <c r="ON228">
        <f>3.02+0.97+0.6</f>
        <v>4.59</v>
      </c>
      <c r="OO228">
        <v>3</v>
      </c>
      <c r="PR228" s="16">
        <v>2.82</v>
      </c>
      <c r="PS228" s="16">
        <v>1</v>
      </c>
      <c r="PT228" s="16">
        <v>1</v>
      </c>
      <c r="PU228" s="16"/>
      <c r="PV228" s="16">
        <f>0.93*2</f>
        <v>1.86</v>
      </c>
      <c r="PW228" s="16">
        <v>2</v>
      </c>
      <c r="PX228" s="16"/>
      <c r="PY228" s="16">
        <f>9.6+1.93</f>
        <v>11.53</v>
      </c>
      <c r="PZ228" s="16"/>
      <c r="QA228" s="16"/>
      <c r="QB228" s="16"/>
      <c r="QC228" s="16">
        <v>13.91</v>
      </c>
      <c r="QD228" s="16">
        <v>17.309999999999999</v>
      </c>
      <c r="QE228" s="16"/>
      <c r="QF228" s="16"/>
      <c r="QG228" s="16">
        <v>0</v>
      </c>
      <c r="QH228" s="16">
        <v>0</v>
      </c>
      <c r="QI228" s="16">
        <v>0</v>
      </c>
      <c r="QJ228">
        <v>0</v>
      </c>
      <c r="QK228" t="s">
        <v>192</v>
      </c>
      <c r="QL228">
        <v>47.5</v>
      </c>
      <c r="QM228" s="16">
        <v>79.3</v>
      </c>
      <c r="QN228" s="16">
        <v>80.400000000000006</v>
      </c>
      <c r="QO228" s="16">
        <v>36.299999999999997</v>
      </c>
      <c r="QP228">
        <v>66.23</v>
      </c>
      <c r="QQ228" s="17">
        <v>0</v>
      </c>
      <c r="QR228">
        <v>33.770000000000003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38.369999999999997</v>
      </c>
      <c r="RC228">
        <v>20.04</v>
      </c>
      <c r="RD228">
        <v>11.21</v>
      </c>
      <c r="RE228">
        <v>0</v>
      </c>
      <c r="RF228">
        <v>0</v>
      </c>
      <c r="RG228">
        <v>0</v>
      </c>
      <c r="RT228">
        <v>6.9</v>
      </c>
      <c r="RU228">
        <v>1</v>
      </c>
      <c r="RV228">
        <v>47</v>
      </c>
      <c r="RW228">
        <v>3</v>
      </c>
      <c r="RX228">
        <f>0.11+0.74+0.08</f>
        <v>0.92999999999999994</v>
      </c>
      <c r="RY228">
        <v>3</v>
      </c>
      <c r="RZ228">
        <v>68</v>
      </c>
      <c r="SA228">
        <v>1</v>
      </c>
      <c r="SB228">
        <v>0.76</v>
      </c>
      <c r="SC228">
        <v>1</v>
      </c>
      <c r="SF228" s="18"/>
      <c r="SX228">
        <v>0</v>
      </c>
      <c r="UI228" s="16">
        <v>2.61</v>
      </c>
      <c r="UJ228" s="16">
        <v>1</v>
      </c>
      <c r="UK228" s="16">
        <v>2</v>
      </c>
      <c r="UL228" s="16"/>
      <c r="UM228" s="16">
        <f>5.22+0.29</f>
        <v>5.51</v>
      </c>
      <c r="UN228" s="16">
        <v>2</v>
      </c>
      <c r="UO228" s="16"/>
      <c r="UP228" s="16">
        <f>0.61+3.74</f>
        <v>4.3500000000000005</v>
      </c>
      <c r="UQ228" s="16"/>
      <c r="UR228" s="16"/>
      <c r="US228" s="16"/>
      <c r="UT228" s="16">
        <v>0</v>
      </c>
      <c r="UU228" s="16">
        <v>0</v>
      </c>
      <c r="UV228" s="16"/>
      <c r="UW228" s="16"/>
      <c r="UX228" s="16">
        <v>0</v>
      </c>
      <c r="UY228" s="16">
        <v>0</v>
      </c>
      <c r="UZ228" s="16">
        <v>0</v>
      </c>
      <c r="VA228">
        <v>0</v>
      </c>
      <c r="VB228" t="s">
        <v>636</v>
      </c>
      <c r="VC228">
        <v>48</v>
      </c>
      <c r="VD228" s="16">
        <v>66.2</v>
      </c>
      <c r="VE228" s="16">
        <v>80.400000000000006</v>
      </c>
      <c r="VF228" s="16">
        <v>40.1</v>
      </c>
      <c r="VG228">
        <v>62.33</v>
      </c>
      <c r="VH228" s="17">
        <v>0</v>
      </c>
      <c r="VI228">
        <v>37.67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6.02</v>
      </c>
      <c r="VT228">
        <v>19.5</v>
      </c>
      <c r="VU228">
        <v>10.54</v>
      </c>
      <c r="VV228">
        <v>0</v>
      </c>
      <c r="VW228">
        <v>0</v>
      </c>
      <c r="VX228">
        <v>0</v>
      </c>
      <c r="WK228">
        <v>4.5999999999999996</v>
      </c>
      <c r="WL228">
        <v>1</v>
      </c>
      <c r="WM228">
        <v>68</v>
      </c>
      <c r="WN228">
        <v>2</v>
      </c>
      <c r="WO228">
        <v>1.5</v>
      </c>
      <c r="WP228">
        <v>1</v>
      </c>
      <c r="WQ228">
        <v>35</v>
      </c>
      <c r="WR228">
        <v>1</v>
      </c>
      <c r="WS228">
        <v>0.45</v>
      </c>
      <c r="WT228">
        <v>3</v>
      </c>
      <c r="WW228" s="18"/>
      <c r="XO228">
        <v>0</v>
      </c>
      <c r="YZ228" s="16">
        <v>0</v>
      </c>
      <c r="ZA228" s="16">
        <v>0</v>
      </c>
      <c r="ZB228" s="16"/>
      <c r="ZC228" s="16"/>
      <c r="ZD228" s="16"/>
      <c r="ZE228" s="16"/>
      <c r="ZF228" s="16"/>
      <c r="ZG228" s="16"/>
      <c r="ZH228" s="16"/>
      <c r="ZI228" s="16"/>
      <c r="ZJ228" s="16"/>
      <c r="ZK228" s="16">
        <v>1.88</v>
      </c>
      <c r="ZL228" s="16">
        <v>1.88</v>
      </c>
      <c r="ZM228" s="16"/>
      <c r="ZN228" s="16"/>
      <c r="ZO228" s="16">
        <v>0</v>
      </c>
      <c r="ZP228" s="16">
        <v>0</v>
      </c>
      <c r="ZQ228" s="16">
        <v>0</v>
      </c>
      <c r="ZR228">
        <v>0</v>
      </c>
      <c r="ZS228" t="s">
        <v>192</v>
      </c>
      <c r="ZT228">
        <v>47.5</v>
      </c>
      <c r="ZU228" s="16">
        <v>79.3</v>
      </c>
      <c r="ZV228" s="16">
        <v>80.400000000000006</v>
      </c>
      <c r="ZW228" s="16">
        <v>36.299999999999997</v>
      </c>
      <c r="ZX228">
        <v>66.23</v>
      </c>
      <c r="ZY228" s="17">
        <v>0</v>
      </c>
      <c r="ZZ228">
        <v>33.770000000000003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38.369999999999997</v>
      </c>
      <c r="AAK228">
        <v>20.04</v>
      </c>
      <c r="AAL228">
        <v>11.21</v>
      </c>
      <c r="AAM228">
        <v>0</v>
      </c>
      <c r="AAN228">
        <v>0</v>
      </c>
      <c r="AAO228">
        <v>0</v>
      </c>
      <c r="ABB228">
        <v>6.9</v>
      </c>
      <c r="ABC228">
        <v>1</v>
      </c>
      <c r="ABD228">
        <v>47</v>
      </c>
      <c r="ABE228">
        <v>3</v>
      </c>
      <c r="ABF228">
        <f>0.11+0.74+0.08</f>
        <v>0.92999999999999994</v>
      </c>
      <c r="ABG228">
        <v>3</v>
      </c>
      <c r="ABH228">
        <v>68</v>
      </c>
      <c r="ABI228">
        <v>1</v>
      </c>
      <c r="ABJ228">
        <v>0.76</v>
      </c>
      <c r="ABK228">
        <v>1</v>
      </c>
      <c r="ABN228" s="18"/>
      <c r="ACF228">
        <v>0</v>
      </c>
      <c r="ADQ228" s="16">
        <v>2.61</v>
      </c>
      <c r="ADR228" s="16">
        <v>1</v>
      </c>
      <c r="ADS228" s="16">
        <v>2</v>
      </c>
      <c r="ADT228" s="16"/>
      <c r="ADU228" s="16">
        <f>5.22+0.29</f>
        <v>5.51</v>
      </c>
      <c r="ADV228" s="16">
        <v>2</v>
      </c>
      <c r="ADW228" s="16"/>
      <c r="ADX228" s="16">
        <f>0.61+3.74</f>
        <v>4.3500000000000005</v>
      </c>
      <c r="ADY228" s="16"/>
      <c r="ADZ228" s="16"/>
      <c r="AEA228" s="16"/>
      <c r="AEB228" s="16">
        <v>0</v>
      </c>
      <c r="AEC228" s="16">
        <v>0</v>
      </c>
      <c r="AED228" s="16"/>
      <c r="AEE228" s="16"/>
      <c r="AEF228" s="16">
        <v>0</v>
      </c>
      <c r="AEG228" s="16">
        <v>0</v>
      </c>
      <c r="AEH228" s="16">
        <v>0</v>
      </c>
      <c r="AEI228">
        <v>0</v>
      </c>
      <c r="AEJ228" s="34"/>
      <c r="AEK228" s="15"/>
      <c r="AEL228" s="15"/>
      <c r="AEN228" s="34"/>
      <c r="AEO228" s="34"/>
      <c r="AER228" s="34"/>
      <c r="AES228" s="15"/>
      <c r="AET228" s="15"/>
      <c r="AEV228" s="34"/>
      <c r="AEW228" s="34"/>
      <c r="AEZ228" s="34"/>
      <c r="AFA228" s="15"/>
      <c r="AFB228" s="15"/>
      <c r="AFD228" s="34"/>
      <c r="AFE228" s="34"/>
      <c r="AFH228" s="34"/>
      <c r="AFI228" s="15"/>
      <c r="AFJ228" s="15"/>
      <c r="AFL228" s="34"/>
      <c r="AFM228" s="34"/>
      <c r="AFP228" s="34"/>
      <c r="AFQ228" s="15"/>
      <c r="AFR228" s="15"/>
      <c r="AFT228" s="34"/>
      <c r="AFU228" s="34"/>
      <c r="AFX228" s="34"/>
      <c r="AFY228" s="15"/>
      <c r="AFZ228" s="15"/>
      <c r="AGB228" s="34"/>
      <c r="AGC228" s="34"/>
      <c r="AGF228" s="34"/>
      <c r="AGG228" s="15"/>
      <c r="AGH228" s="15"/>
      <c r="AGJ228" s="34"/>
      <c r="AGK228" s="34"/>
      <c r="AGN228" s="34"/>
      <c r="AGO228" s="15"/>
      <c r="AGP228" s="15"/>
      <c r="AGR228" s="34"/>
      <c r="AGS228" s="34"/>
      <c r="AGV228" s="34"/>
      <c r="AGW228" s="15"/>
      <c r="AGX228" s="15"/>
      <c r="AGZ228" s="34"/>
      <c r="AHA228" s="34"/>
      <c r="AHD228" s="34"/>
      <c r="AHE228" s="15"/>
      <c r="AHF228" s="15"/>
      <c r="AHH228" s="34"/>
      <c r="AHI228" s="34"/>
      <c r="AHL228" s="34"/>
      <c r="AHM228" s="15"/>
      <c r="AHN228" s="15"/>
      <c r="AHP228" s="34"/>
      <c r="AHQ228" s="34"/>
      <c r="AHT228" s="34"/>
      <c r="AHU228" s="15"/>
      <c r="AHV228" s="15"/>
      <c r="AHX228" s="34"/>
      <c r="AHY228" s="34"/>
      <c r="AIB228" s="34"/>
      <c r="AIC228" s="15"/>
      <c r="AID228" s="15"/>
      <c r="AIF228" s="34"/>
      <c r="AIG228" s="34"/>
      <c r="AIJ228" s="34"/>
      <c r="AIK228" s="15"/>
      <c r="AIL228" s="15"/>
      <c r="AIN228" s="34"/>
      <c r="AIO228" s="34"/>
      <c r="AIR228" s="34"/>
      <c r="AIS228" s="15"/>
      <c r="AIT228" s="15"/>
      <c r="AIV228" s="34"/>
      <c r="AIW228" s="34"/>
      <c r="AIZ228" s="34"/>
      <c r="AJA228" s="15"/>
      <c r="AJB228" s="15"/>
      <c r="AJD228" s="34"/>
      <c r="AJE228" s="34"/>
      <c r="AJH228" s="34"/>
      <c r="AJI228" s="15"/>
      <c r="AJJ228" s="15"/>
      <c r="AJL228" s="34"/>
      <c r="AJM228" s="34"/>
      <c r="AJP228" s="34"/>
      <c r="AJQ228" s="15"/>
      <c r="AJR228" s="15"/>
      <c r="AJT228" s="34"/>
      <c r="AJU228" s="34"/>
      <c r="AJX228" s="34"/>
      <c r="AJY228" s="15"/>
      <c r="AJZ228" s="15"/>
      <c r="AKB228" s="34"/>
      <c r="AKC228" s="34"/>
      <c r="AKF228" s="34"/>
      <c r="AKG228" s="15"/>
      <c r="AKH228" s="15"/>
      <c r="AKJ228" s="34"/>
      <c r="AKK228" s="34"/>
      <c r="AKN228" s="34"/>
      <c r="AKO228" s="15"/>
      <c r="AKP228" s="15"/>
      <c r="AKR228" s="34"/>
      <c r="AKS228" s="34"/>
      <c r="AKV228" s="34"/>
      <c r="AKW228" s="15"/>
      <c r="AKX228" s="15"/>
      <c r="AKZ228" s="34"/>
      <c r="ALA228" s="34"/>
      <c r="ALD228" s="34"/>
      <c r="ALE228" s="15"/>
      <c r="ALF228" s="15"/>
      <c r="ALH228" s="34"/>
      <c r="ALI228" s="34"/>
      <c r="ALL228" s="34"/>
      <c r="ALM228" s="15"/>
      <c r="ALN228" s="15"/>
      <c r="ALP228" s="34"/>
      <c r="ALQ228" s="34"/>
      <c r="ALT228" s="34"/>
      <c r="ALU228" s="15"/>
      <c r="ALV228" s="15"/>
      <c r="ALX228" s="34"/>
      <c r="ALY228" s="34"/>
      <c r="AMB228" s="34"/>
      <c r="AMC228" s="15"/>
      <c r="AMD228" s="15"/>
      <c r="AMF228" s="34"/>
      <c r="AMG228" s="34"/>
      <c r="AMJ228" s="34"/>
    </row>
    <row r="229" spans="1:1024" x14ac:dyDescent="0.2">
      <c r="A229" s="1" t="s">
        <v>743</v>
      </c>
      <c r="B229" s="12">
        <v>42871</v>
      </c>
      <c r="C229">
        <v>2</v>
      </c>
      <c r="D229" s="13">
        <v>42807</v>
      </c>
      <c r="E229" s="12">
        <v>26883</v>
      </c>
      <c r="F229" s="14">
        <f t="shared" si="62"/>
        <v>43.772758384668037</v>
      </c>
      <c r="G229" s="14">
        <f t="shared" si="63"/>
        <v>0.17522245037645448</v>
      </c>
      <c r="H229" s="19" t="s">
        <v>181</v>
      </c>
      <c r="I229" t="s">
        <v>182</v>
      </c>
      <c r="J229" s="21" t="s">
        <v>183</v>
      </c>
      <c r="K229" s="21">
        <v>4</v>
      </c>
      <c r="L229" s="19">
        <v>72</v>
      </c>
      <c r="M229">
        <v>1.6</v>
      </c>
      <c r="N229" s="16">
        <f t="shared" si="64"/>
        <v>28.124999999999993</v>
      </c>
      <c r="O229" s="19">
        <v>0</v>
      </c>
      <c r="P229" s="19">
        <v>0</v>
      </c>
      <c r="Q229" s="19">
        <v>0</v>
      </c>
      <c r="R229" s="26">
        <v>0</v>
      </c>
      <c r="S229" s="26">
        <v>0</v>
      </c>
      <c r="T229" s="26">
        <v>0</v>
      </c>
      <c r="U229" s="19">
        <v>0</v>
      </c>
      <c r="V229" s="19">
        <v>0</v>
      </c>
      <c r="W229" s="19">
        <v>0</v>
      </c>
      <c r="X229" s="19">
        <v>0</v>
      </c>
      <c r="Y229" s="19">
        <v>1</v>
      </c>
      <c r="Z229" s="19">
        <v>2</v>
      </c>
      <c r="AA229" s="19">
        <v>0</v>
      </c>
      <c r="AB229" s="19" t="s">
        <v>349</v>
      </c>
      <c r="AC229" s="19">
        <v>0</v>
      </c>
      <c r="AD229" s="19">
        <v>0</v>
      </c>
      <c r="AE229" s="19">
        <v>0</v>
      </c>
      <c r="AF229" s="19">
        <v>0</v>
      </c>
      <c r="AG229" s="19">
        <v>0</v>
      </c>
      <c r="AH229" s="19">
        <v>0</v>
      </c>
      <c r="AI229" s="19">
        <v>0</v>
      </c>
      <c r="AJ229" s="19">
        <v>0</v>
      </c>
      <c r="AK229" s="19">
        <v>0</v>
      </c>
      <c r="AL229" s="19">
        <v>0</v>
      </c>
      <c r="AM229" s="19">
        <v>0</v>
      </c>
      <c r="AN229" s="19">
        <v>0</v>
      </c>
      <c r="AO229" s="19">
        <v>0</v>
      </c>
      <c r="AP229" s="19">
        <v>0</v>
      </c>
      <c r="AQ229" s="19">
        <v>0</v>
      </c>
      <c r="AR229" s="19">
        <v>0</v>
      </c>
      <c r="AS229" s="19">
        <v>0</v>
      </c>
      <c r="AT229" s="19">
        <v>0</v>
      </c>
      <c r="AU229" s="19">
        <v>0</v>
      </c>
      <c r="AV229" s="19">
        <v>0</v>
      </c>
      <c r="AW229" s="19">
        <v>0</v>
      </c>
      <c r="AX229" s="19">
        <v>0</v>
      </c>
      <c r="AY229" s="19">
        <v>0</v>
      </c>
      <c r="AZ229" s="19">
        <v>0</v>
      </c>
      <c r="BA229" s="19">
        <v>0</v>
      </c>
      <c r="BB229" s="19">
        <v>0</v>
      </c>
      <c r="BC229" s="19">
        <v>0</v>
      </c>
      <c r="BD229" s="19">
        <v>0</v>
      </c>
      <c r="BE229" s="19">
        <v>0</v>
      </c>
      <c r="BF229" s="19">
        <v>0</v>
      </c>
      <c r="BG229" s="19">
        <v>0</v>
      </c>
      <c r="BH229" s="19">
        <v>0</v>
      </c>
      <c r="BI229" s="19">
        <v>0</v>
      </c>
      <c r="BJ229" s="19">
        <v>0</v>
      </c>
      <c r="BK229" s="19">
        <v>0</v>
      </c>
      <c r="BL229" s="19">
        <v>0</v>
      </c>
      <c r="BM229" s="19">
        <v>0</v>
      </c>
      <c r="BN229" s="19">
        <v>1</v>
      </c>
      <c r="BO229" s="19">
        <v>1</v>
      </c>
      <c r="BP229" s="19">
        <v>1</v>
      </c>
      <c r="BQ229" s="19">
        <v>3</v>
      </c>
      <c r="BR229" s="19">
        <v>2</v>
      </c>
      <c r="BS229" s="19">
        <v>2</v>
      </c>
      <c r="BT229" s="19">
        <v>2</v>
      </c>
      <c r="BU229" s="19">
        <v>5</v>
      </c>
      <c r="BV229" s="19">
        <v>2</v>
      </c>
      <c r="BW229" s="19">
        <v>2</v>
      </c>
      <c r="BX229" s="19">
        <v>2</v>
      </c>
      <c r="BY229" s="19">
        <v>4</v>
      </c>
      <c r="BZ229" s="19">
        <v>5</v>
      </c>
      <c r="CA229" s="19"/>
      <c r="CB229" s="19">
        <v>5</v>
      </c>
      <c r="CC229" s="19">
        <v>5</v>
      </c>
      <c r="CD229" s="19">
        <v>5</v>
      </c>
      <c r="CE229" s="19">
        <v>5</v>
      </c>
      <c r="CF229" s="19">
        <v>5</v>
      </c>
      <c r="CG229" s="19">
        <v>5</v>
      </c>
      <c r="CH229" s="19">
        <v>5</v>
      </c>
      <c r="CI229" s="19">
        <v>5</v>
      </c>
      <c r="CJ229" s="19">
        <v>5</v>
      </c>
      <c r="CK229" s="19">
        <v>9</v>
      </c>
      <c r="CL229" t="s">
        <v>185</v>
      </c>
      <c r="CM229">
        <v>21.5</v>
      </c>
      <c r="CN229" s="16">
        <v>54.9</v>
      </c>
      <c r="CO229" s="16">
        <v>80.400000000000006</v>
      </c>
      <c r="CP229" s="16">
        <v>17.899999999999999</v>
      </c>
      <c r="CQ229">
        <v>90.61</v>
      </c>
      <c r="CR229" s="17">
        <v>0</v>
      </c>
      <c r="CS229">
        <v>0</v>
      </c>
      <c r="CT229">
        <v>2.4500000000000002</v>
      </c>
      <c r="CU229">
        <v>6.94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12.16</v>
      </c>
      <c r="DC229">
        <v>24.45</v>
      </c>
      <c r="DD229">
        <v>4.8</v>
      </c>
      <c r="DE229">
        <v>5.1100000000000003</v>
      </c>
      <c r="DF229">
        <v>0</v>
      </c>
      <c r="DG229">
        <v>0</v>
      </c>
      <c r="DH229">
        <v>0</v>
      </c>
      <c r="DU229">
        <v>2.9</v>
      </c>
      <c r="DV229">
        <v>1</v>
      </c>
      <c r="DW229">
        <v>68</v>
      </c>
      <c r="DX229">
        <v>2</v>
      </c>
      <c r="DY229">
        <f>0.38+0.07</f>
        <v>0.45</v>
      </c>
      <c r="DZ229">
        <v>1</v>
      </c>
      <c r="EG229" s="18"/>
      <c r="EY229">
        <v>1</v>
      </c>
      <c r="EZ229">
        <v>40</v>
      </c>
      <c r="FA229">
        <v>1</v>
      </c>
      <c r="FB229">
        <v>0.06</v>
      </c>
      <c r="FC229">
        <v>1</v>
      </c>
      <c r="FD229">
        <v>60</v>
      </c>
      <c r="FE229">
        <v>1</v>
      </c>
      <c r="FF229">
        <v>0.11</v>
      </c>
      <c r="FG229">
        <v>1</v>
      </c>
      <c r="FH229">
        <v>40</v>
      </c>
      <c r="FI229">
        <v>1</v>
      </c>
      <c r="FJ229">
        <v>0.57999999999999996</v>
      </c>
      <c r="FK229">
        <v>6</v>
      </c>
      <c r="GJ229" s="16">
        <v>0</v>
      </c>
      <c r="GK229" s="16">
        <v>0</v>
      </c>
      <c r="GL229" s="16"/>
      <c r="GM229" s="16"/>
      <c r="GN229" s="16"/>
      <c r="GO229" s="16"/>
      <c r="GP229" s="16"/>
      <c r="GQ229" s="16"/>
      <c r="GR229" s="16"/>
      <c r="GS229" s="16"/>
      <c r="GT229" s="16"/>
      <c r="GU229" s="16">
        <v>0.67</v>
      </c>
      <c r="GV229" s="16">
        <v>0.65</v>
      </c>
      <c r="GW229" s="16"/>
      <c r="GX229" s="16"/>
      <c r="GY229" s="16">
        <v>0</v>
      </c>
      <c r="GZ229" s="16">
        <v>0</v>
      </c>
      <c r="HA229" s="16">
        <v>0</v>
      </c>
      <c r="HB229">
        <v>0</v>
      </c>
      <c r="HC229" t="s">
        <v>186</v>
      </c>
      <c r="HD229">
        <v>52.5</v>
      </c>
      <c r="HE229" s="16">
        <v>78.3</v>
      </c>
      <c r="HF229" s="16">
        <v>80.400000000000006</v>
      </c>
      <c r="HG229" s="16">
        <v>33.200000000000003</v>
      </c>
      <c r="HH229">
        <v>67.5</v>
      </c>
      <c r="HI229" s="17">
        <v>0</v>
      </c>
      <c r="HJ229">
        <v>21.37</v>
      </c>
      <c r="HK229">
        <v>0</v>
      </c>
      <c r="HL229">
        <v>3.99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5.93</v>
      </c>
      <c r="HU229">
        <v>42.2</v>
      </c>
      <c r="HV229">
        <v>15.97</v>
      </c>
      <c r="HW229">
        <v>7.14</v>
      </c>
      <c r="HX229">
        <v>0</v>
      </c>
      <c r="HY229">
        <v>0</v>
      </c>
      <c r="IL229">
        <v>1.7</v>
      </c>
      <c r="IM229">
        <v>1</v>
      </c>
      <c r="IN229">
        <v>34</v>
      </c>
      <c r="IO229">
        <v>5</v>
      </c>
      <c r="IP229">
        <v>0.21</v>
      </c>
      <c r="IQ229">
        <v>1</v>
      </c>
      <c r="IR229">
        <v>68</v>
      </c>
      <c r="IS229">
        <v>3</v>
      </c>
      <c r="IT229">
        <v>0.3</v>
      </c>
      <c r="IU229">
        <v>1</v>
      </c>
      <c r="IV229">
        <v>47</v>
      </c>
      <c r="IW229">
        <v>4</v>
      </c>
      <c r="IX229" s="18">
        <v>0.11</v>
      </c>
      <c r="IY229">
        <v>1</v>
      </c>
      <c r="IZ229">
        <v>35</v>
      </c>
      <c r="JA229">
        <v>2</v>
      </c>
      <c r="JB229">
        <v>0.1</v>
      </c>
      <c r="JC229">
        <v>1</v>
      </c>
      <c r="JP229">
        <v>0</v>
      </c>
      <c r="LA229" s="16">
        <v>1.04</v>
      </c>
      <c r="LB229" s="16">
        <v>1</v>
      </c>
      <c r="LC229" s="16">
        <v>1</v>
      </c>
      <c r="LD229" s="16"/>
      <c r="LE229" s="16">
        <f>3.74+3.17+0.1</f>
        <v>7.01</v>
      </c>
      <c r="LF229" s="16"/>
      <c r="LG229" s="16"/>
      <c r="LH229" s="16"/>
      <c r="LI229" s="16"/>
      <c r="LJ229" s="16"/>
      <c r="LK229" s="16"/>
      <c r="LL229" s="16">
        <v>8.9</v>
      </c>
      <c r="LM229" s="16">
        <v>9.7899999999999991</v>
      </c>
      <c r="LN229" s="16"/>
      <c r="LO229" s="16"/>
      <c r="LP229" s="16">
        <v>2.99</v>
      </c>
      <c r="LQ229" s="16">
        <v>4</v>
      </c>
      <c r="LR229" s="16">
        <v>3</v>
      </c>
      <c r="LS229">
        <v>0</v>
      </c>
      <c r="LT229" t="s">
        <v>187</v>
      </c>
      <c r="LU229">
        <v>53.5</v>
      </c>
      <c r="LV229" s="16">
        <v>73.5</v>
      </c>
      <c r="LW229" s="16">
        <v>80.400000000000006</v>
      </c>
      <c r="LX229" s="16">
        <v>26.1</v>
      </c>
      <c r="LY229">
        <v>78.89</v>
      </c>
      <c r="LZ229" s="17">
        <v>0</v>
      </c>
      <c r="MA229">
        <v>2.36</v>
      </c>
      <c r="MB229">
        <v>0</v>
      </c>
      <c r="MC229">
        <v>11.6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7.86</v>
      </c>
      <c r="MK229">
        <v>12.08</v>
      </c>
      <c r="ML229">
        <v>18.100000000000001</v>
      </c>
      <c r="MM229">
        <v>28.51</v>
      </c>
      <c r="MN229">
        <v>7.14</v>
      </c>
      <c r="MO229">
        <v>0</v>
      </c>
      <c r="MP229">
        <v>0</v>
      </c>
      <c r="NC229">
        <v>11.6</v>
      </c>
      <c r="ND229">
        <v>1</v>
      </c>
      <c r="NE229">
        <v>47</v>
      </c>
      <c r="NF229">
        <v>4</v>
      </c>
      <c r="NG229">
        <f>1.15+0.34</f>
        <v>1.49</v>
      </c>
      <c r="NH229">
        <v>3</v>
      </c>
      <c r="NO229" s="18"/>
      <c r="OG229">
        <v>1</v>
      </c>
      <c r="OH229">
        <v>50</v>
      </c>
      <c r="OI229">
        <v>1</v>
      </c>
      <c r="OJ229">
        <v>0.19</v>
      </c>
      <c r="OK229">
        <v>3</v>
      </c>
      <c r="PR229" s="16">
        <v>7.27</v>
      </c>
      <c r="PS229" s="16">
        <v>1</v>
      </c>
      <c r="PT229" s="16">
        <v>1</v>
      </c>
      <c r="PU229" s="16"/>
      <c r="PV229" s="16">
        <f>2.11*2+0.37*2</f>
        <v>4.96</v>
      </c>
      <c r="PW229" s="16">
        <v>3</v>
      </c>
      <c r="PX229" s="16"/>
      <c r="PY229" s="16">
        <f>1.44+0.72</f>
        <v>2.16</v>
      </c>
      <c r="PZ229" s="16"/>
      <c r="QA229" s="16"/>
      <c r="QB229" s="16"/>
      <c r="QC229" s="16">
        <v>5.39</v>
      </c>
      <c r="QD229" s="16">
        <v>8.11</v>
      </c>
      <c r="QE229" s="16"/>
      <c r="QF229" s="16"/>
      <c r="QG229" s="16">
        <v>0</v>
      </c>
      <c r="QH229" s="16">
        <v>0</v>
      </c>
      <c r="QI229" s="16">
        <v>3</v>
      </c>
      <c r="QJ229">
        <v>0</v>
      </c>
      <c r="QK229" t="s">
        <v>188</v>
      </c>
      <c r="QL229">
        <v>40</v>
      </c>
      <c r="QM229" s="16">
        <v>84.1</v>
      </c>
      <c r="QN229" s="16">
        <v>80.400000000000006</v>
      </c>
      <c r="QO229" s="16">
        <v>35.1</v>
      </c>
      <c r="QP229">
        <v>66.11</v>
      </c>
      <c r="QQ229" s="17">
        <v>0</v>
      </c>
      <c r="QR229">
        <v>13.11</v>
      </c>
      <c r="QS229">
        <v>6.27</v>
      </c>
      <c r="QT229">
        <v>8.02</v>
      </c>
      <c r="QU229">
        <v>0</v>
      </c>
      <c r="QV229">
        <v>6.47</v>
      </c>
      <c r="QW229">
        <v>2.85</v>
      </c>
      <c r="QX229">
        <v>3.1</v>
      </c>
      <c r="QY229">
        <v>0</v>
      </c>
      <c r="QZ229">
        <v>0</v>
      </c>
      <c r="RA229">
        <v>10.49</v>
      </c>
      <c r="RB229">
        <v>26.72</v>
      </c>
      <c r="RC229">
        <v>13.38</v>
      </c>
      <c r="RD229">
        <v>10.67</v>
      </c>
      <c r="RE229">
        <v>0</v>
      </c>
      <c r="RF229">
        <v>0</v>
      </c>
      <c r="RG229">
        <v>0</v>
      </c>
      <c r="RT229">
        <v>3.9</v>
      </c>
      <c r="RU229">
        <v>1</v>
      </c>
      <c r="RV229">
        <v>68</v>
      </c>
      <c r="RW229">
        <v>4</v>
      </c>
      <c r="RX229">
        <f>1.9+0.34</f>
        <v>2.2399999999999998</v>
      </c>
      <c r="RY229">
        <v>1</v>
      </c>
      <c r="RZ229">
        <v>34</v>
      </c>
      <c r="SA229">
        <v>8</v>
      </c>
      <c r="SB229">
        <v>0.27</v>
      </c>
      <c r="SC229">
        <v>1</v>
      </c>
      <c r="SF229" s="18"/>
      <c r="SX229">
        <v>1</v>
      </c>
      <c r="SY229">
        <v>50</v>
      </c>
      <c r="SZ229">
        <v>4</v>
      </c>
      <c r="TA229">
        <f>1.52*2</f>
        <v>3.04</v>
      </c>
      <c r="TB229">
        <v>3</v>
      </c>
      <c r="UI229" s="16">
        <v>0.04</v>
      </c>
      <c r="UJ229" s="16">
        <v>1</v>
      </c>
      <c r="UK229" s="16">
        <v>1</v>
      </c>
      <c r="UL229" s="16"/>
      <c r="UM229" s="16">
        <f>0.3</f>
        <v>0.3</v>
      </c>
      <c r="UN229" s="16"/>
      <c r="UO229" s="16"/>
      <c r="UP229" s="16"/>
      <c r="UQ229" s="16"/>
      <c r="UR229" s="16"/>
      <c r="US229" s="16"/>
      <c r="UT229" s="16">
        <v>0.03</v>
      </c>
      <c r="UU229" s="16">
        <v>0.03</v>
      </c>
      <c r="UV229" s="16"/>
      <c r="UW229" s="16"/>
      <c r="UX229" s="16">
        <v>0</v>
      </c>
      <c r="UY229" s="16">
        <v>0</v>
      </c>
      <c r="UZ229" s="16">
        <v>0</v>
      </c>
      <c r="VA229">
        <v>0</v>
      </c>
      <c r="VB229" t="s">
        <v>189</v>
      </c>
      <c r="VC229">
        <v>31</v>
      </c>
      <c r="VD229" s="16">
        <v>80.2</v>
      </c>
      <c r="VE229" s="16">
        <v>80.400000000000006</v>
      </c>
      <c r="VF229" s="16">
        <v>6.5</v>
      </c>
      <c r="VG229">
        <v>99.3</v>
      </c>
      <c r="VH229" s="17">
        <v>0</v>
      </c>
      <c r="VI229">
        <v>0.7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31.92</v>
      </c>
      <c r="VT229">
        <v>23.7</v>
      </c>
      <c r="VU229">
        <v>1.95</v>
      </c>
      <c r="VV229">
        <v>0</v>
      </c>
      <c r="VW229">
        <v>18.7</v>
      </c>
      <c r="VX229">
        <v>4</v>
      </c>
      <c r="VY229">
        <v>49</v>
      </c>
      <c r="WA229">
        <v>1</v>
      </c>
      <c r="WE229">
        <v>49</v>
      </c>
      <c r="WG229">
        <v>1</v>
      </c>
      <c r="WK229">
        <v>0</v>
      </c>
      <c r="WL229">
        <v>0</v>
      </c>
      <c r="WW229" s="18"/>
      <c r="XO229">
        <v>0</v>
      </c>
      <c r="YZ229" s="16">
        <v>0</v>
      </c>
      <c r="ZA229" s="16">
        <v>0</v>
      </c>
      <c r="ZB229" s="16"/>
      <c r="ZC229" s="16"/>
      <c r="ZD229" s="16"/>
      <c r="ZE229" s="16"/>
      <c r="ZF229" s="16"/>
      <c r="ZG229" s="16"/>
      <c r="ZH229" s="16"/>
      <c r="ZI229" s="16"/>
      <c r="ZJ229" s="16"/>
      <c r="ZK229" s="16">
        <v>5.42</v>
      </c>
      <c r="ZL229" s="16">
        <v>6.61</v>
      </c>
      <c r="ZM229" s="16"/>
      <c r="ZN229" s="16"/>
      <c r="ZO229" s="16">
        <v>0</v>
      </c>
      <c r="ZP229" s="16">
        <v>0</v>
      </c>
      <c r="ZQ229" s="16">
        <v>0</v>
      </c>
      <c r="ZR229">
        <v>0</v>
      </c>
      <c r="ZS229" t="s">
        <v>190</v>
      </c>
      <c r="ZT229">
        <v>38.5</v>
      </c>
      <c r="ZU229" s="16">
        <v>92</v>
      </c>
      <c r="ZV229" s="16">
        <v>80.400000000000006</v>
      </c>
      <c r="ZW229" s="16">
        <v>11</v>
      </c>
      <c r="ZX229">
        <v>95.37</v>
      </c>
      <c r="ZY229" s="17">
        <v>0</v>
      </c>
      <c r="ZZ229">
        <v>4.63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2.85</v>
      </c>
      <c r="AAJ229">
        <v>16.149999999999999</v>
      </c>
      <c r="AAK229">
        <v>42.55</v>
      </c>
      <c r="AAL229">
        <v>4.63</v>
      </c>
      <c r="AAM229">
        <v>0</v>
      </c>
      <c r="AAN229">
        <v>5.7</v>
      </c>
      <c r="AAO229">
        <v>1</v>
      </c>
      <c r="AAP229">
        <v>3</v>
      </c>
      <c r="AAR229">
        <v>1</v>
      </c>
      <c r="AAV229">
        <v>3</v>
      </c>
      <c r="AAX229">
        <v>1</v>
      </c>
      <c r="ABB229">
        <v>4.8</v>
      </c>
      <c r="ABC229">
        <v>0</v>
      </c>
      <c r="ABN229" s="18"/>
      <c r="ACF229">
        <v>1</v>
      </c>
      <c r="ACG229">
        <v>70</v>
      </c>
      <c r="ACH229">
        <v>3</v>
      </c>
      <c r="ACI229">
        <f>14.97+0.86+0.7</f>
        <v>16.53</v>
      </c>
      <c r="ACJ229">
        <v>3</v>
      </c>
      <c r="ACK229">
        <v>60</v>
      </c>
      <c r="ACL229">
        <v>3</v>
      </c>
      <c r="ACM229">
        <f>3.02+0.97+0.6</f>
        <v>4.59</v>
      </c>
      <c r="ACN229">
        <v>3</v>
      </c>
      <c r="ADQ229" s="16">
        <v>2.82</v>
      </c>
      <c r="ADR229" s="16">
        <v>1</v>
      </c>
      <c r="ADS229" s="16">
        <v>1</v>
      </c>
      <c r="ADT229" s="16"/>
      <c r="ADU229" s="16">
        <f>0.93*2</f>
        <v>1.86</v>
      </c>
      <c r="ADV229" s="16">
        <v>2</v>
      </c>
      <c r="ADW229" s="16"/>
      <c r="ADX229" s="16">
        <f>9.6+1.93</f>
        <v>11.53</v>
      </c>
      <c r="ADY229" s="16"/>
      <c r="ADZ229" s="16"/>
      <c r="AEA229" s="16"/>
      <c r="AEB229" s="16">
        <v>13.91</v>
      </c>
      <c r="AEC229" s="16">
        <v>17.309999999999999</v>
      </c>
      <c r="AED229" s="16"/>
      <c r="AEE229" s="16"/>
      <c r="AEF229" s="16">
        <v>0</v>
      </c>
      <c r="AEG229" s="16">
        <v>0</v>
      </c>
      <c r="AEH229" s="16">
        <v>0</v>
      </c>
      <c r="AEI229">
        <v>0</v>
      </c>
      <c r="AEJ229" t="s">
        <v>191</v>
      </c>
      <c r="AEK229">
        <v>44</v>
      </c>
      <c r="AEL229" s="16">
        <v>75.8</v>
      </c>
      <c r="AEM229" s="16">
        <v>80.400000000000006</v>
      </c>
      <c r="AEN229" s="16">
        <v>12.2</v>
      </c>
      <c r="AEO229">
        <v>90.24</v>
      </c>
      <c r="AEP229" s="17">
        <v>0</v>
      </c>
      <c r="AEQ229">
        <v>6.27</v>
      </c>
      <c r="AER229">
        <v>0</v>
      </c>
      <c r="AES229">
        <v>3.49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24.37</v>
      </c>
      <c r="AFB229">
        <v>32.21</v>
      </c>
      <c r="AFC229">
        <v>3.56</v>
      </c>
      <c r="AFD229">
        <v>0</v>
      </c>
      <c r="AFE229">
        <v>0</v>
      </c>
      <c r="AFF229">
        <v>0</v>
      </c>
      <c r="AFS229">
        <v>20.3</v>
      </c>
      <c r="AFT229">
        <v>1</v>
      </c>
      <c r="AFU229">
        <v>30</v>
      </c>
      <c r="AFV229">
        <v>4</v>
      </c>
      <c r="AFW229">
        <v>3.01</v>
      </c>
      <c r="AFX229">
        <v>5</v>
      </c>
      <c r="AFY229">
        <v>68</v>
      </c>
      <c r="AFZ229">
        <v>2</v>
      </c>
      <c r="AGA229">
        <v>1.52</v>
      </c>
      <c r="AGB229">
        <v>1</v>
      </c>
      <c r="AGC229">
        <v>47</v>
      </c>
      <c r="AGD229">
        <v>1</v>
      </c>
      <c r="AGE229" s="18">
        <v>7.0000000000000007E-2</v>
      </c>
      <c r="AGF229">
        <v>3</v>
      </c>
      <c r="AGW229">
        <v>0</v>
      </c>
      <c r="AIH229" s="16">
        <v>1.88</v>
      </c>
      <c r="AII229" s="16">
        <v>1</v>
      </c>
      <c r="AIJ229" s="16">
        <v>2</v>
      </c>
      <c r="AIK229" s="16"/>
      <c r="AIL229" s="16">
        <v>4.18</v>
      </c>
      <c r="AIM229" s="16"/>
      <c r="AIN229" s="16"/>
      <c r="AIO229" s="16"/>
      <c r="AIP229" s="16"/>
      <c r="AIQ229" s="16"/>
      <c r="AIR229" s="16"/>
      <c r="AIS229" s="16">
        <v>7.15</v>
      </c>
      <c r="AIT229" s="16">
        <v>6.06</v>
      </c>
      <c r="AIU229" s="16"/>
      <c r="AIV229" s="16"/>
      <c r="AIW229" s="16">
        <v>0</v>
      </c>
      <c r="AIX229" s="16">
        <v>0</v>
      </c>
      <c r="AIY229" s="16">
        <v>0</v>
      </c>
      <c r="AIZ229">
        <v>0</v>
      </c>
      <c r="AJA229" s="15"/>
      <c r="AJB229" s="15"/>
      <c r="AJD229" s="34"/>
      <c r="AJE229" s="34"/>
      <c r="AJH229" s="34"/>
      <c r="AJI229" s="15"/>
      <c r="AJJ229" s="15"/>
      <c r="AJL229" s="34"/>
      <c r="AJM229" s="34"/>
      <c r="AJP229" s="34"/>
      <c r="AJQ229" s="15"/>
      <c r="AJR229" s="15"/>
      <c r="AJT229" s="34"/>
      <c r="AJU229" s="34"/>
      <c r="AJX229" s="34"/>
      <c r="AJY229" s="15"/>
      <c r="AJZ229" s="15"/>
      <c r="AKB229" s="34"/>
      <c r="AKC229" s="34"/>
      <c r="AKF229" s="34"/>
      <c r="AKG229" s="15"/>
      <c r="AKH229" s="15"/>
      <c r="AKJ229" s="34"/>
      <c r="AKK229" s="34"/>
      <c r="AKN229" s="34"/>
      <c r="AKO229" s="15"/>
      <c r="AKP229" s="15"/>
      <c r="AKR229" s="34"/>
      <c r="AKS229" s="34"/>
      <c r="AKV229" s="34"/>
      <c r="AKW229" s="15"/>
      <c r="AKX229" s="15"/>
      <c r="AKZ229" s="34"/>
      <c r="ALA229" s="34"/>
      <c r="ALD229" s="34"/>
      <c r="ALE229" s="15"/>
      <c r="ALF229" s="15"/>
      <c r="ALH229" s="34"/>
      <c r="ALI229" s="34"/>
      <c r="ALL229" s="34"/>
      <c r="ALM229" s="15"/>
      <c r="ALN229" s="15"/>
      <c r="ALP229" s="34"/>
      <c r="ALQ229" s="34"/>
      <c r="ALT229" s="34"/>
      <c r="ALU229" s="15"/>
      <c r="ALV229" s="15"/>
      <c r="ALX229" s="34"/>
      <c r="ALY229" s="34"/>
      <c r="AMB229" s="34"/>
      <c r="AMC229" s="15"/>
      <c r="AMD229" s="15"/>
      <c r="AMF229" s="34"/>
      <c r="AMG229" s="34"/>
      <c r="AMJ229" s="34"/>
    </row>
    <row r="230" spans="1:1024" x14ac:dyDescent="0.2">
      <c r="A230" s="1" t="s">
        <v>744</v>
      </c>
      <c r="B230" s="12">
        <v>42902</v>
      </c>
      <c r="C230">
        <v>1</v>
      </c>
      <c r="D230" s="13">
        <v>42783</v>
      </c>
      <c r="E230" s="12">
        <v>29175</v>
      </c>
      <c r="F230" s="14">
        <f t="shared" si="62"/>
        <v>37.582477754962355</v>
      </c>
      <c r="G230" s="14">
        <f t="shared" si="63"/>
        <v>0.32580424366872007</v>
      </c>
      <c r="H230" s="19" t="s">
        <v>181</v>
      </c>
      <c r="I230" t="s">
        <v>182</v>
      </c>
      <c r="J230" s="21" t="s">
        <v>183</v>
      </c>
      <c r="K230" s="21">
        <v>4</v>
      </c>
      <c r="L230" s="19">
        <v>57</v>
      </c>
      <c r="M230">
        <v>1.6</v>
      </c>
      <c r="N230" s="16">
        <f t="shared" si="64"/>
        <v>22.265624999999996</v>
      </c>
      <c r="O230" s="19">
        <v>0</v>
      </c>
      <c r="P230" s="19">
        <v>0</v>
      </c>
      <c r="Q230" s="19">
        <v>0</v>
      </c>
      <c r="R230" s="26">
        <v>0</v>
      </c>
      <c r="S230" s="26">
        <v>0</v>
      </c>
      <c r="T230" s="26">
        <v>0</v>
      </c>
      <c r="U230" s="19">
        <v>0</v>
      </c>
      <c r="V230" s="19">
        <v>0</v>
      </c>
      <c r="W230" s="19">
        <v>0</v>
      </c>
      <c r="X230" s="19">
        <v>0</v>
      </c>
      <c r="Y230" s="19">
        <v>0</v>
      </c>
      <c r="Z230" s="19">
        <v>0</v>
      </c>
      <c r="AA230" s="19">
        <v>0</v>
      </c>
      <c r="AB230" s="19">
        <v>0</v>
      </c>
      <c r="AC230" s="19">
        <v>1</v>
      </c>
      <c r="AD230" s="19">
        <v>11</v>
      </c>
      <c r="AE230" s="19"/>
      <c r="AF230" s="19"/>
      <c r="AG230" s="19"/>
      <c r="AH230" s="19"/>
      <c r="AI230" s="19">
        <v>0</v>
      </c>
      <c r="AJ230" s="19">
        <v>0</v>
      </c>
      <c r="AK230" s="19">
        <v>0</v>
      </c>
      <c r="AL230" s="19">
        <v>0</v>
      </c>
      <c r="AM230" s="19">
        <v>0</v>
      </c>
      <c r="AN230" s="19">
        <v>0</v>
      </c>
      <c r="AO230" s="19">
        <v>0</v>
      </c>
      <c r="AP230" s="19">
        <v>0</v>
      </c>
      <c r="AQ230" s="19">
        <v>0</v>
      </c>
      <c r="AR230" s="19">
        <v>0</v>
      </c>
      <c r="AS230" s="19">
        <v>0</v>
      </c>
      <c r="AT230" s="19">
        <v>0</v>
      </c>
      <c r="AU230" s="19">
        <v>0</v>
      </c>
      <c r="AV230" s="19">
        <v>0</v>
      </c>
      <c r="AW230" s="19">
        <v>0</v>
      </c>
      <c r="AX230" s="19"/>
      <c r="AY230" s="19"/>
      <c r="AZ230" s="19"/>
      <c r="BA230" s="19"/>
      <c r="BB230" s="19"/>
      <c r="BC230" s="19"/>
      <c r="BD230" s="19"/>
      <c r="BE230" s="19"/>
      <c r="BF230" s="19">
        <v>0</v>
      </c>
      <c r="BG230" s="19">
        <v>0</v>
      </c>
      <c r="BH230" s="19">
        <v>0</v>
      </c>
      <c r="BI230" s="19">
        <v>0</v>
      </c>
      <c r="BJ230" s="19">
        <v>0</v>
      </c>
      <c r="BK230" s="19">
        <v>0</v>
      </c>
      <c r="BL230" s="19">
        <v>0</v>
      </c>
      <c r="BM230" s="19">
        <v>0</v>
      </c>
      <c r="BN230" s="19">
        <v>0</v>
      </c>
      <c r="BO230" s="19">
        <v>0</v>
      </c>
      <c r="BP230" s="19">
        <v>0</v>
      </c>
      <c r="BQ230" s="19">
        <v>0</v>
      </c>
      <c r="BR230" s="19">
        <v>1</v>
      </c>
      <c r="BS230" s="19">
        <v>1</v>
      </c>
      <c r="BT230" s="19">
        <v>3</v>
      </c>
      <c r="BU230" s="19">
        <v>5</v>
      </c>
      <c r="BV230" s="19">
        <v>1</v>
      </c>
      <c r="BW230" s="19">
        <v>1</v>
      </c>
      <c r="BX230" s="19">
        <v>5</v>
      </c>
      <c r="BY230" s="19">
        <v>5</v>
      </c>
      <c r="BZ230" s="19">
        <v>5</v>
      </c>
      <c r="CA230" s="19">
        <v>5</v>
      </c>
      <c r="CB230" s="19">
        <v>5</v>
      </c>
      <c r="CC230" s="19">
        <v>5</v>
      </c>
      <c r="CD230" s="19">
        <v>3</v>
      </c>
      <c r="CE230" s="19">
        <v>3</v>
      </c>
      <c r="CF230" s="19">
        <v>5</v>
      </c>
      <c r="CG230" s="19">
        <v>4</v>
      </c>
      <c r="CH230" s="19">
        <v>4</v>
      </c>
      <c r="CI230" s="19">
        <v>5</v>
      </c>
      <c r="CJ230" s="19">
        <v>5</v>
      </c>
      <c r="CK230" s="19">
        <v>10</v>
      </c>
      <c r="CL230" t="s">
        <v>185</v>
      </c>
      <c r="CM230">
        <v>21.5</v>
      </c>
      <c r="CN230" s="16">
        <v>54.9</v>
      </c>
      <c r="CO230" s="16">
        <v>80.400000000000006</v>
      </c>
      <c r="CP230" s="16">
        <v>17.899999999999999</v>
      </c>
      <c r="CQ230">
        <v>90.61</v>
      </c>
      <c r="CR230" s="17">
        <v>0</v>
      </c>
      <c r="CS230">
        <v>0</v>
      </c>
      <c r="CT230">
        <v>2.4500000000000002</v>
      </c>
      <c r="CU230">
        <v>6.94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12.16</v>
      </c>
      <c r="DC230">
        <v>24.45</v>
      </c>
      <c r="DD230">
        <v>4.8</v>
      </c>
      <c r="DE230">
        <v>5.1100000000000003</v>
      </c>
      <c r="DF230">
        <v>0</v>
      </c>
      <c r="DG230">
        <v>0</v>
      </c>
      <c r="DH230">
        <v>0</v>
      </c>
      <c r="DU230">
        <v>2.9</v>
      </c>
      <c r="DV230">
        <v>1</v>
      </c>
      <c r="DW230">
        <v>68</v>
      </c>
      <c r="DX230">
        <v>2</v>
      </c>
      <c r="DY230">
        <f>0.38+0.07</f>
        <v>0.45</v>
      </c>
      <c r="DZ230">
        <v>1</v>
      </c>
      <c r="EG230" s="18"/>
      <c r="EY230">
        <v>1</v>
      </c>
      <c r="EZ230">
        <v>40</v>
      </c>
      <c r="FA230">
        <v>1</v>
      </c>
      <c r="FB230">
        <v>0.06</v>
      </c>
      <c r="FC230">
        <v>1</v>
      </c>
      <c r="FD230">
        <v>60</v>
      </c>
      <c r="FE230">
        <v>1</v>
      </c>
      <c r="FF230">
        <v>0.11</v>
      </c>
      <c r="FG230">
        <v>1</v>
      </c>
      <c r="FH230">
        <v>40</v>
      </c>
      <c r="FI230">
        <v>1</v>
      </c>
      <c r="FJ230">
        <v>0.57999999999999996</v>
      </c>
      <c r="FK230">
        <v>6</v>
      </c>
      <c r="GJ230" s="16">
        <v>0</v>
      </c>
      <c r="GK230" s="16">
        <v>0</v>
      </c>
      <c r="GL230" s="16"/>
      <c r="GM230" s="16"/>
      <c r="GN230" s="16"/>
      <c r="GO230" s="16"/>
      <c r="GP230" s="16"/>
      <c r="GQ230" s="16"/>
      <c r="GR230" s="16"/>
      <c r="GS230" s="16"/>
      <c r="GT230" s="16"/>
      <c r="GU230" s="16">
        <v>0.67</v>
      </c>
      <c r="GV230" s="16">
        <v>0.65</v>
      </c>
      <c r="GW230" s="16"/>
      <c r="GX230" s="16"/>
      <c r="GY230" s="16">
        <v>0</v>
      </c>
      <c r="GZ230" s="16">
        <v>0</v>
      </c>
      <c r="HA230" s="16">
        <v>0</v>
      </c>
      <c r="HB230">
        <v>0</v>
      </c>
      <c r="HC230" t="s">
        <v>186</v>
      </c>
      <c r="HD230">
        <v>52.5</v>
      </c>
      <c r="HE230" s="16">
        <v>78.3</v>
      </c>
      <c r="HF230" s="16">
        <v>80.400000000000006</v>
      </c>
      <c r="HG230" s="16">
        <v>33.200000000000003</v>
      </c>
      <c r="HH230">
        <v>67.5</v>
      </c>
      <c r="HI230" s="17">
        <v>0</v>
      </c>
      <c r="HJ230">
        <v>21.37</v>
      </c>
      <c r="HK230">
        <v>0</v>
      </c>
      <c r="HL230">
        <v>3.99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5.93</v>
      </c>
      <c r="HU230">
        <v>42.2</v>
      </c>
      <c r="HV230">
        <v>15.97</v>
      </c>
      <c r="HW230">
        <v>7.14</v>
      </c>
      <c r="HX230">
        <v>0</v>
      </c>
      <c r="HY230">
        <v>0</v>
      </c>
      <c r="IL230">
        <v>1.7</v>
      </c>
      <c r="IM230">
        <v>1</v>
      </c>
      <c r="IN230">
        <v>34</v>
      </c>
      <c r="IO230">
        <v>5</v>
      </c>
      <c r="IP230">
        <v>0.21</v>
      </c>
      <c r="IQ230">
        <v>1</v>
      </c>
      <c r="IR230">
        <v>68</v>
      </c>
      <c r="IS230">
        <v>3</v>
      </c>
      <c r="IT230">
        <v>0.3</v>
      </c>
      <c r="IU230">
        <v>1</v>
      </c>
      <c r="IV230">
        <v>47</v>
      </c>
      <c r="IW230">
        <v>4</v>
      </c>
      <c r="IX230" s="18">
        <v>0.11</v>
      </c>
      <c r="IY230">
        <v>1</v>
      </c>
      <c r="IZ230">
        <v>35</v>
      </c>
      <c r="JA230">
        <v>2</v>
      </c>
      <c r="JB230">
        <v>0.1</v>
      </c>
      <c r="JC230">
        <v>1</v>
      </c>
      <c r="JP230">
        <v>0</v>
      </c>
      <c r="LA230" s="16">
        <v>1.04</v>
      </c>
      <c r="LB230" s="16">
        <v>1</v>
      </c>
      <c r="LC230" s="16">
        <v>1</v>
      </c>
      <c r="LD230" s="16"/>
      <c r="LE230" s="16">
        <f>3.74+3.17+0.1</f>
        <v>7.01</v>
      </c>
      <c r="LF230" s="16"/>
      <c r="LG230" s="16"/>
      <c r="LH230" s="16"/>
      <c r="LI230" s="16"/>
      <c r="LJ230" s="16"/>
      <c r="LK230" s="16"/>
      <c r="LL230" s="16">
        <v>8.9</v>
      </c>
      <c r="LM230" s="16">
        <v>9.7899999999999991</v>
      </c>
      <c r="LN230" s="16"/>
      <c r="LO230" s="16"/>
      <c r="LP230" s="16">
        <v>2.99</v>
      </c>
      <c r="LQ230" s="16">
        <v>4</v>
      </c>
      <c r="LR230" s="16">
        <v>3</v>
      </c>
      <c r="LS230">
        <v>0</v>
      </c>
      <c r="LT230" t="s">
        <v>187</v>
      </c>
      <c r="LU230">
        <v>53.5</v>
      </c>
      <c r="LV230" s="16">
        <v>73.5</v>
      </c>
      <c r="LW230" s="16">
        <v>80.400000000000006</v>
      </c>
      <c r="LX230" s="16">
        <v>26.1</v>
      </c>
      <c r="LY230">
        <v>78.89</v>
      </c>
      <c r="LZ230" s="17">
        <v>0</v>
      </c>
      <c r="MA230">
        <v>2.36</v>
      </c>
      <c r="MB230">
        <v>0</v>
      </c>
      <c r="MC230">
        <v>11.6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7.86</v>
      </c>
      <c r="MK230">
        <v>12.08</v>
      </c>
      <c r="ML230">
        <v>18.100000000000001</v>
      </c>
      <c r="MM230">
        <v>28.51</v>
      </c>
      <c r="MN230">
        <v>7.14</v>
      </c>
      <c r="MO230">
        <v>0</v>
      </c>
      <c r="MP230">
        <v>0</v>
      </c>
      <c r="NC230">
        <v>11.6</v>
      </c>
      <c r="ND230">
        <v>1</v>
      </c>
      <c r="NE230">
        <v>47</v>
      </c>
      <c r="NF230">
        <v>4</v>
      </c>
      <c r="NG230">
        <f>1.15+0.34</f>
        <v>1.49</v>
      </c>
      <c r="NH230">
        <v>3</v>
      </c>
      <c r="NO230" s="18"/>
      <c r="OG230">
        <v>1</v>
      </c>
      <c r="OH230">
        <v>50</v>
      </c>
      <c r="OI230">
        <v>1</v>
      </c>
      <c r="OJ230">
        <v>0.19</v>
      </c>
      <c r="OK230">
        <v>3</v>
      </c>
      <c r="PR230" s="16">
        <v>7.27</v>
      </c>
      <c r="PS230" s="16">
        <v>1</v>
      </c>
      <c r="PT230" s="16">
        <v>1</v>
      </c>
      <c r="PU230" s="16"/>
      <c r="PV230" s="16">
        <f>2.11*2+0.37*2</f>
        <v>4.96</v>
      </c>
      <c r="PW230" s="16">
        <v>3</v>
      </c>
      <c r="PX230" s="16"/>
      <c r="PY230" s="16">
        <f>1.44+0.72</f>
        <v>2.16</v>
      </c>
      <c r="PZ230" s="16"/>
      <c r="QA230" s="16"/>
      <c r="QB230" s="16"/>
      <c r="QC230" s="16">
        <v>5.39</v>
      </c>
      <c r="QD230" s="16">
        <v>8.11</v>
      </c>
      <c r="QE230" s="16"/>
      <c r="QF230" s="16"/>
      <c r="QG230" s="16">
        <v>0</v>
      </c>
      <c r="QH230" s="16">
        <v>0</v>
      </c>
      <c r="QI230" s="16">
        <v>3</v>
      </c>
      <c r="QJ230">
        <v>0</v>
      </c>
      <c r="QK230" t="s">
        <v>188</v>
      </c>
      <c r="QL230">
        <v>40</v>
      </c>
      <c r="QM230" s="16">
        <v>84.1</v>
      </c>
      <c r="QN230" s="16">
        <v>80.400000000000006</v>
      </c>
      <c r="QO230" s="16">
        <v>35.1</v>
      </c>
      <c r="QP230">
        <v>66.11</v>
      </c>
      <c r="QQ230" s="17">
        <v>0</v>
      </c>
      <c r="QR230">
        <v>13.11</v>
      </c>
      <c r="QS230">
        <v>6.27</v>
      </c>
      <c r="QT230">
        <v>8.02</v>
      </c>
      <c r="QU230">
        <v>0</v>
      </c>
      <c r="QV230">
        <v>6.47</v>
      </c>
      <c r="QW230">
        <v>2.85</v>
      </c>
      <c r="QX230">
        <v>3.1</v>
      </c>
      <c r="QY230">
        <v>0</v>
      </c>
      <c r="QZ230">
        <v>0</v>
      </c>
      <c r="RA230">
        <v>10.49</v>
      </c>
      <c r="RB230">
        <v>26.72</v>
      </c>
      <c r="RC230">
        <v>13.38</v>
      </c>
      <c r="RD230">
        <v>10.67</v>
      </c>
      <c r="RE230">
        <v>0</v>
      </c>
      <c r="RF230">
        <v>0</v>
      </c>
      <c r="RG230">
        <v>0</v>
      </c>
      <c r="RT230">
        <v>3.9</v>
      </c>
      <c r="RU230">
        <v>1</v>
      </c>
      <c r="RV230">
        <v>68</v>
      </c>
      <c r="RW230">
        <v>4</v>
      </c>
      <c r="RX230">
        <f>1.9+0.34</f>
        <v>2.2399999999999998</v>
      </c>
      <c r="RY230">
        <v>1</v>
      </c>
      <c r="RZ230">
        <v>34</v>
      </c>
      <c r="SA230">
        <v>8</v>
      </c>
      <c r="SB230">
        <v>0.27</v>
      </c>
      <c r="SC230">
        <v>1</v>
      </c>
      <c r="SF230" s="18"/>
      <c r="SX230">
        <v>1</v>
      </c>
      <c r="SY230">
        <v>50</v>
      </c>
      <c r="SZ230">
        <v>4</v>
      </c>
      <c r="TA230">
        <f>1.52*2</f>
        <v>3.04</v>
      </c>
      <c r="TB230">
        <v>3</v>
      </c>
      <c r="UI230" s="16">
        <v>0.04</v>
      </c>
      <c r="UJ230" s="16">
        <v>1</v>
      </c>
      <c r="UK230" s="16">
        <v>1</v>
      </c>
      <c r="UL230" s="16"/>
      <c r="UM230" s="16">
        <f>0.3</f>
        <v>0.3</v>
      </c>
      <c r="UN230" s="16"/>
      <c r="UO230" s="16"/>
      <c r="UP230" s="16"/>
      <c r="UQ230" s="16"/>
      <c r="UR230" s="16"/>
      <c r="US230" s="16"/>
      <c r="UT230" s="16">
        <v>0.03</v>
      </c>
      <c r="UU230" s="16">
        <v>0.03</v>
      </c>
      <c r="UV230" s="16"/>
      <c r="UW230" s="16"/>
      <c r="UX230" s="16">
        <v>0</v>
      </c>
      <c r="UY230" s="16">
        <v>0</v>
      </c>
      <c r="UZ230" s="16">
        <v>0</v>
      </c>
      <c r="VA230">
        <v>0</v>
      </c>
      <c r="VB230" t="s">
        <v>189</v>
      </c>
      <c r="VC230">
        <v>31</v>
      </c>
      <c r="VD230" s="16">
        <v>80.2</v>
      </c>
      <c r="VE230" s="16">
        <v>80.400000000000006</v>
      </c>
      <c r="VF230" s="16">
        <v>6.5</v>
      </c>
      <c r="VG230">
        <v>99.3</v>
      </c>
      <c r="VH230" s="17">
        <v>0</v>
      </c>
      <c r="VI230">
        <v>0.7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31.92</v>
      </c>
      <c r="VT230">
        <v>23.7</v>
      </c>
      <c r="VU230">
        <v>1.95</v>
      </c>
      <c r="VV230">
        <v>0</v>
      </c>
      <c r="VW230">
        <v>18.7</v>
      </c>
      <c r="VX230">
        <v>4</v>
      </c>
      <c r="VY230">
        <v>49</v>
      </c>
      <c r="WA230">
        <v>1</v>
      </c>
      <c r="WE230">
        <v>49</v>
      </c>
      <c r="WG230">
        <v>1</v>
      </c>
      <c r="WK230">
        <v>0</v>
      </c>
      <c r="WL230">
        <v>0</v>
      </c>
      <c r="WW230" s="18"/>
      <c r="XO230">
        <v>0</v>
      </c>
      <c r="YZ230" s="16">
        <v>0</v>
      </c>
      <c r="ZA230" s="16">
        <v>0</v>
      </c>
      <c r="ZB230" s="16"/>
      <c r="ZC230" s="16"/>
      <c r="ZD230" s="16"/>
      <c r="ZE230" s="16"/>
      <c r="ZF230" s="16"/>
      <c r="ZG230" s="16"/>
      <c r="ZH230" s="16"/>
      <c r="ZI230" s="16"/>
      <c r="ZJ230" s="16"/>
      <c r="ZK230" s="16">
        <v>5.42</v>
      </c>
      <c r="ZL230" s="16">
        <v>6.61</v>
      </c>
      <c r="ZM230" s="16"/>
      <c r="ZN230" s="16"/>
      <c r="ZO230" s="16">
        <v>0</v>
      </c>
      <c r="ZP230" s="16">
        <v>0</v>
      </c>
      <c r="ZQ230" s="16">
        <v>0</v>
      </c>
      <c r="ZR230">
        <v>0</v>
      </c>
      <c r="ZS230" t="s">
        <v>190</v>
      </c>
      <c r="ZT230">
        <v>38.5</v>
      </c>
      <c r="ZU230" s="16">
        <v>92</v>
      </c>
      <c r="ZV230" s="16">
        <v>80.400000000000006</v>
      </c>
      <c r="ZW230" s="16">
        <v>11</v>
      </c>
      <c r="ZX230">
        <v>95.37</v>
      </c>
      <c r="ZY230" s="17">
        <v>0</v>
      </c>
      <c r="ZZ230">
        <v>4.63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2.85</v>
      </c>
      <c r="AAJ230">
        <v>16.149999999999999</v>
      </c>
      <c r="AAK230">
        <v>42.55</v>
      </c>
      <c r="AAL230">
        <v>4.63</v>
      </c>
      <c r="AAM230">
        <v>0</v>
      </c>
      <c r="AAN230">
        <v>5.7</v>
      </c>
      <c r="AAO230">
        <v>1</v>
      </c>
      <c r="AAP230">
        <v>3</v>
      </c>
      <c r="AAR230">
        <v>1</v>
      </c>
      <c r="AAV230">
        <v>3</v>
      </c>
      <c r="AAX230">
        <v>1</v>
      </c>
      <c r="ABB230">
        <v>4.8</v>
      </c>
      <c r="ABC230">
        <v>0</v>
      </c>
      <c r="ABN230" s="18"/>
      <c r="ACF230">
        <v>1</v>
      </c>
      <c r="ACG230">
        <v>70</v>
      </c>
      <c r="ACH230">
        <v>3</v>
      </c>
      <c r="ACI230">
        <f>14.97+0.86+0.7</f>
        <v>16.53</v>
      </c>
      <c r="ACJ230">
        <v>3</v>
      </c>
      <c r="ACK230">
        <v>60</v>
      </c>
      <c r="ACL230">
        <v>3</v>
      </c>
      <c r="ACM230">
        <f>3.02+0.97+0.6</f>
        <v>4.59</v>
      </c>
      <c r="ACN230">
        <v>3</v>
      </c>
      <c r="ADQ230" s="16">
        <v>2.82</v>
      </c>
      <c r="ADR230" s="16">
        <v>1</v>
      </c>
      <c r="ADS230" s="16">
        <v>1</v>
      </c>
      <c r="ADT230" s="16"/>
      <c r="ADU230" s="16">
        <f>0.93*2</f>
        <v>1.86</v>
      </c>
      <c r="ADV230" s="16">
        <v>2</v>
      </c>
      <c r="ADW230" s="16"/>
      <c r="ADX230" s="16">
        <f>9.6+1.93</f>
        <v>11.53</v>
      </c>
      <c r="ADY230" s="16"/>
      <c r="ADZ230" s="16"/>
      <c r="AEA230" s="16"/>
      <c r="AEB230" s="16">
        <v>13.91</v>
      </c>
      <c r="AEC230" s="16">
        <v>17.309999999999999</v>
      </c>
      <c r="AED230" s="16"/>
      <c r="AEE230" s="16"/>
      <c r="AEF230" s="16">
        <v>0</v>
      </c>
      <c r="AEG230" s="16">
        <v>0</v>
      </c>
      <c r="AEH230" s="16">
        <v>0</v>
      </c>
      <c r="AEI230">
        <v>0</v>
      </c>
      <c r="AEJ230" t="s">
        <v>191</v>
      </c>
      <c r="AEK230">
        <v>44</v>
      </c>
      <c r="AEL230" s="16">
        <v>75.8</v>
      </c>
      <c r="AEM230" s="16">
        <v>80.400000000000006</v>
      </c>
      <c r="AEN230" s="16">
        <v>12.2</v>
      </c>
      <c r="AEO230">
        <v>90.24</v>
      </c>
      <c r="AEP230" s="17">
        <v>0</v>
      </c>
      <c r="AEQ230">
        <v>6.27</v>
      </c>
      <c r="AER230">
        <v>0</v>
      </c>
      <c r="AES230">
        <v>3.49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24.37</v>
      </c>
      <c r="AFB230">
        <v>32.21</v>
      </c>
      <c r="AFC230">
        <v>3.56</v>
      </c>
      <c r="AFD230">
        <v>0</v>
      </c>
      <c r="AFE230">
        <v>0</v>
      </c>
      <c r="AFF230">
        <v>0</v>
      </c>
      <c r="AFS230">
        <v>20.3</v>
      </c>
      <c r="AFT230">
        <v>1</v>
      </c>
      <c r="AFU230">
        <v>30</v>
      </c>
      <c r="AFV230">
        <v>4</v>
      </c>
      <c r="AFW230">
        <v>3.01</v>
      </c>
      <c r="AFX230">
        <v>5</v>
      </c>
      <c r="AFY230">
        <v>68</v>
      </c>
      <c r="AFZ230">
        <v>2</v>
      </c>
      <c r="AGA230">
        <v>1.52</v>
      </c>
      <c r="AGB230">
        <v>1</v>
      </c>
      <c r="AGC230">
        <v>47</v>
      </c>
      <c r="AGD230">
        <v>1</v>
      </c>
      <c r="AGE230" s="18">
        <v>7.0000000000000007E-2</v>
      </c>
      <c r="AGF230">
        <v>3</v>
      </c>
      <c r="AGW230">
        <v>0</v>
      </c>
      <c r="AIH230" s="16">
        <v>1.88</v>
      </c>
      <c r="AII230" s="16">
        <v>1</v>
      </c>
      <c r="AIJ230" s="16">
        <v>2</v>
      </c>
      <c r="AIK230" s="16"/>
      <c r="AIL230" s="16">
        <v>4.18</v>
      </c>
      <c r="AIM230" s="16"/>
      <c r="AIN230" s="16"/>
      <c r="AIO230" s="16"/>
      <c r="AIP230" s="16"/>
      <c r="AIQ230" s="16"/>
      <c r="AIR230" s="16"/>
      <c r="AIS230" s="16">
        <v>7.15</v>
      </c>
      <c r="AIT230" s="16">
        <v>6.06</v>
      </c>
      <c r="AIU230" s="16"/>
      <c r="AIV230" s="16"/>
      <c r="AIW230" s="16">
        <v>0</v>
      </c>
      <c r="AIX230" s="16">
        <v>0</v>
      </c>
      <c r="AIY230" s="16">
        <v>0</v>
      </c>
      <c r="AIZ230">
        <v>0</v>
      </c>
      <c r="AJA230" t="s">
        <v>192</v>
      </c>
      <c r="AJB230">
        <v>47.5</v>
      </c>
      <c r="AJC230" s="16">
        <v>79.3</v>
      </c>
      <c r="AJD230" s="16">
        <v>80.400000000000006</v>
      </c>
      <c r="AJE230" s="16">
        <v>36.299999999999997</v>
      </c>
      <c r="AJF230">
        <v>66.23</v>
      </c>
      <c r="AJG230" s="17">
        <v>0</v>
      </c>
      <c r="AJH230">
        <v>33.770000000000003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38.369999999999997</v>
      </c>
      <c r="AJS230">
        <v>20.04</v>
      </c>
      <c r="AJT230">
        <v>11.21</v>
      </c>
      <c r="AJU230">
        <v>0</v>
      </c>
      <c r="AJV230">
        <v>0</v>
      </c>
      <c r="AJW230">
        <v>0</v>
      </c>
      <c r="AKJ230">
        <v>6.9</v>
      </c>
      <c r="AKK230">
        <v>1</v>
      </c>
      <c r="AKL230">
        <v>47</v>
      </c>
      <c r="AKM230">
        <v>3</v>
      </c>
      <c r="AKN230">
        <f>0.11+0.74+0.08</f>
        <v>0.92999999999999994</v>
      </c>
      <c r="AKO230">
        <v>3</v>
      </c>
      <c r="AKP230">
        <v>68</v>
      </c>
      <c r="AKQ230">
        <v>1</v>
      </c>
      <c r="AKR230">
        <v>0.76</v>
      </c>
      <c r="AKS230">
        <v>1</v>
      </c>
      <c r="AKV230" s="18"/>
      <c r="ALN230">
        <v>0</v>
      </c>
    </row>
    <row r="231" spans="1:1024" x14ac:dyDescent="0.2">
      <c r="A231" s="1" t="s">
        <v>745</v>
      </c>
      <c r="B231" s="12">
        <v>42902</v>
      </c>
      <c r="C231">
        <v>2</v>
      </c>
      <c r="D231" s="13">
        <v>42790</v>
      </c>
      <c r="E231" s="12">
        <v>31180</v>
      </c>
      <c r="F231" s="14">
        <f t="shared" si="62"/>
        <v>32.093086926762489</v>
      </c>
      <c r="G231" s="14">
        <f t="shared" si="63"/>
        <v>0.30663928815879532</v>
      </c>
      <c r="H231" s="19" t="s">
        <v>181</v>
      </c>
      <c r="I231" t="s">
        <v>182</v>
      </c>
      <c r="J231" s="21" t="s">
        <v>181</v>
      </c>
      <c r="K231" s="21">
        <v>4</v>
      </c>
      <c r="L231" s="19">
        <v>65</v>
      </c>
      <c r="M231">
        <v>1.68</v>
      </c>
      <c r="N231" s="16">
        <f t="shared" si="64"/>
        <v>23.030045351473927</v>
      </c>
      <c r="O231" s="19">
        <v>0</v>
      </c>
      <c r="P231" s="19">
        <v>0</v>
      </c>
      <c r="Q231" s="19">
        <v>0</v>
      </c>
      <c r="R231" s="26">
        <v>0</v>
      </c>
      <c r="S231" s="26">
        <v>0</v>
      </c>
      <c r="T231" s="26">
        <v>0</v>
      </c>
      <c r="U231" s="19">
        <v>0</v>
      </c>
      <c r="V231" s="19">
        <v>0</v>
      </c>
      <c r="W231" s="19">
        <v>0</v>
      </c>
      <c r="X231" s="19">
        <v>0</v>
      </c>
      <c r="Y231" s="19">
        <v>0</v>
      </c>
      <c r="Z231" s="19">
        <v>0</v>
      </c>
      <c r="AA231" s="19">
        <v>0</v>
      </c>
      <c r="AB231" s="19">
        <v>0</v>
      </c>
      <c r="AC231" s="19">
        <v>1</v>
      </c>
      <c r="AD231" s="19">
        <v>4</v>
      </c>
      <c r="AE231" s="19">
        <v>0</v>
      </c>
      <c r="AF231" s="19">
        <v>0</v>
      </c>
      <c r="AG231" s="19">
        <v>0</v>
      </c>
      <c r="AH231" s="19">
        <v>0</v>
      </c>
      <c r="AI231" s="19">
        <v>0</v>
      </c>
      <c r="AJ231" s="19">
        <v>0</v>
      </c>
      <c r="AK231" s="19">
        <v>0</v>
      </c>
      <c r="AL231" s="19">
        <v>0</v>
      </c>
      <c r="AM231" s="19">
        <v>0</v>
      </c>
      <c r="AN231" s="19">
        <v>0</v>
      </c>
      <c r="AO231" s="19">
        <v>0</v>
      </c>
      <c r="AP231" s="19">
        <v>0</v>
      </c>
      <c r="AQ231" s="19">
        <v>0</v>
      </c>
      <c r="AR231" s="19">
        <v>0</v>
      </c>
      <c r="AS231" s="19">
        <v>1</v>
      </c>
      <c r="AT231" s="19">
        <v>0</v>
      </c>
      <c r="AU231" s="19">
        <v>0</v>
      </c>
      <c r="AV231" s="19">
        <v>0</v>
      </c>
      <c r="AW231" s="19">
        <v>0</v>
      </c>
      <c r="AX231" s="19">
        <v>0</v>
      </c>
      <c r="AY231" s="19">
        <v>0</v>
      </c>
      <c r="AZ231" s="19">
        <v>0</v>
      </c>
      <c r="BA231" s="19">
        <v>0</v>
      </c>
      <c r="BB231" s="19">
        <v>0</v>
      </c>
      <c r="BC231" s="19">
        <v>0</v>
      </c>
      <c r="BD231" s="19">
        <v>0</v>
      </c>
      <c r="BE231" s="19">
        <v>0</v>
      </c>
      <c r="BF231" s="19">
        <v>0</v>
      </c>
      <c r="BG231" s="19">
        <v>0</v>
      </c>
      <c r="BH231" s="19">
        <v>0</v>
      </c>
      <c r="BI231" s="19">
        <v>0</v>
      </c>
      <c r="BJ231" s="19">
        <v>0</v>
      </c>
      <c r="BK231" s="19">
        <v>0</v>
      </c>
      <c r="BL231" s="19">
        <v>0</v>
      </c>
      <c r="BM231" s="19">
        <v>0</v>
      </c>
      <c r="BN231" s="19">
        <v>0</v>
      </c>
      <c r="BO231" s="19">
        <v>0</v>
      </c>
      <c r="BP231" s="19">
        <v>0</v>
      </c>
      <c r="BQ231" s="19">
        <v>0</v>
      </c>
      <c r="BR231" s="19">
        <v>1</v>
      </c>
      <c r="BS231" s="19">
        <v>2</v>
      </c>
      <c r="BT231" s="19">
        <v>2</v>
      </c>
      <c r="BU231" s="19">
        <v>4</v>
      </c>
      <c r="BV231" s="19">
        <v>2</v>
      </c>
      <c r="BW231" s="19">
        <v>2</v>
      </c>
      <c r="BX231" s="19">
        <v>4</v>
      </c>
      <c r="BY231" s="19">
        <v>4</v>
      </c>
      <c r="BZ231" s="19">
        <v>4</v>
      </c>
      <c r="CA231" s="19">
        <v>5</v>
      </c>
      <c r="CB231" s="19">
        <v>5</v>
      </c>
      <c r="CC231" s="19">
        <v>4</v>
      </c>
      <c r="CD231" s="19">
        <v>4</v>
      </c>
      <c r="CE231" s="19">
        <v>5</v>
      </c>
      <c r="CF231" s="19">
        <v>5</v>
      </c>
      <c r="CG231" s="19">
        <v>5</v>
      </c>
      <c r="CH231" s="19">
        <v>5</v>
      </c>
      <c r="CI231" s="19">
        <v>4</v>
      </c>
      <c r="CJ231" s="19">
        <v>4</v>
      </c>
      <c r="CK231" s="19">
        <v>8</v>
      </c>
      <c r="CL231" t="s">
        <v>185</v>
      </c>
      <c r="CM231">
        <v>21.5</v>
      </c>
      <c r="CN231" s="16">
        <v>54.9</v>
      </c>
      <c r="CO231" s="16">
        <v>80.400000000000006</v>
      </c>
      <c r="CP231" s="16">
        <v>17.899999999999999</v>
      </c>
      <c r="CQ231">
        <v>90.61</v>
      </c>
      <c r="CR231" s="17">
        <v>0</v>
      </c>
      <c r="CS231">
        <v>0</v>
      </c>
      <c r="CT231">
        <v>2.4500000000000002</v>
      </c>
      <c r="CU231">
        <v>6.94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12.16</v>
      </c>
      <c r="DC231">
        <v>24.45</v>
      </c>
      <c r="DD231">
        <v>4.8</v>
      </c>
      <c r="DE231">
        <v>5.1100000000000003</v>
      </c>
      <c r="DF231">
        <v>0</v>
      </c>
      <c r="DG231">
        <v>0</v>
      </c>
      <c r="DH231">
        <v>0</v>
      </c>
      <c r="DU231">
        <v>2.9</v>
      </c>
      <c r="DV231">
        <v>1</v>
      </c>
      <c r="DW231">
        <v>68</v>
      </c>
      <c r="DX231">
        <v>2</v>
      </c>
      <c r="DY231">
        <f>0.38+0.07</f>
        <v>0.45</v>
      </c>
      <c r="DZ231">
        <v>1</v>
      </c>
      <c r="EG231" s="18"/>
      <c r="EY231">
        <v>1</v>
      </c>
      <c r="EZ231">
        <v>40</v>
      </c>
      <c r="FA231">
        <v>1</v>
      </c>
      <c r="FB231">
        <v>0.06</v>
      </c>
      <c r="FC231">
        <v>1</v>
      </c>
      <c r="FD231">
        <v>60</v>
      </c>
      <c r="FE231">
        <v>1</v>
      </c>
      <c r="FF231">
        <v>0.11</v>
      </c>
      <c r="FG231">
        <v>1</v>
      </c>
      <c r="FH231">
        <v>40</v>
      </c>
      <c r="FI231">
        <v>1</v>
      </c>
      <c r="FJ231">
        <v>0.57999999999999996</v>
      </c>
      <c r="FK231">
        <v>6</v>
      </c>
      <c r="GJ231" s="16">
        <v>0</v>
      </c>
      <c r="GK231" s="16">
        <v>0</v>
      </c>
      <c r="GL231" s="16"/>
      <c r="GM231" s="16"/>
      <c r="GN231" s="16"/>
      <c r="GO231" s="16"/>
      <c r="GP231" s="16"/>
      <c r="GQ231" s="16"/>
      <c r="GR231" s="16"/>
      <c r="GS231" s="16"/>
      <c r="GT231" s="16"/>
      <c r="GU231" s="16">
        <v>0.67</v>
      </c>
      <c r="GV231" s="16">
        <v>0.65</v>
      </c>
      <c r="GW231" s="16"/>
      <c r="GX231" s="16"/>
      <c r="GY231" s="16">
        <v>0</v>
      </c>
      <c r="GZ231" s="16">
        <v>0</v>
      </c>
      <c r="HA231" s="16">
        <v>0</v>
      </c>
      <c r="HB231">
        <v>0</v>
      </c>
      <c r="HC231" t="s">
        <v>188</v>
      </c>
      <c r="HD231">
        <v>40</v>
      </c>
      <c r="HE231" s="16">
        <v>84.1</v>
      </c>
      <c r="HF231" s="16">
        <v>80.400000000000006</v>
      </c>
      <c r="HG231" s="16">
        <v>35.1</v>
      </c>
      <c r="HH231">
        <v>66.11</v>
      </c>
      <c r="HI231" s="17">
        <v>0</v>
      </c>
      <c r="HJ231">
        <v>13.11</v>
      </c>
      <c r="HK231">
        <v>6.27</v>
      </c>
      <c r="HL231">
        <v>8.02</v>
      </c>
      <c r="HM231">
        <v>0</v>
      </c>
      <c r="HN231">
        <v>6.47</v>
      </c>
      <c r="HO231">
        <v>2.85</v>
      </c>
      <c r="HP231">
        <v>3.1</v>
      </c>
      <c r="HQ231">
        <v>0</v>
      </c>
      <c r="HR231">
        <v>0</v>
      </c>
      <c r="HS231">
        <v>10.49</v>
      </c>
      <c r="HT231">
        <v>26.72</v>
      </c>
      <c r="HU231">
        <v>13.38</v>
      </c>
      <c r="HV231">
        <v>10.67</v>
      </c>
      <c r="HW231">
        <v>0</v>
      </c>
      <c r="HX231">
        <v>0</v>
      </c>
      <c r="HY231">
        <v>0</v>
      </c>
      <c r="IL231">
        <v>3.9</v>
      </c>
      <c r="IM231">
        <v>1</v>
      </c>
      <c r="IN231">
        <v>68</v>
      </c>
      <c r="IO231">
        <v>4</v>
      </c>
      <c r="IP231">
        <f>1.9+0.34</f>
        <v>2.2399999999999998</v>
      </c>
      <c r="IQ231">
        <v>1</v>
      </c>
      <c r="IR231">
        <v>34</v>
      </c>
      <c r="IS231">
        <v>8</v>
      </c>
      <c r="IT231">
        <v>0.27</v>
      </c>
      <c r="IU231">
        <v>1</v>
      </c>
      <c r="IX231" s="18"/>
      <c r="JP231">
        <v>1</v>
      </c>
      <c r="JQ231">
        <v>50</v>
      </c>
      <c r="JR231">
        <v>4</v>
      </c>
      <c r="JS231">
        <f>1.52*2</f>
        <v>3.04</v>
      </c>
      <c r="JT231">
        <v>3</v>
      </c>
      <c r="LA231" s="16">
        <v>0.04</v>
      </c>
      <c r="LB231" s="16">
        <v>1</v>
      </c>
      <c r="LC231" s="16">
        <v>1</v>
      </c>
      <c r="LD231" s="16"/>
      <c r="LE231" s="16">
        <f>0.3</f>
        <v>0.3</v>
      </c>
      <c r="LF231" s="16"/>
      <c r="LG231" s="16"/>
      <c r="LH231" s="16"/>
      <c r="LI231" s="16"/>
      <c r="LJ231" s="16"/>
      <c r="LK231" s="16"/>
      <c r="LL231" s="16">
        <v>0.03</v>
      </c>
      <c r="LM231" s="16">
        <v>0.03</v>
      </c>
      <c r="LN231" s="16"/>
      <c r="LO231" s="16"/>
      <c r="LP231" s="16">
        <v>0</v>
      </c>
      <c r="LQ231" s="16">
        <v>0</v>
      </c>
      <c r="LR231" s="16">
        <v>0</v>
      </c>
      <c r="LS231">
        <v>0</v>
      </c>
      <c r="LT231" t="s">
        <v>190</v>
      </c>
      <c r="LU231">
        <v>38.5</v>
      </c>
      <c r="LV231" s="16">
        <v>92</v>
      </c>
      <c r="LW231" s="16">
        <v>80.400000000000006</v>
      </c>
      <c r="LX231" s="16">
        <v>11</v>
      </c>
      <c r="LY231">
        <v>95.37</v>
      </c>
      <c r="LZ231" s="17">
        <v>0</v>
      </c>
      <c r="MA231">
        <v>4.63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2.85</v>
      </c>
      <c r="MK231">
        <v>16.149999999999999</v>
      </c>
      <c r="ML231">
        <v>42.55</v>
      </c>
      <c r="MM231">
        <v>4.63</v>
      </c>
      <c r="MN231">
        <v>0</v>
      </c>
      <c r="MO231">
        <v>5.7</v>
      </c>
      <c r="MP231">
        <v>1</v>
      </c>
      <c r="MQ231">
        <v>3</v>
      </c>
      <c r="MS231">
        <v>1</v>
      </c>
      <c r="MW231">
        <v>3</v>
      </c>
      <c r="MY231">
        <v>1</v>
      </c>
      <c r="NC231">
        <v>4.8</v>
      </c>
      <c r="ND231">
        <v>0</v>
      </c>
      <c r="NO231" s="18"/>
      <c r="OG231">
        <v>1</v>
      </c>
      <c r="OH231">
        <v>70</v>
      </c>
      <c r="OI231">
        <v>3</v>
      </c>
      <c r="OJ231">
        <f>14.97+0.86+0.7</f>
        <v>16.53</v>
      </c>
      <c r="OK231">
        <v>3</v>
      </c>
      <c r="OL231">
        <v>60</v>
      </c>
      <c r="OM231">
        <v>3</v>
      </c>
      <c r="ON231">
        <f>3.02+0.97+0.6</f>
        <v>4.59</v>
      </c>
      <c r="OO231">
        <v>3</v>
      </c>
      <c r="PR231" s="16">
        <v>2.82</v>
      </c>
      <c r="PS231" s="16">
        <v>1</v>
      </c>
      <c r="PT231" s="16">
        <v>1</v>
      </c>
      <c r="PU231" s="16"/>
      <c r="PV231" s="16">
        <f>0.93*2</f>
        <v>1.86</v>
      </c>
      <c r="PW231" s="16">
        <v>2</v>
      </c>
      <c r="PX231" s="16"/>
      <c r="PY231" s="16">
        <f>9.6+1.93</f>
        <v>11.53</v>
      </c>
      <c r="PZ231" s="16"/>
      <c r="QA231" s="16"/>
      <c r="QB231" s="16"/>
      <c r="QC231" s="16">
        <v>13.91</v>
      </c>
      <c r="QD231" s="16">
        <v>17.309999999999999</v>
      </c>
      <c r="QE231" s="16"/>
      <c r="QF231" s="16"/>
      <c r="QG231" s="16">
        <v>0</v>
      </c>
      <c r="QH231" s="16">
        <v>0</v>
      </c>
      <c r="QI231" s="16">
        <v>0</v>
      </c>
      <c r="QJ231">
        <v>0</v>
      </c>
      <c r="QK231" t="s">
        <v>636</v>
      </c>
      <c r="QL231">
        <v>48</v>
      </c>
      <c r="QM231" s="16">
        <v>66.2</v>
      </c>
      <c r="QN231" s="16">
        <v>80.400000000000006</v>
      </c>
      <c r="QO231" s="16">
        <v>40.1</v>
      </c>
      <c r="QP231">
        <v>62.33</v>
      </c>
      <c r="QQ231" s="17">
        <v>0</v>
      </c>
      <c r="QR231">
        <v>37.67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6.02</v>
      </c>
      <c r="RC231">
        <v>19.5</v>
      </c>
      <c r="RD231">
        <v>10.54</v>
      </c>
      <c r="RE231">
        <v>0</v>
      </c>
      <c r="RF231">
        <v>0</v>
      </c>
      <c r="RG231">
        <v>0</v>
      </c>
      <c r="RT231">
        <v>4.5999999999999996</v>
      </c>
      <c r="RU231">
        <v>1</v>
      </c>
      <c r="RV231">
        <v>68</v>
      </c>
      <c r="RW231">
        <v>2</v>
      </c>
      <c r="RX231">
        <v>1.5</v>
      </c>
      <c r="RY231">
        <v>1</v>
      </c>
      <c r="RZ231">
        <v>35</v>
      </c>
      <c r="SA231">
        <v>1</v>
      </c>
      <c r="SB231">
        <v>0.45</v>
      </c>
      <c r="SC231">
        <v>3</v>
      </c>
      <c r="SF231" s="18"/>
      <c r="SX231">
        <v>0</v>
      </c>
      <c r="UI231" s="16">
        <v>0</v>
      </c>
      <c r="UJ231" s="16">
        <v>0</v>
      </c>
      <c r="UK231" s="16"/>
      <c r="UL231" s="16"/>
      <c r="UM231" s="16"/>
      <c r="UN231" s="16"/>
      <c r="UO231" s="16"/>
      <c r="UP231" s="16"/>
      <c r="UQ231" s="16"/>
      <c r="UR231" s="16"/>
      <c r="US231" s="16"/>
      <c r="UT231" s="16">
        <v>1.88</v>
      </c>
      <c r="UU231" s="16">
        <v>1.88</v>
      </c>
      <c r="UV231" s="16"/>
      <c r="UW231" s="16"/>
      <c r="UX231" s="16">
        <v>0</v>
      </c>
      <c r="UY231" s="16">
        <v>0</v>
      </c>
      <c r="UZ231" s="16">
        <v>0</v>
      </c>
      <c r="VA231">
        <v>0</v>
      </c>
      <c r="VB231" t="s">
        <v>634</v>
      </c>
      <c r="VC231">
        <v>25</v>
      </c>
      <c r="VD231" s="16">
        <v>67</v>
      </c>
      <c r="VE231" s="16">
        <v>80.400000000000006</v>
      </c>
      <c r="VF231" s="16">
        <v>7.6</v>
      </c>
      <c r="VG231">
        <v>97.19</v>
      </c>
      <c r="VH231" s="17">
        <v>0</v>
      </c>
      <c r="VI231">
        <v>0</v>
      </c>
      <c r="VJ231">
        <v>0</v>
      </c>
      <c r="VK231">
        <v>2.81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4.6900000000000004</v>
      </c>
      <c r="VT231">
        <v>46.88</v>
      </c>
      <c r="VU231">
        <v>0</v>
      </c>
      <c r="VV231">
        <v>0</v>
      </c>
      <c r="VW231">
        <v>11.6</v>
      </c>
      <c r="VX231">
        <v>2</v>
      </c>
      <c r="VY231">
        <v>5</v>
      </c>
      <c r="WA231">
        <v>1</v>
      </c>
      <c r="WE231">
        <v>5</v>
      </c>
      <c r="WG231">
        <v>1</v>
      </c>
      <c r="WK231">
        <v>0</v>
      </c>
      <c r="WL231">
        <v>1</v>
      </c>
      <c r="WM231">
        <v>34</v>
      </c>
      <c r="WN231">
        <v>4</v>
      </c>
      <c r="WO231">
        <v>2.25</v>
      </c>
      <c r="WP231">
        <v>1</v>
      </c>
      <c r="WW231" s="18"/>
      <c r="XO231">
        <v>0</v>
      </c>
      <c r="YZ231" s="16">
        <v>0.01</v>
      </c>
      <c r="ZA231" s="16">
        <v>1</v>
      </c>
      <c r="ZB231" s="16">
        <v>1</v>
      </c>
      <c r="ZC231" s="16"/>
      <c r="ZD231" s="16">
        <v>0.14000000000000001</v>
      </c>
      <c r="ZE231" s="16"/>
      <c r="ZF231" s="16"/>
      <c r="ZG231" s="16"/>
      <c r="ZH231" s="16"/>
      <c r="ZI231" s="16"/>
      <c r="ZJ231" s="16"/>
      <c r="ZK231" s="16">
        <v>5.7</v>
      </c>
      <c r="ZL231" s="16">
        <v>0</v>
      </c>
      <c r="ZM231" s="16"/>
      <c r="ZN231" s="16"/>
      <c r="ZO231" s="16">
        <v>0</v>
      </c>
      <c r="ZP231" s="16">
        <v>0</v>
      </c>
      <c r="ZQ231" s="16">
        <v>0</v>
      </c>
      <c r="ZR231">
        <v>0</v>
      </c>
      <c r="ZU231" s="15"/>
      <c r="ZV231" s="15"/>
      <c r="AAC231" s="15"/>
      <c r="AAD231" s="15"/>
      <c r="AAK231" s="15"/>
      <c r="AAL231" s="15"/>
      <c r="AAS231" s="15"/>
      <c r="AAT231" s="15"/>
      <c r="ABA231" s="15"/>
      <c r="ABB231" s="15"/>
      <c r="ABI231" s="15"/>
      <c r="ABJ231" s="15"/>
      <c r="ABQ231" s="15"/>
      <c r="ABR231" s="15"/>
      <c r="ABY231" s="15"/>
      <c r="ABZ231" s="15"/>
      <c r="ACG231" s="15"/>
      <c r="ACH231" s="15"/>
      <c r="ACO231" s="15"/>
      <c r="ACP231" s="15"/>
      <c r="ACW231" s="15"/>
      <c r="ACX231" s="15"/>
      <c r="ADE231" s="15"/>
      <c r="ADF231" s="15"/>
      <c r="ADM231" s="15"/>
      <c r="ADN231" s="15"/>
      <c r="ADU231" s="15"/>
      <c r="ADV231" s="15"/>
      <c r="AEC231" s="15"/>
      <c r="AED231" s="15"/>
      <c r="AEK231" s="15"/>
      <c r="AEL231" s="15"/>
      <c r="AES231" s="15"/>
      <c r="AET231" s="15"/>
      <c r="AFA231" s="15"/>
      <c r="AFB231" s="15"/>
      <c r="AFI231" s="15"/>
      <c r="AFJ231" s="15"/>
      <c r="AFQ231" s="15"/>
      <c r="AFR231" s="15"/>
      <c r="AFY231" s="15"/>
      <c r="AFZ231" s="15"/>
      <c r="AGG231" s="15"/>
      <c r="AGH231" s="15"/>
      <c r="AGO231" s="15"/>
      <c r="AGP231" s="15"/>
      <c r="AGW231" s="15"/>
      <c r="AGX231" s="15"/>
      <c r="AHE231" s="15"/>
      <c r="AHF231" s="15"/>
      <c r="AHM231" s="15"/>
      <c r="AHN231" s="15"/>
      <c r="AHU231" s="15"/>
      <c r="AHV231" s="15"/>
      <c r="AIC231" s="15"/>
      <c r="AID231" s="15"/>
      <c r="AIK231" s="15"/>
      <c r="AIL231" s="15"/>
      <c r="AIS231" s="15"/>
      <c r="AIT231" s="15"/>
      <c r="AJA231" s="15"/>
      <c r="AJB231" s="15"/>
      <c r="AJI231" s="15"/>
      <c r="AJJ231" s="15"/>
      <c r="AJQ231" s="15"/>
      <c r="AJR231" s="15"/>
      <c r="AJY231" s="15"/>
      <c r="AJZ231" s="15"/>
      <c r="AKG231" s="15"/>
      <c r="AKH231" s="15"/>
      <c r="AKO231" s="15"/>
      <c r="AKP231" s="15"/>
      <c r="AKW231" s="15"/>
      <c r="AKX231" s="15"/>
      <c r="ALE231" s="15"/>
      <c r="ALF231" s="15"/>
      <c r="ALM231" s="15"/>
      <c r="ALN231" s="15"/>
      <c r="ALU231" s="15"/>
      <c r="ALV231" s="15"/>
      <c r="AMC231" s="15"/>
      <c r="AMD231" s="15"/>
    </row>
    <row r="232" spans="1:1024" x14ac:dyDescent="0.2">
      <c r="A232" s="1" t="s">
        <v>746</v>
      </c>
      <c r="B232" s="12">
        <v>42902</v>
      </c>
      <c r="C232">
        <v>2</v>
      </c>
      <c r="D232" s="13">
        <v>40693</v>
      </c>
      <c r="E232" s="12">
        <v>32417</v>
      </c>
      <c r="F232" s="14">
        <f t="shared" si="62"/>
        <v>28.706365503080082</v>
      </c>
      <c r="G232" s="14">
        <f t="shared" si="63"/>
        <v>6.0479123887748116</v>
      </c>
      <c r="H232" s="19" t="s">
        <v>181</v>
      </c>
      <c r="I232" t="s">
        <v>182</v>
      </c>
      <c r="J232" s="21" t="s">
        <v>181</v>
      </c>
      <c r="K232" s="21">
        <v>4</v>
      </c>
      <c r="L232" s="19">
        <v>87</v>
      </c>
      <c r="M232">
        <v>1.74</v>
      </c>
      <c r="N232" s="16">
        <f t="shared" si="64"/>
        <v>28.735632183908045</v>
      </c>
      <c r="O232" s="19">
        <v>0</v>
      </c>
      <c r="P232" s="19">
        <v>0</v>
      </c>
      <c r="Q232" s="19">
        <v>0</v>
      </c>
      <c r="R232" s="26">
        <v>0</v>
      </c>
      <c r="S232" s="26">
        <v>0</v>
      </c>
      <c r="T232" s="26">
        <v>0</v>
      </c>
      <c r="U232" s="19">
        <v>0</v>
      </c>
      <c r="V232" s="19">
        <v>0</v>
      </c>
      <c r="W232" s="19">
        <v>1</v>
      </c>
      <c r="X232" s="19">
        <v>1</v>
      </c>
      <c r="Y232" s="19">
        <v>1</v>
      </c>
      <c r="Z232" s="19">
        <v>3</v>
      </c>
      <c r="AA232" s="19">
        <v>120</v>
      </c>
      <c r="AB232" s="19" t="s">
        <v>747</v>
      </c>
      <c r="AC232" s="19">
        <v>1</v>
      </c>
      <c r="AD232" s="19">
        <v>10</v>
      </c>
      <c r="AE232" s="19">
        <v>0</v>
      </c>
      <c r="AF232" s="19">
        <v>0</v>
      </c>
      <c r="AG232" s="19">
        <v>0</v>
      </c>
      <c r="AH232" s="19">
        <v>0</v>
      </c>
      <c r="AI232" s="19">
        <v>1</v>
      </c>
      <c r="AJ232" s="19">
        <v>1</v>
      </c>
      <c r="AK232" s="19">
        <v>1</v>
      </c>
      <c r="AL232" s="19">
        <v>5</v>
      </c>
      <c r="AM232" s="19">
        <v>0</v>
      </c>
      <c r="AN232" s="19">
        <v>0</v>
      </c>
      <c r="AO232" s="19">
        <v>0</v>
      </c>
      <c r="AP232" s="19">
        <v>0</v>
      </c>
      <c r="AQ232" s="19">
        <v>0</v>
      </c>
      <c r="AR232" s="19">
        <v>0</v>
      </c>
      <c r="AS232" s="19">
        <v>1</v>
      </c>
      <c r="AT232" s="19">
        <v>1</v>
      </c>
      <c r="AU232" s="19">
        <v>1</v>
      </c>
      <c r="AV232" s="19">
        <v>6</v>
      </c>
      <c r="AW232" s="19">
        <v>0</v>
      </c>
      <c r="AX232" s="19">
        <v>0</v>
      </c>
      <c r="AY232" s="19">
        <v>0</v>
      </c>
      <c r="AZ232" s="19">
        <v>0</v>
      </c>
      <c r="BA232" s="19">
        <v>0</v>
      </c>
      <c r="BB232" s="19">
        <v>0</v>
      </c>
      <c r="BC232" s="19">
        <v>0</v>
      </c>
      <c r="BD232" s="19">
        <v>0</v>
      </c>
      <c r="BE232" s="19">
        <v>0</v>
      </c>
      <c r="BF232" s="19">
        <v>0</v>
      </c>
      <c r="BG232" s="19">
        <v>0</v>
      </c>
      <c r="BH232" s="19">
        <v>0</v>
      </c>
      <c r="BI232" s="19">
        <v>0</v>
      </c>
      <c r="BJ232" s="19">
        <v>0</v>
      </c>
      <c r="BK232" s="19">
        <v>0</v>
      </c>
      <c r="BL232" s="19">
        <v>0</v>
      </c>
      <c r="BM232" s="19">
        <v>0</v>
      </c>
      <c r="BN232" s="19">
        <v>1</v>
      </c>
      <c r="BO232" s="19">
        <v>1</v>
      </c>
      <c r="BP232" s="19">
        <v>1</v>
      </c>
      <c r="BQ232" s="19">
        <v>6</v>
      </c>
      <c r="BR232" s="19">
        <v>2</v>
      </c>
      <c r="BS232" s="19">
        <v>2</v>
      </c>
      <c r="BT232" s="19">
        <v>3</v>
      </c>
      <c r="BU232" s="19">
        <v>5</v>
      </c>
      <c r="BV232" s="19">
        <v>4</v>
      </c>
      <c r="BW232" s="19">
        <v>3</v>
      </c>
      <c r="BX232" s="19">
        <v>4</v>
      </c>
      <c r="BY232" s="19">
        <v>4</v>
      </c>
      <c r="BZ232" s="19">
        <v>5</v>
      </c>
      <c r="CA232" s="19">
        <v>3</v>
      </c>
      <c r="CB232" s="19">
        <v>4</v>
      </c>
      <c r="CC232" s="19">
        <v>4</v>
      </c>
      <c r="CD232" s="19">
        <v>4</v>
      </c>
      <c r="CE232" s="19">
        <v>4</v>
      </c>
      <c r="CF232" s="19">
        <v>5</v>
      </c>
      <c r="CG232" s="19">
        <v>4</v>
      </c>
      <c r="CH232" s="19">
        <v>4</v>
      </c>
      <c r="CI232" s="19">
        <v>4</v>
      </c>
      <c r="CJ232" s="19">
        <v>3</v>
      </c>
      <c r="CK232" s="19">
        <v>8</v>
      </c>
      <c r="CL232" t="s">
        <v>185</v>
      </c>
      <c r="CM232">
        <v>21.5</v>
      </c>
      <c r="CN232" s="16">
        <v>54.9</v>
      </c>
      <c r="CO232" s="16">
        <v>80.400000000000006</v>
      </c>
      <c r="CP232" s="16">
        <v>17.899999999999999</v>
      </c>
      <c r="CQ232">
        <v>90.61</v>
      </c>
      <c r="CR232" s="17">
        <v>0</v>
      </c>
      <c r="CS232">
        <v>0</v>
      </c>
      <c r="CT232">
        <v>2.4500000000000002</v>
      </c>
      <c r="CU232">
        <v>6.94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12.16</v>
      </c>
      <c r="DC232">
        <v>24.45</v>
      </c>
      <c r="DD232">
        <v>4.8</v>
      </c>
      <c r="DE232">
        <v>5.1100000000000003</v>
      </c>
      <c r="DF232">
        <v>0</v>
      </c>
      <c r="DG232">
        <v>0</v>
      </c>
      <c r="DH232">
        <v>0</v>
      </c>
      <c r="DU232">
        <v>2.9</v>
      </c>
      <c r="DV232">
        <v>1</v>
      </c>
      <c r="DW232">
        <v>68</v>
      </c>
      <c r="DX232">
        <v>2</v>
      </c>
      <c r="DY232">
        <f>0.38+0.07</f>
        <v>0.45</v>
      </c>
      <c r="DZ232">
        <v>1</v>
      </c>
      <c r="EG232" s="18"/>
      <c r="EY232">
        <v>1</v>
      </c>
      <c r="EZ232">
        <v>40</v>
      </c>
      <c r="FA232">
        <v>1</v>
      </c>
      <c r="FB232">
        <v>0.06</v>
      </c>
      <c r="FC232">
        <v>1</v>
      </c>
      <c r="FD232">
        <v>60</v>
      </c>
      <c r="FE232">
        <v>1</v>
      </c>
      <c r="FF232">
        <v>0.11</v>
      </c>
      <c r="FG232">
        <v>1</v>
      </c>
      <c r="FH232">
        <v>40</v>
      </c>
      <c r="FI232">
        <v>1</v>
      </c>
      <c r="FJ232">
        <v>0.57999999999999996</v>
      </c>
      <c r="FK232">
        <v>6</v>
      </c>
      <c r="GJ232" s="16">
        <v>0</v>
      </c>
      <c r="GK232" s="16">
        <v>0</v>
      </c>
      <c r="GL232" s="16"/>
      <c r="GM232" s="16"/>
      <c r="GN232" s="16"/>
      <c r="GO232" s="16"/>
      <c r="GP232" s="16"/>
      <c r="GQ232" s="16"/>
      <c r="GR232" s="16"/>
      <c r="GS232" s="16"/>
      <c r="GT232" s="16"/>
      <c r="GU232" s="16">
        <v>0.67</v>
      </c>
      <c r="GV232" s="16">
        <v>0.65</v>
      </c>
      <c r="GW232" s="16"/>
      <c r="GX232" s="16"/>
      <c r="GY232" s="16">
        <v>0</v>
      </c>
      <c r="GZ232" s="16">
        <v>0</v>
      </c>
      <c r="HA232" s="16">
        <v>0</v>
      </c>
      <c r="HB232">
        <v>0</v>
      </c>
      <c r="HC232" t="s">
        <v>186</v>
      </c>
      <c r="HD232">
        <v>52.5</v>
      </c>
      <c r="HE232" s="16">
        <v>78.3</v>
      </c>
      <c r="HF232" s="16">
        <v>80.400000000000006</v>
      </c>
      <c r="HG232" s="16">
        <v>33.200000000000003</v>
      </c>
      <c r="HH232">
        <v>67.5</v>
      </c>
      <c r="HI232" s="17">
        <v>0</v>
      </c>
      <c r="HJ232">
        <v>21.37</v>
      </c>
      <c r="HK232">
        <v>0</v>
      </c>
      <c r="HL232">
        <v>3.99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5.93</v>
      </c>
      <c r="HU232">
        <v>42.2</v>
      </c>
      <c r="HV232">
        <v>15.97</v>
      </c>
      <c r="HW232">
        <v>7.14</v>
      </c>
      <c r="HX232">
        <v>0</v>
      </c>
      <c r="HY232">
        <v>0</v>
      </c>
      <c r="IL232">
        <v>1.7</v>
      </c>
      <c r="IM232">
        <v>1</v>
      </c>
      <c r="IN232">
        <v>34</v>
      </c>
      <c r="IO232">
        <v>5</v>
      </c>
      <c r="IP232">
        <v>0.21</v>
      </c>
      <c r="IQ232">
        <v>1</v>
      </c>
      <c r="IR232">
        <v>68</v>
      </c>
      <c r="IS232">
        <v>3</v>
      </c>
      <c r="IT232">
        <v>0.3</v>
      </c>
      <c r="IU232">
        <v>1</v>
      </c>
      <c r="IV232">
        <v>47</v>
      </c>
      <c r="IW232">
        <v>4</v>
      </c>
      <c r="IX232" s="18">
        <v>0.11</v>
      </c>
      <c r="IY232">
        <v>1</v>
      </c>
      <c r="IZ232">
        <v>35</v>
      </c>
      <c r="JA232">
        <v>2</v>
      </c>
      <c r="JB232">
        <v>0.1</v>
      </c>
      <c r="JC232">
        <v>1</v>
      </c>
      <c r="JP232">
        <v>0</v>
      </c>
      <c r="LA232" s="16">
        <v>1.04</v>
      </c>
      <c r="LB232" s="16">
        <v>1</v>
      </c>
      <c r="LC232" s="16">
        <v>1</v>
      </c>
      <c r="LD232" s="16"/>
      <c r="LE232" s="16">
        <f>3.74+3.17+0.1</f>
        <v>7.01</v>
      </c>
      <c r="LF232" s="16"/>
      <c r="LG232" s="16"/>
      <c r="LH232" s="16"/>
      <c r="LI232" s="16"/>
      <c r="LJ232" s="16"/>
      <c r="LK232" s="16"/>
      <c r="LL232" s="16">
        <v>8.9</v>
      </c>
      <c r="LM232" s="16">
        <v>9.7899999999999991</v>
      </c>
      <c r="LN232" s="16"/>
      <c r="LO232" s="16"/>
      <c r="LP232" s="16">
        <v>2.99</v>
      </c>
      <c r="LQ232" s="16">
        <v>4</v>
      </c>
      <c r="LR232" s="16">
        <v>3</v>
      </c>
      <c r="LS232">
        <v>0</v>
      </c>
      <c r="LT232" t="s">
        <v>187</v>
      </c>
      <c r="LU232">
        <v>53.5</v>
      </c>
      <c r="LV232" s="16">
        <v>73.5</v>
      </c>
      <c r="LW232" s="16">
        <v>80.400000000000006</v>
      </c>
      <c r="LX232" s="16">
        <v>26.1</v>
      </c>
      <c r="LY232">
        <v>78.89</v>
      </c>
      <c r="LZ232" s="17">
        <v>0</v>
      </c>
      <c r="MA232">
        <v>2.36</v>
      </c>
      <c r="MB232">
        <v>0</v>
      </c>
      <c r="MC232">
        <v>11.6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7.86</v>
      </c>
      <c r="MK232">
        <v>12.08</v>
      </c>
      <c r="ML232">
        <v>18.100000000000001</v>
      </c>
      <c r="MM232">
        <v>28.51</v>
      </c>
      <c r="MN232">
        <v>7.14</v>
      </c>
      <c r="MO232">
        <v>0</v>
      </c>
      <c r="MP232">
        <v>0</v>
      </c>
      <c r="NC232">
        <v>11.6</v>
      </c>
      <c r="ND232">
        <v>1</v>
      </c>
      <c r="NE232">
        <v>47</v>
      </c>
      <c r="NF232">
        <v>4</v>
      </c>
      <c r="NG232">
        <f>1.15+0.34</f>
        <v>1.49</v>
      </c>
      <c r="NH232">
        <v>3</v>
      </c>
      <c r="NO232" s="18"/>
      <c r="OG232">
        <v>1</v>
      </c>
      <c r="OH232">
        <v>50</v>
      </c>
      <c r="OI232">
        <v>1</v>
      </c>
      <c r="OJ232">
        <v>0.19</v>
      </c>
      <c r="OK232">
        <v>3</v>
      </c>
      <c r="PR232" s="16">
        <v>7.27</v>
      </c>
      <c r="PS232" s="16">
        <v>1</v>
      </c>
      <c r="PT232" s="16">
        <v>1</v>
      </c>
      <c r="PU232" s="16"/>
      <c r="PV232" s="16">
        <f>2.11*2+0.37*2</f>
        <v>4.96</v>
      </c>
      <c r="PW232" s="16">
        <v>3</v>
      </c>
      <c r="PX232" s="16"/>
      <c r="PY232" s="16">
        <f>1.44+0.72</f>
        <v>2.16</v>
      </c>
      <c r="PZ232" s="16"/>
      <c r="QA232" s="16"/>
      <c r="QB232" s="16"/>
      <c r="QC232" s="16">
        <v>5.39</v>
      </c>
      <c r="QD232" s="16">
        <v>8.11</v>
      </c>
      <c r="QE232" s="16"/>
      <c r="QF232" s="16"/>
      <c r="QG232" s="16">
        <v>0</v>
      </c>
      <c r="QH232" s="16">
        <v>0</v>
      </c>
      <c r="QI232" s="16">
        <v>3</v>
      </c>
      <c r="QJ232">
        <v>0</v>
      </c>
      <c r="QK232" t="s">
        <v>188</v>
      </c>
      <c r="QL232">
        <v>40</v>
      </c>
      <c r="QM232" s="16">
        <v>84.1</v>
      </c>
      <c r="QN232" s="16">
        <v>80.400000000000006</v>
      </c>
      <c r="QO232" s="16">
        <v>35.1</v>
      </c>
      <c r="QP232">
        <v>66.11</v>
      </c>
      <c r="QQ232" s="17">
        <v>0</v>
      </c>
      <c r="QR232">
        <v>13.11</v>
      </c>
      <c r="QS232">
        <v>6.27</v>
      </c>
      <c r="QT232">
        <v>8.02</v>
      </c>
      <c r="QU232">
        <v>0</v>
      </c>
      <c r="QV232">
        <v>6.47</v>
      </c>
      <c r="QW232">
        <v>2.85</v>
      </c>
      <c r="QX232">
        <v>3.1</v>
      </c>
      <c r="QY232">
        <v>0</v>
      </c>
      <c r="QZ232">
        <v>0</v>
      </c>
      <c r="RA232">
        <v>10.49</v>
      </c>
      <c r="RB232">
        <v>26.72</v>
      </c>
      <c r="RC232">
        <v>13.38</v>
      </c>
      <c r="RD232">
        <v>10.67</v>
      </c>
      <c r="RE232">
        <v>0</v>
      </c>
      <c r="RF232">
        <v>0</v>
      </c>
      <c r="RG232">
        <v>0</v>
      </c>
      <c r="RT232">
        <v>3.9</v>
      </c>
      <c r="RU232">
        <v>1</v>
      </c>
      <c r="RV232">
        <v>68</v>
      </c>
      <c r="RW232">
        <v>4</v>
      </c>
      <c r="RX232">
        <f>1.9+0.34</f>
        <v>2.2399999999999998</v>
      </c>
      <c r="RY232">
        <v>1</v>
      </c>
      <c r="RZ232">
        <v>34</v>
      </c>
      <c r="SA232">
        <v>8</v>
      </c>
      <c r="SB232">
        <v>0.27</v>
      </c>
      <c r="SC232">
        <v>1</v>
      </c>
      <c r="SF232" s="18"/>
      <c r="SX232">
        <v>1</v>
      </c>
      <c r="SY232">
        <v>50</v>
      </c>
      <c r="SZ232">
        <v>4</v>
      </c>
      <c r="TA232">
        <f>1.52*2</f>
        <v>3.04</v>
      </c>
      <c r="TB232">
        <v>3</v>
      </c>
      <c r="UI232" s="16">
        <v>0.04</v>
      </c>
      <c r="UJ232" s="16">
        <v>1</v>
      </c>
      <c r="UK232" s="16">
        <v>1</v>
      </c>
      <c r="UL232" s="16"/>
      <c r="UM232" s="16">
        <f>0.3</f>
        <v>0.3</v>
      </c>
      <c r="UN232" s="16"/>
      <c r="UO232" s="16"/>
      <c r="UP232" s="16"/>
      <c r="UQ232" s="16"/>
      <c r="UR232" s="16"/>
      <c r="US232" s="16"/>
      <c r="UT232" s="16">
        <v>0.03</v>
      </c>
      <c r="UU232" s="16">
        <v>0.03</v>
      </c>
      <c r="UV232" s="16"/>
      <c r="UW232" s="16"/>
      <c r="UX232" s="16">
        <v>0</v>
      </c>
      <c r="UY232" s="16">
        <v>0</v>
      </c>
      <c r="UZ232" s="16">
        <v>0</v>
      </c>
      <c r="VA232">
        <v>0</v>
      </c>
      <c r="VB232" t="s">
        <v>189</v>
      </c>
      <c r="VC232">
        <v>31</v>
      </c>
      <c r="VD232" s="16">
        <v>80.2</v>
      </c>
      <c r="VE232" s="16">
        <v>80.400000000000006</v>
      </c>
      <c r="VF232" s="16">
        <v>6.5</v>
      </c>
      <c r="VG232">
        <v>99.3</v>
      </c>
      <c r="VH232" s="17">
        <v>0</v>
      </c>
      <c r="VI232">
        <v>0.7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31.92</v>
      </c>
      <c r="VT232">
        <v>23.7</v>
      </c>
      <c r="VU232">
        <v>1.95</v>
      </c>
      <c r="VV232">
        <v>0</v>
      </c>
      <c r="VW232">
        <v>18.7</v>
      </c>
      <c r="VX232">
        <v>4</v>
      </c>
      <c r="VY232">
        <v>49</v>
      </c>
      <c r="WA232">
        <v>1</v>
      </c>
      <c r="WE232">
        <v>49</v>
      </c>
      <c r="WG232">
        <v>1</v>
      </c>
      <c r="WK232">
        <v>0</v>
      </c>
      <c r="WL232">
        <v>0</v>
      </c>
      <c r="WW232" s="18"/>
      <c r="XO232">
        <v>0</v>
      </c>
      <c r="YZ232" s="16">
        <v>0</v>
      </c>
      <c r="ZA232" s="16">
        <v>0</v>
      </c>
      <c r="ZB232" s="16"/>
      <c r="ZC232" s="16"/>
      <c r="ZD232" s="16"/>
      <c r="ZE232" s="16"/>
      <c r="ZF232" s="16"/>
      <c r="ZG232" s="16"/>
      <c r="ZH232" s="16"/>
      <c r="ZI232" s="16"/>
      <c r="ZJ232" s="16"/>
      <c r="ZK232" s="16">
        <v>5.42</v>
      </c>
      <c r="ZL232" s="16">
        <v>6.61</v>
      </c>
      <c r="ZM232" s="16"/>
      <c r="ZN232" s="16"/>
      <c r="ZO232" s="16">
        <v>0</v>
      </c>
      <c r="ZP232" s="16">
        <v>0</v>
      </c>
      <c r="ZQ232" s="16">
        <v>0</v>
      </c>
      <c r="ZR232">
        <v>0</v>
      </c>
      <c r="ZS232" t="s">
        <v>190</v>
      </c>
      <c r="ZT232">
        <v>38.5</v>
      </c>
      <c r="ZU232" s="16">
        <v>92</v>
      </c>
      <c r="ZV232" s="16">
        <v>80.400000000000006</v>
      </c>
      <c r="ZW232" s="16">
        <v>11</v>
      </c>
      <c r="ZX232">
        <v>95.37</v>
      </c>
      <c r="ZY232" s="17">
        <v>0</v>
      </c>
      <c r="ZZ232">
        <v>4.63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2.85</v>
      </c>
      <c r="AAJ232">
        <v>16.149999999999999</v>
      </c>
      <c r="AAK232">
        <v>42.55</v>
      </c>
      <c r="AAL232">
        <v>4.63</v>
      </c>
      <c r="AAM232">
        <v>0</v>
      </c>
      <c r="AAN232">
        <v>5.7</v>
      </c>
      <c r="AAO232">
        <v>1</v>
      </c>
      <c r="AAP232">
        <v>3</v>
      </c>
      <c r="AAR232">
        <v>1</v>
      </c>
      <c r="AAV232">
        <v>3</v>
      </c>
      <c r="AAX232">
        <v>1</v>
      </c>
      <c r="ABB232">
        <v>4.8</v>
      </c>
      <c r="ABC232">
        <v>0</v>
      </c>
      <c r="ABN232" s="18"/>
      <c r="ACF232">
        <v>1</v>
      </c>
      <c r="ACG232">
        <v>70</v>
      </c>
      <c r="ACH232">
        <v>3</v>
      </c>
      <c r="ACI232">
        <f>14.97+0.86+0.7</f>
        <v>16.53</v>
      </c>
      <c r="ACJ232">
        <v>3</v>
      </c>
      <c r="ACK232">
        <v>60</v>
      </c>
      <c r="ACL232">
        <v>3</v>
      </c>
      <c r="ACM232">
        <f>3.02+0.97+0.6</f>
        <v>4.59</v>
      </c>
      <c r="ACN232">
        <v>3</v>
      </c>
      <c r="ADQ232" s="16">
        <v>2.82</v>
      </c>
      <c r="ADR232" s="16">
        <v>1</v>
      </c>
      <c r="ADS232" s="16">
        <v>1</v>
      </c>
      <c r="ADT232" s="16"/>
      <c r="ADU232" s="16">
        <f>0.93*2</f>
        <v>1.86</v>
      </c>
      <c r="ADV232" s="16">
        <v>2</v>
      </c>
      <c r="ADW232" s="16"/>
      <c r="ADX232" s="16">
        <f>9.6+1.93</f>
        <v>11.53</v>
      </c>
      <c r="ADY232" s="16"/>
      <c r="ADZ232" s="16"/>
      <c r="AEA232" s="16"/>
      <c r="AEB232" s="16">
        <v>13.91</v>
      </c>
      <c r="AEC232" s="16">
        <v>17.309999999999999</v>
      </c>
      <c r="AED232" s="16"/>
      <c r="AEE232" s="16"/>
      <c r="AEF232" s="16">
        <v>0</v>
      </c>
      <c r="AEG232" s="16">
        <v>0</v>
      </c>
      <c r="AEH232" s="16">
        <v>0</v>
      </c>
      <c r="AEI232">
        <v>0</v>
      </c>
      <c r="AEJ232" t="s">
        <v>191</v>
      </c>
      <c r="AEK232">
        <v>44</v>
      </c>
      <c r="AEL232" s="16">
        <v>75.8</v>
      </c>
      <c r="AEM232" s="16">
        <v>80.400000000000006</v>
      </c>
      <c r="AEN232" s="16">
        <v>12.2</v>
      </c>
      <c r="AEO232">
        <v>90.24</v>
      </c>
      <c r="AEP232" s="17">
        <v>0</v>
      </c>
      <c r="AEQ232">
        <v>6.27</v>
      </c>
      <c r="AER232">
        <v>0</v>
      </c>
      <c r="AES232">
        <v>3.49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24.37</v>
      </c>
      <c r="AFB232">
        <v>32.21</v>
      </c>
      <c r="AFC232">
        <v>3.56</v>
      </c>
      <c r="AFD232">
        <v>0</v>
      </c>
      <c r="AFE232">
        <v>0</v>
      </c>
      <c r="AFF232">
        <v>0</v>
      </c>
      <c r="AFS232">
        <v>20.3</v>
      </c>
      <c r="AFT232">
        <v>1</v>
      </c>
      <c r="AFU232">
        <v>30</v>
      </c>
      <c r="AFV232">
        <v>4</v>
      </c>
      <c r="AFW232">
        <v>3.01</v>
      </c>
      <c r="AFX232">
        <v>5</v>
      </c>
      <c r="AFY232">
        <v>68</v>
      </c>
      <c r="AFZ232">
        <v>2</v>
      </c>
      <c r="AGA232">
        <v>1.52</v>
      </c>
      <c r="AGB232">
        <v>1</v>
      </c>
      <c r="AGC232">
        <v>47</v>
      </c>
      <c r="AGD232">
        <v>1</v>
      </c>
      <c r="AGE232" s="18">
        <v>7.0000000000000007E-2</v>
      </c>
      <c r="AGF232">
        <v>3</v>
      </c>
      <c r="AGW232">
        <v>0</v>
      </c>
      <c r="AIH232" s="16">
        <v>1.88</v>
      </c>
      <c r="AII232" s="16">
        <v>1</v>
      </c>
      <c r="AIJ232" s="16">
        <v>2</v>
      </c>
      <c r="AIK232" s="16"/>
      <c r="AIL232" s="16">
        <v>4.18</v>
      </c>
      <c r="AIM232" s="16"/>
      <c r="AIN232" s="16"/>
      <c r="AIO232" s="16"/>
      <c r="AIP232" s="16"/>
      <c r="AIQ232" s="16"/>
      <c r="AIR232" s="16"/>
      <c r="AIS232" s="16">
        <v>7.15</v>
      </c>
      <c r="AIT232" s="16">
        <v>6.06</v>
      </c>
      <c r="AIU232" s="16"/>
      <c r="AIV232" s="16"/>
      <c r="AIW232" s="16">
        <v>0</v>
      </c>
      <c r="AIX232" s="16">
        <v>0</v>
      </c>
      <c r="AIY232" s="16">
        <v>0</v>
      </c>
      <c r="AIZ232">
        <v>0</v>
      </c>
      <c r="AJA232" t="s">
        <v>192</v>
      </c>
      <c r="AJB232">
        <v>47.5</v>
      </c>
      <c r="AJC232" s="16">
        <v>79.3</v>
      </c>
      <c r="AJD232" s="16">
        <v>80.400000000000006</v>
      </c>
      <c r="AJE232" s="16">
        <v>36.299999999999997</v>
      </c>
      <c r="AJF232">
        <v>66.23</v>
      </c>
      <c r="AJG232" s="17">
        <v>0</v>
      </c>
      <c r="AJH232">
        <v>33.770000000000003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38.369999999999997</v>
      </c>
      <c r="AJS232">
        <v>20.04</v>
      </c>
      <c r="AJT232">
        <v>11.21</v>
      </c>
      <c r="AJU232">
        <v>0</v>
      </c>
      <c r="AJV232">
        <v>0</v>
      </c>
      <c r="AJW232">
        <v>0</v>
      </c>
      <c r="AKJ232">
        <v>6.9</v>
      </c>
      <c r="AKK232">
        <v>1</v>
      </c>
      <c r="AKL232">
        <v>47</v>
      </c>
      <c r="AKM232">
        <v>3</v>
      </c>
      <c r="AKN232">
        <f>0.11+0.74+0.08</f>
        <v>0.92999999999999994</v>
      </c>
      <c r="AKO232">
        <v>3</v>
      </c>
      <c r="AKP232">
        <v>68</v>
      </c>
      <c r="AKQ232">
        <v>1</v>
      </c>
      <c r="AKR232">
        <v>0.76</v>
      </c>
      <c r="AKS232">
        <v>1</v>
      </c>
      <c r="AKV232" s="18"/>
      <c r="ALN232">
        <v>0</v>
      </c>
    </row>
    <row r="233" spans="1:1024" x14ac:dyDescent="0.2">
      <c r="A233" s="1" t="s">
        <v>748</v>
      </c>
      <c r="B233" s="12">
        <v>42906</v>
      </c>
      <c r="C233">
        <v>1</v>
      </c>
      <c r="D233" s="13">
        <v>42801</v>
      </c>
      <c r="E233" s="12">
        <v>31956</v>
      </c>
      <c r="F233" s="14">
        <f t="shared" si="62"/>
        <v>29.979466119096511</v>
      </c>
      <c r="G233" s="14">
        <f t="shared" si="63"/>
        <v>0.28747433264887062</v>
      </c>
      <c r="H233" s="19" t="s">
        <v>181</v>
      </c>
      <c r="I233" t="s">
        <v>182</v>
      </c>
      <c r="J233" s="21" t="s">
        <v>183</v>
      </c>
      <c r="K233" s="21">
        <v>4</v>
      </c>
      <c r="L233" s="19">
        <v>57</v>
      </c>
      <c r="M233">
        <v>1.61</v>
      </c>
      <c r="N233" s="16">
        <f t="shared" si="64"/>
        <v>21.989892365263682</v>
      </c>
      <c r="O233" s="19">
        <v>0</v>
      </c>
      <c r="P233" s="19">
        <v>0</v>
      </c>
      <c r="Q233" s="19">
        <v>0</v>
      </c>
      <c r="R233" s="26">
        <v>0</v>
      </c>
      <c r="S233" s="26">
        <v>0</v>
      </c>
      <c r="T233" s="26">
        <v>0</v>
      </c>
      <c r="U233" s="19">
        <v>0</v>
      </c>
      <c r="V233" s="19">
        <v>0</v>
      </c>
      <c r="W233" s="19">
        <v>0</v>
      </c>
      <c r="X233" s="19">
        <v>0</v>
      </c>
      <c r="Y233" s="19">
        <v>0</v>
      </c>
      <c r="Z233" s="19">
        <v>0</v>
      </c>
      <c r="AA233" s="19">
        <v>0</v>
      </c>
      <c r="AB233" s="19">
        <v>0</v>
      </c>
      <c r="AC233" s="19">
        <v>1</v>
      </c>
      <c r="AD233" s="19">
        <v>6</v>
      </c>
      <c r="AE233" s="19">
        <v>0</v>
      </c>
      <c r="AF233" s="19">
        <v>0</v>
      </c>
      <c r="AG233" s="19">
        <v>0</v>
      </c>
      <c r="AH233" s="19">
        <v>0</v>
      </c>
      <c r="AI233" s="19">
        <v>0</v>
      </c>
      <c r="AJ233" s="19">
        <v>0</v>
      </c>
      <c r="AK233" s="19">
        <v>0</v>
      </c>
      <c r="AL233" s="19">
        <v>0</v>
      </c>
      <c r="AM233" s="19">
        <v>0</v>
      </c>
      <c r="AN233" s="19">
        <v>0</v>
      </c>
      <c r="AO233" s="19">
        <v>0</v>
      </c>
      <c r="AP233" s="19">
        <v>0</v>
      </c>
      <c r="AQ233" s="19">
        <v>0</v>
      </c>
      <c r="AR233" s="19">
        <v>0</v>
      </c>
      <c r="AS233" s="19">
        <v>3</v>
      </c>
      <c r="AT233" s="19">
        <v>0</v>
      </c>
      <c r="AU233" s="19">
        <v>0</v>
      </c>
      <c r="AV233" s="19">
        <v>0</v>
      </c>
      <c r="AW233" s="19">
        <v>0</v>
      </c>
      <c r="AX233" s="19">
        <v>0</v>
      </c>
      <c r="AY233" s="19">
        <v>0</v>
      </c>
      <c r="AZ233" s="19">
        <v>0</v>
      </c>
      <c r="BA233" s="19">
        <v>0</v>
      </c>
      <c r="BB233" s="19">
        <v>0</v>
      </c>
      <c r="BC233" s="19">
        <v>0</v>
      </c>
      <c r="BD233" s="19">
        <v>0</v>
      </c>
      <c r="BE233" s="19">
        <v>0</v>
      </c>
      <c r="BF233" s="19">
        <v>0</v>
      </c>
      <c r="BG233" s="19">
        <v>0</v>
      </c>
      <c r="BH233" s="19">
        <v>0</v>
      </c>
      <c r="BI233" s="19">
        <v>0</v>
      </c>
      <c r="BJ233" s="19">
        <v>0</v>
      </c>
      <c r="BK233" s="19">
        <v>0</v>
      </c>
      <c r="BL233" s="19">
        <v>0</v>
      </c>
      <c r="BM233" s="19">
        <v>0</v>
      </c>
      <c r="BN233" s="19">
        <v>0</v>
      </c>
      <c r="BO233" s="19">
        <v>0</v>
      </c>
      <c r="BP233" s="19">
        <v>0</v>
      </c>
      <c r="BQ233" s="19">
        <v>0</v>
      </c>
      <c r="BR233" s="19">
        <v>1</v>
      </c>
      <c r="BS233" s="19">
        <v>1</v>
      </c>
      <c r="BT233" s="19">
        <v>3</v>
      </c>
      <c r="BU233" s="19">
        <v>4</v>
      </c>
      <c r="BV233" s="19">
        <v>1</v>
      </c>
      <c r="BW233" s="19">
        <v>1</v>
      </c>
      <c r="BX233" s="19">
        <v>2</v>
      </c>
      <c r="BY233" s="19">
        <v>3</v>
      </c>
      <c r="BZ233" s="19">
        <v>3</v>
      </c>
      <c r="CA233" s="19">
        <v>3</v>
      </c>
      <c r="CB233" s="19">
        <v>3</v>
      </c>
      <c r="CC233" s="19">
        <v>5</v>
      </c>
      <c r="CD233" s="19">
        <v>3</v>
      </c>
      <c r="CE233" s="19">
        <v>3</v>
      </c>
      <c r="CF233" s="19">
        <v>4</v>
      </c>
      <c r="CG233" s="19">
        <v>5</v>
      </c>
      <c r="CH233" s="19">
        <v>3</v>
      </c>
      <c r="CI233" s="19">
        <v>3</v>
      </c>
      <c r="CJ233" s="19">
        <v>4</v>
      </c>
      <c r="CK233" s="19">
        <v>10</v>
      </c>
      <c r="CL233" t="s">
        <v>185</v>
      </c>
      <c r="CM233">
        <v>21.5</v>
      </c>
      <c r="CN233" s="16">
        <v>54.9</v>
      </c>
      <c r="CO233" s="16">
        <v>80.400000000000006</v>
      </c>
      <c r="CP233" s="16">
        <v>17.899999999999999</v>
      </c>
      <c r="CQ233">
        <v>90.61</v>
      </c>
      <c r="CR233" s="17">
        <v>0</v>
      </c>
      <c r="CS233">
        <v>0</v>
      </c>
      <c r="CT233">
        <v>2.4500000000000002</v>
      </c>
      <c r="CU233">
        <v>6.94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12.16</v>
      </c>
      <c r="DC233">
        <v>24.45</v>
      </c>
      <c r="DD233">
        <v>4.8</v>
      </c>
      <c r="DE233">
        <v>5.1100000000000003</v>
      </c>
      <c r="DF233">
        <v>0</v>
      </c>
      <c r="DG233">
        <v>0</v>
      </c>
      <c r="DH233">
        <v>0</v>
      </c>
      <c r="DU233">
        <v>2.9</v>
      </c>
      <c r="DV233">
        <v>1</v>
      </c>
      <c r="DW233">
        <v>68</v>
      </c>
      <c r="DX233">
        <v>2</v>
      </c>
      <c r="DY233">
        <f>0.38+0.07</f>
        <v>0.45</v>
      </c>
      <c r="DZ233">
        <v>1</v>
      </c>
      <c r="EG233" s="18"/>
      <c r="EY233">
        <v>1</v>
      </c>
      <c r="EZ233">
        <v>40</v>
      </c>
      <c r="FA233">
        <v>1</v>
      </c>
      <c r="FB233">
        <v>0.06</v>
      </c>
      <c r="FC233">
        <v>1</v>
      </c>
      <c r="FD233">
        <v>60</v>
      </c>
      <c r="FE233">
        <v>1</v>
      </c>
      <c r="FF233">
        <v>0.11</v>
      </c>
      <c r="FG233">
        <v>1</v>
      </c>
      <c r="FH233">
        <v>40</v>
      </c>
      <c r="FI233">
        <v>1</v>
      </c>
      <c r="FJ233">
        <v>0.57999999999999996</v>
      </c>
      <c r="FK233">
        <v>6</v>
      </c>
      <c r="GJ233" s="16">
        <v>0</v>
      </c>
      <c r="GK233" s="16">
        <v>0</v>
      </c>
      <c r="GL233" s="16"/>
      <c r="GM233" s="16"/>
      <c r="GN233" s="16"/>
      <c r="GO233" s="16"/>
      <c r="GP233" s="16"/>
      <c r="GQ233" s="16"/>
      <c r="GR233" s="16"/>
      <c r="GS233" s="16"/>
      <c r="GT233" s="16"/>
      <c r="GU233" s="16">
        <v>0.67</v>
      </c>
      <c r="GV233" s="16">
        <v>0.65</v>
      </c>
      <c r="GW233" s="16"/>
      <c r="GX233" s="16"/>
      <c r="GY233" s="16">
        <v>0</v>
      </c>
      <c r="GZ233" s="16">
        <v>0</v>
      </c>
      <c r="HA233" s="16">
        <v>0</v>
      </c>
      <c r="HB233">
        <v>0</v>
      </c>
      <c r="HC233" t="s">
        <v>186</v>
      </c>
      <c r="HD233">
        <v>52.5</v>
      </c>
      <c r="HE233" s="16">
        <v>78.3</v>
      </c>
      <c r="HF233" s="16">
        <v>80.400000000000006</v>
      </c>
      <c r="HG233" s="16">
        <v>33.200000000000003</v>
      </c>
      <c r="HH233">
        <v>67.5</v>
      </c>
      <c r="HI233" s="17">
        <v>0</v>
      </c>
      <c r="HJ233">
        <v>21.37</v>
      </c>
      <c r="HK233">
        <v>0</v>
      </c>
      <c r="HL233">
        <v>3.99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5.93</v>
      </c>
      <c r="HU233">
        <v>42.2</v>
      </c>
      <c r="HV233">
        <v>15.97</v>
      </c>
      <c r="HW233">
        <v>7.14</v>
      </c>
      <c r="HX233">
        <v>0</v>
      </c>
      <c r="HY233">
        <v>0</v>
      </c>
      <c r="IL233">
        <v>1.7</v>
      </c>
      <c r="IM233">
        <v>1</v>
      </c>
      <c r="IN233">
        <v>34</v>
      </c>
      <c r="IO233">
        <v>5</v>
      </c>
      <c r="IP233">
        <v>0.21</v>
      </c>
      <c r="IQ233">
        <v>1</v>
      </c>
      <c r="IR233">
        <v>68</v>
      </c>
      <c r="IS233">
        <v>3</v>
      </c>
      <c r="IT233">
        <v>0.3</v>
      </c>
      <c r="IU233">
        <v>1</v>
      </c>
      <c r="IV233">
        <v>47</v>
      </c>
      <c r="IW233">
        <v>4</v>
      </c>
      <c r="IX233" s="18">
        <v>0.11</v>
      </c>
      <c r="IY233">
        <v>1</v>
      </c>
      <c r="IZ233">
        <v>35</v>
      </c>
      <c r="JA233">
        <v>2</v>
      </c>
      <c r="JB233">
        <v>0.1</v>
      </c>
      <c r="JC233">
        <v>1</v>
      </c>
      <c r="JP233">
        <v>0</v>
      </c>
      <c r="LA233" s="16">
        <v>1.04</v>
      </c>
      <c r="LB233" s="16">
        <v>1</v>
      </c>
      <c r="LC233" s="16">
        <v>1</v>
      </c>
      <c r="LD233" s="16"/>
      <c r="LE233" s="16">
        <f>3.74+3.17+0.1</f>
        <v>7.01</v>
      </c>
      <c r="LF233" s="16"/>
      <c r="LG233" s="16"/>
      <c r="LH233" s="16"/>
      <c r="LI233" s="16"/>
      <c r="LJ233" s="16"/>
      <c r="LK233" s="16"/>
      <c r="LL233" s="16">
        <v>8.9</v>
      </c>
      <c r="LM233" s="16">
        <v>9.7899999999999991</v>
      </c>
      <c r="LN233" s="16"/>
      <c r="LO233" s="16"/>
      <c r="LP233" s="16">
        <v>2.99</v>
      </c>
      <c r="LQ233" s="16">
        <v>4</v>
      </c>
      <c r="LR233" s="16">
        <v>3</v>
      </c>
      <c r="LS233">
        <v>0</v>
      </c>
      <c r="LT233" t="s">
        <v>187</v>
      </c>
      <c r="LU233">
        <v>53.5</v>
      </c>
      <c r="LV233" s="16">
        <v>73.5</v>
      </c>
      <c r="LW233" s="16">
        <v>80.400000000000006</v>
      </c>
      <c r="LX233" s="16">
        <v>26.1</v>
      </c>
      <c r="LY233">
        <v>78.89</v>
      </c>
      <c r="LZ233" s="17">
        <v>0</v>
      </c>
      <c r="MA233">
        <v>2.36</v>
      </c>
      <c r="MB233">
        <v>0</v>
      </c>
      <c r="MC233">
        <v>11.6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7.86</v>
      </c>
      <c r="MK233">
        <v>12.08</v>
      </c>
      <c r="ML233">
        <v>18.100000000000001</v>
      </c>
      <c r="MM233">
        <v>28.51</v>
      </c>
      <c r="MN233">
        <v>7.14</v>
      </c>
      <c r="MO233">
        <v>0</v>
      </c>
      <c r="MP233">
        <v>0</v>
      </c>
      <c r="NC233">
        <v>11.6</v>
      </c>
      <c r="ND233">
        <v>1</v>
      </c>
      <c r="NE233">
        <v>47</v>
      </c>
      <c r="NF233">
        <v>4</v>
      </c>
      <c r="NG233">
        <f>1.15+0.34</f>
        <v>1.49</v>
      </c>
      <c r="NH233">
        <v>3</v>
      </c>
      <c r="NO233" s="18"/>
      <c r="OG233">
        <v>1</v>
      </c>
      <c r="OH233">
        <v>50</v>
      </c>
      <c r="OI233">
        <v>1</v>
      </c>
      <c r="OJ233">
        <v>0.19</v>
      </c>
      <c r="OK233">
        <v>3</v>
      </c>
      <c r="PR233" s="16">
        <v>7.27</v>
      </c>
      <c r="PS233" s="16">
        <v>1</v>
      </c>
      <c r="PT233" s="16">
        <v>1</v>
      </c>
      <c r="PU233" s="16"/>
      <c r="PV233" s="16">
        <f>2.11*2+0.37*2</f>
        <v>4.96</v>
      </c>
      <c r="PW233" s="16">
        <v>3</v>
      </c>
      <c r="PX233" s="16"/>
      <c r="PY233" s="16">
        <f>1.44+0.72</f>
        <v>2.16</v>
      </c>
      <c r="PZ233" s="16"/>
      <c r="QA233" s="16"/>
      <c r="QB233" s="16"/>
      <c r="QC233" s="16">
        <v>5.39</v>
      </c>
      <c r="QD233" s="16">
        <v>8.11</v>
      </c>
      <c r="QE233" s="16"/>
      <c r="QF233" s="16"/>
      <c r="QG233" s="16">
        <v>0</v>
      </c>
      <c r="QH233" s="16">
        <v>0</v>
      </c>
      <c r="QI233" s="16">
        <v>3</v>
      </c>
      <c r="QJ233">
        <v>0</v>
      </c>
      <c r="QK233" t="s">
        <v>188</v>
      </c>
      <c r="QL233">
        <v>40</v>
      </c>
      <c r="QM233" s="16">
        <v>84.1</v>
      </c>
      <c r="QN233" s="16">
        <v>80.400000000000006</v>
      </c>
      <c r="QO233" s="16">
        <v>35.1</v>
      </c>
      <c r="QP233">
        <v>66.11</v>
      </c>
      <c r="QQ233" s="17">
        <v>0</v>
      </c>
      <c r="QR233">
        <v>13.11</v>
      </c>
      <c r="QS233">
        <v>6.27</v>
      </c>
      <c r="QT233">
        <v>8.02</v>
      </c>
      <c r="QU233">
        <v>0</v>
      </c>
      <c r="QV233">
        <v>6.47</v>
      </c>
      <c r="QW233">
        <v>2.85</v>
      </c>
      <c r="QX233">
        <v>3.1</v>
      </c>
      <c r="QY233">
        <v>0</v>
      </c>
      <c r="QZ233">
        <v>0</v>
      </c>
      <c r="RA233">
        <v>10.49</v>
      </c>
      <c r="RB233">
        <v>26.72</v>
      </c>
      <c r="RC233">
        <v>13.38</v>
      </c>
      <c r="RD233">
        <v>10.67</v>
      </c>
      <c r="RE233">
        <v>0</v>
      </c>
      <c r="RF233">
        <v>0</v>
      </c>
      <c r="RG233">
        <v>0</v>
      </c>
      <c r="RT233">
        <v>3.9</v>
      </c>
      <c r="RU233">
        <v>1</v>
      </c>
      <c r="RV233">
        <v>68</v>
      </c>
      <c r="RW233">
        <v>4</v>
      </c>
      <c r="RX233">
        <f>1.9+0.34</f>
        <v>2.2399999999999998</v>
      </c>
      <c r="RY233">
        <v>1</v>
      </c>
      <c r="RZ233">
        <v>34</v>
      </c>
      <c r="SA233">
        <v>8</v>
      </c>
      <c r="SB233">
        <v>0.27</v>
      </c>
      <c r="SC233">
        <v>1</v>
      </c>
      <c r="SF233" s="18"/>
      <c r="SX233">
        <v>1</v>
      </c>
      <c r="SY233">
        <v>50</v>
      </c>
      <c r="SZ233">
        <v>4</v>
      </c>
      <c r="TA233">
        <f>1.52*2</f>
        <v>3.04</v>
      </c>
      <c r="TB233">
        <v>3</v>
      </c>
      <c r="UI233" s="16">
        <v>0.04</v>
      </c>
      <c r="UJ233" s="16">
        <v>1</v>
      </c>
      <c r="UK233" s="16">
        <v>1</v>
      </c>
      <c r="UL233" s="16"/>
      <c r="UM233" s="16">
        <f>0.3</f>
        <v>0.3</v>
      </c>
      <c r="UN233" s="16"/>
      <c r="UO233" s="16"/>
      <c r="UP233" s="16"/>
      <c r="UQ233" s="16"/>
      <c r="UR233" s="16"/>
      <c r="US233" s="16"/>
      <c r="UT233" s="16">
        <v>0.03</v>
      </c>
      <c r="UU233" s="16">
        <v>0.03</v>
      </c>
      <c r="UV233" s="16"/>
      <c r="UW233" s="16"/>
      <c r="UX233" s="16">
        <v>0</v>
      </c>
      <c r="UY233" s="16">
        <v>0</v>
      </c>
      <c r="UZ233" s="16">
        <v>0</v>
      </c>
      <c r="VA233">
        <v>0</v>
      </c>
      <c r="VB233" t="s">
        <v>189</v>
      </c>
      <c r="VC233">
        <v>31</v>
      </c>
      <c r="VD233" s="16">
        <v>80.2</v>
      </c>
      <c r="VE233" s="16">
        <v>80.400000000000006</v>
      </c>
      <c r="VF233" s="16">
        <v>6.5</v>
      </c>
      <c r="VG233">
        <v>99.3</v>
      </c>
      <c r="VH233" s="17">
        <v>0</v>
      </c>
      <c r="VI233">
        <v>0.7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31.92</v>
      </c>
      <c r="VT233">
        <v>23.7</v>
      </c>
      <c r="VU233">
        <v>1.95</v>
      </c>
      <c r="VV233">
        <v>0</v>
      </c>
      <c r="VW233">
        <v>18.7</v>
      </c>
      <c r="VX233">
        <v>4</v>
      </c>
      <c r="VY233">
        <v>49</v>
      </c>
      <c r="WA233">
        <v>1</v>
      </c>
      <c r="WE233">
        <v>49</v>
      </c>
      <c r="WG233">
        <v>1</v>
      </c>
      <c r="WK233">
        <v>0</v>
      </c>
      <c r="WL233">
        <v>0</v>
      </c>
      <c r="WW233" s="18"/>
      <c r="XO233">
        <v>0</v>
      </c>
      <c r="YZ233" s="16">
        <v>0</v>
      </c>
      <c r="ZA233" s="16">
        <v>0</v>
      </c>
      <c r="ZB233" s="16"/>
      <c r="ZC233" s="16"/>
      <c r="ZD233" s="16"/>
      <c r="ZE233" s="16"/>
      <c r="ZF233" s="16"/>
      <c r="ZG233" s="16"/>
      <c r="ZH233" s="16"/>
      <c r="ZI233" s="16"/>
      <c r="ZJ233" s="16"/>
      <c r="ZK233" s="16">
        <v>5.42</v>
      </c>
      <c r="ZL233" s="16">
        <v>6.61</v>
      </c>
      <c r="ZM233" s="16"/>
      <c r="ZN233" s="16"/>
      <c r="ZO233" s="16">
        <v>0</v>
      </c>
      <c r="ZP233" s="16">
        <v>0</v>
      </c>
      <c r="ZQ233" s="16">
        <v>0</v>
      </c>
      <c r="ZR233">
        <v>0</v>
      </c>
      <c r="ZS233" t="s">
        <v>190</v>
      </c>
      <c r="ZT233">
        <v>38.5</v>
      </c>
      <c r="ZU233" s="16">
        <v>92</v>
      </c>
      <c r="ZV233" s="16">
        <v>80.400000000000006</v>
      </c>
      <c r="ZW233" s="16">
        <v>11</v>
      </c>
      <c r="ZX233">
        <v>95.37</v>
      </c>
      <c r="ZY233" s="17">
        <v>0</v>
      </c>
      <c r="ZZ233">
        <v>4.63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2.85</v>
      </c>
      <c r="AAJ233">
        <v>16.149999999999999</v>
      </c>
      <c r="AAK233">
        <v>42.55</v>
      </c>
      <c r="AAL233">
        <v>4.63</v>
      </c>
      <c r="AAM233">
        <v>0</v>
      </c>
      <c r="AAN233">
        <v>5.7</v>
      </c>
      <c r="AAO233">
        <v>1</v>
      </c>
      <c r="AAP233">
        <v>3</v>
      </c>
      <c r="AAR233">
        <v>1</v>
      </c>
      <c r="AAV233">
        <v>3</v>
      </c>
      <c r="AAX233">
        <v>1</v>
      </c>
      <c r="ABB233">
        <v>4.8</v>
      </c>
      <c r="ABC233">
        <v>0</v>
      </c>
      <c r="ABN233" s="18"/>
      <c r="ACF233">
        <v>1</v>
      </c>
      <c r="ACG233">
        <v>70</v>
      </c>
      <c r="ACH233">
        <v>3</v>
      </c>
      <c r="ACI233">
        <f>14.97+0.86+0.7</f>
        <v>16.53</v>
      </c>
      <c r="ACJ233">
        <v>3</v>
      </c>
      <c r="ACK233">
        <v>60</v>
      </c>
      <c r="ACL233">
        <v>3</v>
      </c>
      <c r="ACM233">
        <f>3.02+0.97+0.6</f>
        <v>4.59</v>
      </c>
      <c r="ACN233">
        <v>3</v>
      </c>
      <c r="ADQ233" s="16">
        <v>2.82</v>
      </c>
      <c r="ADR233" s="16">
        <v>1</v>
      </c>
      <c r="ADS233" s="16">
        <v>1</v>
      </c>
      <c r="ADT233" s="16"/>
      <c r="ADU233" s="16">
        <f>0.93*2</f>
        <v>1.86</v>
      </c>
      <c r="ADV233" s="16">
        <v>2</v>
      </c>
      <c r="ADW233" s="16"/>
      <c r="ADX233" s="16">
        <f>9.6+1.93</f>
        <v>11.53</v>
      </c>
      <c r="ADY233" s="16"/>
      <c r="ADZ233" s="16"/>
      <c r="AEA233" s="16"/>
      <c r="AEB233" s="16">
        <v>13.91</v>
      </c>
      <c r="AEC233" s="16">
        <v>17.309999999999999</v>
      </c>
      <c r="AED233" s="16"/>
      <c r="AEE233" s="16"/>
      <c r="AEF233" s="16">
        <v>0</v>
      </c>
      <c r="AEG233" s="16">
        <v>0</v>
      </c>
      <c r="AEH233" s="16">
        <v>0</v>
      </c>
      <c r="AEI233">
        <v>0</v>
      </c>
      <c r="AEJ233" t="s">
        <v>191</v>
      </c>
      <c r="AEK233">
        <v>44</v>
      </c>
      <c r="AEL233" s="16">
        <v>75.8</v>
      </c>
      <c r="AEM233" s="16">
        <v>80.400000000000006</v>
      </c>
      <c r="AEN233" s="16">
        <v>12.2</v>
      </c>
      <c r="AEO233">
        <v>90.24</v>
      </c>
      <c r="AEP233" s="17">
        <v>0</v>
      </c>
      <c r="AEQ233">
        <v>6.27</v>
      </c>
      <c r="AER233">
        <v>0</v>
      </c>
      <c r="AES233">
        <v>3.49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24.37</v>
      </c>
      <c r="AFB233">
        <v>32.21</v>
      </c>
      <c r="AFC233">
        <v>3.56</v>
      </c>
      <c r="AFD233">
        <v>0</v>
      </c>
      <c r="AFE233">
        <v>0</v>
      </c>
      <c r="AFF233">
        <v>0</v>
      </c>
      <c r="AFS233">
        <v>20.3</v>
      </c>
      <c r="AFT233">
        <v>1</v>
      </c>
      <c r="AFU233">
        <v>30</v>
      </c>
      <c r="AFV233">
        <v>4</v>
      </c>
      <c r="AFW233">
        <v>3.01</v>
      </c>
      <c r="AFX233">
        <v>5</v>
      </c>
      <c r="AFY233">
        <v>68</v>
      </c>
      <c r="AFZ233">
        <v>2</v>
      </c>
      <c r="AGA233">
        <v>1.52</v>
      </c>
      <c r="AGB233">
        <v>1</v>
      </c>
      <c r="AGC233">
        <v>47</v>
      </c>
      <c r="AGD233">
        <v>1</v>
      </c>
      <c r="AGE233" s="18">
        <v>7.0000000000000007E-2</v>
      </c>
      <c r="AGF233">
        <v>3</v>
      </c>
      <c r="AGW233">
        <v>0</v>
      </c>
      <c r="AIH233" s="16">
        <v>1.88</v>
      </c>
      <c r="AII233" s="16">
        <v>1</v>
      </c>
      <c r="AIJ233" s="16">
        <v>2</v>
      </c>
      <c r="AIK233" s="16"/>
      <c r="AIL233" s="16">
        <v>4.18</v>
      </c>
      <c r="AIM233" s="16"/>
      <c r="AIN233" s="16"/>
      <c r="AIO233" s="16"/>
      <c r="AIP233" s="16"/>
      <c r="AIQ233" s="16"/>
      <c r="AIR233" s="16"/>
      <c r="AIS233" s="16">
        <v>7.15</v>
      </c>
      <c r="AIT233" s="16">
        <v>6.06</v>
      </c>
      <c r="AIU233" s="16"/>
      <c r="AIV233" s="16"/>
      <c r="AIW233" s="16">
        <v>0</v>
      </c>
      <c r="AIX233" s="16">
        <v>0</v>
      </c>
      <c r="AIY233" s="16">
        <v>0</v>
      </c>
      <c r="AIZ233">
        <v>0</v>
      </c>
      <c r="AJA233" t="s">
        <v>192</v>
      </c>
      <c r="AJB233">
        <v>47.5</v>
      </c>
      <c r="AJC233" s="16">
        <v>79.3</v>
      </c>
      <c r="AJD233" s="16">
        <v>80.400000000000006</v>
      </c>
      <c r="AJE233" s="16">
        <v>36.299999999999997</v>
      </c>
      <c r="AJF233">
        <v>66.23</v>
      </c>
      <c r="AJG233" s="17">
        <v>0</v>
      </c>
      <c r="AJH233">
        <v>33.770000000000003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38.369999999999997</v>
      </c>
      <c r="AJS233">
        <v>20.04</v>
      </c>
      <c r="AJT233">
        <v>11.21</v>
      </c>
      <c r="AJU233">
        <v>0</v>
      </c>
      <c r="AJV233">
        <v>0</v>
      </c>
      <c r="AJW233">
        <v>0</v>
      </c>
      <c r="AKJ233">
        <v>6.9</v>
      </c>
      <c r="AKK233">
        <v>1</v>
      </c>
      <c r="AKL233">
        <v>47</v>
      </c>
      <c r="AKM233">
        <v>3</v>
      </c>
      <c r="AKN233">
        <f>0.11+0.74+0.08</f>
        <v>0.92999999999999994</v>
      </c>
      <c r="AKO233">
        <v>3</v>
      </c>
      <c r="AKP233">
        <v>68</v>
      </c>
      <c r="AKQ233">
        <v>1</v>
      </c>
      <c r="AKR233">
        <v>0.76</v>
      </c>
      <c r="AKS233">
        <v>1</v>
      </c>
      <c r="AKV233" s="18"/>
      <c r="ALN233">
        <v>0</v>
      </c>
    </row>
    <row r="234" spans="1:1024" x14ac:dyDescent="0.2">
      <c r="A234" s="1" t="s">
        <v>749</v>
      </c>
      <c r="B234" s="12">
        <v>42910</v>
      </c>
      <c r="C234">
        <v>1</v>
      </c>
      <c r="D234" s="13">
        <v>40513</v>
      </c>
      <c r="E234" s="12">
        <v>24307</v>
      </c>
      <c r="F234" s="14">
        <f t="shared" si="62"/>
        <v>50.932238193018478</v>
      </c>
      <c r="G234" s="14">
        <f t="shared" si="63"/>
        <v>6.5626283367556466</v>
      </c>
      <c r="H234" s="19" t="s">
        <v>217</v>
      </c>
      <c r="I234" t="s">
        <v>545</v>
      </c>
      <c r="J234" s="21" t="s">
        <v>183</v>
      </c>
      <c r="K234" s="21">
        <v>8</v>
      </c>
      <c r="L234" s="19">
        <v>83</v>
      </c>
      <c r="M234">
        <v>1.66</v>
      </c>
      <c r="N234" s="16">
        <f t="shared" si="64"/>
        <v>30.120481927710845</v>
      </c>
      <c r="O234" s="19">
        <v>0</v>
      </c>
      <c r="P234" s="19">
        <v>0</v>
      </c>
      <c r="Q234" s="19">
        <v>0</v>
      </c>
      <c r="R234" s="26">
        <v>0</v>
      </c>
      <c r="S234" s="26">
        <v>0</v>
      </c>
      <c r="T234" s="26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1</v>
      </c>
      <c r="AF234" s="19">
        <v>1</v>
      </c>
      <c r="AG234" s="19">
        <v>0</v>
      </c>
      <c r="AH234" s="19"/>
      <c r="AI234" s="19">
        <v>2</v>
      </c>
      <c r="AJ234" s="19">
        <v>2</v>
      </c>
      <c r="AK234" s="19">
        <v>0</v>
      </c>
      <c r="AL234" s="19">
        <v>0</v>
      </c>
      <c r="AM234" s="19">
        <v>0</v>
      </c>
      <c r="AN234" s="19">
        <v>2</v>
      </c>
      <c r="AO234" s="19">
        <v>2</v>
      </c>
      <c r="AP234" s="19">
        <v>0</v>
      </c>
      <c r="AQ234" s="19">
        <v>0</v>
      </c>
      <c r="AR234" s="19">
        <v>0</v>
      </c>
      <c r="AS234" s="19">
        <v>0</v>
      </c>
      <c r="AT234" s="19">
        <v>0</v>
      </c>
      <c r="AU234" s="19">
        <v>0</v>
      </c>
      <c r="AV234" s="19">
        <v>0</v>
      </c>
      <c r="AW234" s="19">
        <v>0</v>
      </c>
      <c r="AX234" s="19">
        <v>0</v>
      </c>
      <c r="AY234" s="19">
        <v>0</v>
      </c>
      <c r="AZ234" s="19">
        <v>0</v>
      </c>
      <c r="BA234" s="19">
        <v>0</v>
      </c>
      <c r="BB234" s="19">
        <v>1</v>
      </c>
      <c r="BC234" s="19">
        <v>1</v>
      </c>
      <c r="BD234" s="19">
        <v>1</v>
      </c>
      <c r="BE234" s="19">
        <v>2</v>
      </c>
      <c r="BF234" s="19">
        <v>1</v>
      </c>
      <c r="BG234" s="19">
        <v>1</v>
      </c>
      <c r="BH234" s="19">
        <v>1</v>
      </c>
      <c r="BI234" s="19">
        <v>3</v>
      </c>
      <c r="BJ234" s="19">
        <v>1</v>
      </c>
      <c r="BK234" s="19">
        <v>1</v>
      </c>
      <c r="BL234" s="19">
        <v>1</v>
      </c>
      <c r="BM234" s="19">
        <v>3</v>
      </c>
      <c r="BN234" s="19">
        <v>0</v>
      </c>
      <c r="BO234" s="19">
        <v>0</v>
      </c>
      <c r="BP234" s="19">
        <v>0</v>
      </c>
      <c r="BQ234" s="19">
        <v>0</v>
      </c>
      <c r="BR234" s="19">
        <v>3</v>
      </c>
      <c r="BS234" s="19">
        <v>2</v>
      </c>
      <c r="BT234" s="19">
        <v>2</v>
      </c>
      <c r="BU234" s="19">
        <v>4</v>
      </c>
      <c r="BV234" s="19">
        <v>3</v>
      </c>
      <c r="BW234" s="19">
        <v>1</v>
      </c>
      <c r="BX234" s="19">
        <v>1</v>
      </c>
      <c r="BY234" s="19">
        <v>3</v>
      </c>
      <c r="BZ234" s="19">
        <v>1</v>
      </c>
      <c r="CA234" s="19">
        <v>1</v>
      </c>
      <c r="CB234" s="19">
        <v>3</v>
      </c>
      <c r="CC234" s="19">
        <v>5</v>
      </c>
      <c r="CD234" s="19">
        <v>3</v>
      </c>
      <c r="CE234" s="19">
        <v>3</v>
      </c>
      <c r="CF234" s="19">
        <v>3</v>
      </c>
      <c r="CG234" s="19">
        <v>5</v>
      </c>
      <c r="CH234" s="19">
        <v>2</v>
      </c>
      <c r="CI234" s="19">
        <v>3</v>
      </c>
      <c r="CJ234" s="19">
        <v>3</v>
      </c>
      <c r="CK234" s="19">
        <v>5</v>
      </c>
      <c r="CL234" t="s">
        <v>555</v>
      </c>
      <c r="CM234">
        <v>35</v>
      </c>
      <c r="CN234" s="16">
        <v>78.8</v>
      </c>
      <c r="CO234" s="16">
        <v>80.400000000000006</v>
      </c>
      <c r="CP234" s="16">
        <v>17.2</v>
      </c>
      <c r="CQ234">
        <v>72.069999999999993</v>
      </c>
      <c r="CR234">
        <v>11.09</v>
      </c>
      <c r="CS234">
        <v>1.1200000000000001</v>
      </c>
      <c r="CT234">
        <v>0</v>
      </c>
      <c r="CU234">
        <v>15.71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1.66</v>
      </c>
      <c r="DD234">
        <v>34.99</v>
      </c>
      <c r="DE234">
        <v>0</v>
      </c>
      <c r="DF234">
        <v>0</v>
      </c>
      <c r="DG234">
        <v>0</v>
      </c>
      <c r="DH234">
        <v>0</v>
      </c>
      <c r="DU234">
        <v>11.2</v>
      </c>
      <c r="DV234">
        <v>1</v>
      </c>
      <c r="DW234">
        <v>52</v>
      </c>
      <c r="DX234">
        <f t="shared" ref="DX234:DX239" si="74">18+1+15</f>
        <v>34</v>
      </c>
      <c r="DY234">
        <f t="shared" ref="DY234:DY239" si="75">3.2+2.05+0.07</f>
        <v>5.32</v>
      </c>
      <c r="DZ234">
        <v>2</v>
      </c>
      <c r="EG234" s="18"/>
      <c r="EY234">
        <v>0</v>
      </c>
      <c r="GJ234" s="16">
        <v>0</v>
      </c>
      <c r="GK234" s="16">
        <v>0</v>
      </c>
      <c r="GL234" s="16"/>
      <c r="GM234" s="16"/>
      <c r="GN234" s="16"/>
      <c r="GO234" s="16"/>
      <c r="GP234" s="16"/>
      <c r="GQ234" s="16"/>
      <c r="GR234" s="16"/>
      <c r="GS234" s="16"/>
      <c r="GT234" s="16"/>
      <c r="GU234" s="16">
        <v>6.16</v>
      </c>
      <c r="GV234" s="16">
        <v>7.21</v>
      </c>
      <c r="GW234" s="16"/>
      <c r="GX234" s="16"/>
      <c r="GY234" s="16">
        <v>0</v>
      </c>
      <c r="GZ234" s="16">
        <v>0</v>
      </c>
      <c r="HA234" s="16">
        <v>0</v>
      </c>
      <c r="HB234">
        <v>0</v>
      </c>
      <c r="HC234" t="s">
        <v>546</v>
      </c>
      <c r="HD234">
        <v>16.5</v>
      </c>
      <c r="HE234" s="16">
        <v>35.299999999999997</v>
      </c>
      <c r="HF234" s="16">
        <v>80.400000000000006</v>
      </c>
      <c r="HG234" s="16">
        <v>9.6999999999999993</v>
      </c>
      <c r="HH234">
        <v>86.56</v>
      </c>
      <c r="HI234">
        <v>12.61</v>
      </c>
      <c r="HJ234">
        <v>0</v>
      </c>
      <c r="HK234">
        <v>0</v>
      </c>
      <c r="HL234">
        <v>0.83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2.2200000000000002</v>
      </c>
      <c r="HU234">
        <v>20.83</v>
      </c>
      <c r="HV234">
        <v>0</v>
      </c>
      <c r="HW234">
        <v>0</v>
      </c>
      <c r="HX234">
        <v>0</v>
      </c>
      <c r="HY234">
        <v>0</v>
      </c>
      <c r="IL234">
        <v>0.3</v>
      </c>
      <c r="IM234">
        <v>1</v>
      </c>
      <c r="IN234">
        <v>34</v>
      </c>
      <c r="IO234">
        <v>4</v>
      </c>
      <c r="IP234">
        <f t="shared" ref="IP234:IP239" si="76">1.35+0.45+1.35+0.45</f>
        <v>3.6000000000000005</v>
      </c>
      <c r="IQ234">
        <v>1</v>
      </c>
      <c r="IR234">
        <v>52</v>
      </c>
      <c r="IS234">
        <v>1</v>
      </c>
      <c r="IT234">
        <f t="shared" ref="IT234:IT239" si="77">0.18</f>
        <v>0.18</v>
      </c>
      <c r="IU234">
        <v>2</v>
      </c>
      <c r="IX234" s="18"/>
      <c r="JP234">
        <v>0</v>
      </c>
      <c r="LA234" s="16">
        <v>0.28000000000000003</v>
      </c>
      <c r="LB234" s="16">
        <v>1</v>
      </c>
      <c r="LC234" s="16">
        <v>2</v>
      </c>
      <c r="LD234" s="16"/>
      <c r="LE234" s="16">
        <f t="shared" ref="LE234:LE239" si="78">0.37+0.26</f>
        <v>0.63</v>
      </c>
      <c r="LF234" s="16"/>
      <c r="LG234" s="16"/>
      <c r="LH234" s="16"/>
      <c r="LI234" s="16"/>
      <c r="LJ234" s="16"/>
      <c r="LK234" s="16"/>
      <c r="LL234" s="16">
        <v>5.99</v>
      </c>
      <c r="LM234" s="16">
        <v>5.34</v>
      </c>
      <c r="LN234" s="16"/>
      <c r="LO234" s="16"/>
      <c r="LP234" s="16">
        <v>0</v>
      </c>
      <c r="LQ234" s="16">
        <v>0</v>
      </c>
      <c r="LR234" s="16">
        <v>0</v>
      </c>
      <c r="LS234">
        <v>0</v>
      </c>
      <c r="LT234" t="s">
        <v>547</v>
      </c>
      <c r="LU234">
        <v>29.5</v>
      </c>
      <c r="LV234" s="16">
        <v>87.5</v>
      </c>
      <c r="LW234" s="16">
        <v>80.400000000000006</v>
      </c>
      <c r="LX234" s="16">
        <v>14.3</v>
      </c>
      <c r="LY234">
        <v>68.7</v>
      </c>
      <c r="LZ234">
        <v>23.24</v>
      </c>
      <c r="MA234">
        <v>1.79</v>
      </c>
      <c r="MB234">
        <v>0</v>
      </c>
      <c r="MC234">
        <v>6.27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7.01</v>
      </c>
      <c r="ML234">
        <v>58.72</v>
      </c>
      <c r="MM234">
        <v>0.23</v>
      </c>
      <c r="MN234">
        <v>0</v>
      </c>
      <c r="MO234">
        <v>0.5</v>
      </c>
      <c r="MP234">
        <v>2</v>
      </c>
      <c r="MQ234">
        <v>7</v>
      </c>
      <c r="MR234">
        <v>0.08</v>
      </c>
      <c r="MW234">
        <v>7</v>
      </c>
      <c r="MX234">
        <v>0.08</v>
      </c>
      <c r="NC234">
        <v>0</v>
      </c>
      <c r="ND234">
        <v>1</v>
      </c>
      <c r="NE234">
        <v>23</v>
      </c>
      <c r="NF234">
        <v>2</v>
      </c>
      <c r="NG234">
        <v>0.9</v>
      </c>
      <c r="NH234">
        <v>3</v>
      </c>
      <c r="NO234" s="18"/>
      <c r="OG234">
        <v>1</v>
      </c>
      <c r="OH234">
        <v>50</v>
      </c>
      <c r="OI234">
        <v>2</v>
      </c>
      <c r="OJ234">
        <f t="shared" ref="OJ234:OJ239" si="79">3.13+23.63</f>
        <v>26.759999999999998</v>
      </c>
      <c r="OK234">
        <v>3</v>
      </c>
      <c r="PR234" s="16">
        <v>1.49</v>
      </c>
      <c r="PS234" s="16">
        <v>1</v>
      </c>
      <c r="PT234" s="16">
        <v>1</v>
      </c>
      <c r="PU234" s="16"/>
      <c r="PV234" s="16">
        <f t="shared" ref="PV234:PV239" si="80">1.91+2.02+2.02+1.35</f>
        <v>7.2999999999999989</v>
      </c>
      <c r="PW234" s="16">
        <v>2</v>
      </c>
      <c r="PX234" s="16"/>
      <c r="PY234" s="16">
        <v>0.21</v>
      </c>
      <c r="PZ234" s="16"/>
      <c r="QA234" s="16"/>
      <c r="QB234" s="16"/>
      <c r="QC234" s="16">
        <v>10.82</v>
      </c>
      <c r="QD234" s="16">
        <v>14.57</v>
      </c>
      <c r="QE234" s="16"/>
      <c r="QF234" s="16"/>
      <c r="QG234" s="16">
        <v>2.2400000000000002</v>
      </c>
      <c r="QH234" s="16">
        <v>0.9</v>
      </c>
      <c r="QI234" s="16">
        <v>0</v>
      </c>
      <c r="QJ234">
        <v>0</v>
      </c>
      <c r="QK234" t="s">
        <v>548</v>
      </c>
      <c r="QL234">
        <v>50</v>
      </c>
      <c r="QM234" s="16">
        <v>80</v>
      </c>
      <c r="QN234" s="16">
        <v>80.400000000000006</v>
      </c>
      <c r="QO234" s="16">
        <v>16.899999999999999</v>
      </c>
      <c r="QP234">
        <v>58.18</v>
      </c>
      <c r="QQ234">
        <v>32.94</v>
      </c>
      <c r="QR234">
        <v>1.79</v>
      </c>
      <c r="QS234">
        <v>0</v>
      </c>
      <c r="QT234">
        <v>7.09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3.53</v>
      </c>
      <c r="RC234">
        <v>45.12</v>
      </c>
      <c r="RD234">
        <v>0</v>
      </c>
      <c r="RE234">
        <v>0</v>
      </c>
      <c r="RF234">
        <v>0</v>
      </c>
      <c r="RG234">
        <v>0</v>
      </c>
      <c r="RT234">
        <v>8.1999999999999993</v>
      </c>
      <c r="RU234">
        <v>1</v>
      </c>
      <c r="RV234">
        <v>23</v>
      </c>
      <c r="RW234">
        <v>1</v>
      </c>
      <c r="RX234">
        <v>0.45</v>
      </c>
      <c r="RY234">
        <v>3</v>
      </c>
      <c r="RZ234">
        <v>34</v>
      </c>
      <c r="SA234">
        <v>28</v>
      </c>
      <c r="SB234">
        <f t="shared" ref="SB234:SB239" si="81">0.45+0.18+1.6+0.24+0.37+4.39+0.49+0.04+0.32+0.05+1.38</f>
        <v>9.5100000000000016</v>
      </c>
      <c r="SC234">
        <v>1</v>
      </c>
      <c r="SF234" s="18"/>
      <c r="SX234">
        <v>0</v>
      </c>
      <c r="UI234" s="16">
        <v>1.65</v>
      </c>
      <c r="UJ234" s="16">
        <v>1</v>
      </c>
      <c r="UK234" s="16">
        <v>1</v>
      </c>
      <c r="UL234" s="16"/>
      <c r="UM234" s="16">
        <f t="shared" ref="UM234:UM239" si="82">0.18</f>
        <v>0.18</v>
      </c>
      <c r="UN234" s="16">
        <v>2</v>
      </c>
      <c r="UO234" s="16"/>
      <c r="UP234" s="16">
        <f t="shared" ref="UP234:UP239" si="83">1.65+0.91+6.23+0.66</f>
        <v>9.4500000000000011</v>
      </c>
      <c r="UQ234" s="16"/>
      <c r="UR234" s="16"/>
      <c r="US234" s="16"/>
      <c r="UT234" s="16">
        <v>20.65</v>
      </c>
      <c r="UU234" s="16">
        <v>33.56</v>
      </c>
      <c r="UV234" s="16"/>
      <c r="UW234" s="16"/>
      <c r="UX234" s="16">
        <v>2.2400000000000002</v>
      </c>
      <c r="UY234" s="16">
        <v>0.45</v>
      </c>
      <c r="UZ234" s="16">
        <v>0</v>
      </c>
      <c r="VA234">
        <v>0.45</v>
      </c>
      <c r="VB234" t="s">
        <v>549</v>
      </c>
      <c r="VC234">
        <v>31.5</v>
      </c>
      <c r="VD234" s="16">
        <v>79.900000000000006</v>
      </c>
      <c r="VE234" s="16">
        <v>80.400000000000006</v>
      </c>
      <c r="VF234" s="16">
        <v>17.8</v>
      </c>
      <c r="VG234">
        <v>71.45</v>
      </c>
      <c r="VH234">
        <v>9.43</v>
      </c>
      <c r="VI234">
        <v>1.1200000000000001</v>
      </c>
      <c r="VJ234">
        <v>0</v>
      </c>
      <c r="VK234">
        <v>18.010000000000002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8.44</v>
      </c>
      <c r="VT234">
        <v>63.45</v>
      </c>
      <c r="VU234">
        <v>0</v>
      </c>
      <c r="VV234">
        <v>0</v>
      </c>
      <c r="VW234">
        <v>0</v>
      </c>
      <c r="VX234">
        <v>0</v>
      </c>
      <c r="WK234">
        <v>2</v>
      </c>
      <c r="WL234">
        <v>1</v>
      </c>
      <c r="WM234">
        <v>52</v>
      </c>
      <c r="WN234">
        <v>2</v>
      </c>
      <c r="WO234">
        <f t="shared" ref="WO234:WO239" si="84">0.9+0.02</f>
        <v>0.92</v>
      </c>
      <c r="WP234">
        <v>2</v>
      </c>
      <c r="WW234" s="18"/>
      <c r="XO234">
        <v>1</v>
      </c>
      <c r="XP234">
        <v>50</v>
      </c>
      <c r="XQ234">
        <v>9</v>
      </c>
      <c r="XR234">
        <f t="shared" ref="XR234:XR239" si="85">19.9+3.13</f>
        <v>23.029999999999998</v>
      </c>
      <c r="XS234">
        <v>3</v>
      </c>
      <c r="YZ234" s="16">
        <v>1.47</v>
      </c>
      <c r="ZA234" s="16">
        <v>1</v>
      </c>
      <c r="ZB234" s="16">
        <v>1</v>
      </c>
      <c r="ZC234" s="16"/>
      <c r="ZD234" s="16">
        <v>2.13</v>
      </c>
      <c r="ZE234" s="16">
        <v>2</v>
      </c>
      <c r="ZF234" s="16"/>
      <c r="ZG234" s="16">
        <v>3.37</v>
      </c>
      <c r="ZH234" s="16"/>
      <c r="ZI234" s="16"/>
      <c r="ZJ234" s="16"/>
      <c r="ZK234" s="16">
        <v>5.55</v>
      </c>
      <c r="ZL234" s="16">
        <v>6.42</v>
      </c>
      <c r="ZM234" s="16"/>
      <c r="ZN234" s="16"/>
      <c r="ZO234" s="16">
        <v>0</v>
      </c>
      <c r="ZP234" s="16">
        <v>0</v>
      </c>
      <c r="ZQ234" s="16">
        <v>4.4800000000000004</v>
      </c>
      <c r="ZR234">
        <v>0</v>
      </c>
      <c r="ZS234" t="s">
        <v>550</v>
      </c>
      <c r="ZT234">
        <v>17</v>
      </c>
      <c r="ZU234" s="16">
        <v>87.8</v>
      </c>
      <c r="ZV234" s="16">
        <v>80.400000000000006</v>
      </c>
      <c r="ZW234" s="16">
        <v>11.6</v>
      </c>
      <c r="ZX234">
        <v>86.21</v>
      </c>
      <c r="ZY234">
        <v>1.64</v>
      </c>
      <c r="ZZ234">
        <v>0.45</v>
      </c>
      <c r="AAA234">
        <v>0</v>
      </c>
      <c r="AAB234">
        <v>11.7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14.73</v>
      </c>
      <c r="AAK234">
        <v>7.98</v>
      </c>
      <c r="AAL234">
        <v>0</v>
      </c>
      <c r="AAM234">
        <v>0</v>
      </c>
      <c r="AAN234">
        <v>0</v>
      </c>
      <c r="AAO234">
        <v>0</v>
      </c>
      <c r="ABB234">
        <v>0</v>
      </c>
      <c r="ABC234">
        <v>0</v>
      </c>
      <c r="ABN234" s="18"/>
      <c r="ACF234">
        <v>0</v>
      </c>
      <c r="ADQ234" s="16">
        <v>0</v>
      </c>
      <c r="ADR234" s="16">
        <v>0</v>
      </c>
      <c r="ADS234" s="16"/>
      <c r="ADT234" s="16"/>
      <c r="ADU234" s="16"/>
      <c r="ADV234" s="16"/>
      <c r="ADW234" s="16"/>
      <c r="ADX234" s="16"/>
      <c r="ADY234" s="16"/>
      <c r="ADZ234" s="16"/>
      <c r="AEA234" s="16"/>
      <c r="AEB234" s="16">
        <v>5.22</v>
      </c>
      <c r="AEC234" s="16">
        <v>5.37</v>
      </c>
      <c r="AED234" s="16"/>
      <c r="AEE234" s="16"/>
      <c r="AEF234" s="16">
        <v>0</v>
      </c>
      <c r="AEG234" s="16">
        <v>0</v>
      </c>
      <c r="AEH234" s="16">
        <v>0.19</v>
      </c>
      <c r="AEI234">
        <v>0</v>
      </c>
      <c r="AEJ234" t="s">
        <v>551</v>
      </c>
      <c r="AEK234">
        <v>17.5</v>
      </c>
      <c r="AEL234" s="16">
        <v>87.6</v>
      </c>
      <c r="AEM234" s="16">
        <v>80.400000000000006</v>
      </c>
      <c r="AEN234" s="16">
        <v>12</v>
      </c>
      <c r="AEO234">
        <v>84.96</v>
      </c>
      <c r="AEP234">
        <v>1.61</v>
      </c>
      <c r="AEQ234">
        <v>0.45</v>
      </c>
      <c r="AER234">
        <v>0</v>
      </c>
      <c r="AES234">
        <v>12.98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15.99</v>
      </c>
      <c r="AFB234">
        <v>7.84</v>
      </c>
      <c r="AFC234">
        <v>0</v>
      </c>
      <c r="AFD234">
        <v>0</v>
      </c>
      <c r="AFE234">
        <v>0</v>
      </c>
      <c r="AFF234">
        <v>0</v>
      </c>
      <c r="AFS234">
        <v>0</v>
      </c>
      <c r="AFT234">
        <v>0</v>
      </c>
      <c r="AGE234" s="18"/>
      <c r="AGW234">
        <v>0</v>
      </c>
      <c r="AIH234" s="16">
        <v>0</v>
      </c>
      <c r="AII234" s="16">
        <v>0</v>
      </c>
      <c r="AIJ234" s="16"/>
      <c r="AIK234" s="16"/>
      <c r="AIL234" s="16"/>
      <c r="AIM234" s="16"/>
      <c r="AIN234" s="16"/>
      <c r="AIO234" s="16"/>
      <c r="AIP234" s="16"/>
      <c r="AIQ234" s="16"/>
      <c r="AIR234" s="16"/>
      <c r="AIS234" s="16">
        <v>5.22</v>
      </c>
      <c r="AIT234" s="16">
        <v>5.37</v>
      </c>
      <c r="AIU234" s="16"/>
      <c r="AIV234" s="16"/>
      <c r="AIW234" s="16">
        <v>0</v>
      </c>
      <c r="AIX234" s="16">
        <v>0</v>
      </c>
      <c r="AIY234" s="16">
        <v>0.19</v>
      </c>
      <c r="AIZ234">
        <v>0</v>
      </c>
      <c r="AJA234" t="s">
        <v>552</v>
      </c>
      <c r="AJB234">
        <v>16.5</v>
      </c>
      <c r="AJC234" s="16">
        <v>73.2</v>
      </c>
      <c r="AJD234" s="16">
        <v>80.400000000000006</v>
      </c>
      <c r="AJE234" s="16">
        <v>10.199999999999999</v>
      </c>
      <c r="AJF234">
        <v>69.430000000000007</v>
      </c>
      <c r="AJG234">
        <v>29.45</v>
      </c>
      <c r="AJH234">
        <v>1.1200000000000001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29.3</v>
      </c>
      <c r="AJS234">
        <v>10.81</v>
      </c>
      <c r="AJT234">
        <v>0</v>
      </c>
      <c r="AJU234">
        <v>0</v>
      </c>
      <c r="AJV234">
        <v>5.9</v>
      </c>
      <c r="AJW234">
        <v>2</v>
      </c>
      <c r="AJX234">
        <v>3</v>
      </c>
      <c r="AJY234">
        <v>2.0099999999999998</v>
      </c>
      <c r="AKD234">
        <v>3</v>
      </c>
      <c r="AKE234">
        <v>2.0099999999999998</v>
      </c>
      <c r="AKJ234">
        <v>0</v>
      </c>
      <c r="AKK234">
        <v>0</v>
      </c>
      <c r="AKV234" s="18"/>
      <c r="ALN234">
        <v>0</v>
      </c>
    </row>
    <row r="235" spans="1:1024" x14ac:dyDescent="0.2">
      <c r="A235" s="1" t="s">
        <v>750</v>
      </c>
      <c r="B235" s="12">
        <v>42909</v>
      </c>
      <c r="C235">
        <v>2</v>
      </c>
      <c r="D235" s="13">
        <v>37025</v>
      </c>
      <c r="E235" s="12">
        <v>23973</v>
      </c>
      <c r="F235" s="14">
        <f t="shared" si="62"/>
        <v>51.843942505133469</v>
      </c>
      <c r="G235" s="14">
        <f t="shared" si="63"/>
        <v>16.109514031485283</v>
      </c>
      <c r="H235" s="19" t="s">
        <v>217</v>
      </c>
      <c r="I235" t="s">
        <v>545</v>
      </c>
      <c r="J235" s="21" t="s">
        <v>183</v>
      </c>
      <c r="K235" s="21">
        <v>8</v>
      </c>
      <c r="L235" s="19">
        <v>85</v>
      </c>
      <c r="M235">
        <v>1.84</v>
      </c>
      <c r="N235" s="16">
        <f t="shared" si="64"/>
        <v>25.10633270321361</v>
      </c>
      <c r="O235" s="19">
        <v>0</v>
      </c>
      <c r="P235" s="19">
        <v>0</v>
      </c>
      <c r="Q235" s="19">
        <v>0</v>
      </c>
      <c r="R235" s="26">
        <v>0</v>
      </c>
      <c r="S235" s="26">
        <v>0</v>
      </c>
      <c r="T235" s="26">
        <v>0</v>
      </c>
      <c r="U235" s="19">
        <v>0</v>
      </c>
      <c r="V235" s="19">
        <v>0</v>
      </c>
      <c r="W235" s="19">
        <v>0</v>
      </c>
      <c r="X235" s="19">
        <v>0</v>
      </c>
      <c r="Y235" s="19">
        <v>0</v>
      </c>
      <c r="Z235" s="19">
        <v>0</v>
      </c>
      <c r="AA235" s="19">
        <v>0</v>
      </c>
      <c r="AB235" s="19">
        <v>0</v>
      </c>
      <c r="AC235" s="19">
        <v>0</v>
      </c>
      <c r="AD235" s="19">
        <v>0</v>
      </c>
      <c r="AE235" s="19">
        <v>0</v>
      </c>
      <c r="AF235" s="19">
        <v>0</v>
      </c>
      <c r="AG235" s="19">
        <v>0</v>
      </c>
      <c r="AH235" s="19">
        <v>0</v>
      </c>
      <c r="AI235" s="19">
        <v>3</v>
      </c>
      <c r="AJ235" s="19"/>
      <c r="AK235" s="19"/>
      <c r="AL235" s="19"/>
      <c r="AM235" s="19"/>
      <c r="AN235" s="19">
        <v>3</v>
      </c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>
        <v>1</v>
      </c>
      <c r="BK235" s="19"/>
      <c r="BL235" s="19">
        <v>1</v>
      </c>
      <c r="BM235" s="19">
        <v>7</v>
      </c>
      <c r="BN235" s="19">
        <v>0</v>
      </c>
      <c r="BO235" s="19">
        <v>0</v>
      </c>
      <c r="BP235" s="19">
        <v>0</v>
      </c>
      <c r="BQ235" s="19">
        <v>0</v>
      </c>
      <c r="BR235" s="19">
        <v>4</v>
      </c>
      <c r="BS235" s="19">
        <v>2</v>
      </c>
      <c r="BT235" s="19">
        <v>5</v>
      </c>
      <c r="BU235" s="19">
        <v>4</v>
      </c>
      <c r="BV235" s="19">
        <v>3</v>
      </c>
      <c r="BW235" s="19">
        <v>1</v>
      </c>
      <c r="BX235" s="19">
        <v>4</v>
      </c>
      <c r="BY235" s="19">
        <v>4</v>
      </c>
      <c r="BZ235" s="19">
        <v>2</v>
      </c>
      <c r="CA235" s="19">
        <v>4</v>
      </c>
      <c r="CB235" s="19">
        <v>2</v>
      </c>
      <c r="CC235" s="19">
        <v>5</v>
      </c>
      <c r="CD235" s="19">
        <v>2</v>
      </c>
      <c r="CE235" s="19">
        <v>5</v>
      </c>
      <c r="CF235" s="19">
        <v>5</v>
      </c>
      <c r="CG235" s="19">
        <v>5</v>
      </c>
      <c r="CH235" s="19">
        <v>5</v>
      </c>
      <c r="CI235" s="19">
        <v>5</v>
      </c>
      <c r="CJ235" s="19">
        <v>3</v>
      </c>
      <c r="CK235" s="19">
        <v>8</v>
      </c>
      <c r="CL235" t="s">
        <v>555</v>
      </c>
      <c r="CM235">
        <v>35</v>
      </c>
      <c r="CN235" s="16">
        <v>78.8</v>
      </c>
      <c r="CO235" s="16">
        <v>80.400000000000006</v>
      </c>
      <c r="CP235" s="16">
        <v>17.2</v>
      </c>
      <c r="CQ235">
        <v>72.069999999999993</v>
      </c>
      <c r="CR235">
        <v>11.09</v>
      </c>
      <c r="CS235">
        <v>1.1200000000000001</v>
      </c>
      <c r="CT235">
        <v>0</v>
      </c>
      <c r="CU235">
        <v>15.71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1.66</v>
      </c>
      <c r="DD235">
        <v>34.99</v>
      </c>
      <c r="DE235">
        <v>0</v>
      </c>
      <c r="DF235">
        <v>0</v>
      </c>
      <c r="DG235">
        <v>0</v>
      </c>
      <c r="DH235">
        <v>0</v>
      </c>
      <c r="DU235">
        <v>11.2</v>
      </c>
      <c r="DV235">
        <v>1</v>
      </c>
      <c r="DW235">
        <v>52</v>
      </c>
      <c r="DX235">
        <f t="shared" si="74"/>
        <v>34</v>
      </c>
      <c r="DY235">
        <f t="shared" si="75"/>
        <v>5.32</v>
      </c>
      <c r="DZ235">
        <v>2</v>
      </c>
      <c r="EG235" s="18"/>
      <c r="EY235">
        <v>0</v>
      </c>
      <c r="GJ235" s="16">
        <v>0</v>
      </c>
      <c r="GK235" s="16">
        <v>0</v>
      </c>
      <c r="GL235" s="16"/>
      <c r="GM235" s="16"/>
      <c r="GN235" s="16"/>
      <c r="GO235" s="16"/>
      <c r="GP235" s="16"/>
      <c r="GQ235" s="16"/>
      <c r="GR235" s="16"/>
      <c r="GS235" s="16"/>
      <c r="GT235" s="16"/>
      <c r="GU235" s="16">
        <v>6.16</v>
      </c>
      <c r="GV235" s="16">
        <v>7.21</v>
      </c>
      <c r="GW235" s="16"/>
      <c r="GX235" s="16"/>
      <c r="GY235" s="16">
        <v>0</v>
      </c>
      <c r="GZ235" s="16">
        <v>0</v>
      </c>
      <c r="HA235" s="16">
        <v>0</v>
      </c>
      <c r="HB235">
        <v>0</v>
      </c>
      <c r="HC235" t="s">
        <v>546</v>
      </c>
      <c r="HD235">
        <v>16.5</v>
      </c>
      <c r="HE235" s="16">
        <v>35.299999999999997</v>
      </c>
      <c r="HF235" s="16">
        <v>80.400000000000006</v>
      </c>
      <c r="HG235" s="16">
        <v>9.6999999999999993</v>
      </c>
      <c r="HH235">
        <v>86.56</v>
      </c>
      <c r="HI235">
        <v>12.61</v>
      </c>
      <c r="HJ235">
        <v>0</v>
      </c>
      <c r="HK235">
        <v>0</v>
      </c>
      <c r="HL235">
        <v>0.83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2.2200000000000002</v>
      </c>
      <c r="HU235">
        <v>20.83</v>
      </c>
      <c r="HV235">
        <v>0</v>
      </c>
      <c r="HW235">
        <v>0</v>
      </c>
      <c r="HX235">
        <v>0</v>
      </c>
      <c r="HY235">
        <v>0</v>
      </c>
      <c r="IL235">
        <v>0.3</v>
      </c>
      <c r="IM235">
        <v>1</v>
      </c>
      <c r="IN235">
        <v>34</v>
      </c>
      <c r="IO235">
        <v>4</v>
      </c>
      <c r="IP235">
        <f t="shared" si="76"/>
        <v>3.6000000000000005</v>
      </c>
      <c r="IQ235">
        <v>1</v>
      </c>
      <c r="IR235">
        <v>52</v>
      </c>
      <c r="IS235">
        <v>1</v>
      </c>
      <c r="IT235">
        <f t="shared" si="77"/>
        <v>0.18</v>
      </c>
      <c r="IU235">
        <v>2</v>
      </c>
      <c r="IX235" s="18"/>
      <c r="JP235">
        <v>0</v>
      </c>
      <c r="LA235" s="16">
        <v>0.28000000000000003</v>
      </c>
      <c r="LB235" s="16">
        <v>1</v>
      </c>
      <c r="LC235" s="16">
        <v>2</v>
      </c>
      <c r="LD235" s="16"/>
      <c r="LE235" s="16">
        <f t="shared" si="78"/>
        <v>0.63</v>
      </c>
      <c r="LF235" s="16"/>
      <c r="LG235" s="16"/>
      <c r="LH235" s="16"/>
      <c r="LI235" s="16"/>
      <c r="LJ235" s="16"/>
      <c r="LK235" s="16"/>
      <c r="LL235" s="16">
        <v>5.99</v>
      </c>
      <c r="LM235" s="16">
        <v>5.34</v>
      </c>
      <c r="LN235" s="16"/>
      <c r="LO235" s="16"/>
      <c r="LP235" s="16">
        <v>0</v>
      </c>
      <c r="LQ235" s="16">
        <v>0</v>
      </c>
      <c r="LR235" s="16">
        <v>0</v>
      </c>
      <c r="LS235">
        <v>0</v>
      </c>
      <c r="LT235" t="s">
        <v>547</v>
      </c>
      <c r="LU235">
        <v>29.5</v>
      </c>
      <c r="LV235" s="16">
        <v>87.5</v>
      </c>
      <c r="LW235" s="16">
        <v>80.400000000000006</v>
      </c>
      <c r="LX235" s="16">
        <v>14.3</v>
      </c>
      <c r="LY235">
        <v>68.7</v>
      </c>
      <c r="LZ235">
        <v>23.24</v>
      </c>
      <c r="MA235">
        <v>1.79</v>
      </c>
      <c r="MB235">
        <v>0</v>
      </c>
      <c r="MC235">
        <v>6.27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7.01</v>
      </c>
      <c r="ML235">
        <v>58.72</v>
      </c>
      <c r="MM235">
        <v>0.23</v>
      </c>
      <c r="MN235">
        <v>0</v>
      </c>
      <c r="MO235">
        <v>0.5</v>
      </c>
      <c r="MP235">
        <v>2</v>
      </c>
      <c r="MQ235">
        <v>7</v>
      </c>
      <c r="MR235">
        <v>0.08</v>
      </c>
      <c r="MW235">
        <v>7</v>
      </c>
      <c r="MX235">
        <v>0.08</v>
      </c>
      <c r="NC235">
        <v>0</v>
      </c>
      <c r="ND235">
        <v>1</v>
      </c>
      <c r="NE235">
        <v>23</v>
      </c>
      <c r="NF235">
        <v>2</v>
      </c>
      <c r="NG235">
        <v>0.9</v>
      </c>
      <c r="NH235">
        <v>3</v>
      </c>
      <c r="NO235" s="18"/>
      <c r="OG235">
        <v>1</v>
      </c>
      <c r="OH235">
        <v>50</v>
      </c>
      <c r="OI235">
        <v>2</v>
      </c>
      <c r="OJ235">
        <f t="shared" si="79"/>
        <v>26.759999999999998</v>
      </c>
      <c r="OK235">
        <v>3</v>
      </c>
      <c r="PR235" s="16">
        <v>1.49</v>
      </c>
      <c r="PS235" s="16">
        <v>1</v>
      </c>
      <c r="PT235" s="16">
        <v>1</v>
      </c>
      <c r="PU235" s="16"/>
      <c r="PV235" s="16">
        <f t="shared" si="80"/>
        <v>7.2999999999999989</v>
      </c>
      <c r="PW235" s="16">
        <v>2</v>
      </c>
      <c r="PX235" s="16"/>
      <c r="PY235" s="16">
        <v>0.21</v>
      </c>
      <c r="PZ235" s="16"/>
      <c r="QA235" s="16"/>
      <c r="QB235" s="16"/>
      <c r="QC235" s="16">
        <v>10.82</v>
      </c>
      <c r="QD235" s="16">
        <v>14.57</v>
      </c>
      <c r="QE235" s="16"/>
      <c r="QF235" s="16"/>
      <c r="QG235" s="16">
        <v>2.2400000000000002</v>
      </c>
      <c r="QH235" s="16">
        <v>0.9</v>
      </c>
      <c r="QI235" s="16">
        <v>0</v>
      </c>
      <c r="QJ235">
        <v>0</v>
      </c>
      <c r="QK235" t="s">
        <v>548</v>
      </c>
      <c r="QL235">
        <v>50</v>
      </c>
      <c r="QM235" s="16">
        <v>80</v>
      </c>
      <c r="QN235" s="16">
        <v>80.400000000000006</v>
      </c>
      <c r="QO235" s="16">
        <v>16.899999999999999</v>
      </c>
      <c r="QP235">
        <v>58.18</v>
      </c>
      <c r="QQ235">
        <v>32.94</v>
      </c>
      <c r="QR235">
        <v>1.79</v>
      </c>
      <c r="QS235">
        <v>0</v>
      </c>
      <c r="QT235">
        <v>7.09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3.53</v>
      </c>
      <c r="RC235">
        <v>45.12</v>
      </c>
      <c r="RD235">
        <v>0</v>
      </c>
      <c r="RE235">
        <v>0</v>
      </c>
      <c r="RF235">
        <v>0</v>
      </c>
      <c r="RG235">
        <v>0</v>
      </c>
      <c r="RT235">
        <v>8.1999999999999993</v>
      </c>
      <c r="RU235">
        <v>1</v>
      </c>
      <c r="RV235">
        <v>23</v>
      </c>
      <c r="RW235">
        <v>1</v>
      </c>
      <c r="RX235">
        <v>0.45</v>
      </c>
      <c r="RY235">
        <v>3</v>
      </c>
      <c r="RZ235">
        <v>34</v>
      </c>
      <c r="SA235">
        <v>28</v>
      </c>
      <c r="SB235">
        <f t="shared" si="81"/>
        <v>9.5100000000000016</v>
      </c>
      <c r="SC235">
        <v>1</v>
      </c>
      <c r="SF235" s="18"/>
      <c r="SX235">
        <v>0</v>
      </c>
      <c r="UI235" s="16">
        <v>1.65</v>
      </c>
      <c r="UJ235" s="16">
        <v>1</v>
      </c>
      <c r="UK235" s="16">
        <v>1</v>
      </c>
      <c r="UL235" s="16"/>
      <c r="UM235" s="16">
        <f t="shared" si="82"/>
        <v>0.18</v>
      </c>
      <c r="UN235" s="16">
        <v>2</v>
      </c>
      <c r="UO235" s="16"/>
      <c r="UP235" s="16">
        <f t="shared" si="83"/>
        <v>9.4500000000000011</v>
      </c>
      <c r="UQ235" s="16"/>
      <c r="UR235" s="16"/>
      <c r="US235" s="16"/>
      <c r="UT235" s="16">
        <v>20.65</v>
      </c>
      <c r="UU235" s="16">
        <v>33.56</v>
      </c>
      <c r="UV235" s="16"/>
      <c r="UW235" s="16"/>
      <c r="UX235" s="16">
        <v>2.2400000000000002</v>
      </c>
      <c r="UY235" s="16">
        <v>0.45</v>
      </c>
      <c r="UZ235" s="16">
        <v>0</v>
      </c>
      <c r="VA235">
        <v>0.45</v>
      </c>
      <c r="VB235" t="s">
        <v>549</v>
      </c>
      <c r="VC235">
        <v>31.5</v>
      </c>
      <c r="VD235" s="16">
        <v>79.900000000000006</v>
      </c>
      <c r="VE235" s="16">
        <v>80.400000000000006</v>
      </c>
      <c r="VF235" s="16">
        <v>17.8</v>
      </c>
      <c r="VG235">
        <v>71.45</v>
      </c>
      <c r="VH235">
        <v>9.43</v>
      </c>
      <c r="VI235">
        <v>1.1200000000000001</v>
      </c>
      <c r="VJ235">
        <v>0</v>
      </c>
      <c r="VK235">
        <v>18.010000000000002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8.44</v>
      </c>
      <c r="VT235">
        <v>63.45</v>
      </c>
      <c r="VU235">
        <v>0</v>
      </c>
      <c r="VV235">
        <v>0</v>
      </c>
      <c r="VW235">
        <v>0</v>
      </c>
      <c r="VX235">
        <v>0</v>
      </c>
      <c r="WK235">
        <v>2</v>
      </c>
      <c r="WL235">
        <v>1</v>
      </c>
      <c r="WM235">
        <v>52</v>
      </c>
      <c r="WN235">
        <v>2</v>
      </c>
      <c r="WO235">
        <f t="shared" si="84"/>
        <v>0.92</v>
      </c>
      <c r="WP235">
        <v>2</v>
      </c>
      <c r="WW235" s="18"/>
      <c r="XO235">
        <v>1</v>
      </c>
      <c r="XP235">
        <v>50</v>
      </c>
      <c r="XQ235">
        <v>9</v>
      </c>
      <c r="XR235">
        <f t="shared" si="85"/>
        <v>23.029999999999998</v>
      </c>
      <c r="XS235">
        <v>3</v>
      </c>
      <c r="YZ235" s="16">
        <v>1.47</v>
      </c>
      <c r="ZA235" s="16">
        <v>1</v>
      </c>
      <c r="ZB235" s="16">
        <v>1</v>
      </c>
      <c r="ZC235" s="16"/>
      <c r="ZD235" s="16">
        <v>2.13</v>
      </c>
      <c r="ZE235" s="16">
        <v>2</v>
      </c>
      <c r="ZF235" s="16"/>
      <c r="ZG235" s="16">
        <v>3.37</v>
      </c>
      <c r="ZH235" s="16"/>
      <c r="ZI235" s="16"/>
      <c r="ZJ235" s="16"/>
      <c r="ZK235" s="16">
        <v>5.55</v>
      </c>
      <c r="ZL235" s="16">
        <v>6.42</v>
      </c>
      <c r="ZM235" s="16"/>
      <c r="ZN235" s="16"/>
      <c r="ZO235" s="16">
        <v>0</v>
      </c>
      <c r="ZP235" s="16">
        <v>0</v>
      </c>
      <c r="ZQ235" s="16">
        <v>4.4800000000000004</v>
      </c>
      <c r="ZR235">
        <v>0</v>
      </c>
      <c r="ZS235" t="s">
        <v>550</v>
      </c>
      <c r="ZT235">
        <v>17</v>
      </c>
      <c r="ZU235" s="16">
        <v>87.8</v>
      </c>
      <c r="ZV235" s="16">
        <v>80.400000000000006</v>
      </c>
      <c r="ZW235" s="16">
        <v>11.6</v>
      </c>
      <c r="ZX235">
        <v>86.21</v>
      </c>
      <c r="ZY235">
        <v>1.64</v>
      </c>
      <c r="ZZ235">
        <v>0.45</v>
      </c>
      <c r="AAA235">
        <v>0</v>
      </c>
      <c r="AAB235">
        <v>11.7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14.73</v>
      </c>
      <c r="AAK235">
        <v>7.98</v>
      </c>
      <c r="AAL235">
        <v>0</v>
      </c>
      <c r="AAM235">
        <v>0</v>
      </c>
      <c r="AAN235">
        <v>0</v>
      </c>
      <c r="AAO235">
        <v>0</v>
      </c>
      <c r="ABB235">
        <v>0</v>
      </c>
      <c r="ABC235">
        <v>0</v>
      </c>
      <c r="ABN235" s="18"/>
      <c r="ACF235">
        <v>0</v>
      </c>
      <c r="ADQ235" s="16">
        <v>0</v>
      </c>
      <c r="ADR235" s="16">
        <v>0</v>
      </c>
      <c r="ADS235" s="16"/>
      <c r="ADT235" s="16"/>
      <c r="ADU235" s="16"/>
      <c r="ADV235" s="16"/>
      <c r="ADW235" s="16"/>
      <c r="ADX235" s="16"/>
      <c r="ADY235" s="16"/>
      <c r="ADZ235" s="16"/>
      <c r="AEA235" s="16"/>
      <c r="AEB235" s="16">
        <v>5.22</v>
      </c>
      <c r="AEC235" s="16">
        <v>5.37</v>
      </c>
      <c r="AED235" s="16"/>
      <c r="AEE235" s="16"/>
      <c r="AEF235" s="16">
        <v>0</v>
      </c>
      <c r="AEG235" s="16">
        <v>0</v>
      </c>
      <c r="AEH235" s="16">
        <v>0.19</v>
      </c>
      <c r="AEI235">
        <v>0</v>
      </c>
      <c r="AEJ235" t="s">
        <v>551</v>
      </c>
      <c r="AEK235">
        <v>17.5</v>
      </c>
      <c r="AEL235" s="16">
        <v>87.6</v>
      </c>
      <c r="AEM235" s="16">
        <v>80.400000000000006</v>
      </c>
      <c r="AEN235" s="16">
        <v>12</v>
      </c>
      <c r="AEO235">
        <v>84.96</v>
      </c>
      <c r="AEP235">
        <v>1.61</v>
      </c>
      <c r="AEQ235">
        <v>0.45</v>
      </c>
      <c r="AER235">
        <v>0</v>
      </c>
      <c r="AES235">
        <v>12.98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15.99</v>
      </c>
      <c r="AFB235">
        <v>7.84</v>
      </c>
      <c r="AFC235">
        <v>0</v>
      </c>
      <c r="AFD235">
        <v>0</v>
      </c>
      <c r="AFE235">
        <v>0</v>
      </c>
      <c r="AFF235">
        <v>0</v>
      </c>
      <c r="AFS235">
        <v>0</v>
      </c>
      <c r="AFT235">
        <v>0</v>
      </c>
      <c r="AGE235" s="18"/>
      <c r="AGW235">
        <v>0</v>
      </c>
      <c r="AIH235" s="16">
        <v>0</v>
      </c>
      <c r="AII235" s="16">
        <v>0</v>
      </c>
      <c r="AIJ235" s="16"/>
      <c r="AIK235" s="16"/>
      <c r="AIL235" s="16"/>
      <c r="AIM235" s="16"/>
      <c r="AIN235" s="16"/>
      <c r="AIO235" s="16"/>
      <c r="AIP235" s="16"/>
      <c r="AIQ235" s="16"/>
      <c r="AIR235" s="16"/>
      <c r="AIS235" s="16">
        <v>5.22</v>
      </c>
      <c r="AIT235" s="16">
        <v>5.37</v>
      </c>
      <c r="AIU235" s="16"/>
      <c r="AIV235" s="16"/>
      <c r="AIW235" s="16">
        <v>0</v>
      </c>
      <c r="AIX235" s="16">
        <v>0</v>
      </c>
      <c r="AIY235" s="16">
        <v>0.19</v>
      </c>
      <c r="AIZ235">
        <v>0</v>
      </c>
      <c r="AJA235" t="s">
        <v>552</v>
      </c>
      <c r="AJB235">
        <v>16.5</v>
      </c>
      <c r="AJC235" s="16">
        <v>73.2</v>
      </c>
      <c r="AJD235" s="16">
        <v>80.400000000000006</v>
      </c>
      <c r="AJE235" s="16">
        <v>10.199999999999999</v>
      </c>
      <c r="AJF235">
        <v>69.430000000000007</v>
      </c>
      <c r="AJG235">
        <v>29.45</v>
      </c>
      <c r="AJH235">
        <v>1.1200000000000001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29.3</v>
      </c>
      <c r="AJS235">
        <v>10.81</v>
      </c>
      <c r="AJT235">
        <v>0</v>
      </c>
      <c r="AJU235">
        <v>0</v>
      </c>
      <c r="AJV235">
        <v>5.9</v>
      </c>
      <c r="AJW235">
        <v>2</v>
      </c>
      <c r="AJX235">
        <v>3</v>
      </c>
      <c r="AJY235">
        <v>2.0099999999999998</v>
      </c>
      <c r="AKD235">
        <v>3</v>
      </c>
      <c r="AKE235">
        <v>2.0099999999999998</v>
      </c>
      <c r="AKJ235">
        <v>0</v>
      </c>
      <c r="AKK235">
        <v>0</v>
      </c>
      <c r="AKV235" s="18"/>
      <c r="ALN235">
        <v>0</v>
      </c>
    </row>
    <row r="236" spans="1:1024" x14ac:dyDescent="0.2">
      <c r="A236" s="1" t="s">
        <v>751</v>
      </c>
      <c r="B236" s="12">
        <v>42909</v>
      </c>
      <c r="C236">
        <v>2</v>
      </c>
      <c r="D236" s="13">
        <v>35163</v>
      </c>
      <c r="E236" s="12">
        <v>27512</v>
      </c>
      <c r="F236" s="14">
        <f t="shared" si="62"/>
        <v>42.154688569472967</v>
      </c>
      <c r="G236" s="14">
        <f t="shared" si="63"/>
        <v>21.207392197125255</v>
      </c>
      <c r="H236" s="19" t="s">
        <v>217</v>
      </c>
      <c r="I236" t="s">
        <v>545</v>
      </c>
      <c r="J236" s="21" t="s">
        <v>183</v>
      </c>
      <c r="K236" s="21">
        <v>8</v>
      </c>
      <c r="L236" s="19">
        <v>105</v>
      </c>
      <c r="M236">
        <v>1.78</v>
      </c>
      <c r="N236" s="16">
        <f t="shared" si="64"/>
        <v>33.139755081429108</v>
      </c>
      <c r="O236" s="19">
        <v>0</v>
      </c>
      <c r="P236" s="19">
        <v>0</v>
      </c>
      <c r="Q236" s="19">
        <v>0</v>
      </c>
      <c r="R236" s="26">
        <v>0</v>
      </c>
      <c r="S236" s="26">
        <v>0</v>
      </c>
      <c r="T236" s="26">
        <v>0</v>
      </c>
      <c r="U236" s="19">
        <v>0</v>
      </c>
      <c r="V236" s="19">
        <v>0</v>
      </c>
      <c r="W236" s="19">
        <v>1</v>
      </c>
      <c r="X236" s="19">
        <v>0</v>
      </c>
      <c r="Y236" s="19">
        <v>0</v>
      </c>
      <c r="Z236" s="19">
        <v>0</v>
      </c>
      <c r="AA236" s="19">
        <v>0</v>
      </c>
      <c r="AB236" s="19">
        <v>0</v>
      </c>
      <c r="AC236" s="19">
        <v>1</v>
      </c>
      <c r="AD236" s="19">
        <v>20</v>
      </c>
      <c r="AE236" s="19">
        <v>0</v>
      </c>
      <c r="AF236" s="19">
        <v>0</v>
      </c>
      <c r="AG236" s="19">
        <v>0</v>
      </c>
      <c r="AH236" s="19">
        <v>0</v>
      </c>
      <c r="AI236" s="19">
        <v>0</v>
      </c>
      <c r="AJ236" s="19">
        <v>0</v>
      </c>
      <c r="AK236" s="19">
        <v>0</v>
      </c>
      <c r="AL236" s="19">
        <v>0</v>
      </c>
      <c r="AM236" s="19">
        <v>0</v>
      </c>
      <c r="AN236" s="19">
        <v>0</v>
      </c>
      <c r="AO236" s="19">
        <v>0</v>
      </c>
      <c r="AP236" s="19">
        <v>0</v>
      </c>
      <c r="AQ236" s="19">
        <v>0</v>
      </c>
      <c r="AR236" s="19">
        <v>0</v>
      </c>
      <c r="AS236" s="19">
        <v>0</v>
      </c>
      <c r="AT236" s="19">
        <v>0</v>
      </c>
      <c r="AU236" s="19">
        <v>0</v>
      </c>
      <c r="AV236" s="19">
        <v>0</v>
      </c>
      <c r="AW236" s="19">
        <v>0</v>
      </c>
      <c r="AX236" s="19">
        <v>0</v>
      </c>
      <c r="AY236" s="19">
        <v>0</v>
      </c>
      <c r="AZ236" s="19">
        <v>0</v>
      </c>
      <c r="BA236" s="19">
        <v>0</v>
      </c>
      <c r="BB236" s="19">
        <v>0</v>
      </c>
      <c r="BC236" s="19">
        <v>0</v>
      </c>
      <c r="BD236" s="19">
        <v>0</v>
      </c>
      <c r="BE236" s="19">
        <v>0</v>
      </c>
      <c r="BF236" s="19">
        <v>1</v>
      </c>
      <c r="BG236" s="19">
        <v>1</v>
      </c>
      <c r="BH236" s="19">
        <v>1</v>
      </c>
      <c r="BI236" s="19">
        <v>6</v>
      </c>
      <c r="BJ236" s="26">
        <v>0</v>
      </c>
      <c r="BK236" s="26">
        <v>0</v>
      </c>
      <c r="BL236" s="26">
        <v>0</v>
      </c>
      <c r="BM236" s="26">
        <v>0</v>
      </c>
      <c r="BN236" s="19">
        <v>1</v>
      </c>
      <c r="BO236" s="19">
        <v>1</v>
      </c>
      <c r="BP236" s="19">
        <v>1</v>
      </c>
      <c r="BQ236" s="19">
        <v>7</v>
      </c>
      <c r="BR236" s="19">
        <v>3</v>
      </c>
      <c r="BS236" s="19">
        <v>2</v>
      </c>
      <c r="BT236" s="19">
        <v>2</v>
      </c>
      <c r="BU236" s="19">
        <v>5</v>
      </c>
      <c r="BV236" s="19">
        <v>3</v>
      </c>
      <c r="BW236" s="19">
        <v>1</v>
      </c>
      <c r="BX236" s="19">
        <v>4</v>
      </c>
      <c r="BY236" s="19">
        <v>4</v>
      </c>
      <c r="BZ236" s="19">
        <v>4</v>
      </c>
      <c r="CA236" s="19">
        <v>2</v>
      </c>
      <c r="CB236" s="19">
        <v>5</v>
      </c>
      <c r="CC236" s="19">
        <v>5</v>
      </c>
      <c r="CD236" s="19">
        <v>4</v>
      </c>
      <c r="CE236" s="19">
        <v>5</v>
      </c>
      <c r="CF236" s="19">
        <v>4</v>
      </c>
      <c r="CG236" s="19">
        <v>5</v>
      </c>
      <c r="CH236" s="19">
        <v>5</v>
      </c>
      <c r="CI236" s="19">
        <v>4</v>
      </c>
      <c r="CJ236" s="19">
        <v>2</v>
      </c>
      <c r="CK236" s="19">
        <v>5</v>
      </c>
      <c r="CL236" t="s">
        <v>555</v>
      </c>
      <c r="CM236">
        <v>35</v>
      </c>
      <c r="CN236" s="16">
        <v>78.8</v>
      </c>
      <c r="CO236" s="16">
        <v>80.400000000000006</v>
      </c>
      <c r="CP236" s="16">
        <v>17.2</v>
      </c>
      <c r="CQ236">
        <v>72.069999999999993</v>
      </c>
      <c r="CR236">
        <v>11.09</v>
      </c>
      <c r="CS236">
        <v>1.1200000000000001</v>
      </c>
      <c r="CT236">
        <v>0</v>
      </c>
      <c r="CU236">
        <v>15.71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1.66</v>
      </c>
      <c r="DD236">
        <v>34.99</v>
      </c>
      <c r="DE236">
        <v>0</v>
      </c>
      <c r="DF236">
        <v>0</v>
      </c>
      <c r="DG236">
        <v>0</v>
      </c>
      <c r="DH236">
        <v>0</v>
      </c>
      <c r="DU236">
        <v>11.2</v>
      </c>
      <c r="DV236">
        <v>1</v>
      </c>
      <c r="DW236">
        <v>52</v>
      </c>
      <c r="DX236">
        <f t="shared" si="74"/>
        <v>34</v>
      </c>
      <c r="DY236">
        <f t="shared" si="75"/>
        <v>5.32</v>
      </c>
      <c r="DZ236">
        <v>2</v>
      </c>
      <c r="EG236" s="18"/>
      <c r="EY236">
        <v>0</v>
      </c>
      <c r="GJ236" s="16">
        <v>0</v>
      </c>
      <c r="GK236" s="16">
        <v>0</v>
      </c>
      <c r="GL236" s="16"/>
      <c r="GM236" s="16"/>
      <c r="GN236" s="16"/>
      <c r="GO236" s="16"/>
      <c r="GP236" s="16"/>
      <c r="GQ236" s="16"/>
      <c r="GR236" s="16"/>
      <c r="GS236" s="16"/>
      <c r="GT236" s="16"/>
      <c r="GU236" s="16">
        <v>6.16</v>
      </c>
      <c r="GV236" s="16">
        <v>7.21</v>
      </c>
      <c r="GW236" s="16"/>
      <c r="GX236" s="16"/>
      <c r="GY236" s="16">
        <v>0</v>
      </c>
      <c r="GZ236" s="16">
        <v>0</v>
      </c>
      <c r="HA236" s="16">
        <v>0</v>
      </c>
      <c r="HB236">
        <v>0</v>
      </c>
      <c r="HC236" t="s">
        <v>546</v>
      </c>
      <c r="HD236">
        <v>16.5</v>
      </c>
      <c r="HE236" s="16">
        <v>35.299999999999997</v>
      </c>
      <c r="HF236" s="16">
        <v>80.400000000000006</v>
      </c>
      <c r="HG236" s="16">
        <v>9.6999999999999993</v>
      </c>
      <c r="HH236">
        <v>86.56</v>
      </c>
      <c r="HI236">
        <v>12.61</v>
      </c>
      <c r="HJ236">
        <v>0</v>
      </c>
      <c r="HK236">
        <v>0</v>
      </c>
      <c r="HL236">
        <v>0.83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2.2200000000000002</v>
      </c>
      <c r="HU236">
        <v>20.83</v>
      </c>
      <c r="HV236">
        <v>0</v>
      </c>
      <c r="HW236">
        <v>0</v>
      </c>
      <c r="HX236">
        <v>0</v>
      </c>
      <c r="HY236">
        <v>0</v>
      </c>
      <c r="IL236">
        <v>0.3</v>
      </c>
      <c r="IM236">
        <v>1</v>
      </c>
      <c r="IN236">
        <v>34</v>
      </c>
      <c r="IO236">
        <v>4</v>
      </c>
      <c r="IP236">
        <f t="shared" si="76"/>
        <v>3.6000000000000005</v>
      </c>
      <c r="IQ236">
        <v>1</v>
      </c>
      <c r="IR236">
        <v>52</v>
      </c>
      <c r="IS236">
        <v>1</v>
      </c>
      <c r="IT236">
        <f t="shared" si="77"/>
        <v>0.18</v>
      </c>
      <c r="IU236">
        <v>2</v>
      </c>
      <c r="IX236" s="18"/>
      <c r="JP236">
        <v>0</v>
      </c>
      <c r="LA236" s="16">
        <v>0.28000000000000003</v>
      </c>
      <c r="LB236" s="16">
        <v>1</v>
      </c>
      <c r="LC236" s="16">
        <v>2</v>
      </c>
      <c r="LD236" s="16"/>
      <c r="LE236" s="16">
        <f t="shared" si="78"/>
        <v>0.63</v>
      </c>
      <c r="LF236" s="16"/>
      <c r="LG236" s="16"/>
      <c r="LH236" s="16"/>
      <c r="LI236" s="16"/>
      <c r="LJ236" s="16"/>
      <c r="LK236" s="16"/>
      <c r="LL236" s="16">
        <v>5.99</v>
      </c>
      <c r="LM236" s="16">
        <v>5.34</v>
      </c>
      <c r="LN236" s="16"/>
      <c r="LO236" s="16"/>
      <c r="LP236" s="16">
        <v>0</v>
      </c>
      <c r="LQ236" s="16">
        <v>0</v>
      </c>
      <c r="LR236" s="16">
        <v>0</v>
      </c>
      <c r="LS236">
        <v>0</v>
      </c>
      <c r="LT236" t="s">
        <v>547</v>
      </c>
      <c r="LU236">
        <v>29.5</v>
      </c>
      <c r="LV236" s="16">
        <v>87.5</v>
      </c>
      <c r="LW236" s="16">
        <v>80.400000000000006</v>
      </c>
      <c r="LX236" s="16">
        <v>14.3</v>
      </c>
      <c r="LY236">
        <v>68.7</v>
      </c>
      <c r="LZ236">
        <v>23.24</v>
      </c>
      <c r="MA236">
        <v>1.79</v>
      </c>
      <c r="MB236">
        <v>0</v>
      </c>
      <c r="MC236">
        <v>6.27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7.01</v>
      </c>
      <c r="ML236">
        <v>58.72</v>
      </c>
      <c r="MM236">
        <v>0.23</v>
      </c>
      <c r="MN236">
        <v>0</v>
      </c>
      <c r="MO236">
        <v>0.5</v>
      </c>
      <c r="MP236">
        <v>2</v>
      </c>
      <c r="MQ236">
        <v>7</v>
      </c>
      <c r="MR236">
        <v>0.08</v>
      </c>
      <c r="MW236">
        <v>7</v>
      </c>
      <c r="MX236">
        <v>0.08</v>
      </c>
      <c r="NC236">
        <v>0</v>
      </c>
      <c r="ND236">
        <v>1</v>
      </c>
      <c r="NE236">
        <v>23</v>
      </c>
      <c r="NF236">
        <v>2</v>
      </c>
      <c r="NG236">
        <v>0.9</v>
      </c>
      <c r="NH236">
        <v>3</v>
      </c>
      <c r="NO236" s="18"/>
      <c r="OG236">
        <v>1</v>
      </c>
      <c r="OH236">
        <v>50</v>
      </c>
      <c r="OI236">
        <v>2</v>
      </c>
      <c r="OJ236">
        <f t="shared" si="79"/>
        <v>26.759999999999998</v>
      </c>
      <c r="OK236">
        <v>3</v>
      </c>
      <c r="PR236" s="16">
        <v>1.49</v>
      </c>
      <c r="PS236" s="16">
        <v>1</v>
      </c>
      <c r="PT236" s="16">
        <v>1</v>
      </c>
      <c r="PU236" s="16"/>
      <c r="PV236" s="16">
        <f t="shared" si="80"/>
        <v>7.2999999999999989</v>
      </c>
      <c r="PW236" s="16">
        <v>2</v>
      </c>
      <c r="PX236" s="16"/>
      <c r="PY236" s="16">
        <v>0.21</v>
      </c>
      <c r="PZ236" s="16"/>
      <c r="QA236" s="16"/>
      <c r="QB236" s="16"/>
      <c r="QC236" s="16">
        <v>10.82</v>
      </c>
      <c r="QD236" s="16">
        <v>14.57</v>
      </c>
      <c r="QE236" s="16"/>
      <c r="QF236" s="16"/>
      <c r="QG236" s="16">
        <v>2.2400000000000002</v>
      </c>
      <c r="QH236" s="16">
        <v>0.9</v>
      </c>
      <c r="QI236" s="16">
        <v>0</v>
      </c>
      <c r="QJ236">
        <v>0</v>
      </c>
      <c r="QK236" t="s">
        <v>548</v>
      </c>
      <c r="QL236">
        <v>50</v>
      </c>
      <c r="QM236" s="16">
        <v>80</v>
      </c>
      <c r="QN236" s="16">
        <v>80.400000000000006</v>
      </c>
      <c r="QO236" s="16">
        <v>16.899999999999999</v>
      </c>
      <c r="QP236">
        <v>58.18</v>
      </c>
      <c r="QQ236">
        <v>32.94</v>
      </c>
      <c r="QR236">
        <v>1.79</v>
      </c>
      <c r="QS236">
        <v>0</v>
      </c>
      <c r="QT236">
        <v>7.09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3.53</v>
      </c>
      <c r="RC236">
        <v>45.12</v>
      </c>
      <c r="RD236">
        <v>0</v>
      </c>
      <c r="RE236">
        <v>0</v>
      </c>
      <c r="RF236">
        <v>0</v>
      </c>
      <c r="RG236">
        <v>0</v>
      </c>
      <c r="RT236">
        <v>8.1999999999999993</v>
      </c>
      <c r="RU236">
        <v>1</v>
      </c>
      <c r="RV236">
        <v>23</v>
      </c>
      <c r="RW236">
        <v>1</v>
      </c>
      <c r="RX236">
        <v>0.45</v>
      </c>
      <c r="RY236">
        <v>3</v>
      </c>
      <c r="RZ236">
        <v>34</v>
      </c>
      <c r="SA236">
        <v>28</v>
      </c>
      <c r="SB236">
        <f t="shared" si="81"/>
        <v>9.5100000000000016</v>
      </c>
      <c r="SC236">
        <v>1</v>
      </c>
      <c r="SF236" s="18"/>
      <c r="SX236">
        <v>0</v>
      </c>
      <c r="UI236" s="16">
        <v>1.65</v>
      </c>
      <c r="UJ236" s="16">
        <v>1</v>
      </c>
      <c r="UK236" s="16">
        <v>1</v>
      </c>
      <c r="UL236" s="16"/>
      <c r="UM236" s="16">
        <f t="shared" si="82"/>
        <v>0.18</v>
      </c>
      <c r="UN236" s="16">
        <v>2</v>
      </c>
      <c r="UO236" s="16"/>
      <c r="UP236" s="16">
        <f t="shared" si="83"/>
        <v>9.4500000000000011</v>
      </c>
      <c r="UQ236" s="16"/>
      <c r="UR236" s="16"/>
      <c r="US236" s="16"/>
      <c r="UT236" s="16">
        <v>20.65</v>
      </c>
      <c r="UU236" s="16">
        <v>33.56</v>
      </c>
      <c r="UV236" s="16"/>
      <c r="UW236" s="16"/>
      <c r="UX236" s="16">
        <v>2.2400000000000002</v>
      </c>
      <c r="UY236" s="16">
        <v>0.45</v>
      </c>
      <c r="UZ236" s="16">
        <v>0</v>
      </c>
      <c r="VA236">
        <v>0.45</v>
      </c>
      <c r="VB236" t="s">
        <v>549</v>
      </c>
      <c r="VC236">
        <v>31.5</v>
      </c>
      <c r="VD236" s="16">
        <v>79.900000000000006</v>
      </c>
      <c r="VE236" s="16">
        <v>80.400000000000006</v>
      </c>
      <c r="VF236" s="16">
        <v>17.8</v>
      </c>
      <c r="VG236">
        <v>71.45</v>
      </c>
      <c r="VH236">
        <v>9.43</v>
      </c>
      <c r="VI236">
        <v>1.1200000000000001</v>
      </c>
      <c r="VJ236">
        <v>0</v>
      </c>
      <c r="VK236">
        <v>18.010000000000002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8.44</v>
      </c>
      <c r="VT236">
        <v>63.45</v>
      </c>
      <c r="VU236">
        <v>0</v>
      </c>
      <c r="VV236">
        <v>0</v>
      </c>
      <c r="VW236">
        <v>0</v>
      </c>
      <c r="VX236">
        <v>0</v>
      </c>
      <c r="WK236">
        <v>2</v>
      </c>
      <c r="WL236">
        <v>1</v>
      </c>
      <c r="WM236">
        <v>52</v>
      </c>
      <c r="WN236">
        <v>2</v>
      </c>
      <c r="WO236">
        <f t="shared" si="84"/>
        <v>0.92</v>
      </c>
      <c r="WP236">
        <v>2</v>
      </c>
      <c r="WW236" s="18"/>
      <c r="XO236">
        <v>1</v>
      </c>
      <c r="XP236">
        <v>50</v>
      </c>
      <c r="XQ236">
        <v>9</v>
      </c>
      <c r="XR236">
        <f t="shared" si="85"/>
        <v>23.029999999999998</v>
      </c>
      <c r="XS236">
        <v>3</v>
      </c>
      <c r="YZ236" s="16">
        <v>1.47</v>
      </c>
      <c r="ZA236" s="16">
        <v>1</v>
      </c>
      <c r="ZB236" s="16">
        <v>1</v>
      </c>
      <c r="ZC236" s="16"/>
      <c r="ZD236" s="16">
        <v>2.13</v>
      </c>
      <c r="ZE236" s="16">
        <v>2</v>
      </c>
      <c r="ZF236" s="16"/>
      <c r="ZG236" s="16">
        <v>3.37</v>
      </c>
      <c r="ZH236" s="16"/>
      <c r="ZI236" s="16"/>
      <c r="ZJ236" s="16"/>
      <c r="ZK236" s="16">
        <v>5.55</v>
      </c>
      <c r="ZL236" s="16">
        <v>6.42</v>
      </c>
      <c r="ZM236" s="16"/>
      <c r="ZN236" s="16"/>
      <c r="ZO236" s="16">
        <v>0</v>
      </c>
      <c r="ZP236" s="16">
        <v>0</v>
      </c>
      <c r="ZQ236" s="16">
        <v>4.4800000000000004</v>
      </c>
      <c r="ZR236">
        <v>0</v>
      </c>
      <c r="ZS236" t="s">
        <v>550</v>
      </c>
      <c r="ZT236">
        <v>17</v>
      </c>
      <c r="ZU236" s="16">
        <v>87.8</v>
      </c>
      <c r="ZV236" s="16">
        <v>80.400000000000006</v>
      </c>
      <c r="ZW236" s="16">
        <v>11.6</v>
      </c>
      <c r="ZX236">
        <v>86.21</v>
      </c>
      <c r="ZY236">
        <v>1.64</v>
      </c>
      <c r="ZZ236">
        <v>0.45</v>
      </c>
      <c r="AAA236">
        <v>0</v>
      </c>
      <c r="AAB236">
        <v>11.7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14.73</v>
      </c>
      <c r="AAK236">
        <v>7.98</v>
      </c>
      <c r="AAL236">
        <v>0</v>
      </c>
      <c r="AAM236">
        <v>0</v>
      </c>
      <c r="AAN236">
        <v>0</v>
      </c>
      <c r="AAO236">
        <v>0</v>
      </c>
      <c r="ABB236">
        <v>0</v>
      </c>
      <c r="ABC236">
        <v>0</v>
      </c>
      <c r="ABN236" s="18"/>
      <c r="ACF236">
        <v>0</v>
      </c>
      <c r="ADQ236" s="16">
        <v>0</v>
      </c>
      <c r="ADR236" s="16">
        <v>0</v>
      </c>
      <c r="ADS236" s="16"/>
      <c r="ADT236" s="16"/>
      <c r="ADU236" s="16"/>
      <c r="ADV236" s="16"/>
      <c r="ADW236" s="16"/>
      <c r="ADX236" s="16"/>
      <c r="ADY236" s="16"/>
      <c r="ADZ236" s="16"/>
      <c r="AEA236" s="16"/>
      <c r="AEB236" s="16">
        <v>5.22</v>
      </c>
      <c r="AEC236" s="16">
        <v>5.37</v>
      </c>
      <c r="AED236" s="16"/>
      <c r="AEE236" s="16"/>
      <c r="AEF236" s="16">
        <v>0</v>
      </c>
      <c r="AEG236" s="16">
        <v>0</v>
      </c>
      <c r="AEH236" s="16">
        <v>0.19</v>
      </c>
      <c r="AEI236">
        <v>0</v>
      </c>
      <c r="AEJ236" t="s">
        <v>551</v>
      </c>
      <c r="AEK236">
        <v>17.5</v>
      </c>
      <c r="AEL236" s="16">
        <v>87.6</v>
      </c>
      <c r="AEM236" s="16">
        <v>80.400000000000006</v>
      </c>
      <c r="AEN236" s="16">
        <v>12</v>
      </c>
      <c r="AEO236">
        <v>84.96</v>
      </c>
      <c r="AEP236">
        <v>1.61</v>
      </c>
      <c r="AEQ236">
        <v>0.45</v>
      </c>
      <c r="AER236">
        <v>0</v>
      </c>
      <c r="AES236">
        <v>12.98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15.99</v>
      </c>
      <c r="AFB236">
        <v>7.84</v>
      </c>
      <c r="AFC236">
        <v>0</v>
      </c>
      <c r="AFD236">
        <v>0</v>
      </c>
      <c r="AFE236">
        <v>0</v>
      </c>
      <c r="AFF236">
        <v>0</v>
      </c>
      <c r="AFS236">
        <v>0</v>
      </c>
      <c r="AFT236">
        <v>0</v>
      </c>
      <c r="AGE236" s="18"/>
      <c r="AGW236">
        <v>0</v>
      </c>
      <c r="AIH236" s="16">
        <v>0</v>
      </c>
      <c r="AII236" s="16">
        <v>0</v>
      </c>
      <c r="AIJ236" s="16"/>
      <c r="AIK236" s="16"/>
      <c r="AIL236" s="16"/>
      <c r="AIM236" s="16"/>
      <c r="AIN236" s="16"/>
      <c r="AIO236" s="16"/>
      <c r="AIP236" s="16"/>
      <c r="AIQ236" s="16"/>
      <c r="AIR236" s="16"/>
      <c r="AIS236" s="16">
        <v>5.22</v>
      </c>
      <c r="AIT236" s="16">
        <v>5.37</v>
      </c>
      <c r="AIU236" s="16"/>
      <c r="AIV236" s="16"/>
      <c r="AIW236" s="16">
        <v>0</v>
      </c>
      <c r="AIX236" s="16">
        <v>0</v>
      </c>
      <c r="AIY236" s="16">
        <v>0.19</v>
      </c>
      <c r="AIZ236">
        <v>0</v>
      </c>
      <c r="AJA236" t="s">
        <v>552</v>
      </c>
      <c r="AJB236">
        <v>16.5</v>
      </c>
      <c r="AJC236" s="16">
        <v>73.2</v>
      </c>
      <c r="AJD236" s="16">
        <v>80.400000000000006</v>
      </c>
      <c r="AJE236" s="16">
        <v>10.199999999999999</v>
      </c>
      <c r="AJF236">
        <v>69.430000000000007</v>
      </c>
      <c r="AJG236">
        <v>29.45</v>
      </c>
      <c r="AJH236">
        <v>1.1200000000000001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29.3</v>
      </c>
      <c r="AJS236">
        <v>10.81</v>
      </c>
      <c r="AJT236">
        <v>0</v>
      </c>
      <c r="AJU236">
        <v>0</v>
      </c>
      <c r="AJV236">
        <v>5.9</v>
      </c>
      <c r="AJW236">
        <v>2</v>
      </c>
      <c r="AJX236">
        <v>3</v>
      </c>
      <c r="AJY236">
        <v>2.0099999999999998</v>
      </c>
      <c r="AKD236">
        <v>3</v>
      </c>
      <c r="AKE236">
        <v>2.0099999999999998</v>
      </c>
      <c r="AKJ236">
        <v>0</v>
      </c>
      <c r="AKK236">
        <v>0</v>
      </c>
      <c r="AKV236" s="18"/>
      <c r="ALN236">
        <v>0</v>
      </c>
    </row>
    <row r="237" spans="1:1024" x14ac:dyDescent="0.2">
      <c r="A237" s="1" t="s">
        <v>752</v>
      </c>
      <c r="B237" s="12">
        <v>42909</v>
      </c>
      <c r="C237">
        <v>2</v>
      </c>
      <c r="D237" s="13">
        <v>42801</v>
      </c>
      <c r="E237" s="12">
        <v>34883</v>
      </c>
      <c r="F237" s="14">
        <f t="shared" si="62"/>
        <v>21.973990417522245</v>
      </c>
      <c r="G237" s="14">
        <f t="shared" si="63"/>
        <v>0.29568788501026694</v>
      </c>
      <c r="H237" s="19" t="s">
        <v>217</v>
      </c>
      <c r="I237" t="s">
        <v>545</v>
      </c>
      <c r="J237" s="21" t="s">
        <v>183</v>
      </c>
      <c r="K237" s="21">
        <v>8</v>
      </c>
      <c r="L237" s="19">
        <v>60</v>
      </c>
      <c r="M237">
        <v>1.74</v>
      </c>
      <c r="N237" s="16">
        <f t="shared" si="64"/>
        <v>19.817677368212443</v>
      </c>
      <c r="O237" s="19">
        <v>0</v>
      </c>
      <c r="P237" s="19">
        <v>0</v>
      </c>
      <c r="Q237" s="19">
        <v>0</v>
      </c>
      <c r="R237" s="26">
        <v>0</v>
      </c>
      <c r="S237" s="26">
        <v>0</v>
      </c>
      <c r="T237" s="26">
        <v>0</v>
      </c>
      <c r="U237" s="19">
        <v>0</v>
      </c>
      <c r="V237" s="19">
        <v>0</v>
      </c>
      <c r="W237" s="19">
        <v>0</v>
      </c>
      <c r="X237" s="19">
        <v>0</v>
      </c>
      <c r="Y237" s="19">
        <v>1</v>
      </c>
      <c r="Z237" s="19">
        <v>1</v>
      </c>
      <c r="AA237" s="19">
        <v>90</v>
      </c>
      <c r="AB237" s="19" t="s">
        <v>537</v>
      </c>
      <c r="AC237" s="19">
        <v>0</v>
      </c>
      <c r="AD237" s="19">
        <v>0</v>
      </c>
      <c r="AE237" s="19">
        <v>0</v>
      </c>
      <c r="AF237" s="19">
        <v>0</v>
      </c>
      <c r="AG237" s="19">
        <v>0</v>
      </c>
      <c r="AH237" s="19">
        <v>0</v>
      </c>
      <c r="AI237" s="19">
        <v>0</v>
      </c>
      <c r="AJ237" s="19">
        <v>0</v>
      </c>
      <c r="AK237" s="19">
        <v>0</v>
      </c>
      <c r="AL237" s="19">
        <v>0</v>
      </c>
      <c r="AM237" s="19">
        <v>0</v>
      </c>
      <c r="AN237" s="19">
        <v>0</v>
      </c>
      <c r="AO237" s="19">
        <v>0</v>
      </c>
      <c r="AP237" s="19">
        <v>0</v>
      </c>
      <c r="AQ237" s="19">
        <v>0</v>
      </c>
      <c r="AR237" s="19">
        <v>0</v>
      </c>
      <c r="AS237" s="19">
        <v>3</v>
      </c>
      <c r="AT237" s="19">
        <v>0</v>
      </c>
      <c r="AU237" s="19">
        <v>0</v>
      </c>
      <c r="AV237" s="19">
        <v>0</v>
      </c>
      <c r="AW237" s="19">
        <v>0</v>
      </c>
      <c r="AX237" s="19">
        <v>0</v>
      </c>
      <c r="AY237" s="19">
        <v>0</v>
      </c>
      <c r="AZ237" s="19">
        <v>0</v>
      </c>
      <c r="BA237" s="19">
        <v>0</v>
      </c>
      <c r="BB237" s="19">
        <v>0</v>
      </c>
      <c r="BC237" s="19">
        <v>0</v>
      </c>
      <c r="BD237" s="19">
        <v>0</v>
      </c>
      <c r="BE237" s="19">
        <v>0</v>
      </c>
      <c r="BF237" s="19">
        <v>0</v>
      </c>
      <c r="BG237" s="19">
        <v>0</v>
      </c>
      <c r="BH237" s="19">
        <v>0</v>
      </c>
      <c r="BI237" s="19">
        <v>0</v>
      </c>
      <c r="BJ237" s="26">
        <v>0</v>
      </c>
      <c r="BK237" s="26">
        <v>0</v>
      </c>
      <c r="BL237" s="26">
        <v>0</v>
      </c>
      <c r="BM237" s="26">
        <v>0</v>
      </c>
      <c r="BN237" s="19">
        <v>1</v>
      </c>
      <c r="BO237" s="19">
        <v>0</v>
      </c>
      <c r="BP237" s="19">
        <v>0</v>
      </c>
      <c r="BQ237" s="19">
        <v>0</v>
      </c>
      <c r="BR237" s="19">
        <v>2</v>
      </c>
      <c r="BS237" s="19">
        <v>2</v>
      </c>
      <c r="BT237" s="19">
        <v>3</v>
      </c>
      <c r="BU237" s="19">
        <v>1</v>
      </c>
      <c r="BV237" s="19">
        <v>1</v>
      </c>
      <c r="BW237" s="19">
        <v>1</v>
      </c>
      <c r="BX237" s="19">
        <v>3</v>
      </c>
      <c r="BY237" s="19">
        <v>3</v>
      </c>
      <c r="BZ237" s="19">
        <v>3</v>
      </c>
      <c r="CA237" s="19">
        <v>4</v>
      </c>
      <c r="CB237" s="19">
        <v>4</v>
      </c>
      <c r="CC237" s="19">
        <v>4</v>
      </c>
      <c r="CD237" s="19">
        <v>3</v>
      </c>
      <c r="CE237" s="19">
        <v>4</v>
      </c>
      <c r="CF237" s="19">
        <v>4</v>
      </c>
      <c r="CG237" s="19">
        <v>5</v>
      </c>
      <c r="CH237" s="19">
        <v>4</v>
      </c>
      <c r="CI237" s="19">
        <v>4</v>
      </c>
      <c r="CJ237" s="19">
        <v>4</v>
      </c>
      <c r="CK237" s="19">
        <v>8</v>
      </c>
      <c r="CL237" t="s">
        <v>555</v>
      </c>
      <c r="CM237">
        <v>35</v>
      </c>
      <c r="CN237" s="16">
        <v>78.8</v>
      </c>
      <c r="CO237" s="16">
        <v>80.400000000000006</v>
      </c>
      <c r="CP237" s="16">
        <v>17.2</v>
      </c>
      <c r="CQ237">
        <v>72.069999999999993</v>
      </c>
      <c r="CR237">
        <v>11.09</v>
      </c>
      <c r="CS237">
        <v>1.1200000000000001</v>
      </c>
      <c r="CT237">
        <v>0</v>
      </c>
      <c r="CU237">
        <v>15.71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1.66</v>
      </c>
      <c r="DD237">
        <v>34.99</v>
      </c>
      <c r="DE237">
        <v>0</v>
      </c>
      <c r="DF237">
        <v>0</v>
      </c>
      <c r="DG237">
        <v>0</v>
      </c>
      <c r="DH237">
        <v>0</v>
      </c>
      <c r="DU237">
        <v>11.2</v>
      </c>
      <c r="DV237">
        <v>1</v>
      </c>
      <c r="DW237">
        <v>52</v>
      </c>
      <c r="DX237">
        <f t="shared" si="74"/>
        <v>34</v>
      </c>
      <c r="DY237">
        <f t="shared" si="75"/>
        <v>5.32</v>
      </c>
      <c r="DZ237">
        <v>2</v>
      </c>
      <c r="EG237" s="18"/>
      <c r="EY237">
        <v>0</v>
      </c>
      <c r="GJ237" s="16">
        <v>0</v>
      </c>
      <c r="GK237" s="16">
        <v>0</v>
      </c>
      <c r="GL237" s="16"/>
      <c r="GM237" s="16"/>
      <c r="GN237" s="16"/>
      <c r="GO237" s="16"/>
      <c r="GP237" s="16"/>
      <c r="GQ237" s="16"/>
      <c r="GR237" s="16"/>
      <c r="GS237" s="16"/>
      <c r="GT237" s="16"/>
      <c r="GU237" s="16">
        <v>6.16</v>
      </c>
      <c r="GV237" s="16">
        <v>7.21</v>
      </c>
      <c r="GW237" s="16"/>
      <c r="GX237" s="16"/>
      <c r="GY237" s="16">
        <v>0</v>
      </c>
      <c r="GZ237" s="16">
        <v>0</v>
      </c>
      <c r="HA237" s="16">
        <v>0</v>
      </c>
      <c r="HB237">
        <v>0</v>
      </c>
      <c r="HC237" t="s">
        <v>546</v>
      </c>
      <c r="HD237">
        <v>16.5</v>
      </c>
      <c r="HE237" s="16">
        <v>35.299999999999997</v>
      </c>
      <c r="HF237" s="16">
        <v>80.400000000000006</v>
      </c>
      <c r="HG237" s="16">
        <v>9.6999999999999993</v>
      </c>
      <c r="HH237">
        <v>86.56</v>
      </c>
      <c r="HI237">
        <v>12.61</v>
      </c>
      <c r="HJ237">
        <v>0</v>
      </c>
      <c r="HK237">
        <v>0</v>
      </c>
      <c r="HL237">
        <v>0.83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2.2200000000000002</v>
      </c>
      <c r="HU237">
        <v>20.83</v>
      </c>
      <c r="HV237">
        <v>0</v>
      </c>
      <c r="HW237">
        <v>0</v>
      </c>
      <c r="HX237">
        <v>0</v>
      </c>
      <c r="HY237">
        <v>0</v>
      </c>
      <c r="IL237">
        <v>0.3</v>
      </c>
      <c r="IM237">
        <v>1</v>
      </c>
      <c r="IN237">
        <v>34</v>
      </c>
      <c r="IO237">
        <v>4</v>
      </c>
      <c r="IP237">
        <f t="shared" si="76"/>
        <v>3.6000000000000005</v>
      </c>
      <c r="IQ237">
        <v>1</v>
      </c>
      <c r="IR237">
        <v>52</v>
      </c>
      <c r="IS237">
        <v>1</v>
      </c>
      <c r="IT237">
        <f t="shared" si="77"/>
        <v>0.18</v>
      </c>
      <c r="IU237">
        <v>2</v>
      </c>
      <c r="IX237" s="18"/>
      <c r="JP237">
        <v>0</v>
      </c>
      <c r="LA237" s="16">
        <v>0.28000000000000003</v>
      </c>
      <c r="LB237" s="16">
        <v>1</v>
      </c>
      <c r="LC237" s="16">
        <v>2</v>
      </c>
      <c r="LD237" s="16"/>
      <c r="LE237" s="16">
        <f t="shared" si="78"/>
        <v>0.63</v>
      </c>
      <c r="LF237" s="16"/>
      <c r="LG237" s="16"/>
      <c r="LH237" s="16"/>
      <c r="LI237" s="16"/>
      <c r="LJ237" s="16"/>
      <c r="LK237" s="16"/>
      <c r="LL237" s="16">
        <v>5.99</v>
      </c>
      <c r="LM237" s="16">
        <v>5.34</v>
      </c>
      <c r="LN237" s="16"/>
      <c r="LO237" s="16"/>
      <c r="LP237" s="16">
        <v>0</v>
      </c>
      <c r="LQ237" s="16">
        <v>0</v>
      </c>
      <c r="LR237" s="16">
        <v>0</v>
      </c>
      <c r="LS237">
        <v>0</v>
      </c>
      <c r="LT237" t="s">
        <v>547</v>
      </c>
      <c r="LU237">
        <v>29.5</v>
      </c>
      <c r="LV237" s="16">
        <v>87.5</v>
      </c>
      <c r="LW237" s="16">
        <v>80.400000000000006</v>
      </c>
      <c r="LX237" s="16">
        <v>14.3</v>
      </c>
      <c r="LY237">
        <v>68.7</v>
      </c>
      <c r="LZ237">
        <v>23.24</v>
      </c>
      <c r="MA237">
        <v>1.79</v>
      </c>
      <c r="MB237">
        <v>0</v>
      </c>
      <c r="MC237">
        <v>6.27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7.01</v>
      </c>
      <c r="ML237">
        <v>58.72</v>
      </c>
      <c r="MM237">
        <v>0.23</v>
      </c>
      <c r="MN237">
        <v>0</v>
      </c>
      <c r="MO237">
        <v>0.5</v>
      </c>
      <c r="MP237">
        <v>2</v>
      </c>
      <c r="MQ237">
        <v>7</v>
      </c>
      <c r="MR237">
        <v>0.08</v>
      </c>
      <c r="MW237">
        <v>7</v>
      </c>
      <c r="MX237">
        <v>0.08</v>
      </c>
      <c r="NC237">
        <v>0</v>
      </c>
      <c r="ND237">
        <v>1</v>
      </c>
      <c r="NE237">
        <v>23</v>
      </c>
      <c r="NF237">
        <v>2</v>
      </c>
      <c r="NG237">
        <v>0.9</v>
      </c>
      <c r="NH237">
        <v>3</v>
      </c>
      <c r="NO237" s="18"/>
      <c r="OG237">
        <v>1</v>
      </c>
      <c r="OH237">
        <v>50</v>
      </c>
      <c r="OI237">
        <v>2</v>
      </c>
      <c r="OJ237">
        <f t="shared" si="79"/>
        <v>26.759999999999998</v>
      </c>
      <c r="OK237">
        <v>3</v>
      </c>
      <c r="PR237" s="16">
        <v>1.49</v>
      </c>
      <c r="PS237" s="16">
        <v>1</v>
      </c>
      <c r="PT237" s="16">
        <v>1</v>
      </c>
      <c r="PU237" s="16"/>
      <c r="PV237" s="16">
        <f t="shared" si="80"/>
        <v>7.2999999999999989</v>
      </c>
      <c r="PW237" s="16">
        <v>2</v>
      </c>
      <c r="PX237" s="16"/>
      <c r="PY237" s="16">
        <v>0.21</v>
      </c>
      <c r="PZ237" s="16"/>
      <c r="QA237" s="16"/>
      <c r="QB237" s="16"/>
      <c r="QC237" s="16">
        <v>10.82</v>
      </c>
      <c r="QD237" s="16">
        <v>14.57</v>
      </c>
      <c r="QE237" s="16"/>
      <c r="QF237" s="16"/>
      <c r="QG237" s="16">
        <v>2.2400000000000002</v>
      </c>
      <c r="QH237" s="16">
        <v>0.9</v>
      </c>
      <c r="QI237" s="16">
        <v>0</v>
      </c>
      <c r="QJ237">
        <v>0</v>
      </c>
      <c r="QK237" t="s">
        <v>548</v>
      </c>
      <c r="QL237">
        <v>50</v>
      </c>
      <c r="QM237" s="16">
        <v>80</v>
      </c>
      <c r="QN237" s="16">
        <v>80.400000000000006</v>
      </c>
      <c r="QO237" s="16">
        <v>16.899999999999999</v>
      </c>
      <c r="QP237">
        <v>58.18</v>
      </c>
      <c r="QQ237">
        <v>32.94</v>
      </c>
      <c r="QR237">
        <v>1.79</v>
      </c>
      <c r="QS237">
        <v>0</v>
      </c>
      <c r="QT237">
        <v>7.09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3.53</v>
      </c>
      <c r="RC237">
        <v>45.12</v>
      </c>
      <c r="RD237">
        <v>0</v>
      </c>
      <c r="RE237">
        <v>0</v>
      </c>
      <c r="RF237">
        <v>0</v>
      </c>
      <c r="RG237">
        <v>0</v>
      </c>
      <c r="RT237">
        <v>8.1999999999999993</v>
      </c>
      <c r="RU237">
        <v>1</v>
      </c>
      <c r="RV237">
        <v>23</v>
      </c>
      <c r="RW237">
        <v>1</v>
      </c>
      <c r="RX237">
        <v>0.45</v>
      </c>
      <c r="RY237">
        <v>3</v>
      </c>
      <c r="RZ237">
        <v>34</v>
      </c>
      <c r="SA237">
        <v>28</v>
      </c>
      <c r="SB237">
        <f t="shared" si="81"/>
        <v>9.5100000000000016</v>
      </c>
      <c r="SC237">
        <v>1</v>
      </c>
      <c r="SF237" s="18"/>
      <c r="SX237">
        <v>0</v>
      </c>
      <c r="UI237" s="16">
        <v>1.65</v>
      </c>
      <c r="UJ237" s="16">
        <v>1</v>
      </c>
      <c r="UK237" s="16">
        <v>1</v>
      </c>
      <c r="UL237" s="16"/>
      <c r="UM237" s="16">
        <f t="shared" si="82"/>
        <v>0.18</v>
      </c>
      <c r="UN237" s="16">
        <v>2</v>
      </c>
      <c r="UO237" s="16"/>
      <c r="UP237" s="16">
        <f t="shared" si="83"/>
        <v>9.4500000000000011</v>
      </c>
      <c r="UQ237" s="16"/>
      <c r="UR237" s="16"/>
      <c r="US237" s="16"/>
      <c r="UT237" s="16">
        <v>20.65</v>
      </c>
      <c r="UU237" s="16">
        <v>33.56</v>
      </c>
      <c r="UV237" s="16"/>
      <c r="UW237" s="16"/>
      <c r="UX237" s="16">
        <v>2.2400000000000002</v>
      </c>
      <c r="UY237" s="16">
        <v>0.45</v>
      </c>
      <c r="UZ237" s="16">
        <v>0</v>
      </c>
      <c r="VA237">
        <v>0.45</v>
      </c>
      <c r="VB237" t="s">
        <v>549</v>
      </c>
      <c r="VC237">
        <v>31.5</v>
      </c>
      <c r="VD237" s="16">
        <v>79.900000000000006</v>
      </c>
      <c r="VE237" s="16">
        <v>80.400000000000006</v>
      </c>
      <c r="VF237" s="16">
        <v>17.8</v>
      </c>
      <c r="VG237">
        <v>71.45</v>
      </c>
      <c r="VH237">
        <v>9.43</v>
      </c>
      <c r="VI237">
        <v>1.1200000000000001</v>
      </c>
      <c r="VJ237">
        <v>0</v>
      </c>
      <c r="VK237">
        <v>18.010000000000002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8.44</v>
      </c>
      <c r="VT237">
        <v>63.45</v>
      </c>
      <c r="VU237">
        <v>0</v>
      </c>
      <c r="VV237">
        <v>0</v>
      </c>
      <c r="VW237">
        <v>0</v>
      </c>
      <c r="VX237">
        <v>0</v>
      </c>
      <c r="WK237">
        <v>2</v>
      </c>
      <c r="WL237">
        <v>1</v>
      </c>
      <c r="WM237">
        <v>52</v>
      </c>
      <c r="WN237">
        <v>2</v>
      </c>
      <c r="WO237">
        <f t="shared" si="84"/>
        <v>0.92</v>
      </c>
      <c r="WP237">
        <v>2</v>
      </c>
      <c r="WW237" s="18"/>
      <c r="XO237">
        <v>1</v>
      </c>
      <c r="XP237">
        <v>50</v>
      </c>
      <c r="XQ237">
        <v>9</v>
      </c>
      <c r="XR237">
        <f t="shared" si="85"/>
        <v>23.029999999999998</v>
      </c>
      <c r="XS237">
        <v>3</v>
      </c>
      <c r="YZ237" s="16">
        <v>1.47</v>
      </c>
      <c r="ZA237" s="16">
        <v>1</v>
      </c>
      <c r="ZB237" s="16">
        <v>1</v>
      </c>
      <c r="ZC237" s="16"/>
      <c r="ZD237" s="16">
        <v>2.13</v>
      </c>
      <c r="ZE237" s="16">
        <v>2</v>
      </c>
      <c r="ZF237" s="16"/>
      <c r="ZG237" s="16">
        <v>3.37</v>
      </c>
      <c r="ZH237" s="16"/>
      <c r="ZI237" s="16"/>
      <c r="ZJ237" s="16"/>
      <c r="ZK237" s="16">
        <v>5.55</v>
      </c>
      <c r="ZL237" s="16">
        <v>6.42</v>
      </c>
      <c r="ZM237" s="16"/>
      <c r="ZN237" s="16"/>
      <c r="ZO237" s="16">
        <v>0</v>
      </c>
      <c r="ZP237" s="16">
        <v>0</v>
      </c>
      <c r="ZQ237" s="16">
        <v>4.4800000000000004</v>
      </c>
      <c r="ZR237">
        <v>0</v>
      </c>
      <c r="ZS237" t="s">
        <v>550</v>
      </c>
      <c r="ZT237">
        <v>17</v>
      </c>
      <c r="ZU237" s="16">
        <v>87.8</v>
      </c>
      <c r="ZV237" s="16">
        <v>80.400000000000006</v>
      </c>
      <c r="ZW237" s="16">
        <v>11.6</v>
      </c>
      <c r="ZX237">
        <v>86.21</v>
      </c>
      <c r="ZY237">
        <v>1.64</v>
      </c>
      <c r="ZZ237">
        <v>0.45</v>
      </c>
      <c r="AAA237">
        <v>0</v>
      </c>
      <c r="AAB237">
        <v>11.7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14.73</v>
      </c>
      <c r="AAK237">
        <v>7.98</v>
      </c>
      <c r="AAL237">
        <v>0</v>
      </c>
      <c r="AAM237">
        <v>0</v>
      </c>
      <c r="AAN237">
        <v>0</v>
      </c>
      <c r="AAO237">
        <v>0</v>
      </c>
      <c r="ABB237">
        <v>0</v>
      </c>
      <c r="ABC237">
        <v>0</v>
      </c>
      <c r="ABN237" s="18"/>
      <c r="ACF237">
        <v>0</v>
      </c>
      <c r="ADQ237" s="16">
        <v>0</v>
      </c>
      <c r="ADR237" s="16">
        <v>0</v>
      </c>
      <c r="ADS237" s="16"/>
      <c r="ADT237" s="16"/>
      <c r="ADU237" s="16"/>
      <c r="ADV237" s="16"/>
      <c r="ADW237" s="16"/>
      <c r="ADX237" s="16"/>
      <c r="ADY237" s="16"/>
      <c r="ADZ237" s="16"/>
      <c r="AEA237" s="16"/>
      <c r="AEB237" s="16">
        <v>5.22</v>
      </c>
      <c r="AEC237" s="16">
        <v>5.37</v>
      </c>
      <c r="AED237" s="16"/>
      <c r="AEE237" s="16"/>
      <c r="AEF237" s="16">
        <v>0</v>
      </c>
      <c r="AEG237" s="16">
        <v>0</v>
      </c>
      <c r="AEH237" s="16">
        <v>0.19</v>
      </c>
      <c r="AEI237">
        <v>0</v>
      </c>
      <c r="AEJ237" t="s">
        <v>551</v>
      </c>
      <c r="AEK237">
        <v>17.5</v>
      </c>
      <c r="AEL237" s="16">
        <v>87.6</v>
      </c>
      <c r="AEM237" s="16">
        <v>80.400000000000006</v>
      </c>
      <c r="AEN237" s="16">
        <v>12</v>
      </c>
      <c r="AEO237">
        <v>84.96</v>
      </c>
      <c r="AEP237">
        <v>1.61</v>
      </c>
      <c r="AEQ237">
        <v>0.45</v>
      </c>
      <c r="AER237">
        <v>0</v>
      </c>
      <c r="AES237">
        <v>12.98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15.99</v>
      </c>
      <c r="AFB237">
        <v>7.84</v>
      </c>
      <c r="AFC237">
        <v>0</v>
      </c>
      <c r="AFD237">
        <v>0</v>
      </c>
      <c r="AFE237">
        <v>0</v>
      </c>
      <c r="AFF237">
        <v>0</v>
      </c>
      <c r="AFS237">
        <v>0</v>
      </c>
      <c r="AFT237">
        <v>0</v>
      </c>
      <c r="AGE237" s="18"/>
      <c r="AGW237">
        <v>0</v>
      </c>
      <c r="AIH237" s="16">
        <v>0</v>
      </c>
      <c r="AII237" s="16">
        <v>0</v>
      </c>
      <c r="AIJ237" s="16"/>
      <c r="AIK237" s="16"/>
      <c r="AIL237" s="16"/>
      <c r="AIM237" s="16"/>
      <c r="AIN237" s="16"/>
      <c r="AIO237" s="16"/>
      <c r="AIP237" s="16"/>
      <c r="AIQ237" s="16"/>
      <c r="AIR237" s="16"/>
      <c r="AIS237" s="16">
        <v>5.22</v>
      </c>
      <c r="AIT237" s="16">
        <v>5.37</v>
      </c>
      <c r="AIU237" s="16"/>
      <c r="AIV237" s="16"/>
      <c r="AIW237" s="16">
        <v>0</v>
      </c>
      <c r="AIX237" s="16">
        <v>0</v>
      </c>
      <c r="AIY237" s="16">
        <v>0.19</v>
      </c>
      <c r="AIZ237">
        <v>0</v>
      </c>
      <c r="AJA237" t="s">
        <v>552</v>
      </c>
      <c r="AJB237">
        <v>16.5</v>
      </c>
      <c r="AJC237" s="16">
        <v>73.2</v>
      </c>
      <c r="AJD237" s="16">
        <v>80.400000000000006</v>
      </c>
      <c r="AJE237" s="16">
        <v>10.199999999999999</v>
      </c>
      <c r="AJF237">
        <v>69.430000000000007</v>
      </c>
      <c r="AJG237">
        <v>29.45</v>
      </c>
      <c r="AJH237">
        <v>1.1200000000000001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29.3</v>
      </c>
      <c r="AJS237">
        <v>10.81</v>
      </c>
      <c r="AJT237">
        <v>0</v>
      </c>
      <c r="AJU237">
        <v>0</v>
      </c>
      <c r="AJV237">
        <v>5.9</v>
      </c>
      <c r="AJW237">
        <v>2</v>
      </c>
      <c r="AJX237">
        <v>3</v>
      </c>
      <c r="AJY237">
        <v>2.0099999999999998</v>
      </c>
      <c r="AKD237">
        <v>3</v>
      </c>
      <c r="AKE237">
        <v>2.0099999999999998</v>
      </c>
      <c r="AKJ237">
        <v>0</v>
      </c>
      <c r="AKK237">
        <v>0</v>
      </c>
      <c r="AKV237" s="18"/>
      <c r="ALN237">
        <v>0</v>
      </c>
    </row>
    <row r="238" spans="1:1024" x14ac:dyDescent="0.2">
      <c r="A238" s="1" t="s">
        <v>753</v>
      </c>
      <c r="B238" s="12">
        <v>42909</v>
      </c>
      <c r="C238">
        <v>2</v>
      </c>
      <c r="D238" s="13">
        <v>42783</v>
      </c>
      <c r="E238" s="12">
        <v>33160</v>
      </c>
      <c r="F238" s="14">
        <f t="shared" si="62"/>
        <v>26.691307323750856</v>
      </c>
      <c r="G238" s="14">
        <f t="shared" si="63"/>
        <v>0.34496919917864477</v>
      </c>
      <c r="H238" s="19" t="s">
        <v>217</v>
      </c>
      <c r="I238" t="s">
        <v>545</v>
      </c>
      <c r="J238" s="21" t="s">
        <v>183</v>
      </c>
      <c r="K238" s="21">
        <v>8</v>
      </c>
      <c r="L238" s="19">
        <v>60</v>
      </c>
      <c r="M238">
        <v>1.78</v>
      </c>
      <c r="N238" s="16">
        <f t="shared" si="64"/>
        <v>18.937002903673779</v>
      </c>
      <c r="O238" s="19">
        <v>0</v>
      </c>
      <c r="P238" s="19">
        <v>0</v>
      </c>
      <c r="Q238" s="19">
        <v>0</v>
      </c>
      <c r="R238" s="26">
        <v>0</v>
      </c>
      <c r="S238" s="26">
        <v>0</v>
      </c>
      <c r="T238" s="26">
        <v>0</v>
      </c>
      <c r="U238" s="19">
        <v>0</v>
      </c>
      <c r="V238" s="19">
        <v>0</v>
      </c>
      <c r="W238" s="19">
        <v>0</v>
      </c>
      <c r="X238" s="19">
        <v>0</v>
      </c>
      <c r="Y238" s="19">
        <v>1</v>
      </c>
      <c r="Z238" s="19">
        <v>3</v>
      </c>
      <c r="AA238" s="19">
        <v>120</v>
      </c>
      <c r="AB238" s="19" t="s">
        <v>537</v>
      </c>
      <c r="AC238" s="19">
        <v>0</v>
      </c>
      <c r="AD238" s="19">
        <v>0</v>
      </c>
      <c r="AE238" s="19">
        <v>0</v>
      </c>
      <c r="AF238" s="19">
        <v>0</v>
      </c>
      <c r="AG238" s="19">
        <v>0</v>
      </c>
      <c r="AH238" s="19">
        <v>0</v>
      </c>
      <c r="AI238" s="19">
        <v>0</v>
      </c>
      <c r="AJ238" s="19">
        <v>0</v>
      </c>
      <c r="AK238" s="19">
        <v>0</v>
      </c>
      <c r="AL238" s="19">
        <v>0</v>
      </c>
      <c r="AM238" s="19">
        <v>0</v>
      </c>
      <c r="AN238" s="19">
        <v>0</v>
      </c>
      <c r="AO238" s="19">
        <v>0</v>
      </c>
      <c r="AP238" s="19">
        <v>0</v>
      </c>
      <c r="AQ238" s="19">
        <v>0</v>
      </c>
      <c r="AR238" s="19">
        <v>0</v>
      </c>
      <c r="AS238" s="19">
        <v>0</v>
      </c>
      <c r="AT238" s="19">
        <v>0</v>
      </c>
      <c r="AU238" s="19">
        <v>0</v>
      </c>
      <c r="AV238" s="19">
        <v>0</v>
      </c>
      <c r="AW238" s="19">
        <v>0</v>
      </c>
      <c r="AX238" s="19">
        <v>0</v>
      </c>
      <c r="AY238" s="19">
        <v>0</v>
      </c>
      <c r="AZ238" s="19">
        <v>0</v>
      </c>
      <c r="BA238" s="19">
        <v>0</v>
      </c>
      <c r="BB238" s="19">
        <v>0</v>
      </c>
      <c r="BC238" s="19">
        <v>0</v>
      </c>
      <c r="BD238" s="19">
        <v>0</v>
      </c>
      <c r="BE238" s="19">
        <v>0</v>
      </c>
      <c r="BF238" s="19">
        <v>0</v>
      </c>
      <c r="BG238" s="19">
        <v>0</v>
      </c>
      <c r="BH238" s="19">
        <v>0</v>
      </c>
      <c r="BI238" s="19">
        <v>0</v>
      </c>
      <c r="BJ238" s="26">
        <v>0</v>
      </c>
      <c r="BK238" s="26">
        <v>0</v>
      </c>
      <c r="BL238" s="26">
        <v>0</v>
      </c>
      <c r="BM238" s="26">
        <v>0</v>
      </c>
      <c r="BN238" s="19">
        <v>0</v>
      </c>
      <c r="BO238" s="19">
        <v>0</v>
      </c>
      <c r="BP238" s="19">
        <v>0</v>
      </c>
      <c r="BQ238" s="19">
        <v>0</v>
      </c>
      <c r="BR238" s="19">
        <v>1</v>
      </c>
      <c r="BS238" s="19">
        <v>2</v>
      </c>
      <c r="BT238" s="19">
        <v>5</v>
      </c>
      <c r="BU238" s="19">
        <v>2</v>
      </c>
      <c r="BV238" s="19">
        <v>5</v>
      </c>
      <c r="BW238" s="19">
        <v>5</v>
      </c>
      <c r="BX238" s="19">
        <v>5</v>
      </c>
      <c r="BY238" s="19">
        <v>5</v>
      </c>
      <c r="BZ238" s="19">
        <v>5</v>
      </c>
      <c r="CA238" s="19">
        <v>5</v>
      </c>
      <c r="CB238" s="19">
        <v>5</v>
      </c>
      <c r="CC238" s="19">
        <v>5</v>
      </c>
      <c r="CD238" s="19">
        <v>5</v>
      </c>
      <c r="CE238" s="19">
        <v>5</v>
      </c>
      <c r="CF238" s="19">
        <v>5</v>
      </c>
      <c r="CG238" s="19">
        <v>5</v>
      </c>
      <c r="CH238" s="19">
        <v>5</v>
      </c>
      <c r="CI238" s="19">
        <v>5</v>
      </c>
      <c r="CJ238" s="19">
        <v>5</v>
      </c>
      <c r="CK238" s="19">
        <v>10</v>
      </c>
      <c r="CL238" t="s">
        <v>555</v>
      </c>
      <c r="CM238">
        <v>35</v>
      </c>
      <c r="CN238" s="16">
        <v>78.8</v>
      </c>
      <c r="CO238" s="16">
        <v>80.400000000000006</v>
      </c>
      <c r="CP238" s="16">
        <v>17.2</v>
      </c>
      <c r="CQ238">
        <v>72.069999999999993</v>
      </c>
      <c r="CR238">
        <v>11.09</v>
      </c>
      <c r="CS238">
        <v>1.1200000000000001</v>
      </c>
      <c r="CT238">
        <v>0</v>
      </c>
      <c r="CU238">
        <v>15.71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1.66</v>
      </c>
      <c r="DD238">
        <v>34.99</v>
      </c>
      <c r="DE238">
        <v>0</v>
      </c>
      <c r="DF238">
        <v>0</v>
      </c>
      <c r="DG238">
        <v>0</v>
      </c>
      <c r="DH238">
        <v>0</v>
      </c>
      <c r="DU238">
        <v>11.2</v>
      </c>
      <c r="DV238">
        <v>1</v>
      </c>
      <c r="DW238">
        <v>52</v>
      </c>
      <c r="DX238">
        <f t="shared" si="74"/>
        <v>34</v>
      </c>
      <c r="DY238">
        <f t="shared" si="75"/>
        <v>5.32</v>
      </c>
      <c r="DZ238">
        <v>2</v>
      </c>
      <c r="EG238" s="18"/>
      <c r="EY238">
        <v>0</v>
      </c>
      <c r="GJ238" s="16">
        <v>0</v>
      </c>
      <c r="GK238" s="16">
        <v>0</v>
      </c>
      <c r="GL238" s="16"/>
      <c r="GM238" s="16"/>
      <c r="GN238" s="16"/>
      <c r="GO238" s="16"/>
      <c r="GP238" s="16"/>
      <c r="GQ238" s="16"/>
      <c r="GR238" s="16"/>
      <c r="GS238" s="16"/>
      <c r="GT238" s="16"/>
      <c r="GU238" s="16">
        <v>6.16</v>
      </c>
      <c r="GV238" s="16">
        <v>7.21</v>
      </c>
      <c r="GW238" s="16"/>
      <c r="GX238" s="16"/>
      <c r="GY238" s="16">
        <v>0</v>
      </c>
      <c r="GZ238" s="16">
        <v>0</v>
      </c>
      <c r="HA238" s="16">
        <v>0</v>
      </c>
      <c r="HB238">
        <v>0</v>
      </c>
      <c r="HC238" t="s">
        <v>546</v>
      </c>
      <c r="HD238">
        <v>16.5</v>
      </c>
      <c r="HE238" s="16">
        <v>35.299999999999997</v>
      </c>
      <c r="HF238" s="16">
        <v>80.400000000000006</v>
      </c>
      <c r="HG238" s="16">
        <v>9.6999999999999993</v>
      </c>
      <c r="HH238">
        <v>86.56</v>
      </c>
      <c r="HI238">
        <v>12.61</v>
      </c>
      <c r="HJ238">
        <v>0</v>
      </c>
      <c r="HK238">
        <v>0</v>
      </c>
      <c r="HL238">
        <v>0.83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2.2200000000000002</v>
      </c>
      <c r="HU238">
        <v>20.83</v>
      </c>
      <c r="HV238">
        <v>0</v>
      </c>
      <c r="HW238">
        <v>0</v>
      </c>
      <c r="HX238">
        <v>0</v>
      </c>
      <c r="HY238">
        <v>0</v>
      </c>
      <c r="IL238">
        <v>0.3</v>
      </c>
      <c r="IM238">
        <v>1</v>
      </c>
      <c r="IN238">
        <v>34</v>
      </c>
      <c r="IO238">
        <v>4</v>
      </c>
      <c r="IP238">
        <f t="shared" si="76"/>
        <v>3.6000000000000005</v>
      </c>
      <c r="IQ238">
        <v>1</v>
      </c>
      <c r="IR238">
        <v>52</v>
      </c>
      <c r="IS238">
        <v>1</v>
      </c>
      <c r="IT238">
        <f t="shared" si="77"/>
        <v>0.18</v>
      </c>
      <c r="IU238">
        <v>2</v>
      </c>
      <c r="IX238" s="18"/>
      <c r="JP238">
        <v>0</v>
      </c>
      <c r="LA238" s="16">
        <v>0.28000000000000003</v>
      </c>
      <c r="LB238" s="16">
        <v>1</v>
      </c>
      <c r="LC238" s="16">
        <v>2</v>
      </c>
      <c r="LD238" s="16"/>
      <c r="LE238" s="16">
        <f t="shared" si="78"/>
        <v>0.63</v>
      </c>
      <c r="LF238" s="16"/>
      <c r="LG238" s="16"/>
      <c r="LH238" s="16"/>
      <c r="LI238" s="16"/>
      <c r="LJ238" s="16"/>
      <c r="LK238" s="16"/>
      <c r="LL238" s="16">
        <v>5.99</v>
      </c>
      <c r="LM238" s="16">
        <v>5.34</v>
      </c>
      <c r="LN238" s="16"/>
      <c r="LO238" s="16"/>
      <c r="LP238" s="16">
        <v>0</v>
      </c>
      <c r="LQ238" s="16">
        <v>0</v>
      </c>
      <c r="LR238" s="16">
        <v>0</v>
      </c>
      <c r="LS238">
        <v>0</v>
      </c>
      <c r="LT238" t="s">
        <v>547</v>
      </c>
      <c r="LU238">
        <v>29.5</v>
      </c>
      <c r="LV238" s="16">
        <v>87.5</v>
      </c>
      <c r="LW238" s="16">
        <v>80.400000000000006</v>
      </c>
      <c r="LX238" s="16">
        <v>14.3</v>
      </c>
      <c r="LY238">
        <v>68.7</v>
      </c>
      <c r="LZ238">
        <v>23.24</v>
      </c>
      <c r="MA238">
        <v>1.79</v>
      </c>
      <c r="MB238">
        <v>0</v>
      </c>
      <c r="MC238">
        <v>6.27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7.01</v>
      </c>
      <c r="ML238">
        <v>58.72</v>
      </c>
      <c r="MM238">
        <v>0.23</v>
      </c>
      <c r="MN238">
        <v>0</v>
      </c>
      <c r="MO238">
        <v>0.5</v>
      </c>
      <c r="MP238">
        <v>2</v>
      </c>
      <c r="MQ238">
        <v>7</v>
      </c>
      <c r="MR238">
        <v>0.08</v>
      </c>
      <c r="MW238">
        <v>7</v>
      </c>
      <c r="MX238">
        <v>0.08</v>
      </c>
      <c r="NC238">
        <v>0</v>
      </c>
      <c r="ND238">
        <v>1</v>
      </c>
      <c r="NE238">
        <v>23</v>
      </c>
      <c r="NF238">
        <v>2</v>
      </c>
      <c r="NG238">
        <v>0.9</v>
      </c>
      <c r="NH238">
        <v>3</v>
      </c>
      <c r="NO238" s="18"/>
      <c r="OG238">
        <v>1</v>
      </c>
      <c r="OH238">
        <v>50</v>
      </c>
      <c r="OI238">
        <v>2</v>
      </c>
      <c r="OJ238">
        <f t="shared" si="79"/>
        <v>26.759999999999998</v>
      </c>
      <c r="OK238">
        <v>3</v>
      </c>
      <c r="PR238" s="16">
        <v>1.49</v>
      </c>
      <c r="PS238" s="16">
        <v>1</v>
      </c>
      <c r="PT238" s="16">
        <v>1</v>
      </c>
      <c r="PU238" s="16"/>
      <c r="PV238" s="16">
        <f t="shared" si="80"/>
        <v>7.2999999999999989</v>
      </c>
      <c r="PW238" s="16">
        <v>2</v>
      </c>
      <c r="PX238" s="16"/>
      <c r="PY238" s="16">
        <v>0.21</v>
      </c>
      <c r="PZ238" s="16"/>
      <c r="QA238" s="16"/>
      <c r="QB238" s="16"/>
      <c r="QC238" s="16">
        <v>10.82</v>
      </c>
      <c r="QD238" s="16">
        <v>14.57</v>
      </c>
      <c r="QE238" s="16"/>
      <c r="QF238" s="16"/>
      <c r="QG238" s="16">
        <v>2.2400000000000002</v>
      </c>
      <c r="QH238" s="16">
        <v>0.9</v>
      </c>
      <c r="QI238" s="16">
        <v>0</v>
      </c>
      <c r="QJ238">
        <v>0</v>
      </c>
      <c r="QK238" t="s">
        <v>548</v>
      </c>
      <c r="QL238">
        <v>50</v>
      </c>
      <c r="QM238" s="16">
        <v>80</v>
      </c>
      <c r="QN238" s="16">
        <v>80.400000000000006</v>
      </c>
      <c r="QO238" s="16">
        <v>16.899999999999999</v>
      </c>
      <c r="QP238">
        <v>58.18</v>
      </c>
      <c r="QQ238">
        <v>32.94</v>
      </c>
      <c r="QR238">
        <v>1.79</v>
      </c>
      <c r="QS238">
        <v>0</v>
      </c>
      <c r="QT238">
        <v>7.09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3.53</v>
      </c>
      <c r="RC238">
        <v>45.12</v>
      </c>
      <c r="RD238">
        <v>0</v>
      </c>
      <c r="RE238">
        <v>0</v>
      </c>
      <c r="RF238">
        <v>0</v>
      </c>
      <c r="RG238">
        <v>0</v>
      </c>
      <c r="RT238">
        <v>8.1999999999999993</v>
      </c>
      <c r="RU238">
        <v>1</v>
      </c>
      <c r="RV238">
        <v>23</v>
      </c>
      <c r="RW238">
        <v>1</v>
      </c>
      <c r="RX238">
        <v>0.45</v>
      </c>
      <c r="RY238">
        <v>3</v>
      </c>
      <c r="RZ238">
        <v>34</v>
      </c>
      <c r="SA238">
        <v>28</v>
      </c>
      <c r="SB238">
        <f t="shared" si="81"/>
        <v>9.5100000000000016</v>
      </c>
      <c r="SC238">
        <v>1</v>
      </c>
      <c r="SF238" s="18"/>
      <c r="SX238">
        <v>0</v>
      </c>
      <c r="UI238" s="16">
        <v>1.65</v>
      </c>
      <c r="UJ238" s="16">
        <v>1</v>
      </c>
      <c r="UK238" s="16">
        <v>1</v>
      </c>
      <c r="UL238" s="16"/>
      <c r="UM238" s="16">
        <f t="shared" si="82"/>
        <v>0.18</v>
      </c>
      <c r="UN238" s="16">
        <v>2</v>
      </c>
      <c r="UO238" s="16"/>
      <c r="UP238" s="16">
        <f t="shared" si="83"/>
        <v>9.4500000000000011</v>
      </c>
      <c r="UQ238" s="16"/>
      <c r="UR238" s="16"/>
      <c r="US238" s="16"/>
      <c r="UT238" s="16">
        <v>20.65</v>
      </c>
      <c r="UU238" s="16">
        <v>33.56</v>
      </c>
      <c r="UV238" s="16"/>
      <c r="UW238" s="16"/>
      <c r="UX238" s="16">
        <v>2.2400000000000002</v>
      </c>
      <c r="UY238" s="16">
        <v>0.45</v>
      </c>
      <c r="UZ238" s="16">
        <v>0</v>
      </c>
      <c r="VA238">
        <v>0.45</v>
      </c>
      <c r="VB238" t="s">
        <v>549</v>
      </c>
      <c r="VC238">
        <v>31.5</v>
      </c>
      <c r="VD238" s="16">
        <v>79.900000000000006</v>
      </c>
      <c r="VE238" s="16">
        <v>80.400000000000006</v>
      </c>
      <c r="VF238" s="16">
        <v>17.8</v>
      </c>
      <c r="VG238">
        <v>71.45</v>
      </c>
      <c r="VH238">
        <v>9.43</v>
      </c>
      <c r="VI238">
        <v>1.1200000000000001</v>
      </c>
      <c r="VJ238">
        <v>0</v>
      </c>
      <c r="VK238">
        <v>18.010000000000002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8.44</v>
      </c>
      <c r="VT238">
        <v>63.45</v>
      </c>
      <c r="VU238">
        <v>0</v>
      </c>
      <c r="VV238">
        <v>0</v>
      </c>
      <c r="VW238">
        <v>0</v>
      </c>
      <c r="VX238">
        <v>0</v>
      </c>
      <c r="WK238">
        <v>2</v>
      </c>
      <c r="WL238">
        <v>1</v>
      </c>
      <c r="WM238">
        <v>52</v>
      </c>
      <c r="WN238">
        <v>2</v>
      </c>
      <c r="WO238">
        <f t="shared" si="84"/>
        <v>0.92</v>
      </c>
      <c r="WP238">
        <v>2</v>
      </c>
      <c r="WW238" s="18"/>
      <c r="XO238">
        <v>1</v>
      </c>
      <c r="XP238">
        <v>50</v>
      </c>
      <c r="XQ238">
        <v>9</v>
      </c>
      <c r="XR238">
        <f t="shared" si="85"/>
        <v>23.029999999999998</v>
      </c>
      <c r="XS238">
        <v>3</v>
      </c>
      <c r="YZ238" s="16">
        <v>1.47</v>
      </c>
      <c r="ZA238" s="16">
        <v>1</v>
      </c>
      <c r="ZB238" s="16">
        <v>1</v>
      </c>
      <c r="ZC238" s="16"/>
      <c r="ZD238" s="16">
        <v>2.13</v>
      </c>
      <c r="ZE238" s="16">
        <v>2</v>
      </c>
      <c r="ZF238" s="16"/>
      <c r="ZG238" s="16">
        <v>3.37</v>
      </c>
      <c r="ZH238" s="16"/>
      <c r="ZI238" s="16"/>
      <c r="ZJ238" s="16"/>
      <c r="ZK238" s="16">
        <v>5.55</v>
      </c>
      <c r="ZL238" s="16">
        <v>6.42</v>
      </c>
      <c r="ZM238" s="16"/>
      <c r="ZN238" s="16"/>
      <c r="ZO238" s="16">
        <v>0</v>
      </c>
      <c r="ZP238" s="16">
        <v>0</v>
      </c>
      <c r="ZQ238" s="16">
        <v>4.4800000000000004</v>
      </c>
      <c r="ZR238">
        <v>0</v>
      </c>
      <c r="ZS238" t="s">
        <v>550</v>
      </c>
      <c r="ZT238">
        <v>17</v>
      </c>
      <c r="ZU238" s="16">
        <v>87.8</v>
      </c>
      <c r="ZV238" s="16">
        <v>80.400000000000006</v>
      </c>
      <c r="ZW238" s="16">
        <v>11.6</v>
      </c>
      <c r="ZX238">
        <v>86.21</v>
      </c>
      <c r="ZY238">
        <v>1.64</v>
      </c>
      <c r="ZZ238">
        <v>0.45</v>
      </c>
      <c r="AAA238">
        <v>0</v>
      </c>
      <c r="AAB238">
        <v>11.7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14.73</v>
      </c>
      <c r="AAK238">
        <v>7.98</v>
      </c>
      <c r="AAL238">
        <v>0</v>
      </c>
      <c r="AAM238">
        <v>0</v>
      </c>
      <c r="AAN238">
        <v>0</v>
      </c>
      <c r="AAO238">
        <v>0</v>
      </c>
      <c r="ABB238">
        <v>0</v>
      </c>
      <c r="ABC238">
        <v>0</v>
      </c>
      <c r="ABN238" s="18"/>
      <c r="ACF238">
        <v>0</v>
      </c>
      <c r="ADQ238" s="16">
        <v>0</v>
      </c>
      <c r="ADR238" s="16">
        <v>0</v>
      </c>
      <c r="ADS238" s="16"/>
      <c r="ADT238" s="16"/>
      <c r="ADU238" s="16"/>
      <c r="ADV238" s="16"/>
      <c r="ADW238" s="16"/>
      <c r="ADX238" s="16"/>
      <c r="ADY238" s="16"/>
      <c r="ADZ238" s="16"/>
      <c r="AEA238" s="16"/>
      <c r="AEB238" s="16">
        <v>5.22</v>
      </c>
      <c r="AEC238" s="16">
        <v>5.37</v>
      </c>
      <c r="AED238" s="16"/>
      <c r="AEE238" s="16"/>
      <c r="AEF238" s="16">
        <v>0</v>
      </c>
      <c r="AEG238" s="16">
        <v>0</v>
      </c>
      <c r="AEH238" s="16">
        <v>0.19</v>
      </c>
      <c r="AEI238">
        <v>0</v>
      </c>
      <c r="AEJ238" t="s">
        <v>551</v>
      </c>
      <c r="AEK238">
        <v>17.5</v>
      </c>
      <c r="AEL238" s="16">
        <v>87.6</v>
      </c>
      <c r="AEM238" s="16">
        <v>80.400000000000006</v>
      </c>
      <c r="AEN238" s="16">
        <v>12</v>
      </c>
      <c r="AEO238">
        <v>84.96</v>
      </c>
      <c r="AEP238">
        <v>1.61</v>
      </c>
      <c r="AEQ238">
        <v>0.45</v>
      </c>
      <c r="AER238">
        <v>0</v>
      </c>
      <c r="AES238">
        <v>12.98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15.99</v>
      </c>
      <c r="AFB238">
        <v>7.84</v>
      </c>
      <c r="AFC238">
        <v>0</v>
      </c>
      <c r="AFD238">
        <v>0</v>
      </c>
      <c r="AFE238">
        <v>0</v>
      </c>
      <c r="AFF238">
        <v>0</v>
      </c>
      <c r="AFS238">
        <v>0</v>
      </c>
      <c r="AFT238">
        <v>0</v>
      </c>
      <c r="AGE238" s="18"/>
      <c r="AGW238">
        <v>0</v>
      </c>
      <c r="AIH238" s="16">
        <v>0</v>
      </c>
      <c r="AII238" s="16">
        <v>0</v>
      </c>
      <c r="AIJ238" s="16"/>
      <c r="AIK238" s="16"/>
      <c r="AIL238" s="16"/>
      <c r="AIM238" s="16"/>
      <c r="AIN238" s="16"/>
      <c r="AIO238" s="16"/>
      <c r="AIP238" s="16"/>
      <c r="AIQ238" s="16"/>
      <c r="AIR238" s="16"/>
      <c r="AIS238" s="16">
        <v>5.22</v>
      </c>
      <c r="AIT238" s="16">
        <v>5.37</v>
      </c>
      <c r="AIU238" s="16"/>
      <c r="AIV238" s="16"/>
      <c r="AIW238" s="16">
        <v>0</v>
      </c>
      <c r="AIX238" s="16">
        <v>0</v>
      </c>
      <c r="AIY238" s="16">
        <v>0.19</v>
      </c>
      <c r="AIZ238">
        <v>0</v>
      </c>
      <c r="AJA238" t="s">
        <v>552</v>
      </c>
      <c r="AJB238">
        <v>16.5</v>
      </c>
      <c r="AJC238" s="16">
        <v>73.2</v>
      </c>
      <c r="AJD238" s="16">
        <v>80.400000000000006</v>
      </c>
      <c r="AJE238" s="16">
        <v>10.199999999999999</v>
      </c>
      <c r="AJF238">
        <v>69.430000000000007</v>
      </c>
      <c r="AJG238">
        <v>29.45</v>
      </c>
      <c r="AJH238">
        <v>1.1200000000000001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29.3</v>
      </c>
      <c r="AJS238">
        <v>10.81</v>
      </c>
      <c r="AJT238">
        <v>0</v>
      </c>
      <c r="AJU238">
        <v>0</v>
      </c>
      <c r="AJV238">
        <v>5.9</v>
      </c>
      <c r="AJW238">
        <v>2</v>
      </c>
      <c r="AJX238">
        <v>3</v>
      </c>
      <c r="AJY238">
        <v>2.0099999999999998</v>
      </c>
      <c r="AKD238">
        <v>3</v>
      </c>
      <c r="AKE238">
        <v>2.0099999999999998</v>
      </c>
      <c r="AKJ238">
        <v>0</v>
      </c>
      <c r="AKK238">
        <v>0</v>
      </c>
      <c r="AKV238" s="18"/>
      <c r="ALN238">
        <v>0</v>
      </c>
    </row>
    <row r="239" spans="1:1024" x14ac:dyDescent="0.2">
      <c r="A239" s="1" t="s">
        <v>754</v>
      </c>
      <c r="B239" s="12">
        <v>42908</v>
      </c>
      <c r="C239">
        <v>2</v>
      </c>
      <c r="D239" s="13">
        <v>39041</v>
      </c>
      <c r="E239" s="12">
        <v>31286</v>
      </c>
      <c r="F239" s="14">
        <f t="shared" si="62"/>
        <v>31.819301848049282</v>
      </c>
      <c r="G239" s="14">
        <f t="shared" si="63"/>
        <v>10.587268993839835</v>
      </c>
      <c r="H239" s="19" t="s">
        <v>217</v>
      </c>
      <c r="I239" s="15" t="s">
        <v>545</v>
      </c>
      <c r="J239" s="21" t="s">
        <v>183</v>
      </c>
      <c r="K239" s="21">
        <v>8</v>
      </c>
      <c r="L239" s="19"/>
      <c r="N239" s="16" t="e">
        <f t="shared" si="64"/>
        <v>#DIV/0!</v>
      </c>
      <c r="O239" s="19">
        <v>0</v>
      </c>
      <c r="P239" s="19">
        <v>0</v>
      </c>
      <c r="Q239" s="19">
        <v>0</v>
      </c>
      <c r="R239" s="26">
        <v>0</v>
      </c>
      <c r="S239" s="26">
        <v>0</v>
      </c>
      <c r="T239" s="26">
        <v>0</v>
      </c>
      <c r="U239" s="19">
        <v>0</v>
      </c>
      <c r="V239" s="19">
        <v>0</v>
      </c>
      <c r="W239" s="19">
        <v>1</v>
      </c>
      <c r="X239" s="19">
        <v>0</v>
      </c>
      <c r="Y239" s="19">
        <v>1</v>
      </c>
      <c r="Z239" s="19">
        <v>2</v>
      </c>
      <c r="AA239" s="19">
        <v>120</v>
      </c>
      <c r="AB239" s="19" t="s">
        <v>755</v>
      </c>
      <c r="AC239" s="19">
        <v>0</v>
      </c>
      <c r="AD239" s="19">
        <v>0</v>
      </c>
      <c r="AE239" s="19">
        <v>0</v>
      </c>
      <c r="AF239" s="19">
        <v>0</v>
      </c>
      <c r="AG239" s="19">
        <v>0</v>
      </c>
      <c r="AH239" s="19">
        <v>0</v>
      </c>
      <c r="AI239" s="19">
        <v>0</v>
      </c>
      <c r="AJ239" s="19">
        <v>0</v>
      </c>
      <c r="AK239" s="19">
        <v>0</v>
      </c>
      <c r="AL239" s="19">
        <v>0</v>
      </c>
      <c r="AM239" s="19">
        <v>0</v>
      </c>
      <c r="AN239" s="19">
        <v>0</v>
      </c>
      <c r="AO239" s="19">
        <v>0</v>
      </c>
      <c r="AP239" s="19">
        <v>0</v>
      </c>
      <c r="AQ239" s="19">
        <v>0</v>
      </c>
      <c r="AR239" s="19">
        <v>0</v>
      </c>
      <c r="AS239" s="19">
        <v>0</v>
      </c>
      <c r="AT239" s="19">
        <v>0</v>
      </c>
      <c r="AU239" s="19">
        <v>0</v>
      </c>
      <c r="AV239" s="19">
        <v>0</v>
      </c>
      <c r="AW239" s="19">
        <v>0</v>
      </c>
      <c r="AX239" s="19">
        <v>0</v>
      </c>
      <c r="AY239" s="19">
        <v>0</v>
      </c>
      <c r="AZ239" s="19">
        <v>0</v>
      </c>
      <c r="BA239" s="19">
        <v>0</v>
      </c>
      <c r="BB239" s="19">
        <v>1</v>
      </c>
      <c r="BC239" s="19">
        <v>1</v>
      </c>
      <c r="BD239" s="19">
        <v>1</v>
      </c>
      <c r="BE239" s="19">
        <v>4</v>
      </c>
      <c r="BF239" s="19">
        <v>0</v>
      </c>
      <c r="BG239" s="19">
        <v>0</v>
      </c>
      <c r="BH239" s="19">
        <v>0</v>
      </c>
      <c r="BI239" s="19">
        <v>0</v>
      </c>
      <c r="BJ239" s="26">
        <v>0</v>
      </c>
      <c r="BK239" s="26">
        <v>0</v>
      </c>
      <c r="BL239" s="26">
        <v>0</v>
      </c>
      <c r="BM239" s="26">
        <v>0</v>
      </c>
      <c r="BN239" s="19">
        <v>0</v>
      </c>
      <c r="BO239" s="19">
        <v>0</v>
      </c>
      <c r="BP239" s="19">
        <v>0</v>
      </c>
      <c r="BQ239" s="19">
        <v>0</v>
      </c>
      <c r="BR239" s="19">
        <v>3</v>
      </c>
      <c r="BS239" s="19">
        <v>2</v>
      </c>
      <c r="BT239" s="19">
        <v>2</v>
      </c>
      <c r="BU239" s="19">
        <v>5</v>
      </c>
      <c r="BV239" s="19">
        <v>2</v>
      </c>
      <c r="BW239" s="19">
        <v>5</v>
      </c>
      <c r="BX239" s="19">
        <v>3</v>
      </c>
      <c r="BY239" s="19">
        <v>5</v>
      </c>
      <c r="BZ239" s="19">
        <v>3</v>
      </c>
      <c r="CA239" s="19">
        <v>4</v>
      </c>
      <c r="CB239" s="19">
        <v>4</v>
      </c>
      <c r="CC239" s="19">
        <v>5</v>
      </c>
      <c r="CD239" s="19">
        <v>1</v>
      </c>
      <c r="CE239" s="19">
        <v>4</v>
      </c>
      <c r="CF239" s="19">
        <v>4</v>
      </c>
      <c r="CG239" s="19">
        <v>5</v>
      </c>
      <c r="CH239" s="19">
        <v>3</v>
      </c>
      <c r="CI239" s="19">
        <v>3</v>
      </c>
      <c r="CJ239" s="19">
        <v>4</v>
      </c>
      <c r="CK239" s="19"/>
      <c r="CL239" t="s">
        <v>555</v>
      </c>
      <c r="CM239">
        <v>35</v>
      </c>
      <c r="CN239" s="16">
        <v>78.8</v>
      </c>
      <c r="CO239" s="16">
        <v>80.400000000000006</v>
      </c>
      <c r="CP239" s="16">
        <v>17.2</v>
      </c>
      <c r="CQ239">
        <v>72.069999999999993</v>
      </c>
      <c r="CR239">
        <v>11.09</v>
      </c>
      <c r="CS239">
        <v>1.1200000000000001</v>
      </c>
      <c r="CT239">
        <v>0</v>
      </c>
      <c r="CU239">
        <v>15.71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1.66</v>
      </c>
      <c r="DD239">
        <v>34.99</v>
      </c>
      <c r="DE239">
        <v>0</v>
      </c>
      <c r="DF239">
        <v>0</v>
      </c>
      <c r="DG239">
        <v>0</v>
      </c>
      <c r="DH239">
        <v>0</v>
      </c>
      <c r="DU239">
        <v>11.2</v>
      </c>
      <c r="DV239">
        <v>1</v>
      </c>
      <c r="DW239">
        <v>52</v>
      </c>
      <c r="DX239">
        <f t="shared" si="74"/>
        <v>34</v>
      </c>
      <c r="DY239">
        <f t="shared" si="75"/>
        <v>5.32</v>
      </c>
      <c r="DZ239">
        <v>2</v>
      </c>
      <c r="EG239" s="18"/>
      <c r="EY239">
        <v>0</v>
      </c>
      <c r="GJ239" s="16">
        <v>0</v>
      </c>
      <c r="GK239" s="16">
        <v>0</v>
      </c>
      <c r="GL239" s="16"/>
      <c r="GM239" s="16"/>
      <c r="GN239" s="16"/>
      <c r="GO239" s="16"/>
      <c r="GP239" s="16"/>
      <c r="GQ239" s="16"/>
      <c r="GR239" s="16"/>
      <c r="GS239" s="16"/>
      <c r="GT239" s="16"/>
      <c r="GU239" s="16">
        <v>6.16</v>
      </c>
      <c r="GV239" s="16">
        <v>7.21</v>
      </c>
      <c r="GW239" s="16"/>
      <c r="GX239" s="16"/>
      <c r="GY239" s="16">
        <v>0</v>
      </c>
      <c r="GZ239" s="16">
        <v>0</v>
      </c>
      <c r="HA239" s="16">
        <v>0</v>
      </c>
      <c r="HB239">
        <v>0</v>
      </c>
      <c r="HC239" t="s">
        <v>546</v>
      </c>
      <c r="HD239">
        <v>16.5</v>
      </c>
      <c r="HE239" s="16">
        <v>35.299999999999997</v>
      </c>
      <c r="HF239" s="16">
        <v>80.400000000000006</v>
      </c>
      <c r="HG239" s="16">
        <v>9.6999999999999993</v>
      </c>
      <c r="HH239">
        <v>86.56</v>
      </c>
      <c r="HI239">
        <v>12.61</v>
      </c>
      <c r="HJ239">
        <v>0</v>
      </c>
      <c r="HK239">
        <v>0</v>
      </c>
      <c r="HL239">
        <v>0.83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2.2200000000000002</v>
      </c>
      <c r="HU239">
        <v>20.83</v>
      </c>
      <c r="HV239">
        <v>0</v>
      </c>
      <c r="HW239">
        <v>0</v>
      </c>
      <c r="HX239">
        <v>0</v>
      </c>
      <c r="HY239">
        <v>0</v>
      </c>
      <c r="IL239">
        <v>0.3</v>
      </c>
      <c r="IM239">
        <v>1</v>
      </c>
      <c r="IN239">
        <v>34</v>
      </c>
      <c r="IO239">
        <v>4</v>
      </c>
      <c r="IP239">
        <f t="shared" si="76"/>
        <v>3.6000000000000005</v>
      </c>
      <c r="IQ239">
        <v>1</v>
      </c>
      <c r="IR239">
        <v>52</v>
      </c>
      <c r="IS239">
        <v>1</v>
      </c>
      <c r="IT239">
        <f t="shared" si="77"/>
        <v>0.18</v>
      </c>
      <c r="IU239">
        <v>2</v>
      </c>
      <c r="IX239" s="18"/>
      <c r="JP239">
        <v>0</v>
      </c>
      <c r="LA239" s="16">
        <v>0.28000000000000003</v>
      </c>
      <c r="LB239" s="16">
        <v>1</v>
      </c>
      <c r="LC239" s="16">
        <v>2</v>
      </c>
      <c r="LD239" s="16"/>
      <c r="LE239" s="16">
        <f t="shared" si="78"/>
        <v>0.63</v>
      </c>
      <c r="LF239" s="16"/>
      <c r="LG239" s="16"/>
      <c r="LH239" s="16"/>
      <c r="LI239" s="16"/>
      <c r="LJ239" s="16"/>
      <c r="LK239" s="16"/>
      <c r="LL239" s="16">
        <v>5.99</v>
      </c>
      <c r="LM239" s="16">
        <v>5.34</v>
      </c>
      <c r="LN239" s="16"/>
      <c r="LO239" s="16"/>
      <c r="LP239" s="16">
        <v>0</v>
      </c>
      <c r="LQ239" s="16">
        <v>0</v>
      </c>
      <c r="LR239" s="16">
        <v>0</v>
      </c>
      <c r="LS239">
        <v>0</v>
      </c>
      <c r="LT239" t="s">
        <v>547</v>
      </c>
      <c r="LU239">
        <v>29.5</v>
      </c>
      <c r="LV239" s="16">
        <v>87.5</v>
      </c>
      <c r="LW239" s="16">
        <v>80.400000000000006</v>
      </c>
      <c r="LX239" s="16">
        <v>14.3</v>
      </c>
      <c r="LY239">
        <v>68.7</v>
      </c>
      <c r="LZ239">
        <v>23.24</v>
      </c>
      <c r="MA239">
        <v>1.79</v>
      </c>
      <c r="MB239">
        <v>0</v>
      </c>
      <c r="MC239">
        <v>6.27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7.01</v>
      </c>
      <c r="ML239">
        <v>58.72</v>
      </c>
      <c r="MM239">
        <v>0.23</v>
      </c>
      <c r="MN239">
        <v>0</v>
      </c>
      <c r="MO239">
        <v>0.5</v>
      </c>
      <c r="MP239">
        <v>2</v>
      </c>
      <c r="MQ239">
        <v>7</v>
      </c>
      <c r="MR239">
        <v>0.08</v>
      </c>
      <c r="MW239">
        <v>7</v>
      </c>
      <c r="MX239">
        <v>0.08</v>
      </c>
      <c r="NC239">
        <v>0</v>
      </c>
      <c r="ND239">
        <v>1</v>
      </c>
      <c r="NE239">
        <v>23</v>
      </c>
      <c r="NF239">
        <v>2</v>
      </c>
      <c r="NG239">
        <v>0.9</v>
      </c>
      <c r="NH239">
        <v>3</v>
      </c>
      <c r="NO239" s="18"/>
      <c r="OG239">
        <v>1</v>
      </c>
      <c r="OH239">
        <v>50</v>
      </c>
      <c r="OI239">
        <v>2</v>
      </c>
      <c r="OJ239">
        <f t="shared" si="79"/>
        <v>26.759999999999998</v>
      </c>
      <c r="OK239">
        <v>3</v>
      </c>
      <c r="PR239" s="16">
        <v>1.49</v>
      </c>
      <c r="PS239" s="16">
        <v>1</v>
      </c>
      <c r="PT239" s="16">
        <v>1</v>
      </c>
      <c r="PU239" s="16"/>
      <c r="PV239" s="16">
        <f t="shared" si="80"/>
        <v>7.2999999999999989</v>
      </c>
      <c r="PW239" s="16">
        <v>2</v>
      </c>
      <c r="PX239" s="16"/>
      <c r="PY239" s="16">
        <v>0.21</v>
      </c>
      <c r="PZ239" s="16"/>
      <c r="QA239" s="16"/>
      <c r="QB239" s="16"/>
      <c r="QC239" s="16">
        <v>10.82</v>
      </c>
      <c r="QD239" s="16">
        <v>14.57</v>
      </c>
      <c r="QE239" s="16"/>
      <c r="QF239" s="16"/>
      <c r="QG239" s="16">
        <v>2.2400000000000002</v>
      </c>
      <c r="QH239" s="16">
        <v>0.9</v>
      </c>
      <c r="QI239" s="16">
        <v>0</v>
      </c>
      <c r="QJ239">
        <v>0</v>
      </c>
      <c r="QK239" t="s">
        <v>548</v>
      </c>
      <c r="QL239">
        <v>50</v>
      </c>
      <c r="QM239" s="16">
        <v>80</v>
      </c>
      <c r="QN239" s="16">
        <v>80.400000000000006</v>
      </c>
      <c r="QO239" s="16">
        <v>16.899999999999999</v>
      </c>
      <c r="QP239">
        <v>58.18</v>
      </c>
      <c r="QQ239">
        <v>32.94</v>
      </c>
      <c r="QR239">
        <v>1.79</v>
      </c>
      <c r="QS239">
        <v>0</v>
      </c>
      <c r="QT239">
        <v>7.09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3.53</v>
      </c>
      <c r="RC239">
        <v>45.12</v>
      </c>
      <c r="RD239">
        <v>0</v>
      </c>
      <c r="RE239">
        <v>0</v>
      </c>
      <c r="RF239">
        <v>0</v>
      </c>
      <c r="RG239">
        <v>0</v>
      </c>
      <c r="RT239">
        <v>8.1999999999999993</v>
      </c>
      <c r="RU239">
        <v>1</v>
      </c>
      <c r="RV239">
        <v>23</v>
      </c>
      <c r="RW239">
        <v>1</v>
      </c>
      <c r="RX239">
        <v>0.45</v>
      </c>
      <c r="RY239">
        <v>3</v>
      </c>
      <c r="RZ239">
        <v>34</v>
      </c>
      <c r="SA239">
        <v>28</v>
      </c>
      <c r="SB239">
        <f t="shared" si="81"/>
        <v>9.5100000000000016</v>
      </c>
      <c r="SC239">
        <v>1</v>
      </c>
      <c r="SF239" s="18"/>
      <c r="SX239">
        <v>0</v>
      </c>
      <c r="UI239" s="16">
        <v>1.65</v>
      </c>
      <c r="UJ239" s="16">
        <v>1</v>
      </c>
      <c r="UK239" s="16">
        <v>1</v>
      </c>
      <c r="UL239" s="16"/>
      <c r="UM239" s="16">
        <f t="shared" si="82"/>
        <v>0.18</v>
      </c>
      <c r="UN239" s="16">
        <v>2</v>
      </c>
      <c r="UO239" s="16"/>
      <c r="UP239" s="16">
        <f t="shared" si="83"/>
        <v>9.4500000000000011</v>
      </c>
      <c r="UQ239" s="16"/>
      <c r="UR239" s="16"/>
      <c r="US239" s="16"/>
      <c r="UT239" s="16">
        <v>20.65</v>
      </c>
      <c r="UU239" s="16">
        <v>33.56</v>
      </c>
      <c r="UV239" s="16"/>
      <c r="UW239" s="16"/>
      <c r="UX239" s="16">
        <v>2.2400000000000002</v>
      </c>
      <c r="UY239" s="16">
        <v>0.45</v>
      </c>
      <c r="UZ239" s="16">
        <v>0</v>
      </c>
      <c r="VA239">
        <v>0.45</v>
      </c>
      <c r="VB239" t="s">
        <v>549</v>
      </c>
      <c r="VC239">
        <v>31.5</v>
      </c>
      <c r="VD239" s="16">
        <v>79.900000000000006</v>
      </c>
      <c r="VE239" s="16">
        <v>80.400000000000006</v>
      </c>
      <c r="VF239" s="16">
        <v>17.8</v>
      </c>
      <c r="VG239">
        <v>71.45</v>
      </c>
      <c r="VH239">
        <v>9.43</v>
      </c>
      <c r="VI239">
        <v>1.1200000000000001</v>
      </c>
      <c r="VJ239">
        <v>0</v>
      </c>
      <c r="VK239">
        <v>18.010000000000002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8.44</v>
      </c>
      <c r="VT239">
        <v>63.45</v>
      </c>
      <c r="VU239">
        <v>0</v>
      </c>
      <c r="VV239">
        <v>0</v>
      </c>
      <c r="VW239">
        <v>0</v>
      </c>
      <c r="VX239">
        <v>0</v>
      </c>
      <c r="WK239">
        <v>2</v>
      </c>
      <c r="WL239">
        <v>1</v>
      </c>
      <c r="WM239">
        <v>52</v>
      </c>
      <c r="WN239">
        <v>2</v>
      </c>
      <c r="WO239">
        <f t="shared" si="84"/>
        <v>0.92</v>
      </c>
      <c r="WP239">
        <v>2</v>
      </c>
      <c r="WW239" s="18"/>
      <c r="XO239">
        <v>1</v>
      </c>
      <c r="XP239">
        <v>50</v>
      </c>
      <c r="XQ239">
        <v>9</v>
      </c>
      <c r="XR239">
        <f t="shared" si="85"/>
        <v>23.029999999999998</v>
      </c>
      <c r="XS239">
        <v>3</v>
      </c>
      <c r="YZ239" s="16">
        <v>1.47</v>
      </c>
      <c r="ZA239" s="16">
        <v>1</v>
      </c>
      <c r="ZB239" s="16">
        <v>1</v>
      </c>
      <c r="ZC239" s="16"/>
      <c r="ZD239" s="16">
        <v>2.13</v>
      </c>
      <c r="ZE239" s="16">
        <v>2</v>
      </c>
      <c r="ZF239" s="16"/>
      <c r="ZG239" s="16">
        <v>3.37</v>
      </c>
      <c r="ZH239" s="16"/>
      <c r="ZI239" s="16"/>
      <c r="ZJ239" s="16"/>
      <c r="ZK239" s="16">
        <v>5.55</v>
      </c>
      <c r="ZL239" s="16">
        <v>6.42</v>
      </c>
      <c r="ZM239" s="16"/>
      <c r="ZN239" s="16"/>
      <c r="ZO239" s="16">
        <v>0</v>
      </c>
      <c r="ZP239" s="16">
        <v>0</v>
      </c>
      <c r="ZQ239" s="16">
        <v>4.4800000000000004</v>
      </c>
      <c r="ZR239">
        <v>0</v>
      </c>
      <c r="ZS239" t="s">
        <v>550</v>
      </c>
      <c r="ZT239">
        <v>17</v>
      </c>
      <c r="ZU239" s="16">
        <v>87.8</v>
      </c>
      <c r="ZV239" s="16">
        <v>80.400000000000006</v>
      </c>
      <c r="ZW239" s="16">
        <v>11.6</v>
      </c>
      <c r="ZX239">
        <v>86.21</v>
      </c>
      <c r="ZY239">
        <v>1.64</v>
      </c>
      <c r="ZZ239">
        <v>0.45</v>
      </c>
      <c r="AAA239">
        <v>0</v>
      </c>
      <c r="AAB239">
        <v>11.7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14.73</v>
      </c>
      <c r="AAK239">
        <v>7.98</v>
      </c>
      <c r="AAL239">
        <v>0</v>
      </c>
      <c r="AAM239">
        <v>0</v>
      </c>
      <c r="AAN239">
        <v>0</v>
      </c>
      <c r="AAO239">
        <v>0</v>
      </c>
      <c r="ABB239">
        <v>0</v>
      </c>
      <c r="ABC239">
        <v>0</v>
      </c>
      <c r="ABN239" s="18"/>
      <c r="ACF239">
        <v>0</v>
      </c>
      <c r="ADQ239" s="16">
        <v>0</v>
      </c>
      <c r="ADR239" s="16">
        <v>0</v>
      </c>
      <c r="ADS239" s="16"/>
      <c r="ADT239" s="16"/>
      <c r="ADU239" s="16"/>
      <c r="ADV239" s="16"/>
      <c r="ADW239" s="16"/>
      <c r="ADX239" s="16"/>
      <c r="ADY239" s="16"/>
      <c r="ADZ239" s="16"/>
      <c r="AEA239" s="16"/>
      <c r="AEB239" s="16">
        <v>5.22</v>
      </c>
      <c r="AEC239" s="16">
        <v>5.37</v>
      </c>
      <c r="AED239" s="16"/>
      <c r="AEE239" s="16"/>
      <c r="AEF239" s="16">
        <v>0</v>
      </c>
      <c r="AEG239" s="16">
        <v>0</v>
      </c>
      <c r="AEH239" s="16">
        <v>0.19</v>
      </c>
      <c r="AEI239">
        <v>0</v>
      </c>
      <c r="AEJ239" t="s">
        <v>551</v>
      </c>
      <c r="AEK239">
        <v>17.5</v>
      </c>
      <c r="AEL239" s="16">
        <v>87.6</v>
      </c>
      <c r="AEM239" s="16">
        <v>80.400000000000006</v>
      </c>
      <c r="AEN239" s="16">
        <v>12</v>
      </c>
      <c r="AEO239">
        <v>84.96</v>
      </c>
      <c r="AEP239">
        <v>1.61</v>
      </c>
      <c r="AEQ239">
        <v>0.45</v>
      </c>
      <c r="AER239">
        <v>0</v>
      </c>
      <c r="AES239">
        <v>12.98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15.99</v>
      </c>
      <c r="AFB239">
        <v>7.84</v>
      </c>
      <c r="AFC239">
        <v>0</v>
      </c>
      <c r="AFD239">
        <v>0</v>
      </c>
      <c r="AFE239">
        <v>0</v>
      </c>
      <c r="AFF239">
        <v>0</v>
      </c>
      <c r="AFS239">
        <v>0</v>
      </c>
      <c r="AFT239">
        <v>0</v>
      </c>
      <c r="AGE239" s="18"/>
      <c r="AGW239">
        <v>0</v>
      </c>
      <c r="AIH239" s="16">
        <v>0</v>
      </c>
      <c r="AII239" s="16">
        <v>0</v>
      </c>
      <c r="AIJ239" s="16"/>
      <c r="AIK239" s="16"/>
      <c r="AIL239" s="16"/>
      <c r="AIM239" s="16"/>
      <c r="AIN239" s="16"/>
      <c r="AIO239" s="16"/>
      <c r="AIP239" s="16"/>
      <c r="AIQ239" s="16"/>
      <c r="AIR239" s="16"/>
      <c r="AIS239" s="16">
        <v>5.22</v>
      </c>
      <c r="AIT239" s="16">
        <v>5.37</v>
      </c>
      <c r="AIU239" s="16"/>
      <c r="AIV239" s="16"/>
      <c r="AIW239" s="16">
        <v>0</v>
      </c>
      <c r="AIX239" s="16">
        <v>0</v>
      </c>
      <c r="AIY239" s="16">
        <v>0.19</v>
      </c>
      <c r="AIZ239">
        <v>0</v>
      </c>
      <c r="AJA239" t="s">
        <v>552</v>
      </c>
      <c r="AJB239">
        <v>16.5</v>
      </c>
      <c r="AJC239" s="16">
        <v>73.2</v>
      </c>
      <c r="AJD239" s="16">
        <v>80.400000000000006</v>
      </c>
      <c r="AJE239" s="16">
        <v>10.199999999999999</v>
      </c>
      <c r="AJF239">
        <v>69.430000000000007</v>
      </c>
      <c r="AJG239">
        <v>29.45</v>
      </c>
      <c r="AJH239">
        <v>1.1200000000000001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29.3</v>
      </c>
      <c r="AJS239">
        <v>10.81</v>
      </c>
      <c r="AJT239">
        <v>0</v>
      </c>
      <c r="AJU239">
        <v>0</v>
      </c>
      <c r="AJV239">
        <v>5.9</v>
      </c>
      <c r="AJW239">
        <v>2</v>
      </c>
      <c r="AJX239">
        <v>3</v>
      </c>
      <c r="AJY239">
        <v>2.0099999999999998</v>
      </c>
      <c r="AKD239">
        <v>3</v>
      </c>
      <c r="AKE239">
        <v>2.0099999999999998</v>
      </c>
      <c r="AKJ239">
        <v>0</v>
      </c>
      <c r="AKK239">
        <v>0</v>
      </c>
      <c r="AKV239" s="18"/>
      <c r="ALN239">
        <v>0</v>
      </c>
    </row>
    <row r="240" spans="1:1024" s="24" customFormat="1" x14ac:dyDescent="0.2">
      <c r="A240" s="22" t="s">
        <v>756</v>
      </c>
      <c r="B240" s="23">
        <v>42894</v>
      </c>
      <c r="C240" s="24">
        <v>2</v>
      </c>
      <c r="D240" s="25">
        <v>42793</v>
      </c>
      <c r="E240" s="23">
        <v>35694</v>
      </c>
      <c r="F240" s="14">
        <f t="shared" si="62"/>
        <v>19.71252566735113</v>
      </c>
      <c r="G240" s="14">
        <f t="shared" si="63"/>
        <v>0.27652292950034224</v>
      </c>
      <c r="H240" s="26" t="s">
        <v>181</v>
      </c>
      <c r="I240" s="21" t="s">
        <v>283</v>
      </c>
      <c r="J240" s="21" t="s">
        <v>183</v>
      </c>
      <c r="K240" s="21">
        <v>8</v>
      </c>
      <c r="L240" s="26">
        <v>68</v>
      </c>
      <c r="M240" s="24">
        <v>1.87</v>
      </c>
      <c r="N240" s="27">
        <f t="shared" si="64"/>
        <v>19.445794846864363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19">
        <v>0</v>
      </c>
      <c r="V240" s="19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19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19">
        <v>0</v>
      </c>
      <c r="AY240" s="19">
        <v>0</v>
      </c>
      <c r="AZ240" s="19">
        <v>0</v>
      </c>
      <c r="BA240" s="19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  <c r="BP240" s="26">
        <v>0</v>
      </c>
      <c r="BQ240" s="26">
        <v>0</v>
      </c>
      <c r="BR240" s="26">
        <v>1</v>
      </c>
      <c r="BS240" s="26">
        <v>1</v>
      </c>
      <c r="BT240" s="26">
        <v>1</v>
      </c>
      <c r="BU240" s="26">
        <v>5</v>
      </c>
      <c r="BV240" s="26">
        <v>2</v>
      </c>
      <c r="BW240" s="26">
        <v>1</v>
      </c>
      <c r="BX240" s="26">
        <v>3</v>
      </c>
      <c r="BY240" s="26">
        <v>5</v>
      </c>
      <c r="BZ240" s="26">
        <v>5</v>
      </c>
      <c r="CA240" s="26">
        <v>4</v>
      </c>
      <c r="CB240" s="26">
        <v>5</v>
      </c>
      <c r="CC240" s="26">
        <v>5</v>
      </c>
      <c r="CD240" s="26">
        <v>3</v>
      </c>
      <c r="CE240" s="26">
        <v>4</v>
      </c>
      <c r="CF240" s="26">
        <v>4</v>
      </c>
      <c r="CG240" s="26">
        <v>5</v>
      </c>
      <c r="CH240" s="26"/>
      <c r="CI240" s="26"/>
      <c r="CJ240" s="26"/>
      <c r="CK240" s="26"/>
      <c r="CL240" s="24" t="s">
        <v>286</v>
      </c>
      <c r="CM240" s="24">
        <v>95.5</v>
      </c>
      <c r="CN240" s="27">
        <v>99.1</v>
      </c>
      <c r="CO240" s="27">
        <v>80.400000000000006</v>
      </c>
      <c r="CP240" s="27">
        <v>90.4</v>
      </c>
      <c r="CQ240" s="24">
        <v>24.15</v>
      </c>
      <c r="CR240" s="29">
        <v>0</v>
      </c>
      <c r="CS240" s="24">
        <v>31.26</v>
      </c>
      <c r="CT240" s="24">
        <v>44.6</v>
      </c>
      <c r="CU240" s="24">
        <v>0</v>
      </c>
      <c r="CV240" s="24">
        <v>0</v>
      </c>
      <c r="CW240" s="24">
        <v>0</v>
      </c>
      <c r="CX240" s="24">
        <v>0</v>
      </c>
      <c r="CY240" s="24">
        <v>0</v>
      </c>
      <c r="CZ240" s="24">
        <v>0</v>
      </c>
      <c r="DA240" s="24">
        <v>0</v>
      </c>
      <c r="DB240" s="24">
        <v>0</v>
      </c>
      <c r="DC240" s="24">
        <v>0</v>
      </c>
      <c r="DD240" s="24">
        <v>24.75</v>
      </c>
      <c r="DE240" s="24">
        <v>2.4700000000000002</v>
      </c>
      <c r="DF240" s="24">
        <v>0</v>
      </c>
      <c r="DG240" s="24">
        <v>0</v>
      </c>
      <c r="DH240" s="24">
        <v>0</v>
      </c>
      <c r="DU240" s="24">
        <v>0.2</v>
      </c>
      <c r="DV240" s="24">
        <v>1</v>
      </c>
      <c r="DW240" s="24">
        <v>34</v>
      </c>
      <c r="DX240" s="24">
        <v>16</v>
      </c>
      <c r="DY240" s="24">
        <f>6.09+1.07</f>
        <v>7.16</v>
      </c>
      <c r="DZ240" s="24">
        <v>1</v>
      </c>
      <c r="EA240" s="24">
        <v>68</v>
      </c>
      <c r="EB240" s="24">
        <v>1</v>
      </c>
      <c r="EC240" s="24">
        <v>0.13</v>
      </c>
      <c r="ED240" s="24">
        <v>1</v>
      </c>
      <c r="EG240" s="28"/>
      <c r="EY240" s="24">
        <v>0</v>
      </c>
      <c r="GJ240" s="27">
        <v>0.63</v>
      </c>
      <c r="GK240" s="27">
        <v>1</v>
      </c>
      <c r="GL240" s="27">
        <v>1</v>
      </c>
      <c r="GM240" s="27"/>
      <c r="GN240" s="27">
        <v>1.52</v>
      </c>
      <c r="GO240" s="27"/>
      <c r="GP240" s="27"/>
      <c r="GQ240" s="27"/>
      <c r="GR240" s="27"/>
      <c r="GS240" s="27"/>
      <c r="GT240" s="27"/>
      <c r="GU240" s="27">
        <v>0</v>
      </c>
      <c r="GV240" s="27">
        <v>0</v>
      </c>
      <c r="GW240" s="27"/>
      <c r="GX240" s="27"/>
      <c r="GY240" s="27">
        <v>0</v>
      </c>
      <c r="GZ240" s="27">
        <v>0</v>
      </c>
      <c r="HA240" s="27">
        <v>0</v>
      </c>
      <c r="HB240" s="24">
        <v>0</v>
      </c>
      <c r="HC240" s="24" t="s">
        <v>287</v>
      </c>
      <c r="HD240" s="24">
        <v>61.5</v>
      </c>
      <c r="HE240" s="27">
        <v>83.5</v>
      </c>
      <c r="HF240" s="27">
        <v>80.400000000000006</v>
      </c>
      <c r="HG240" s="27">
        <v>56.1</v>
      </c>
      <c r="HH240" s="24">
        <v>51.73</v>
      </c>
      <c r="HI240" s="29">
        <v>0</v>
      </c>
      <c r="HJ240" s="24">
        <v>30.08</v>
      </c>
      <c r="HK240" s="24">
        <v>18.190000000000001</v>
      </c>
      <c r="HL240" s="24">
        <v>0</v>
      </c>
      <c r="HM240" s="24">
        <v>0</v>
      </c>
      <c r="HN240" s="24">
        <v>0</v>
      </c>
      <c r="HO240" s="24">
        <v>0</v>
      </c>
      <c r="HP240" s="24">
        <v>0</v>
      </c>
      <c r="HQ240" s="24">
        <v>0</v>
      </c>
      <c r="HR240" s="24">
        <v>0</v>
      </c>
      <c r="HS240" s="24">
        <v>0</v>
      </c>
      <c r="HT240" s="24">
        <v>0.3</v>
      </c>
      <c r="HU240" s="24">
        <v>27.59</v>
      </c>
      <c r="HV240" s="24">
        <v>0</v>
      </c>
      <c r="HW240" s="24">
        <v>0</v>
      </c>
      <c r="HX240" s="24">
        <v>0</v>
      </c>
      <c r="HY240" s="24">
        <v>0</v>
      </c>
      <c r="IL240" s="24">
        <v>0</v>
      </c>
      <c r="IM240" s="24">
        <v>0</v>
      </c>
      <c r="IX240" s="28"/>
      <c r="JP240" s="24">
        <v>0</v>
      </c>
      <c r="LA240" s="27">
        <v>1.96</v>
      </c>
      <c r="LB240" s="27">
        <v>1</v>
      </c>
      <c r="LC240" s="27">
        <v>1</v>
      </c>
      <c r="LD240" s="27"/>
      <c r="LE240" s="27">
        <f>5.53+3.68+1.71+1.12+0.74</f>
        <v>12.780000000000003</v>
      </c>
      <c r="LF240" s="27"/>
      <c r="LG240" s="27"/>
      <c r="LH240" s="27"/>
      <c r="LI240" s="27"/>
      <c r="LJ240" s="27"/>
      <c r="LK240" s="27"/>
      <c r="LL240" s="27">
        <v>0.94</v>
      </c>
      <c r="LM240" s="27">
        <v>0.94</v>
      </c>
      <c r="LN240" s="27"/>
      <c r="LO240" s="27"/>
      <c r="LP240" s="27">
        <v>0</v>
      </c>
      <c r="LQ240" s="27">
        <v>0</v>
      </c>
      <c r="LR240" s="27">
        <v>0</v>
      </c>
      <c r="LS240" s="24">
        <v>0</v>
      </c>
      <c r="LT240" s="24" t="s">
        <v>288</v>
      </c>
      <c r="LU240" s="24">
        <v>77.5</v>
      </c>
      <c r="LV240" s="27">
        <v>87.4</v>
      </c>
      <c r="LW240" s="27">
        <v>80.400000000000006</v>
      </c>
      <c r="LX240" s="27">
        <v>53.5</v>
      </c>
      <c r="LY240" s="24">
        <v>51.28</v>
      </c>
      <c r="LZ240" s="29">
        <v>0</v>
      </c>
      <c r="MA240" s="24">
        <v>27.27</v>
      </c>
      <c r="MB240" s="24">
        <v>21.22</v>
      </c>
      <c r="MC240" s="24">
        <v>0</v>
      </c>
      <c r="MD240" s="24">
        <v>0</v>
      </c>
      <c r="ME240" s="24">
        <v>0</v>
      </c>
      <c r="MF240" s="24">
        <v>0</v>
      </c>
      <c r="MG240" s="24">
        <v>0</v>
      </c>
      <c r="MH240" s="24">
        <v>0</v>
      </c>
      <c r="MI240" s="24">
        <v>0</v>
      </c>
      <c r="MJ240" s="24">
        <v>0</v>
      </c>
      <c r="MK240" s="24">
        <v>5.93</v>
      </c>
      <c r="ML240" s="24">
        <v>4.6100000000000003</v>
      </c>
      <c r="MM240" s="24">
        <v>5.38</v>
      </c>
      <c r="MN240" s="24">
        <v>0</v>
      </c>
      <c r="MO240" s="24">
        <v>15.4</v>
      </c>
      <c r="MP240" s="24">
        <v>1</v>
      </c>
      <c r="MQ240" s="24">
        <v>4</v>
      </c>
      <c r="MS240" s="24">
        <v>2</v>
      </c>
      <c r="MW240" s="24">
        <v>4</v>
      </c>
      <c r="MY240" s="24">
        <v>2</v>
      </c>
      <c r="NC240" s="24">
        <v>6.7</v>
      </c>
      <c r="ND240" s="24">
        <v>1</v>
      </c>
      <c r="NE240" s="24">
        <v>35</v>
      </c>
      <c r="NF240" s="24">
        <v>6</v>
      </c>
      <c r="NG240" s="24">
        <v>0.8</v>
      </c>
      <c r="NH240" s="24">
        <v>3</v>
      </c>
      <c r="NI240" s="24">
        <v>47</v>
      </c>
      <c r="NJ240" s="24">
        <v>1</v>
      </c>
      <c r="NK240" s="24">
        <v>0.13</v>
      </c>
      <c r="NL240" s="24">
        <v>3</v>
      </c>
      <c r="NO240" s="28"/>
      <c r="OG240" s="24">
        <v>1</v>
      </c>
      <c r="OH240" s="24">
        <v>60</v>
      </c>
      <c r="OI240" s="24">
        <v>3</v>
      </c>
      <c r="OJ240" s="24">
        <v>1.35</v>
      </c>
      <c r="OK240" s="24">
        <v>2</v>
      </c>
      <c r="PR240" s="27">
        <v>0</v>
      </c>
      <c r="PS240" s="27">
        <v>0</v>
      </c>
      <c r="PT240" s="27"/>
      <c r="PU240" s="27"/>
      <c r="PV240" s="27"/>
      <c r="PW240" s="27"/>
      <c r="PX240" s="27"/>
      <c r="PY240" s="27"/>
      <c r="PZ240" s="27"/>
      <c r="QA240" s="27"/>
      <c r="QB240" s="27"/>
      <c r="QC240" s="27">
        <v>0</v>
      </c>
      <c r="QD240" s="27">
        <v>0</v>
      </c>
      <c r="QE240" s="27"/>
      <c r="QF240" s="27"/>
      <c r="QG240" s="27">
        <v>0</v>
      </c>
      <c r="QH240" s="27">
        <v>0</v>
      </c>
      <c r="QI240" s="27">
        <v>0</v>
      </c>
      <c r="QJ240" s="24">
        <v>0</v>
      </c>
      <c r="QK240" s="24" t="s">
        <v>290</v>
      </c>
      <c r="QL240" s="24">
        <v>43</v>
      </c>
      <c r="QM240" s="27">
        <v>49.3</v>
      </c>
      <c r="QN240" s="27">
        <v>80.400000000000006</v>
      </c>
      <c r="QO240" s="27">
        <v>32.9</v>
      </c>
      <c r="QP240" s="24">
        <v>73.52</v>
      </c>
      <c r="QQ240" s="29">
        <v>0</v>
      </c>
      <c r="QR240" s="24">
        <v>16.84</v>
      </c>
      <c r="QS240" s="24">
        <v>9.64</v>
      </c>
      <c r="QT240" s="24">
        <v>0</v>
      </c>
      <c r="QU240" s="24">
        <v>0</v>
      </c>
      <c r="QV240" s="24">
        <v>0</v>
      </c>
      <c r="QW240" s="24">
        <v>0</v>
      </c>
      <c r="QX240" s="24">
        <v>0</v>
      </c>
      <c r="QY240" s="24">
        <v>0</v>
      </c>
      <c r="QZ240" s="24">
        <v>0</v>
      </c>
      <c r="RA240" s="24">
        <v>0</v>
      </c>
      <c r="RB240" s="24">
        <v>13.52</v>
      </c>
      <c r="RC240" s="24">
        <v>3.69</v>
      </c>
      <c r="RD240" s="24">
        <v>3.85</v>
      </c>
      <c r="RE240" s="24">
        <v>0</v>
      </c>
      <c r="RF240" s="24">
        <v>0</v>
      </c>
      <c r="RG240" s="24">
        <v>0</v>
      </c>
      <c r="RT240" s="24">
        <v>7.4</v>
      </c>
      <c r="RU240" s="24">
        <v>1</v>
      </c>
      <c r="RV240" s="24">
        <v>47</v>
      </c>
      <c r="RW240" s="24">
        <v>11</v>
      </c>
      <c r="RX240" s="24">
        <f>2.09+0.15+0.04</f>
        <v>2.2799999999999998</v>
      </c>
      <c r="RY240" s="24">
        <v>3</v>
      </c>
      <c r="SF240" s="28"/>
      <c r="SX240" s="24">
        <v>0</v>
      </c>
      <c r="UI240" s="27">
        <v>0.28000000000000003</v>
      </c>
      <c r="UJ240" s="27">
        <v>1</v>
      </c>
      <c r="UK240" s="27">
        <v>1</v>
      </c>
      <c r="UL240" s="27"/>
      <c r="UM240" s="27">
        <v>0.56000000000000005</v>
      </c>
      <c r="UN240" s="27"/>
      <c r="UO240" s="27"/>
      <c r="UP240" s="27"/>
      <c r="UQ240" s="27"/>
      <c r="UR240" s="27"/>
      <c r="US240" s="27"/>
      <c r="UT240" s="27">
        <v>0.99</v>
      </c>
      <c r="UU240" s="27">
        <v>0.39</v>
      </c>
      <c r="UV240" s="27"/>
      <c r="UW240" s="27"/>
      <c r="UX240" s="27">
        <v>0</v>
      </c>
      <c r="UY240" s="27">
        <v>0</v>
      </c>
      <c r="UZ240" s="27">
        <v>0</v>
      </c>
      <c r="VA240" s="24">
        <v>0</v>
      </c>
      <c r="VB240" s="24">
        <v>56</v>
      </c>
      <c r="VC240" s="24">
        <v>26.5</v>
      </c>
      <c r="VD240" s="27">
        <v>66.099999999999994</v>
      </c>
      <c r="VE240" s="27">
        <v>80.400000000000006</v>
      </c>
      <c r="VF240" s="27">
        <v>15</v>
      </c>
      <c r="VG240" s="24">
        <v>89</v>
      </c>
      <c r="VH240" s="29">
        <v>0</v>
      </c>
      <c r="VI240" s="24">
        <v>7.09</v>
      </c>
      <c r="VJ240" s="24">
        <v>2.12</v>
      </c>
      <c r="VK240" s="24">
        <v>0</v>
      </c>
      <c r="VL240" s="24">
        <v>0</v>
      </c>
      <c r="VM240" s="24">
        <v>0</v>
      </c>
      <c r="VN240" s="24">
        <v>0</v>
      </c>
      <c r="VO240" s="24">
        <v>0</v>
      </c>
      <c r="VP240" s="24">
        <v>0</v>
      </c>
      <c r="VQ240" s="24">
        <v>0</v>
      </c>
      <c r="VR240" s="24">
        <v>0</v>
      </c>
      <c r="VS240" s="24">
        <v>4.26</v>
      </c>
      <c r="VT240" s="24">
        <v>32.68</v>
      </c>
      <c r="VU240" s="24">
        <v>1.91</v>
      </c>
      <c r="VV240" s="24">
        <v>0</v>
      </c>
      <c r="VW240" s="24">
        <v>0</v>
      </c>
      <c r="VX240" s="24">
        <v>0</v>
      </c>
      <c r="WK240" s="24">
        <v>0</v>
      </c>
      <c r="WL240" s="24">
        <v>0</v>
      </c>
      <c r="WW240" s="28"/>
      <c r="XO240" s="24">
        <v>0</v>
      </c>
      <c r="YZ240" s="27">
        <v>3.52</v>
      </c>
      <c r="ZA240" s="27">
        <v>1</v>
      </c>
      <c r="ZB240" s="27">
        <v>1</v>
      </c>
      <c r="ZC240" s="27"/>
      <c r="ZD240" s="27">
        <f>3.13+3.17*4</f>
        <v>15.809999999999999</v>
      </c>
      <c r="ZE240" s="27">
        <v>2</v>
      </c>
      <c r="ZF240" s="27"/>
      <c r="ZG240" s="27">
        <v>0.87</v>
      </c>
      <c r="ZH240" s="27"/>
      <c r="ZI240" s="27"/>
      <c r="ZJ240" s="27"/>
      <c r="ZK240" s="27">
        <v>5.36</v>
      </c>
      <c r="ZL240" s="27">
        <v>8.39</v>
      </c>
      <c r="ZM240" s="27"/>
      <c r="ZN240" s="27"/>
      <c r="ZO240" s="27">
        <v>0</v>
      </c>
      <c r="ZP240" s="27">
        <v>0</v>
      </c>
      <c r="ZQ240" s="27">
        <v>0</v>
      </c>
      <c r="ZR240" s="24">
        <v>0</v>
      </c>
      <c r="ZS240" s="24" t="s">
        <v>291</v>
      </c>
      <c r="ZT240" s="24">
        <v>35.5</v>
      </c>
      <c r="ZU240" s="27">
        <v>84</v>
      </c>
      <c r="ZV240" s="27">
        <v>80.400000000000006</v>
      </c>
      <c r="ZW240" s="27">
        <v>10.5</v>
      </c>
      <c r="ZX240" s="24">
        <v>95.42</v>
      </c>
      <c r="ZY240" s="29">
        <v>0</v>
      </c>
      <c r="ZZ240" s="24">
        <v>4.58</v>
      </c>
      <c r="AAA240" s="24">
        <v>0</v>
      </c>
      <c r="AAB240" s="24">
        <v>0</v>
      </c>
      <c r="AAC240" s="24">
        <v>0</v>
      </c>
      <c r="AAD240" s="24">
        <v>0</v>
      </c>
      <c r="AAE240" s="24">
        <v>0</v>
      </c>
      <c r="AAF240" s="24">
        <v>0</v>
      </c>
      <c r="AAG240" s="24">
        <v>0</v>
      </c>
      <c r="AAH240" s="24">
        <v>0</v>
      </c>
      <c r="AAI240" s="24">
        <v>0</v>
      </c>
      <c r="AAJ240" s="24">
        <v>17.829999999999998</v>
      </c>
      <c r="AAK240" s="24">
        <v>40.99</v>
      </c>
      <c r="AAL240" s="24">
        <v>9.34</v>
      </c>
      <c r="AAM240" s="24">
        <v>0</v>
      </c>
      <c r="AAN240" s="24">
        <v>0</v>
      </c>
      <c r="AAO240" s="24">
        <v>0</v>
      </c>
      <c r="ABB240" s="24">
        <v>4.4000000000000004</v>
      </c>
      <c r="ABC240" s="24">
        <v>1</v>
      </c>
      <c r="ABD240" s="24">
        <v>34</v>
      </c>
      <c r="ABE240" s="24">
        <v>10</v>
      </c>
      <c r="ABF240" s="24">
        <f>8.56+1.51</f>
        <v>10.07</v>
      </c>
      <c r="ABG240" s="24">
        <v>1</v>
      </c>
      <c r="ABH240" s="24">
        <v>68</v>
      </c>
      <c r="ABI240" s="24">
        <v>6</v>
      </c>
      <c r="ABJ240" s="24">
        <f>3.43+0.6</f>
        <v>4.03</v>
      </c>
      <c r="ABK240" s="24">
        <v>1</v>
      </c>
      <c r="ABN240" s="28"/>
      <c r="ACF240" s="24">
        <v>0</v>
      </c>
      <c r="ADQ240" s="27">
        <v>1.25</v>
      </c>
      <c r="ADR240" s="27">
        <v>1</v>
      </c>
      <c r="ADS240" s="27">
        <v>1</v>
      </c>
      <c r="ADT240" s="27"/>
      <c r="ADU240" s="27">
        <f>2.09+3.13</f>
        <v>5.22</v>
      </c>
      <c r="ADV240" s="27"/>
      <c r="ADW240" s="27"/>
      <c r="ADX240" s="27"/>
      <c r="ADY240" s="27"/>
      <c r="ADZ240" s="27"/>
      <c r="AEA240" s="27"/>
      <c r="AEB240" s="27">
        <v>15.75</v>
      </c>
      <c r="AEC240" s="27">
        <v>41.8</v>
      </c>
      <c r="AED240" s="27"/>
      <c r="AEE240" s="27"/>
      <c r="AEF240" s="27">
        <v>0</v>
      </c>
      <c r="AEG240" s="27">
        <v>0</v>
      </c>
      <c r="AEH240" s="27">
        <v>0</v>
      </c>
      <c r="AEI240" s="24">
        <v>0</v>
      </c>
      <c r="AEJ240" s="24" t="s">
        <v>757</v>
      </c>
      <c r="AEK240" s="24">
        <v>36</v>
      </c>
      <c r="AEL240" s="27">
        <v>87.4</v>
      </c>
      <c r="AEM240" s="27">
        <v>80.400000000000006</v>
      </c>
      <c r="AEN240" s="27">
        <v>27.8</v>
      </c>
      <c r="AEO240" s="24">
        <v>71.12</v>
      </c>
      <c r="AEP240" s="29">
        <v>0</v>
      </c>
      <c r="AEQ240" s="24">
        <v>26.39</v>
      </c>
      <c r="AER240" s="24">
        <v>2.4900000000000002</v>
      </c>
      <c r="AES240" s="24">
        <v>0</v>
      </c>
      <c r="AET240" s="24">
        <v>0</v>
      </c>
      <c r="AEU240" s="24">
        <v>0</v>
      </c>
      <c r="AEV240" s="24">
        <v>0</v>
      </c>
      <c r="AEW240" s="24">
        <v>0</v>
      </c>
      <c r="AEX240" s="24">
        <v>0</v>
      </c>
      <c r="AEY240" s="24">
        <v>0</v>
      </c>
      <c r="AEZ240" s="24">
        <v>0</v>
      </c>
      <c r="AFA240" s="24">
        <v>49.1</v>
      </c>
      <c r="AFB240" s="24">
        <v>13.54</v>
      </c>
      <c r="AFC240" s="24">
        <v>0</v>
      </c>
      <c r="AFD240" s="24">
        <v>0</v>
      </c>
      <c r="AFE240" s="24">
        <v>0</v>
      </c>
      <c r="AFF240" s="24">
        <v>0</v>
      </c>
      <c r="AFS240" s="24">
        <v>2.4</v>
      </c>
      <c r="AFT240" s="24">
        <v>0</v>
      </c>
      <c r="AGE240" s="28"/>
      <c r="AGW240" s="24">
        <v>1</v>
      </c>
      <c r="AGX240" s="24">
        <v>70</v>
      </c>
      <c r="AGY240" s="24">
        <v>2</v>
      </c>
      <c r="AGZ240" s="24">
        <f>0.83*2</f>
        <v>1.66</v>
      </c>
      <c r="AHA240" s="24">
        <v>2</v>
      </c>
      <c r="AHB240" s="24">
        <v>90</v>
      </c>
      <c r="AHC240" s="24">
        <v>2</v>
      </c>
      <c r="AHD240" s="24">
        <f>0.41*2</f>
        <v>0.82</v>
      </c>
      <c r="AHE240" s="24">
        <v>1</v>
      </c>
      <c r="AIH240" s="27">
        <v>1.59</v>
      </c>
      <c r="AII240" s="27">
        <v>1</v>
      </c>
      <c r="AIJ240" s="27">
        <v>1</v>
      </c>
      <c r="AIK240" s="27"/>
      <c r="AIL240" s="27">
        <v>12.69</v>
      </c>
      <c r="AIM240" s="27"/>
      <c r="AIN240" s="27"/>
      <c r="AIO240" s="27"/>
      <c r="AIP240" s="27"/>
      <c r="AIQ240" s="27"/>
      <c r="AIR240" s="27"/>
      <c r="AIS240" s="27">
        <v>4.1900000000000004</v>
      </c>
      <c r="AIT240" s="27">
        <v>4.18</v>
      </c>
      <c r="AIU240" s="27"/>
      <c r="AIV240" s="27"/>
      <c r="AIW240" s="27">
        <v>0</v>
      </c>
      <c r="AIX240" s="27">
        <v>0</v>
      </c>
      <c r="AIY240" s="27">
        <v>0</v>
      </c>
      <c r="AIZ240" s="24">
        <v>0</v>
      </c>
      <c r="AJA240" s="21"/>
      <c r="AJB240" s="21"/>
      <c r="AJD240" s="33"/>
      <c r="AJE240" s="33"/>
      <c r="AJH240" s="33"/>
      <c r="AJI240" s="21"/>
      <c r="AJJ240" s="21"/>
      <c r="AJL240" s="33"/>
      <c r="AJM240" s="33"/>
      <c r="AJP240" s="33"/>
      <c r="AJQ240" s="21"/>
      <c r="AJR240" s="21"/>
      <c r="AJT240" s="33"/>
      <c r="AJU240" s="33"/>
      <c r="AJX240" s="33"/>
      <c r="AJY240" s="21"/>
      <c r="AJZ240" s="21"/>
      <c r="AKB240" s="33"/>
      <c r="AKC240" s="33"/>
      <c r="AKF240" s="33"/>
      <c r="AKG240" s="21"/>
      <c r="AKH240" s="21"/>
      <c r="AKJ240" s="33"/>
      <c r="AKK240" s="33"/>
      <c r="AKN240" s="33"/>
      <c r="AKO240" s="21"/>
      <c r="AKP240" s="21"/>
      <c r="AKR240" s="33"/>
      <c r="AKS240" s="33"/>
      <c r="AKV240" s="33"/>
      <c r="AKW240" s="21"/>
      <c r="AKX240" s="21"/>
      <c r="AKZ240" s="33"/>
      <c r="ALA240" s="33"/>
      <c r="ALD240" s="33"/>
      <c r="ALE240" s="21"/>
      <c r="ALF240" s="21"/>
      <c r="ALH240" s="33"/>
      <c r="ALI240" s="33"/>
      <c r="ALL240" s="33"/>
      <c r="ALM240" s="21"/>
      <c r="ALN240" s="21"/>
      <c r="ALP240" s="33"/>
      <c r="ALQ240" s="33"/>
      <c r="ALT240" s="33"/>
      <c r="ALU240" s="21"/>
      <c r="ALV240" s="21"/>
      <c r="ALX240" s="33"/>
      <c r="ALY240" s="33"/>
      <c r="AMB240" s="33"/>
      <c r="AMC240" s="21"/>
      <c r="AMD240" s="21"/>
      <c r="AMF240" s="33"/>
      <c r="AMG240" s="33"/>
      <c r="AMJ240" s="33"/>
    </row>
    <row r="241" spans="1:1024" s="15" customFormat="1" x14ac:dyDescent="0.2">
      <c r="A241" s="1" t="s">
        <v>758</v>
      </c>
      <c r="B241" s="12">
        <v>42895</v>
      </c>
      <c r="C241">
        <v>2</v>
      </c>
      <c r="D241" s="13">
        <v>35170</v>
      </c>
      <c r="E241" s="12">
        <v>23735</v>
      </c>
      <c r="F241" s="14">
        <f t="shared" si="62"/>
        <v>52.45722108145106</v>
      </c>
      <c r="G241" s="14">
        <f t="shared" si="63"/>
        <v>21.149897330595483</v>
      </c>
      <c r="H241" s="19" t="s">
        <v>183</v>
      </c>
      <c r="I241" s="15" t="s">
        <v>383</v>
      </c>
      <c r="J241" s="21" t="s">
        <v>181</v>
      </c>
      <c r="K241" s="21">
        <v>4</v>
      </c>
      <c r="L241" s="19">
        <v>62</v>
      </c>
      <c r="M241">
        <v>1.66</v>
      </c>
      <c r="N241" s="16">
        <f t="shared" si="64"/>
        <v>22.499637102627378</v>
      </c>
      <c r="O241" s="19">
        <v>1</v>
      </c>
      <c r="P241" s="19">
        <v>1</v>
      </c>
      <c r="Q241" s="19" t="s">
        <v>759</v>
      </c>
      <c r="R241" s="26">
        <v>0</v>
      </c>
      <c r="S241" s="26">
        <v>0</v>
      </c>
      <c r="T241" s="26">
        <v>0</v>
      </c>
      <c r="U241" s="19">
        <v>0</v>
      </c>
      <c r="V241" s="19">
        <v>0</v>
      </c>
      <c r="W241" s="19">
        <v>1</v>
      </c>
      <c r="X241" s="19">
        <v>0</v>
      </c>
      <c r="Y241" s="19">
        <v>0</v>
      </c>
      <c r="Z241" s="19">
        <v>0</v>
      </c>
      <c r="AA241" s="19">
        <v>0</v>
      </c>
      <c r="AB241" s="19">
        <v>0</v>
      </c>
      <c r="AC241" s="19">
        <v>0</v>
      </c>
      <c r="AD241" s="19">
        <v>0</v>
      </c>
      <c r="AE241" s="19">
        <v>1</v>
      </c>
      <c r="AF241" s="19">
        <v>0</v>
      </c>
      <c r="AG241" s="19">
        <v>1</v>
      </c>
      <c r="AH241" s="19">
        <v>7</v>
      </c>
      <c r="AI241" s="19">
        <v>1</v>
      </c>
      <c r="AJ241" s="19">
        <v>0</v>
      </c>
      <c r="AK241" s="19">
        <v>0</v>
      </c>
      <c r="AL241" s="19">
        <v>0</v>
      </c>
      <c r="AM241" s="19">
        <v>0</v>
      </c>
      <c r="AN241" s="19">
        <v>1</v>
      </c>
      <c r="AO241" s="19">
        <v>0</v>
      </c>
      <c r="AP241" s="19">
        <v>0</v>
      </c>
      <c r="AQ241" s="19">
        <v>0</v>
      </c>
      <c r="AR241" s="19">
        <v>0</v>
      </c>
      <c r="AS241" s="19">
        <v>1</v>
      </c>
      <c r="AT241" s="19">
        <v>0</v>
      </c>
      <c r="AU241" s="19">
        <v>0</v>
      </c>
      <c r="AV241" s="19">
        <v>0</v>
      </c>
      <c r="AW241" s="19">
        <v>0</v>
      </c>
      <c r="AX241" s="19">
        <v>1</v>
      </c>
      <c r="AY241" s="19">
        <v>0</v>
      </c>
      <c r="AZ241" s="19">
        <v>0</v>
      </c>
      <c r="BA241" s="19">
        <v>0</v>
      </c>
      <c r="BB241" s="19">
        <v>1</v>
      </c>
      <c r="BC241" s="19">
        <v>0</v>
      </c>
      <c r="BD241" s="19">
        <v>0</v>
      </c>
      <c r="BE241" s="19">
        <v>0</v>
      </c>
      <c r="BF241" s="19">
        <v>1</v>
      </c>
      <c r="BG241" s="19">
        <v>0</v>
      </c>
      <c r="BH241" s="19">
        <v>1</v>
      </c>
      <c r="BI241" s="19">
        <v>5</v>
      </c>
      <c r="BJ241" s="19">
        <v>1</v>
      </c>
      <c r="BK241" s="19">
        <v>1</v>
      </c>
      <c r="BL241" s="19">
        <v>1</v>
      </c>
      <c r="BM241" s="19">
        <v>6</v>
      </c>
      <c r="BN241" s="19">
        <v>0</v>
      </c>
      <c r="BO241" s="19">
        <v>0</v>
      </c>
      <c r="BP241" s="19">
        <v>0</v>
      </c>
      <c r="BQ241" s="19">
        <v>0</v>
      </c>
      <c r="BR241" s="19">
        <v>2</v>
      </c>
      <c r="BS241" s="19">
        <v>2</v>
      </c>
      <c r="BT241" s="19">
        <v>4</v>
      </c>
      <c r="BU241" s="19">
        <v>3</v>
      </c>
      <c r="BV241" s="19">
        <v>2</v>
      </c>
      <c r="BW241" s="19">
        <v>3</v>
      </c>
      <c r="BX241" s="19">
        <v>2</v>
      </c>
      <c r="BY241" s="19">
        <v>2</v>
      </c>
      <c r="BZ241" s="19">
        <v>2</v>
      </c>
      <c r="CA241" s="19">
        <v>3</v>
      </c>
      <c r="CB241" s="19">
        <v>3</v>
      </c>
      <c r="CC241" s="19">
        <v>5</v>
      </c>
      <c r="CD241" s="19">
        <v>1</v>
      </c>
      <c r="CE241" s="19">
        <v>3</v>
      </c>
      <c r="CF241" s="19">
        <v>4</v>
      </c>
      <c r="CG241" s="19">
        <v>4</v>
      </c>
      <c r="CH241" s="19">
        <v>3</v>
      </c>
      <c r="CI241" s="19">
        <v>4</v>
      </c>
      <c r="CJ241" s="19">
        <v>2</v>
      </c>
      <c r="CK241" s="19">
        <v>7</v>
      </c>
      <c r="CL241" s="15" t="s">
        <v>385</v>
      </c>
      <c r="CM241" s="15">
        <v>38.5</v>
      </c>
      <c r="CN241" s="17">
        <v>55</v>
      </c>
      <c r="CO241" s="17">
        <v>114</v>
      </c>
      <c r="CP241" s="17">
        <v>7.8</v>
      </c>
      <c r="CQ241" s="17">
        <v>95.15</v>
      </c>
      <c r="CR241" s="17">
        <v>0</v>
      </c>
      <c r="CS241" s="17">
        <v>3.78</v>
      </c>
      <c r="CT241" s="17">
        <v>0</v>
      </c>
      <c r="CU241" s="17">
        <v>1.07</v>
      </c>
      <c r="CV241" s="17">
        <v>0</v>
      </c>
      <c r="CW241" s="17">
        <v>0</v>
      </c>
      <c r="CX241" s="17">
        <v>0</v>
      </c>
      <c r="CY241" s="17">
        <v>0</v>
      </c>
      <c r="CZ241" s="17">
        <v>0</v>
      </c>
      <c r="DA241" s="17">
        <v>0</v>
      </c>
      <c r="DB241" s="17">
        <v>0</v>
      </c>
      <c r="DC241" s="17">
        <v>15.05</v>
      </c>
      <c r="DD241" s="17">
        <v>4.58</v>
      </c>
      <c r="DE241" s="17">
        <v>0.1</v>
      </c>
      <c r="DF241" s="17">
        <v>0</v>
      </c>
      <c r="DG241" s="17">
        <v>0</v>
      </c>
      <c r="DH241" s="17">
        <v>0</v>
      </c>
      <c r="DU241" s="15">
        <v>22.8</v>
      </c>
      <c r="DV241" s="15">
        <v>1</v>
      </c>
      <c r="DW241" s="15">
        <v>38</v>
      </c>
      <c r="DX241" s="15">
        <v>5</v>
      </c>
      <c r="DY241" s="15">
        <f>2.45+1.09</f>
        <v>3.54</v>
      </c>
      <c r="DZ241" s="15">
        <v>5</v>
      </c>
      <c r="EG241" s="31"/>
      <c r="EK241" s="31"/>
      <c r="EO241" s="31"/>
      <c r="ES241" s="31"/>
      <c r="EW241" s="31"/>
      <c r="EY241" s="15">
        <v>0</v>
      </c>
      <c r="GJ241" s="15">
        <v>0</v>
      </c>
      <c r="GK241" s="15">
        <v>0</v>
      </c>
      <c r="GU241" s="15">
        <v>7.84</v>
      </c>
      <c r="GV241" s="15">
        <f>2.45+1.09</f>
        <v>3.54</v>
      </c>
      <c r="GW241" s="15">
        <v>0</v>
      </c>
      <c r="GX241" s="15">
        <v>0</v>
      </c>
      <c r="GY241" s="15">
        <v>0</v>
      </c>
      <c r="GZ241" s="15">
        <v>0</v>
      </c>
      <c r="HA241" s="15">
        <v>0</v>
      </c>
      <c r="HB241" s="15">
        <v>0</v>
      </c>
      <c r="HC241" s="15" t="s">
        <v>386</v>
      </c>
      <c r="HD241" s="15">
        <v>38</v>
      </c>
      <c r="HE241" s="17">
        <v>48.8</v>
      </c>
      <c r="HF241" s="17">
        <v>114</v>
      </c>
      <c r="HG241" s="17">
        <v>7.2</v>
      </c>
      <c r="HH241" s="17">
        <v>96.13</v>
      </c>
      <c r="HI241" s="17">
        <v>0</v>
      </c>
      <c r="HJ241" s="17">
        <v>3.78</v>
      </c>
      <c r="HK241" s="17">
        <v>0</v>
      </c>
      <c r="HL241" s="17">
        <v>0.1</v>
      </c>
      <c r="HM241" s="17">
        <v>0</v>
      </c>
      <c r="HN241" s="17">
        <v>0</v>
      </c>
      <c r="HO241" s="17">
        <v>0</v>
      </c>
      <c r="HP241" s="17">
        <v>0</v>
      </c>
      <c r="HQ241" s="17">
        <v>0</v>
      </c>
      <c r="HR241" s="17">
        <v>0</v>
      </c>
      <c r="HS241" s="17">
        <v>0</v>
      </c>
      <c r="HT241" s="17">
        <v>12.85</v>
      </c>
      <c r="HU241" s="17">
        <v>4.58</v>
      </c>
      <c r="HV241" s="17">
        <v>0.1</v>
      </c>
      <c r="HW241" s="17">
        <v>0</v>
      </c>
      <c r="HX241" s="17">
        <v>0</v>
      </c>
      <c r="HY241" s="17">
        <v>0</v>
      </c>
      <c r="IL241" s="15">
        <v>22.8</v>
      </c>
      <c r="IM241" s="15">
        <v>1</v>
      </c>
      <c r="IN241" s="15">
        <v>38</v>
      </c>
      <c r="IO241" s="15">
        <v>5</v>
      </c>
      <c r="IP241" s="15">
        <f>2.45+1.09</f>
        <v>3.54</v>
      </c>
      <c r="IQ241" s="15">
        <v>5</v>
      </c>
      <c r="IR241" s="15">
        <v>20</v>
      </c>
      <c r="IS241" s="15">
        <v>4</v>
      </c>
      <c r="IT241" s="15">
        <v>0.28999999999999998</v>
      </c>
      <c r="IU241" s="15">
        <v>2</v>
      </c>
      <c r="IX241" s="31"/>
      <c r="JB241" s="31"/>
      <c r="JF241" s="31"/>
      <c r="JJ241" s="31"/>
      <c r="JN241" s="31"/>
      <c r="JP241" s="15">
        <v>0</v>
      </c>
      <c r="LA241" s="15">
        <v>0</v>
      </c>
      <c r="LB241" s="15">
        <v>0</v>
      </c>
      <c r="LL241" s="15">
        <v>7.84</v>
      </c>
      <c r="LM241" s="15">
        <f>2.45+1.09</f>
        <v>3.54</v>
      </c>
      <c r="LN241" s="15">
        <v>0</v>
      </c>
      <c r="LO241" s="15">
        <v>0</v>
      </c>
      <c r="LP241" s="15">
        <v>0</v>
      </c>
      <c r="LQ241" s="15">
        <v>0</v>
      </c>
      <c r="LR241" s="15">
        <v>0</v>
      </c>
      <c r="LS241" s="15">
        <v>0</v>
      </c>
      <c r="LT241" s="15" t="s">
        <v>387</v>
      </c>
      <c r="LU241" s="15">
        <v>64</v>
      </c>
      <c r="LV241" s="17">
        <v>70.599999999999994</v>
      </c>
      <c r="LW241" s="17">
        <v>114</v>
      </c>
      <c r="LX241" s="17">
        <v>14.9</v>
      </c>
      <c r="LY241" s="17">
        <v>88.29</v>
      </c>
      <c r="LZ241" s="17">
        <v>0</v>
      </c>
      <c r="MA241" s="17">
        <v>9.81</v>
      </c>
      <c r="MB241" s="17">
        <v>1.64</v>
      </c>
      <c r="MC241" s="17">
        <v>0.26</v>
      </c>
      <c r="MD241" s="17">
        <v>0</v>
      </c>
      <c r="ME241" s="17">
        <v>0</v>
      </c>
      <c r="MF241" s="17">
        <v>0</v>
      </c>
      <c r="MG241" s="17">
        <v>0</v>
      </c>
      <c r="MH241" s="17">
        <v>0</v>
      </c>
      <c r="MI241" s="17">
        <v>0</v>
      </c>
      <c r="MJ241" s="17">
        <v>0.55000000000000004</v>
      </c>
      <c r="MK241" s="17">
        <v>22.64</v>
      </c>
      <c r="ML241" s="17">
        <v>2.58</v>
      </c>
      <c r="MM241" s="17">
        <v>0.13</v>
      </c>
      <c r="MN241" s="17">
        <v>0</v>
      </c>
      <c r="MO241" s="17">
        <v>0</v>
      </c>
      <c r="MP241" s="17">
        <v>0</v>
      </c>
      <c r="NC241" s="15">
        <v>40.4</v>
      </c>
      <c r="ND241" s="15">
        <v>1</v>
      </c>
      <c r="NE241" s="15">
        <v>38</v>
      </c>
      <c r="NF241" s="15">
        <v>9</v>
      </c>
      <c r="NG241" s="15">
        <v>5.52</v>
      </c>
      <c r="NH241" s="15">
        <v>5</v>
      </c>
      <c r="NI241" s="15">
        <v>23</v>
      </c>
      <c r="NJ241" s="15">
        <v>1</v>
      </c>
      <c r="NK241" s="15">
        <v>0.09</v>
      </c>
      <c r="NL241" s="15">
        <v>3</v>
      </c>
      <c r="NO241" s="31"/>
      <c r="NS241" s="31"/>
      <c r="NW241" s="31"/>
      <c r="OA241" s="31"/>
      <c r="OE241" s="31"/>
      <c r="OG241" s="15">
        <v>0</v>
      </c>
      <c r="PR241" s="15">
        <v>0</v>
      </c>
      <c r="PS241" s="15">
        <v>0</v>
      </c>
      <c r="QC241" s="15">
        <v>8.33</v>
      </c>
      <c r="QD241" s="15">
        <v>5.52</v>
      </c>
      <c r="QE241" s="15">
        <v>0</v>
      </c>
      <c r="QF241" s="15">
        <v>0</v>
      </c>
      <c r="QG241" s="15">
        <v>0</v>
      </c>
      <c r="QH241" s="15">
        <v>0</v>
      </c>
      <c r="QI241" s="15">
        <v>0</v>
      </c>
      <c r="QJ241" s="15">
        <v>0</v>
      </c>
      <c r="QK241" s="15" t="s">
        <v>388</v>
      </c>
      <c r="QL241" s="15">
        <v>64</v>
      </c>
      <c r="QM241" s="17">
        <v>79.5</v>
      </c>
      <c r="QN241" s="17">
        <v>114</v>
      </c>
      <c r="QO241" s="17">
        <v>15</v>
      </c>
      <c r="QP241" s="17">
        <v>88.29</v>
      </c>
      <c r="QQ241" s="17">
        <v>0</v>
      </c>
      <c r="QR241" s="17">
        <v>9.81</v>
      </c>
      <c r="QS241" s="17">
        <v>1.64</v>
      </c>
      <c r="QT241" s="17">
        <v>0.26</v>
      </c>
      <c r="QU241" s="17">
        <v>0</v>
      </c>
      <c r="QV241" s="17">
        <v>0</v>
      </c>
      <c r="QW241" s="17">
        <v>0</v>
      </c>
      <c r="QX241" s="17">
        <v>0</v>
      </c>
      <c r="QY241" s="17">
        <v>0</v>
      </c>
      <c r="QZ241" s="17">
        <v>0</v>
      </c>
      <c r="RA241" s="17">
        <v>0.55000000000000004</v>
      </c>
      <c r="RB241" s="17">
        <v>24</v>
      </c>
      <c r="RC241" s="17">
        <v>4.3099999999999996</v>
      </c>
      <c r="RD241" s="17">
        <v>0.82</v>
      </c>
      <c r="RE241" s="17">
        <v>0</v>
      </c>
      <c r="RF241" s="17">
        <v>0</v>
      </c>
      <c r="RG241" s="17">
        <v>0</v>
      </c>
      <c r="RH241" s="17"/>
      <c r="RT241" s="15">
        <v>40.4</v>
      </c>
      <c r="RU241" s="15">
        <v>1</v>
      </c>
      <c r="RV241" s="15">
        <v>38</v>
      </c>
      <c r="RW241" s="15">
        <v>9</v>
      </c>
      <c r="RX241" s="15">
        <v>5.52</v>
      </c>
      <c r="RY241" s="15">
        <v>5</v>
      </c>
      <c r="RZ241" s="15">
        <v>23</v>
      </c>
      <c r="SA241" s="15">
        <v>1</v>
      </c>
      <c r="SB241" s="15">
        <v>0.09</v>
      </c>
      <c r="SC241" s="15">
        <v>3</v>
      </c>
      <c r="SF241" s="31"/>
      <c r="SJ241" s="31"/>
      <c r="SN241" s="31"/>
      <c r="SR241" s="31"/>
      <c r="SV241" s="31"/>
      <c r="SX241" s="15">
        <v>0</v>
      </c>
      <c r="UI241" s="15">
        <v>0</v>
      </c>
      <c r="UJ241" s="15">
        <v>0</v>
      </c>
      <c r="UT241" s="15">
        <v>8.33</v>
      </c>
      <c r="UU241" s="15">
        <v>5.52</v>
      </c>
      <c r="UV241" s="15">
        <v>0</v>
      </c>
      <c r="UW241" s="15">
        <v>0</v>
      </c>
      <c r="UX241" s="15">
        <v>0</v>
      </c>
      <c r="UY241" s="15">
        <v>0</v>
      </c>
      <c r="UZ241" s="15">
        <v>0</v>
      </c>
      <c r="VA241" s="15">
        <v>0</v>
      </c>
      <c r="VB241"/>
      <c r="VC241"/>
      <c r="VD241"/>
      <c r="VG241"/>
      <c r="VH241"/>
      <c r="VI241"/>
      <c r="VJ241"/>
      <c r="VK241"/>
      <c r="VL241"/>
      <c r="VO241"/>
      <c r="VP241"/>
      <c r="VQ241"/>
      <c r="VR241"/>
      <c r="VS241"/>
      <c r="VT241"/>
      <c r="VW241"/>
      <c r="VX241"/>
      <c r="VY241"/>
      <c r="VZ241"/>
      <c r="WA241"/>
      <c r="WB241"/>
      <c r="WE241"/>
      <c r="WF241"/>
      <c r="WG241"/>
      <c r="WH241"/>
      <c r="WI241"/>
      <c r="WJ241"/>
      <c r="WM241"/>
      <c r="WN241"/>
      <c r="WO241"/>
      <c r="WP241"/>
      <c r="WQ241"/>
      <c r="WR241"/>
      <c r="WU241"/>
      <c r="WV241"/>
      <c r="WW241"/>
      <c r="WX241"/>
      <c r="WY241"/>
      <c r="WZ241"/>
      <c r="XC241"/>
      <c r="XD241"/>
      <c r="XE241"/>
      <c r="XF241"/>
      <c r="XG241"/>
      <c r="XH241"/>
      <c r="XK241"/>
      <c r="XL241"/>
      <c r="XM241"/>
      <c r="XN241"/>
      <c r="XO241"/>
      <c r="XP241"/>
      <c r="XS241"/>
      <c r="XT241"/>
      <c r="XU241"/>
      <c r="XV241"/>
      <c r="XW241"/>
      <c r="XX241"/>
      <c r="YA241"/>
      <c r="YB241"/>
      <c r="YC241"/>
      <c r="YD241"/>
      <c r="YE241"/>
      <c r="YF241"/>
      <c r="YI241"/>
      <c r="YJ241"/>
      <c r="YK241"/>
      <c r="YL241"/>
      <c r="YM241"/>
      <c r="YN241"/>
      <c r="YQ241"/>
      <c r="YR241"/>
      <c r="YS241"/>
      <c r="YT241"/>
      <c r="YU241"/>
      <c r="YV241"/>
      <c r="YY241"/>
      <c r="YZ241"/>
      <c r="ZA241"/>
      <c r="ZB241"/>
      <c r="ZC241"/>
      <c r="ZD241"/>
      <c r="ZG241"/>
      <c r="ZH241"/>
      <c r="ZI241"/>
      <c r="ZJ241"/>
      <c r="ZK241"/>
      <c r="ZL241"/>
      <c r="ZO241"/>
      <c r="ZP241"/>
      <c r="ZQ241"/>
      <c r="ZR241"/>
      <c r="ZS241"/>
      <c r="ZT241"/>
      <c r="ZW241"/>
      <c r="ZX241"/>
      <c r="ZY241"/>
      <c r="ZZ241"/>
      <c r="AAA241"/>
      <c r="AAB241"/>
      <c r="AAE241"/>
      <c r="AAF241"/>
      <c r="AAG241"/>
      <c r="AAH241"/>
      <c r="AAI241"/>
      <c r="AAJ241"/>
      <c r="AAM241"/>
      <c r="AAN241"/>
      <c r="AAO241"/>
      <c r="AAP241"/>
      <c r="AAQ241"/>
      <c r="AAR241"/>
      <c r="AAU241"/>
      <c r="AAV241"/>
      <c r="AAW241"/>
      <c r="AAX241"/>
      <c r="AAY241"/>
      <c r="AAZ241"/>
      <c r="ABC241"/>
      <c r="ABD241"/>
      <c r="ABE241"/>
      <c r="ABF241"/>
      <c r="ABG241"/>
      <c r="ABH241"/>
      <c r="ABK241"/>
      <c r="ABL241"/>
      <c r="ABM241"/>
      <c r="ABN241"/>
      <c r="ABO241"/>
      <c r="ABP241"/>
      <c r="ABS241"/>
      <c r="ABT241"/>
      <c r="ABU241"/>
      <c r="ABV241"/>
      <c r="ABW241"/>
      <c r="ABX241"/>
      <c r="ACA241"/>
      <c r="ACB241"/>
      <c r="ACC241"/>
      <c r="ACD241"/>
      <c r="ACE241"/>
      <c r="ACF241"/>
      <c r="ACI241"/>
      <c r="ACJ241"/>
      <c r="ACK241"/>
      <c r="ACL241"/>
      <c r="ACM241"/>
      <c r="ACN241"/>
      <c r="ACQ241"/>
      <c r="ACR241"/>
      <c r="ACS241"/>
      <c r="ACT241"/>
      <c r="ACU241"/>
      <c r="ACV241"/>
      <c r="ACY241"/>
      <c r="ACZ241"/>
      <c r="ADA241"/>
      <c r="ADB241"/>
      <c r="ADC241"/>
      <c r="ADD241"/>
      <c r="ADG241"/>
      <c r="ADH241"/>
      <c r="ADI241"/>
      <c r="ADJ241"/>
      <c r="ADK241"/>
      <c r="ADL241"/>
      <c r="ADO241"/>
      <c r="ADP241"/>
      <c r="ADQ241"/>
      <c r="ADR241"/>
      <c r="ADS241"/>
      <c r="ADT241"/>
      <c r="ADW241"/>
      <c r="ADX241"/>
      <c r="ADY241"/>
      <c r="ADZ241"/>
      <c r="AEA241"/>
      <c r="AEB241"/>
      <c r="AEE241"/>
      <c r="AEF241"/>
      <c r="AEG241"/>
      <c r="AEH241"/>
      <c r="AEI241"/>
      <c r="AEJ241"/>
      <c r="AEM241"/>
      <c r="AEN241"/>
      <c r="AEO241"/>
      <c r="AEP241"/>
      <c r="AEQ241"/>
      <c r="AER241"/>
      <c r="AEU241"/>
      <c r="AEV241"/>
      <c r="AEW241"/>
      <c r="AEX241"/>
      <c r="AEY241"/>
      <c r="AEZ241"/>
      <c r="AFC241"/>
      <c r="AFD241"/>
      <c r="AFE241"/>
      <c r="AFF241"/>
      <c r="AFG241"/>
      <c r="AFH241"/>
      <c r="AFK241"/>
      <c r="AFL241"/>
      <c r="AFM241"/>
      <c r="AFN241"/>
      <c r="AFO241"/>
      <c r="AFP241"/>
      <c r="AFS241"/>
      <c r="AFT241"/>
      <c r="AFU241"/>
      <c r="AFV241"/>
      <c r="AFW241"/>
      <c r="AFX241"/>
      <c r="AGA241"/>
      <c r="AGB241"/>
      <c r="AGC241"/>
      <c r="AGD241"/>
      <c r="AGE241"/>
      <c r="AGF241"/>
      <c r="AGI241"/>
      <c r="AGJ241"/>
      <c r="AGK241"/>
      <c r="AGL241"/>
      <c r="AGM241"/>
      <c r="AGN241"/>
      <c r="AGQ241"/>
      <c r="AGR241"/>
      <c r="AGS241"/>
      <c r="AGT241"/>
      <c r="AGU241"/>
      <c r="AGV241"/>
      <c r="AGY241"/>
      <c r="AGZ241"/>
      <c r="AHA241"/>
      <c r="AHB241"/>
      <c r="AHC241"/>
      <c r="AHD241"/>
      <c r="AHG241"/>
      <c r="AHH241"/>
      <c r="AHI241"/>
      <c r="AHJ241"/>
      <c r="AHK241"/>
      <c r="AHL241"/>
      <c r="AHO241"/>
      <c r="AHP241"/>
      <c r="AHQ241"/>
      <c r="AHR241"/>
      <c r="AHS241"/>
      <c r="AHT241"/>
      <c r="AHW241"/>
      <c r="AHX241"/>
      <c r="AHY241"/>
      <c r="AHZ241"/>
      <c r="AIA241"/>
      <c r="AIB241"/>
      <c r="AIE241"/>
      <c r="AIF241"/>
      <c r="AIG241"/>
      <c r="AIH241"/>
      <c r="AII241"/>
      <c r="AIJ241"/>
      <c r="AIM241"/>
      <c r="AIN241"/>
      <c r="AIO241"/>
      <c r="AIP241"/>
      <c r="AIQ241"/>
      <c r="AIR241"/>
      <c r="AIU241"/>
      <c r="AIV241"/>
      <c r="AIW241"/>
      <c r="AIX241"/>
      <c r="AIY241"/>
      <c r="AIZ241"/>
      <c r="AJC241"/>
      <c r="AJD241"/>
      <c r="AJE241"/>
      <c r="AJF241"/>
      <c r="AJG241"/>
      <c r="AJH241"/>
      <c r="AJK241"/>
      <c r="AJL241"/>
      <c r="AJM241"/>
      <c r="AJN241"/>
      <c r="AJO241"/>
      <c r="AJP241"/>
      <c r="AJS241"/>
      <c r="AJT241"/>
      <c r="AJU241"/>
      <c r="AJV241"/>
      <c r="AJW241"/>
      <c r="AJX241"/>
      <c r="AKA241"/>
      <c r="AKB241"/>
      <c r="AKC241"/>
      <c r="AKD241"/>
      <c r="AKE241"/>
      <c r="AKF241"/>
      <c r="AKI241"/>
      <c r="AKJ241"/>
      <c r="AKK241"/>
      <c r="AKL241"/>
      <c r="AKM241"/>
      <c r="AKN241"/>
      <c r="AKQ241"/>
      <c r="AKR241"/>
      <c r="AKS241"/>
      <c r="AKT241"/>
      <c r="AKU241"/>
      <c r="AKV241"/>
      <c r="AKY241"/>
      <c r="AKZ241"/>
      <c r="ALA241"/>
      <c r="ALB241"/>
      <c r="ALC241"/>
      <c r="ALD241"/>
      <c r="ALG241"/>
      <c r="ALH241"/>
      <c r="ALI241"/>
      <c r="ALJ241"/>
      <c r="ALK241"/>
      <c r="ALL241"/>
      <c r="ALO241"/>
      <c r="ALP241"/>
      <c r="ALQ241"/>
      <c r="ALR241"/>
      <c r="ALS241"/>
      <c r="ALT241"/>
      <c r="ALW241"/>
      <c r="ALX241"/>
      <c r="ALY241"/>
      <c r="ALZ241"/>
      <c r="AMA241"/>
      <c r="AMB241"/>
      <c r="AME241"/>
      <c r="AMF241"/>
      <c r="AMG241"/>
      <c r="AMH241"/>
      <c r="AMI241"/>
      <c r="AMJ241"/>
    </row>
    <row r="242" spans="1:1024" x14ac:dyDescent="0.2">
      <c r="A242" s="1" t="s">
        <v>760</v>
      </c>
      <c r="B242" s="12">
        <v>42908</v>
      </c>
      <c r="C242">
        <v>1</v>
      </c>
      <c r="D242" s="13">
        <v>39622</v>
      </c>
      <c r="E242" s="12">
        <v>28508</v>
      </c>
      <c r="F242" s="14">
        <f t="shared" si="62"/>
        <v>39.42505133470226</v>
      </c>
      <c r="G242" s="14">
        <f t="shared" si="63"/>
        <v>8.9965776865160851</v>
      </c>
      <c r="H242" s="19" t="s">
        <v>217</v>
      </c>
      <c r="I242" s="15" t="s">
        <v>272</v>
      </c>
      <c r="J242" s="21" t="s">
        <v>183</v>
      </c>
      <c r="K242" s="21">
        <v>8</v>
      </c>
      <c r="L242" s="19"/>
      <c r="M242">
        <v>1.61</v>
      </c>
      <c r="N242" s="16">
        <f t="shared" si="64"/>
        <v>0</v>
      </c>
      <c r="O242" s="19">
        <v>0</v>
      </c>
      <c r="P242" s="19">
        <v>0</v>
      </c>
      <c r="Q242" s="19">
        <v>0</v>
      </c>
      <c r="R242" s="26">
        <v>0</v>
      </c>
      <c r="S242" s="26">
        <v>0</v>
      </c>
      <c r="T242" s="26">
        <v>0</v>
      </c>
      <c r="U242" s="19">
        <v>0</v>
      </c>
      <c r="V242" s="19">
        <v>0</v>
      </c>
      <c r="W242" s="19">
        <v>1</v>
      </c>
      <c r="X242" s="19">
        <v>0</v>
      </c>
      <c r="Y242" s="19">
        <v>0</v>
      </c>
      <c r="Z242" s="19">
        <v>0</v>
      </c>
      <c r="AA242" s="19">
        <v>0</v>
      </c>
      <c r="AB242" s="19">
        <v>0</v>
      </c>
      <c r="AC242" s="19">
        <v>1</v>
      </c>
      <c r="AD242" s="19">
        <v>8</v>
      </c>
      <c r="AE242" s="19">
        <v>1</v>
      </c>
      <c r="AF242" s="19">
        <v>1</v>
      </c>
      <c r="AG242" s="19">
        <v>0</v>
      </c>
      <c r="AH242" s="19">
        <v>0</v>
      </c>
      <c r="AI242" s="19">
        <v>0</v>
      </c>
      <c r="AJ242" s="19">
        <v>0</v>
      </c>
      <c r="AK242" s="19">
        <v>0</v>
      </c>
      <c r="AL242" s="19">
        <v>0</v>
      </c>
      <c r="AM242" s="19">
        <v>0</v>
      </c>
      <c r="AN242" s="19">
        <v>0</v>
      </c>
      <c r="AO242" s="19">
        <v>0</v>
      </c>
      <c r="AP242" s="19">
        <v>0</v>
      </c>
      <c r="AQ242" s="19">
        <v>0</v>
      </c>
      <c r="AR242" s="19">
        <v>0</v>
      </c>
      <c r="AS242" s="19">
        <v>1</v>
      </c>
      <c r="AT242" s="19">
        <v>0</v>
      </c>
      <c r="AU242" s="19">
        <v>0</v>
      </c>
      <c r="AV242" s="19">
        <v>0</v>
      </c>
      <c r="AW242" s="19">
        <v>0</v>
      </c>
      <c r="AX242" s="19">
        <v>0</v>
      </c>
      <c r="AY242" s="19">
        <v>0</v>
      </c>
      <c r="AZ242" s="19">
        <v>0</v>
      </c>
      <c r="BA242" s="19">
        <v>0</v>
      </c>
      <c r="BB242" s="19">
        <v>1</v>
      </c>
      <c r="BC242" s="19">
        <v>0</v>
      </c>
      <c r="BD242" s="19">
        <v>0</v>
      </c>
      <c r="BE242" s="19">
        <v>0</v>
      </c>
      <c r="BF242" s="19">
        <v>0</v>
      </c>
      <c r="BG242" s="19">
        <v>0</v>
      </c>
      <c r="BH242" s="19">
        <v>0</v>
      </c>
      <c r="BI242" s="19">
        <v>0</v>
      </c>
      <c r="BJ242" s="19">
        <v>0</v>
      </c>
      <c r="BK242" s="19">
        <v>0</v>
      </c>
      <c r="BL242" s="19">
        <v>0</v>
      </c>
      <c r="BM242" s="19">
        <v>0</v>
      </c>
      <c r="BN242" s="19">
        <v>0</v>
      </c>
      <c r="BO242" s="19">
        <v>0</v>
      </c>
      <c r="BP242" s="19">
        <v>0</v>
      </c>
      <c r="BQ242" s="19">
        <v>0</v>
      </c>
      <c r="BR242" s="19">
        <v>3</v>
      </c>
      <c r="BS242" s="19">
        <v>2</v>
      </c>
      <c r="BT242" s="19">
        <v>4</v>
      </c>
      <c r="BU242" s="19">
        <v>5</v>
      </c>
      <c r="BV242" s="19">
        <v>2</v>
      </c>
      <c r="BW242" s="19">
        <v>1</v>
      </c>
      <c r="BX242" s="19">
        <v>1</v>
      </c>
      <c r="BY242" s="19">
        <v>2</v>
      </c>
      <c r="BZ242" s="19">
        <v>1</v>
      </c>
      <c r="CA242" s="19">
        <v>3</v>
      </c>
      <c r="CB242" s="19">
        <v>2</v>
      </c>
      <c r="CC242" s="19">
        <v>3</v>
      </c>
      <c r="CD242" s="19">
        <v>2</v>
      </c>
      <c r="CE242" s="19">
        <v>3</v>
      </c>
      <c r="CF242" s="19">
        <v>5</v>
      </c>
      <c r="CG242" s="19">
        <v>4</v>
      </c>
      <c r="CH242" s="19">
        <v>4</v>
      </c>
      <c r="CI242" s="19">
        <v>4</v>
      </c>
      <c r="CJ242" s="19">
        <v>4</v>
      </c>
      <c r="CK242" s="19">
        <v>5</v>
      </c>
      <c r="CL242" t="s">
        <v>274</v>
      </c>
      <c r="CM242">
        <v>19.5</v>
      </c>
      <c r="CN242" s="16">
        <v>74.3</v>
      </c>
      <c r="CO242" s="16">
        <v>80.400000000000006</v>
      </c>
      <c r="CP242" s="16">
        <v>7.8</v>
      </c>
      <c r="CQ242">
        <v>89.52</v>
      </c>
      <c r="CR242">
        <v>8.69</v>
      </c>
      <c r="CS242">
        <v>1.79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18.73</v>
      </c>
      <c r="DD242">
        <v>9.35</v>
      </c>
      <c r="DE242">
        <v>0</v>
      </c>
      <c r="DF242">
        <v>0</v>
      </c>
      <c r="DG242">
        <v>0</v>
      </c>
      <c r="DU242">
        <v>3.92</v>
      </c>
      <c r="DV242">
        <v>1</v>
      </c>
      <c r="DW242">
        <v>52</v>
      </c>
      <c r="DX242">
        <v>4</v>
      </c>
      <c r="DY242">
        <f>1.01*2+0.56+0.9</f>
        <v>3.48</v>
      </c>
      <c r="DZ242">
        <v>2</v>
      </c>
      <c r="EG242" s="18"/>
      <c r="EY242">
        <v>1</v>
      </c>
      <c r="EZ242">
        <v>50</v>
      </c>
      <c r="FA242">
        <v>1</v>
      </c>
      <c r="FB242">
        <v>1.9</v>
      </c>
      <c r="FC242">
        <v>3</v>
      </c>
      <c r="GJ242" s="16">
        <v>2.2400000000000002</v>
      </c>
      <c r="GK242" s="16">
        <v>1</v>
      </c>
      <c r="GL242" s="16">
        <v>2</v>
      </c>
      <c r="GM242" s="16"/>
      <c r="GN242" s="16">
        <f>1.87*2</f>
        <v>3.74</v>
      </c>
      <c r="GO242" s="16"/>
      <c r="GP242" s="16"/>
      <c r="GQ242" s="16"/>
      <c r="GR242" s="16"/>
      <c r="GS242" s="16"/>
      <c r="GT242" s="16"/>
      <c r="GU242" s="16">
        <v>5.49</v>
      </c>
      <c r="GV242" s="16">
        <f>1.01*2+0.56+1.87*2+0.9</f>
        <v>7.2200000000000006</v>
      </c>
      <c r="GW242" s="16"/>
      <c r="GX242" s="16"/>
      <c r="GY242" s="16">
        <v>0</v>
      </c>
      <c r="GZ242" s="16">
        <v>0</v>
      </c>
      <c r="HA242" s="16">
        <v>0</v>
      </c>
      <c r="HB242">
        <v>0</v>
      </c>
      <c r="HC242" t="s">
        <v>275</v>
      </c>
      <c r="HD242">
        <v>19.5</v>
      </c>
      <c r="HE242" s="16">
        <v>74.599999999999994</v>
      </c>
      <c r="HF242" s="16">
        <v>80.400000000000006</v>
      </c>
      <c r="HG242" s="16">
        <v>7.8</v>
      </c>
      <c r="HH242">
        <v>89.29</v>
      </c>
      <c r="HI242">
        <v>8.92</v>
      </c>
      <c r="HJ242">
        <v>1.79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18.95</v>
      </c>
      <c r="HU242">
        <v>9.35</v>
      </c>
      <c r="HV242">
        <v>0</v>
      </c>
      <c r="HW242">
        <v>0</v>
      </c>
      <c r="HX242">
        <v>0</v>
      </c>
      <c r="IL242">
        <v>3.9</v>
      </c>
      <c r="IM242">
        <v>1</v>
      </c>
      <c r="IN242">
        <v>52</v>
      </c>
      <c r="IO242">
        <v>4</v>
      </c>
      <c r="IP242">
        <f>1.01*2+0.56+0.9</f>
        <v>3.48</v>
      </c>
      <c r="IQ242">
        <v>3</v>
      </c>
      <c r="IX242" s="18"/>
      <c r="JP242">
        <v>1</v>
      </c>
      <c r="JQ242">
        <v>50</v>
      </c>
      <c r="JR242">
        <v>1</v>
      </c>
      <c r="JS242">
        <v>1.9</v>
      </c>
      <c r="JT242">
        <v>3</v>
      </c>
      <c r="LA242" s="16">
        <v>2.2400000000000002</v>
      </c>
      <c r="LB242" s="16">
        <v>1</v>
      </c>
      <c r="LC242" s="16">
        <v>2</v>
      </c>
      <c r="LD242" s="16"/>
      <c r="LE242" s="16">
        <f>1.87*2</f>
        <v>3.74</v>
      </c>
      <c r="LF242" s="16"/>
      <c r="LG242" s="16"/>
      <c r="LH242" s="16"/>
      <c r="LI242" s="16"/>
      <c r="LJ242" s="16"/>
      <c r="LK242" s="16"/>
      <c r="LL242" s="16">
        <v>6.49</v>
      </c>
      <c r="LM242" s="16">
        <f>1.01*2+0.56+1.87*2+0.9</f>
        <v>7.2200000000000006</v>
      </c>
      <c r="LN242" s="16"/>
      <c r="LO242" s="16"/>
      <c r="LP242" s="16">
        <v>0</v>
      </c>
      <c r="LQ242" s="16">
        <v>0</v>
      </c>
      <c r="LR242" s="16">
        <v>0</v>
      </c>
      <c r="LS242">
        <v>0</v>
      </c>
      <c r="LT242" t="s">
        <v>276</v>
      </c>
      <c r="LU242">
        <v>22.5</v>
      </c>
      <c r="LV242" s="16">
        <v>73.400000000000006</v>
      </c>
      <c r="LW242" s="16">
        <v>80.400000000000006</v>
      </c>
      <c r="LX242" s="16">
        <v>10.4</v>
      </c>
      <c r="LY242">
        <v>88.12</v>
      </c>
      <c r="LZ242">
        <v>6.29</v>
      </c>
      <c r="MA242">
        <v>4.25</v>
      </c>
      <c r="MB242">
        <v>0</v>
      </c>
      <c r="MC242">
        <v>1.34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2.46</v>
      </c>
      <c r="ML242">
        <v>13.2</v>
      </c>
      <c r="MM242">
        <v>0</v>
      </c>
      <c r="MN242">
        <v>0</v>
      </c>
      <c r="MO242">
        <v>0</v>
      </c>
      <c r="NC242">
        <v>0</v>
      </c>
      <c r="NO242" s="18"/>
      <c r="PR242" s="16">
        <v>2.2400000000000002</v>
      </c>
      <c r="PS242" s="16">
        <v>1</v>
      </c>
      <c r="PT242" s="16">
        <v>2</v>
      </c>
      <c r="PU242" s="16">
        <v>3.73</v>
      </c>
      <c r="PV242" s="16"/>
      <c r="PW242" s="16"/>
      <c r="PX242" s="16"/>
      <c r="PY242" s="16"/>
      <c r="PZ242" s="16"/>
      <c r="QA242" s="16"/>
      <c r="QB242" s="16"/>
      <c r="QC242" s="16">
        <v>9.68</v>
      </c>
      <c r="QD242" s="16">
        <f>2.01+1.34+2.69+3.73+0.81</f>
        <v>10.58</v>
      </c>
      <c r="QE242" s="16"/>
      <c r="QF242" s="16"/>
      <c r="QG242" s="16">
        <v>0</v>
      </c>
      <c r="QH242" s="16">
        <v>0</v>
      </c>
      <c r="QI242" s="16">
        <v>0.16</v>
      </c>
      <c r="QJ242">
        <v>0</v>
      </c>
      <c r="QK242" t="s">
        <v>277</v>
      </c>
      <c r="QL242">
        <v>29.5</v>
      </c>
      <c r="QM242" s="16">
        <v>53.8</v>
      </c>
      <c r="QN242" s="16">
        <v>80.400000000000006</v>
      </c>
      <c r="QO242" s="16">
        <v>12.1</v>
      </c>
      <c r="QP242">
        <v>86.6</v>
      </c>
      <c r="QQ242">
        <v>8.48</v>
      </c>
      <c r="QR242">
        <v>4.93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2.02</v>
      </c>
      <c r="RC242">
        <v>19.559999999999999</v>
      </c>
      <c r="RD242">
        <v>0.25</v>
      </c>
      <c r="RE242">
        <v>0</v>
      </c>
      <c r="RF242">
        <v>0</v>
      </c>
      <c r="RG242">
        <v>0</v>
      </c>
      <c r="RH242">
        <v>0</v>
      </c>
      <c r="RN242">
        <v>0</v>
      </c>
      <c r="RT242">
        <v>0</v>
      </c>
      <c r="RU242">
        <v>0</v>
      </c>
      <c r="SF242" s="18"/>
      <c r="SX242">
        <v>0</v>
      </c>
      <c r="UI242" s="16">
        <v>6.72</v>
      </c>
      <c r="UJ242" s="16">
        <v>1</v>
      </c>
      <c r="UK242" s="16">
        <v>2</v>
      </c>
      <c r="UL242" s="16"/>
      <c r="UM242" s="16">
        <f>3.73*3</f>
        <v>11.19</v>
      </c>
      <c r="UN242" s="16"/>
      <c r="UO242" s="16"/>
      <c r="UP242" s="16"/>
      <c r="UQ242" s="16"/>
      <c r="UR242" s="16"/>
      <c r="US242" s="16"/>
      <c r="UT242" s="16">
        <v>10.6</v>
      </c>
      <c r="UU242" s="16">
        <v>12.44</v>
      </c>
      <c r="UV242" s="16"/>
      <c r="UW242" s="16"/>
      <c r="UX242" s="16">
        <v>0</v>
      </c>
      <c r="UY242" s="16">
        <v>0</v>
      </c>
      <c r="UZ242" s="16">
        <v>0</v>
      </c>
      <c r="VA242">
        <v>0</v>
      </c>
      <c r="VB242" t="s">
        <v>278</v>
      </c>
      <c r="VC242">
        <v>51.5</v>
      </c>
      <c r="VD242" s="16">
        <v>63.4</v>
      </c>
      <c r="VE242" s="16">
        <v>80.400000000000006</v>
      </c>
      <c r="VF242" s="16">
        <v>18.100000000000001</v>
      </c>
      <c r="VG242">
        <v>83.5</v>
      </c>
      <c r="VH242">
        <v>5.36</v>
      </c>
      <c r="VI242">
        <v>8.4600000000000009</v>
      </c>
      <c r="VJ242">
        <v>0</v>
      </c>
      <c r="VK242">
        <v>2.69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0.99</v>
      </c>
      <c r="VT242">
        <v>13.55</v>
      </c>
      <c r="VU242">
        <v>16.2</v>
      </c>
      <c r="VV242">
        <v>0</v>
      </c>
      <c r="VW242">
        <v>0</v>
      </c>
      <c r="VX242">
        <v>0</v>
      </c>
      <c r="WK242">
        <v>18.399999999999999</v>
      </c>
      <c r="WL242">
        <v>1</v>
      </c>
      <c r="WM242">
        <v>47</v>
      </c>
      <c r="WN242">
        <v>1</v>
      </c>
      <c r="WO242">
        <v>0.9</v>
      </c>
      <c r="WP242">
        <v>3</v>
      </c>
      <c r="WQ242">
        <v>35</v>
      </c>
      <c r="WR242">
        <v>3</v>
      </c>
      <c r="WS242">
        <f>0.94</f>
        <v>0.94</v>
      </c>
      <c r="WT242">
        <v>3</v>
      </c>
      <c r="WU242">
        <v>68</v>
      </c>
      <c r="WV242">
        <v>1</v>
      </c>
      <c r="WW242" s="18">
        <v>6.22</v>
      </c>
      <c r="WX242">
        <v>1</v>
      </c>
      <c r="XO242">
        <v>0</v>
      </c>
      <c r="YZ242" s="16">
        <v>3.75</v>
      </c>
      <c r="ZA242" s="16">
        <v>1</v>
      </c>
      <c r="ZB242" s="16">
        <v>1</v>
      </c>
      <c r="ZC242" s="16"/>
      <c r="ZD242" s="16">
        <f>2.49+0.05+0.03</f>
        <v>2.57</v>
      </c>
      <c r="ZE242" s="16">
        <v>2</v>
      </c>
      <c r="ZF242" s="16"/>
      <c r="ZG242" s="16">
        <v>2.4900000000000002</v>
      </c>
      <c r="ZH242" s="16"/>
      <c r="ZI242" s="16"/>
      <c r="ZJ242" s="16"/>
      <c r="ZK242" s="16">
        <v>11.1</v>
      </c>
      <c r="ZL242" s="16">
        <v>18.47</v>
      </c>
      <c r="ZM242" s="16"/>
      <c r="ZN242" s="16"/>
      <c r="ZO242" s="16">
        <v>0</v>
      </c>
      <c r="ZP242" s="16">
        <v>0</v>
      </c>
      <c r="ZQ242" s="16">
        <v>0</v>
      </c>
      <c r="ZR242">
        <v>0</v>
      </c>
      <c r="ZS242" t="s">
        <v>279</v>
      </c>
      <c r="ZT242">
        <v>33.5</v>
      </c>
      <c r="ZU242" s="16">
        <v>54</v>
      </c>
      <c r="ZV242" s="16">
        <v>80.400000000000006</v>
      </c>
      <c r="ZW242" s="16">
        <v>9.6</v>
      </c>
      <c r="ZX242">
        <v>86.69</v>
      </c>
      <c r="ZY242">
        <v>8.34</v>
      </c>
      <c r="ZZ242">
        <v>4.97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12.83</v>
      </c>
      <c r="AAK242">
        <v>6.09</v>
      </c>
      <c r="AAL242">
        <v>0</v>
      </c>
      <c r="AAM242">
        <v>0</v>
      </c>
      <c r="AAN242">
        <v>0</v>
      </c>
      <c r="AAO242">
        <v>0</v>
      </c>
      <c r="ABB242">
        <v>11.3</v>
      </c>
      <c r="ABC242">
        <v>1</v>
      </c>
      <c r="ABD242">
        <v>47</v>
      </c>
      <c r="ABE242">
        <v>1</v>
      </c>
      <c r="ABF242">
        <v>0.9</v>
      </c>
      <c r="ABG242">
        <v>3</v>
      </c>
      <c r="ABH242">
        <v>35</v>
      </c>
      <c r="ABI242">
        <v>2</v>
      </c>
      <c r="ABJ242">
        <v>0.92</v>
      </c>
      <c r="ABK242">
        <v>3</v>
      </c>
      <c r="ABN242" s="18"/>
      <c r="ACF242">
        <v>0</v>
      </c>
      <c r="ADQ242" s="16">
        <v>3.75</v>
      </c>
      <c r="ADR242" s="16">
        <v>1</v>
      </c>
      <c r="ADS242" s="16">
        <v>1</v>
      </c>
      <c r="ADT242" s="16"/>
      <c r="ADU242" s="16">
        <f>2.49+0.05+0.03</f>
        <v>2.57</v>
      </c>
      <c r="ADV242" s="16">
        <v>2</v>
      </c>
      <c r="ADW242" s="16"/>
      <c r="ADX242" s="16">
        <v>2.4900000000000002</v>
      </c>
      <c r="ADY242" s="16"/>
      <c r="ADZ242" s="16"/>
      <c r="AEA242" s="16"/>
      <c r="AEB242" s="16">
        <v>8.81</v>
      </c>
      <c r="AEC242" s="16">
        <v>6.01</v>
      </c>
      <c r="AED242" s="16"/>
      <c r="AEE242" s="16"/>
      <c r="AEF242" s="16">
        <v>0</v>
      </c>
      <c r="AEG242" s="16">
        <v>0</v>
      </c>
      <c r="AEH242" s="16">
        <v>0</v>
      </c>
      <c r="AEI242">
        <v>0</v>
      </c>
      <c r="AEJ242" t="s">
        <v>280</v>
      </c>
      <c r="AEK242">
        <v>79</v>
      </c>
      <c r="AEL242" s="16">
        <v>63.9</v>
      </c>
      <c r="AEM242" s="16">
        <v>80.400000000000006</v>
      </c>
      <c r="AEN242" s="16">
        <v>11.2</v>
      </c>
      <c r="AEO242">
        <v>77.430000000000007</v>
      </c>
      <c r="AEP242">
        <v>22.57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45.87</v>
      </c>
      <c r="AFC242">
        <v>0</v>
      </c>
      <c r="AFD242">
        <v>0</v>
      </c>
      <c r="AFE242">
        <v>0</v>
      </c>
      <c r="AFF242">
        <v>0</v>
      </c>
      <c r="AFS242">
        <v>56.3</v>
      </c>
      <c r="AFT242">
        <v>1</v>
      </c>
      <c r="AFU242">
        <v>47</v>
      </c>
      <c r="AFV242">
        <v>18</v>
      </c>
      <c r="AFW242">
        <f>13.43+9.14</f>
        <v>22.57</v>
      </c>
      <c r="AFX242">
        <v>3</v>
      </c>
      <c r="AGE242" s="18"/>
      <c r="AGW242">
        <v>0</v>
      </c>
      <c r="AIH242" s="16">
        <v>0</v>
      </c>
      <c r="AII242" s="16">
        <v>0</v>
      </c>
      <c r="AIJ242" s="16"/>
      <c r="AIK242" s="16"/>
      <c r="AIL242" s="16"/>
      <c r="AIM242" s="16"/>
      <c r="AIN242" s="16"/>
      <c r="AIO242" s="16"/>
      <c r="AIP242" s="16"/>
      <c r="AIQ242" s="16"/>
      <c r="AIR242" s="16"/>
      <c r="AIS242" s="16">
        <v>11.54</v>
      </c>
      <c r="AIT242" s="16">
        <v>22.57</v>
      </c>
      <c r="AIU242" s="16"/>
      <c r="AIV242" s="16"/>
      <c r="AIW242" s="16">
        <v>0</v>
      </c>
      <c r="AIX242" s="16">
        <v>0</v>
      </c>
      <c r="AIY242" s="16">
        <v>0</v>
      </c>
      <c r="AIZ242">
        <v>0</v>
      </c>
      <c r="AJA242" t="s">
        <v>281</v>
      </c>
      <c r="AJB242">
        <v>42.5</v>
      </c>
      <c r="AJC242" s="16">
        <v>76.400000000000006</v>
      </c>
      <c r="AJD242" s="16">
        <v>80.400000000000006</v>
      </c>
      <c r="AJE242" s="16">
        <v>15.3</v>
      </c>
      <c r="AJF242">
        <v>73.599999999999994</v>
      </c>
      <c r="AJG242">
        <v>20.420000000000002</v>
      </c>
      <c r="AJH242">
        <v>3.69</v>
      </c>
      <c r="AJI242">
        <v>0</v>
      </c>
      <c r="AJJ242">
        <v>2.2799999999999998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35.36</v>
      </c>
      <c r="AJT242">
        <v>16.37</v>
      </c>
      <c r="AJU242">
        <v>0</v>
      </c>
      <c r="AJV242">
        <v>4.4000000000000004</v>
      </c>
      <c r="AJW242">
        <v>2</v>
      </c>
      <c r="AJX242">
        <v>10</v>
      </c>
      <c r="AJY242">
        <v>0.9</v>
      </c>
      <c r="AKD242">
        <v>10</v>
      </c>
      <c r="AKE242">
        <v>0.9</v>
      </c>
      <c r="AKJ242">
        <v>9.6999999999999993</v>
      </c>
      <c r="AKK242">
        <v>1</v>
      </c>
      <c r="AKL242">
        <v>68</v>
      </c>
      <c r="AKM242">
        <v>2</v>
      </c>
      <c r="AKN242">
        <f>3.34+5.29</f>
        <v>8.629999999999999</v>
      </c>
      <c r="AKO242">
        <v>1</v>
      </c>
      <c r="AKP242">
        <v>34</v>
      </c>
      <c r="AKQ242">
        <v>86</v>
      </c>
      <c r="AKR242">
        <f>0.8+0.6</f>
        <v>1.4</v>
      </c>
      <c r="AKS242">
        <v>1</v>
      </c>
      <c r="AKT242">
        <v>47</v>
      </c>
      <c r="AKU242">
        <v>1</v>
      </c>
      <c r="AKV242" s="18">
        <v>1.52</v>
      </c>
      <c r="AKW242">
        <v>3</v>
      </c>
      <c r="ALN242">
        <v>0</v>
      </c>
    </row>
    <row r="243" spans="1:1024" x14ac:dyDescent="0.2">
      <c r="A243" s="1" t="s">
        <v>761</v>
      </c>
      <c r="B243" s="12">
        <v>42908</v>
      </c>
      <c r="C243">
        <v>2</v>
      </c>
      <c r="D243" s="13">
        <v>42776</v>
      </c>
      <c r="E243" s="12">
        <v>32979</v>
      </c>
      <c r="F243" s="14">
        <f t="shared" si="62"/>
        <v>27.184120465434635</v>
      </c>
      <c r="G243" s="14">
        <f t="shared" si="63"/>
        <v>0.3613963039014374</v>
      </c>
      <c r="H243" s="19" t="s">
        <v>217</v>
      </c>
      <c r="I243" s="15" t="s">
        <v>272</v>
      </c>
      <c r="J243" s="21" t="s">
        <v>183</v>
      </c>
      <c r="K243" s="21">
        <v>8</v>
      </c>
      <c r="L243" s="19">
        <v>59</v>
      </c>
      <c r="M243">
        <v>1.76</v>
      </c>
      <c r="N243" s="16">
        <f t="shared" si="64"/>
        <v>19.047004132231404</v>
      </c>
      <c r="O243" s="19">
        <v>0</v>
      </c>
      <c r="P243" s="19">
        <v>0</v>
      </c>
      <c r="Q243" s="19">
        <v>0</v>
      </c>
      <c r="R243" s="26">
        <v>0</v>
      </c>
      <c r="S243" s="26">
        <v>0</v>
      </c>
      <c r="T243" s="26">
        <v>0</v>
      </c>
      <c r="U243" s="19">
        <v>0</v>
      </c>
      <c r="V243" s="19">
        <v>0</v>
      </c>
      <c r="W243" s="19">
        <v>1</v>
      </c>
      <c r="X243" s="19">
        <v>0</v>
      </c>
      <c r="Y243" s="19">
        <v>1</v>
      </c>
      <c r="Z243" s="19">
        <v>2</v>
      </c>
      <c r="AA243" s="19">
        <v>90</v>
      </c>
      <c r="AB243" s="19" t="s">
        <v>308</v>
      </c>
      <c r="AC243" s="19">
        <v>1</v>
      </c>
      <c r="AD243" s="19">
        <v>10</v>
      </c>
      <c r="AE243" s="19">
        <v>1</v>
      </c>
      <c r="AF243" s="19">
        <v>0</v>
      </c>
      <c r="AG243" s="19">
        <v>0</v>
      </c>
      <c r="AH243" s="19">
        <v>0</v>
      </c>
      <c r="AI243" s="19">
        <v>0</v>
      </c>
      <c r="AJ243" s="19">
        <v>0</v>
      </c>
      <c r="AK243" s="19">
        <v>0</v>
      </c>
      <c r="AL243" s="19">
        <v>0</v>
      </c>
      <c r="AM243" s="19">
        <v>0</v>
      </c>
      <c r="AN243" s="19">
        <v>0</v>
      </c>
      <c r="AO243" s="19">
        <v>0</v>
      </c>
      <c r="AP243" s="19">
        <v>0</v>
      </c>
      <c r="AQ243" s="19">
        <v>0</v>
      </c>
      <c r="AR243" s="19">
        <v>0</v>
      </c>
      <c r="AS243" s="19">
        <v>1</v>
      </c>
      <c r="AT243" s="19">
        <v>0</v>
      </c>
      <c r="AU243" s="19">
        <v>1</v>
      </c>
      <c r="AV243" s="19">
        <v>5</v>
      </c>
      <c r="AW243" s="19">
        <v>0</v>
      </c>
      <c r="AX243" s="19">
        <v>0</v>
      </c>
      <c r="AY243" s="19">
        <v>0</v>
      </c>
      <c r="AZ243" s="19">
        <v>0</v>
      </c>
      <c r="BA243" s="19">
        <v>0</v>
      </c>
      <c r="BB243" s="19">
        <v>1</v>
      </c>
      <c r="BC243" s="19">
        <v>1</v>
      </c>
      <c r="BD243" s="19">
        <v>1</v>
      </c>
      <c r="BE243" s="19">
        <v>7</v>
      </c>
      <c r="BF243" s="19">
        <v>0</v>
      </c>
      <c r="BG243" s="19">
        <v>0</v>
      </c>
      <c r="BH243" s="19">
        <v>0</v>
      </c>
      <c r="BI243" s="19">
        <v>0</v>
      </c>
      <c r="BJ243" s="19">
        <v>0</v>
      </c>
      <c r="BK243" s="19">
        <v>0</v>
      </c>
      <c r="BL243" s="19">
        <v>0</v>
      </c>
      <c r="BM243" s="19">
        <v>0</v>
      </c>
      <c r="BN243" s="19">
        <v>0</v>
      </c>
      <c r="BO243" s="19">
        <v>0</v>
      </c>
      <c r="BP243" s="19">
        <v>0</v>
      </c>
      <c r="BQ243" s="19">
        <v>0</v>
      </c>
      <c r="BR243" s="19">
        <v>1</v>
      </c>
      <c r="BS243" s="19">
        <v>1</v>
      </c>
      <c r="BT243" s="19">
        <v>4</v>
      </c>
      <c r="BU243" s="19">
        <v>5</v>
      </c>
      <c r="BV243" s="19">
        <v>2</v>
      </c>
      <c r="BW243" s="19">
        <v>2</v>
      </c>
      <c r="BX243" s="19">
        <v>4</v>
      </c>
      <c r="BY243" s="19">
        <v>4</v>
      </c>
      <c r="BZ243" s="19">
        <v>4</v>
      </c>
      <c r="CA243" s="19">
        <v>5</v>
      </c>
      <c r="CB243" s="19">
        <v>5</v>
      </c>
      <c r="CC243" s="19">
        <v>5</v>
      </c>
      <c r="CD243" s="19">
        <v>4</v>
      </c>
      <c r="CE243" s="19">
        <v>5</v>
      </c>
      <c r="CF243" s="19">
        <v>5</v>
      </c>
      <c r="CG243" s="19">
        <v>5</v>
      </c>
      <c r="CH243" s="19">
        <v>5</v>
      </c>
      <c r="CI243" s="19">
        <v>5</v>
      </c>
      <c r="CJ243" s="19">
        <v>1</v>
      </c>
      <c r="CK243" s="19">
        <v>10</v>
      </c>
      <c r="CL243" t="s">
        <v>274</v>
      </c>
      <c r="CM243">
        <v>19.5</v>
      </c>
      <c r="CN243" s="16">
        <v>74.3</v>
      </c>
      <c r="CO243" s="16">
        <v>80.400000000000006</v>
      </c>
      <c r="CP243" s="16">
        <v>7.8</v>
      </c>
      <c r="CQ243">
        <v>89.52</v>
      </c>
      <c r="CR243">
        <v>8.69</v>
      </c>
      <c r="CS243">
        <v>1.79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18.73</v>
      </c>
      <c r="DD243">
        <v>9.35</v>
      </c>
      <c r="DE243">
        <v>0</v>
      </c>
      <c r="DF243">
        <v>0</v>
      </c>
      <c r="DG243">
        <v>0</v>
      </c>
      <c r="DU243">
        <v>3.92</v>
      </c>
      <c r="DV243">
        <v>1</v>
      </c>
      <c r="DW243">
        <v>52</v>
      </c>
      <c r="DX243">
        <v>4</v>
      </c>
      <c r="DY243">
        <f>1.01*2+0.56+0.9</f>
        <v>3.48</v>
      </c>
      <c r="DZ243">
        <v>2</v>
      </c>
      <c r="EG243" s="18"/>
      <c r="EY243">
        <v>1</v>
      </c>
      <c r="EZ243">
        <v>50</v>
      </c>
      <c r="FA243">
        <v>1</v>
      </c>
      <c r="FB243">
        <v>1.9</v>
      </c>
      <c r="FC243">
        <v>3</v>
      </c>
      <c r="GJ243" s="16">
        <v>2.2400000000000002</v>
      </c>
      <c r="GK243" s="16">
        <v>1</v>
      </c>
      <c r="GL243" s="16">
        <v>2</v>
      </c>
      <c r="GM243" s="16"/>
      <c r="GN243" s="16">
        <f>1.87*2</f>
        <v>3.74</v>
      </c>
      <c r="GO243" s="16"/>
      <c r="GP243" s="16"/>
      <c r="GQ243" s="16"/>
      <c r="GR243" s="16"/>
      <c r="GS243" s="16"/>
      <c r="GT243" s="16"/>
      <c r="GU243" s="16">
        <v>5.49</v>
      </c>
      <c r="GV243" s="16">
        <f>1.01*2+0.56+1.87*2+0.9</f>
        <v>7.2200000000000006</v>
      </c>
      <c r="GW243" s="16"/>
      <c r="GX243" s="16"/>
      <c r="GY243" s="16">
        <v>0</v>
      </c>
      <c r="GZ243" s="16">
        <v>0</v>
      </c>
      <c r="HA243" s="16">
        <v>0</v>
      </c>
      <c r="HB243">
        <v>0</v>
      </c>
      <c r="HC243" t="s">
        <v>275</v>
      </c>
      <c r="HD243">
        <v>19.5</v>
      </c>
      <c r="HE243" s="16">
        <v>74.599999999999994</v>
      </c>
      <c r="HF243" s="16">
        <v>80.400000000000006</v>
      </c>
      <c r="HG243" s="16">
        <v>7.8</v>
      </c>
      <c r="HH243">
        <v>89.29</v>
      </c>
      <c r="HI243">
        <v>8.92</v>
      </c>
      <c r="HJ243">
        <v>1.79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18.95</v>
      </c>
      <c r="HU243">
        <v>9.35</v>
      </c>
      <c r="HV243">
        <v>0</v>
      </c>
      <c r="HW243">
        <v>0</v>
      </c>
      <c r="HX243">
        <v>0</v>
      </c>
      <c r="IL243">
        <v>3.9</v>
      </c>
      <c r="IM243">
        <v>1</v>
      </c>
      <c r="IN243">
        <v>52</v>
      </c>
      <c r="IO243">
        <v>4</v>
      </c>
      <c r="IP243">
        <f>1.01*2+0.56+0.9</f>
        <v>3.48</v>
      </c>
      <c r="IQ243">
        <v>3</v>
      </c>
      <c r="IX243" s="18"/>
      <c r="JP243">
        <v>1</v>
      </c>
      <c r="JQ243">
        <v>50</v>
      </c>
      <c r="JR243">
        <v>1</v>
      </c>
      <c r="JS243">
        <v>1.9</v>
      </c>
      <c r="JT243">
        <v>3</v>
      </c>
      <c r="LA243" s="16">
        <v>2.2400000000000002</v>
      </c>
      <c r="LB243" s="16">
        <v>1</v>
      </c>
      <c r="LC243" s="16">
        <v>2</v>
      </c>
      <c r="LD243" s="16"/>
      <c r="LE243" s="16">
        <f>1.87*2</f>
        <v>3.74</v>
      </c>
      <c r="LF243" s="16"/>
      <c r="LG243" s="16"/>
      <c r="LH243" s="16"/>
      <c r="LI243" s="16"/>
      <c r="LJ243" s="16"/>
      <c r="LK243" s="16"/>
      <c r="LL243" s="16">
        <v>6.49</v>
      </c>
      <c r="LM243" s="16">
        <f>1.01*2+0.56+1.87*2+0.9</f>
        <v>7.2200000000000006</v>
      </c>
      <c r="LN243" s="16"/>
      <c r="LO243" s="16"/>
      <c r="LP243" s="16">
        <v>0</v>
      </c>
      <c r="LQ243" s="16">
        <v>0</v>
      </c>
      <c r="LR243" s="16">
        <v>0</v>
      </c>
      <c r="LS243">
        <v>0</v>
      </c>
      <c r="LT243" t="s">
        <v>276</v>
      </c>
      <c r="LU243">
        <v>22.5</v>
      </c>
      <c r="LV243" s="16">
        <v>73.400000000000006</v>
      </c>
      <c r="LW243" s="16">
        <v>80.400000000000006</v>
      </c>
      <c r="LX243" s="16">
        <v>10.4</v>
      </c>
      <c r="LY243">
        <v>88.12</v>
      </c>
      <c r="LZ243">
        <v>6.29</v>
      </c>
      <c r="MA243">
        <v>4.25</v>
      </c>
      <c r="MB243">
        <v>0</v>
      </c>
      <c r="MC243">
        <v>1.34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2.46</v>
      </c>
      <c r="ML243">
        <v>13.2</v>
      </c>
      <c r="MM243">
        <v>0</v>
      </c>
      <c r="MN243">
        <v>0</v>
      </c>
      <c r="MO243">
        <v>0</v>
      </c>
      <c r="NC243">
        <v>0</v>
      </c>
      <c r="NO243" s="18"/>
      <c r="PR243" s="16">
        <v>2.2400000000000002</v>
      </c>
      <c r="PS243" s="16">
        <v>1</v>
      </c>
      <c r="PT243" s="16">
        <v>2</v>
      </c>
      <c r="PU243" s="16">
        <v>3.73</v>
      </c>
      <c r="PV243" s="16"/>
      <c r="PW243" s="16"/>
      <c r="PX243" s="16"/>
      <c r="PY243" s="16"/>
      <c r="PZ243" s="16"/>
      <c r="QA243" s="16"/>
      <c r="QB243" s="16"/>
      <c r="QC243" s="16">
        <v>9.68</v>
      </c>
      <c r="QD243" s="16">
        <f>2.01+1.34+2.69+3.73+0.81</f>
        <v>10.58</v>
      </c>
      <c r="QE243" s="16"/>
      <c r="QF243" s="16"/>
      <c r="QG243" s="16">
        <v>0</v>
      </c>
      <c r="QH243" s="16">
        <v>0</v>
      </c>
      <c r="QI243" s="16">
        <v>0.16</v>
      </c>
      <c r="QJ243">
        <v>0</v>
      </c>
      <c r="QK243" t="s">
        <v>277</v>
      </c>
      <c r="QL243">
        <v>29.5</v>
      </c>
      <c r="QM243" s="16">
        <v>53.8</v>
      </c>
      <c r="QN243" s="16">
        <v>80.400000000000006</v>
      </c>
      <c r="QO243" s="16">
        <v>12.1</v>
      </c>
      <c r="QP243">
        <v>86.6</v>
      </c>
      <c r="QQ243">
        <v>8.48</v>
      </c>
      <c r="QR243">
        <v>4.93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2.02</v>
      </c>
      <c r="RC243">
        <v>19.559999999999999</v>
      </c>
      <c r="RD243">
        <v>0.25</v>
      </c>
      <c r="RE243">
        <v>0</v>
      </c>
      <c r="RF243">
        <v>0</v>
      </c>
      <c r="RG243">
        <v>0</v>
      </c>
      <c r="RH243">
        <v>0</v>
      </c>
      <c r="RN243">
        <v>0</v>
      </c>
      <c r="RT243">
        <v>0</v>
      </c>
      <c r="RU243">
        <v>0</v>
      </c>
      <c r="SF243" s="18"/>
      <c r="SX243">
        <v>0</v>
      </c>
      <c r="UI243" s="16">
        <v>6.72</v>
      </c>
      <c r="UJ243" s="16">
        <v>1</v>
      </c>
      <c r="UK243" s="16">
        <v>2</v>
      </c>
      <c r="UL243" s="16"/>
      <c r="UM243" s="16">
        <f>3.73*3</f>
        <v>11.19</v>
      </c>
      <c r="UN243" s="16"/>
      <c r="UO243" s="16"/>
      <c r="UP243" s="16"/>
      <c r="UQ243" s="16"/>
      <c r="UR243" s="16"/>
      <c r="US243" s="16"/>
      <c r="UT243" s="16">
        <v>10.6</v>
      </c>
      <c r="UU243" s="16">
        <v>12.44</v>
      </c>
      <c r="UV243" s="16"/>
      <c r="UW243" s="16"/>
      <c r="UX243" s="16">
        <v>0</v>
      </c>
      <c r="UY243" s="16">
        <v>0</v>
      </c>
      <c r="UZ243" s="16">
        <v>0</v>
      </c>
      <c r="VA243">
        <v>0</v>
      </c>
      <c r="VB243" t="s">
        <v>278</v>
      </c>
      <c r="VC243">
        <v>51.5</v>
      </c>
      <c r="VD243" s="16">
        <v>63.4</v>
      </c>
      <c r="VE243" s="16">
        <v>80.400000000000006</v>
      </c>
      <c r="VF243" s="16">
        <v>18.100000000000001</v>
      </c>
      <c r="VG243">
        <v>83.5</v>
      </c>
      <c r="VH243">
        <v>5.36</v>
      </c>
      <c r="VI243">
        <v>8.4600000000000009</v>
      </c>
      <c r="VJ243">
        <v>0</v>
      </c>
      <c r="VK243">
        <v>2.69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0.99</v>
      </c>
      <c r="VT243">
        <v>13.55</v>
      </c>
      <c r="VU243">
        <v>16.2</v>
      </c>
      <c r="VV243">
        <v>0</v>
      </c>
      <c r="VW243">
        <v>0</v>
      </c>
      <c r="VX243">
        <v>0</v>
      </c>
      <c r="WK243">
        <v>18.399999999999999</v>
      </c>
      <c r="WL243">
        <v>1</v>
      </c>
      <c r="WM243">
        <v>47</v>
      </c>
      <c r="WN243">
        <v>1</v>
      </c>
      <c r="WO243">
        <v>0.9</v>
      </c>
      <c r="WP243">
        <v>3</v>
      </c>
      <c r="WQ243">
        <v>35</v>
      </c>
      <c r="WR243">
        <v>3</v>
      </c>
      <c r="WS243">
        <f>0.94</f>
        <v>0.94</v>
      </c>
      <c r="WT243">
        <v>3</v>
      </c>
      <c r="WU243">
        <v>68</v>
      </c>
      <c r="WV243">
        <v>1</v>
      </c>
      <c r="WW243" s="18">
        <v>6.22</v>
      </c>
      <c r="WX243">
        <v>1</v>
      </c>
      <c r="XO243">
        <v>0</v>
      </c>
      <c r="YZ243" s="16">
        <v>3.75</v>
      </c>
      <c r="ZA243" s="16">
        <v>1</v>
      </c>
      <c r="ZB243" s="16">
        <v>1</v>
      </c>
      <c r="ZC243" s="16"/>
      <c r="ZD243" s="16">
        <f>2.49+0.05+0.03</f>
        <v>2.57</v>
      </c>
      <c r="ZE243" s="16">
        <v>2</v>
      </c>
      <c r="ZF243" s="16"/>
      <c r="ZG243" s="16">
        <v>2.4900000000000002</v>
      </c>
      <c r="ZH243" s="16"/>
      <c r="ZI243" s="16"/>
      <c r="ZJ243" s="16"/>
      <c r="ZK243" s="16">
        <v>11.1</v>
      </c>
      <c r="ZL243" s="16">
        <v>18.47</v>
      </c>
      <c r="ZM243" s="16"/>
      <c r="ZN243" s="16"/>
      <c r="ZO243" s="16">
        <v>0</v>
      </c>
      <c r="ZP243" s="16">
        <v>0</v>
      </c>
      <c r="ZQ243" s="16">
        <v>0</v>
      </c>
      <c r="ZR243">
        <v>0</v>
      </c>
      <c r="ZS243" t="s">
        <v>279</v>
      </c>
      <c r="ZT243">
        <v>33.5</v>
      </c>
      <c r="ZU243" s="16">
        <v>54</v>
      </c>
      <c r="ZV243" s="16">
        <v>80.400000000000006</v>
      </c>
      <c r="ZW243" s="16">
        <v>9.6</v>
      </c>
      <c r="ZX243">
        <v>86.69</v>
      </c>
      <c r="ZY243">
        <v>8.34</v>
      </c>
      <c r="ZZ243">
        <v>4.97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12.83</v>
      </c>
      <c r="AAK243">
        <v>6.09</v>
      </c>
      <c r="AAL243">
        <v>0</v>
      </c>
      <c r="AAM243">
        <v>0</v>
      </c>
      <c r="AAN243">
        <v>0</v>
      </c>
      <c r="AAO243">
        <v>0</v>
      </c>
      <c r="ABB243">
        <v>11.3</v>
      </c>
      <c r="ABC243">
        <v>1</v>
      </c>
      <c r="ABD243">
        <v>47</v>
      </c>
      <c r="ABE243">
        <v>1</v>
      </c>
      <c r="ABF243">
        <v>0.9</v>
      </c>
      <c r="ABG243">
        <v>3</v>
      </c>
      <c r="ABH243">
        <v>35</v>
      </c>
      <c r="ABI243">
        <v>2</v>
      </c>
      <c r="ABJ243">
        <v>0.92</v>
      </c>
      <c r="ABK243">
        <v>3</v>
      </c>
      <c r="ABN243" s="18"/>
      <c r="ACF243">
        <v>0</v>
      </c>
      <c r="ADQ243" s="16">
        <v>3.75</v>
      </c>
      <c r="ADR243" s="16">
        <v>1</v>
      </c>
      <c r="ADS243" s="16">
        <v>1</v>
      </c>
      <c r="ADT243" s="16"/>
      <c r="ADU243" s="16">
        <f>2.49+0.05+0.03</f>
        <v>2.57</v>
      </c>
      <c r="ADV243" s="16">
        <v>2</v>
      </c>
      <c r="ADW243" s="16"/>
      <c r="ADX243" s="16">
        <v>2.4900000000000002</v>
      </c>
      <c r="ADY243" s="16"/>
      <c r="ADZ243" s="16"/>
      <c r="AEA243" s="16"/>
      <c r="AEB243" s="16">
        <v>8.81</v>
      </c>
      <c r="AEC243" s="16">
        <v>6.01</v>
      </c>
      <c r="AED243" s="16"/>
      <c r="AEE243" s="16"/>
      <c r="AEF243" s="16">
        <v>0</v>
      </c>
      <c r="AEG243" s="16">
        <v>0</v>
      </c>
      <c r="AEH243" s="16">
        <v>0</v>
      </c>
      <c r="AEI243">
        <v>0</v>
      </c>
      <c r="AEJ243" t="s">
        <v>280</v>
      </c>
      <c r="AEK243">
        <v>79</v>
      </c>
      <c r="AEL243" s="16">
        <v>63.9</v>
      </c>
      <c r="AEM243" s="16">
        <v>80.400000000000006</v>
      </c>
      <c r="AEN243" s="16">
        <v>11.2</v>
      </c>
      <c r="AEO243">
        <v>77.430000000000007</v>
      </c>
      <c r="AEP243">
        <v>22.57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45.87</v>
      </c>
      <c r="AFC243">
        <v>0</v>
      </c>
      <c r="AFD243">
        <v>0</v>
      </c>
      <c r="AFE243">
        <v>0</v>
      </c>
      <c r="AFF243">
        <v>0</v>
      </c>
      <c r="AFS243">
        <v>56.3</v>
      </c>
      <c r="AFT243">
        <v>1</v>
      </c>
      <c r="AFU243">
        <v>47</v>
      </c>
      <c r="AFV243">
        <v>18</v>
      </c>
      <c r="AFW243">
        <f>13.43+9.14</f>
        <v>22.57</v>
      </c>
      <c r="AFX243">
        <v>3</v>
      </c>
      <c r="AGE243" s="18"/>
      <c r="AGW243">
        <v>0</v>
      </c>
      <c r="AIH243" s="16">
        <v>0</v>
      </c>
      <c r="AII243" s="16">
        <v>0</v>
      </c>
      <c r="AIJ243" s="16"/>
      <c r="AIK243" s="16"/>
      <c r="AIL243" s="16"/>
      <c r="AIM243" s="16"/>
      <c r="AIN243" s="16"/>
      <c r="AIO243" s="16"/>
      <c r="AIP243" s="16"/>
      <c r="AIQ243" s="16"/>
      <c r="AIR243" s="16"/>
      <c r="AIS243" s="16">
        <v>11.54</v>
      </c>
      <c r="AIT243" s="16">
        <v>22.57</v>
      </c>
      <c r="AIU243" s="16"/>
      <c r="AIV243" s="16"/>
      <c r="AIW243" s="16">
        <v>0</v>
      </c>
      <c r="AIX243" s="16">
        <v>0</v>
      </c>
      <c r="AIY243" s="16">
        <v>0</v>
      </c>
      <c r="AIZ243">
        <v>0</v>
      </c>
      <c r="AJA243" t="s">
        <v>281</v>
      </c>
      <c r="AJB243">
        <v>42.5</v>
      </c>
      <c r="AJC243" s="16">
        <v>76.400000000000006</v>
      </c>
      <c r="AJD243" s="16">
        <v>80.400000000000006</v>
      </c>
      <c r="AJE243" s="16">
        <v>15.3</v>
      </c>
      <c r="AJF243">
        <v>73.599999999999994</v>
      </c>
      <c r="AJG243">
        <v>20.420000000000002</v>
      </c>
      <c r="AJH243">
        <v>3.69</v>
      </c>
      <c r="AJI243">
        <v>0</v>
      </c>
      <c r="AJJ243">
        <v>2.2799999999999998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35.36</v>
      </c>
      <c r="AJT243">
        <v>16.37</v>
      </c>
      <c r="AJU243">
        <v>0</v>
      </c>
      <c r="AJV243">
        <v>4.4000000000000004</v>
      </c>
      <c r="AJW243">
        <v>2</v>
      </c>
      <c r="AJX243">
        <v>10</v>
      </c>
      <c r="AJY243">
        <v>0.9</v>
      </c>
      <c r="AKD243">
        <v>10</v>
      </c>
      <c r="AKE243">
        <v>0.9</v>
      </c>
      <c r="AKJ243">
        <v>9.6999999999999993</v>
      </c>
      <c r="AKK243">
        <v>1</v>
      </c>
      <c r="AKL243">
        <v>68</v>
      </c>
      <c r="AKM243">
        <v>2</v>
      </c>
      <c r="AKN243">
        <f>3.34+5.29</f>
        <v>8.629999999999999</v>
      </c>
      <c r="AKO243">
        <v>1</v>
      </c>
      <c r="AKP243">
        <v>34</v>
      </c>
      <c r="AKQ243">
        <v>86</v>
      </c>
      <c r="AKR243">
        <f>0.8+0.6</f>
        <v>1.4</v>
      </c>
      <c r="AKS243">
        <v>1</v>
      </c>
      <c r="AKT243">
        <v>47</v>
      </c>
      <c r="AKU243">
        <v>1</v>
      </c>
      <c r="AKV243" s="18">
        <v>1.52</v>
      </c>
      <c r="AKW243">
        <v>3</v>
      </c>
      <c r="ALN243">
        <v>0</v>
      </c>
    </row>
    <row r="244" spans="1:1024" x14ac:dyDescent="0.2">
      <c r="A244" s="1" t="s">
        <v>762</v>
      </c>
      <c r="B244" s="12">
        <v>42910</v>
      </c>
      <c r="C244">
        <v>2</v>
      </c>
      <c r="D244" s="13">
        <v>34946</v>
      </c>
      <c r="E244" s="12">
        <v>25123</v>
      </c>
      <c r="F244" s="14">
        <f t="shared" si="62"/>
        <v>48.698151950718689</v>
      </c>
      <c r="G244" s="14">
        <f t="shared" si="63"/>
        <v>21.804243668720055</v>
      </c>
      <c r="H244" s="19" t="s">
        <v>217</v>
      </c>
      <c r="I244" s="15" t="s">
        <v>272</v>
      </c>
      <c r="J244" s="21" t="s">
        <v>183</v>
      </c>
      <c r="K244" s="21">
        <v>8</v>
      </c>
      <c r="L244" s="19">
        <v>80</v>
      </c>
      <c r="M244">
        <v>1.8</v>
      </c>
      <c r="N244" s="16">
        <f t="shared" si="64"/>
        <v>24.691358024691358</v>
      </c>
      <c r="O244" s="19">
        <v>0</v>
      </c>
      <c r="P244" s="19">
        <v>0</v>
      </c>
      <c r="Q244" s="19">
        <v>0</v>
      </c>
      <c r="R244" s="26">
        <v>0</v>
      </c>
      <c r="S244" s="26">
        <v>0</v>
      </c>
      <c r="T244" s="26">
        <v>0</v>
      </c>
      <c r="U244" s="19">
        <v>0</v>
      </c>
      <c r="V244" s="19">
        <v>0</v>
      </c>
      <c r="W244" s="19">
        <v>1</v>
      </c>
      <c r="X244" s="19">
        <v>0</v>
      </c>
      <c r="Y244" s="19">
        <v>0</v>
      </c>
      <c r="Z244" s="19">
        <v>0</v>
      </c>
      <c r="AA244" s="19">
        <v>0</v>
      </c>
      <c r="AB244" s="19">
        <v>0</v>
      </c>
      <c r="AC244" s="19">
        <v>1</v>
      </c>
      <c r="AD244" s="19">
        <v>20</v>
      </c>
      <c r="AE244" s="19">
        <v>0</v>
      </c>
      <c r="AF244" s="19">
        <v>0</v>
      </c>
      <c r="AG244" s="19">
        <v>0</v>
      </c>
      <c r="AH244" s="19">
        <v>0</v>
      </c>
      <c r="AI244" s="19">
        <v>0</v>
      </c>
      <c r="AJ244" s="19">
        <v>0</v>
      </c>
      <c r="AK244" s="19">
        <v>0</v>
      </c>
      <c r="AL244" s="19">
        <v>0</v>
      </c>
      <c r="AM244" s="19">
        <v>0</v>
      </c>
      <c r="AN244" s="19">
        <v>0</v>
      </c>
      <c r="AO244" s="19">
        <v>0</v>
      </c>
      <c r="AP244" s="19">
        <v>0</v>
      </c>
      <c r="AQ244" s="19">
        <v>0</v>
      </c>
      <c r="AR244" s="19">
        <v>0</v>
      </c>
      <c r="AS244" s="19">
        <v>0</v>
      </c>
      <c r="AT244" s="19">
        <v>0</v>
      </c>
      <c r="AU244" s="19">
        <v>0</v>
      </c>
      <c r="AV244" s="19">
        <v>0</v>
      </c>
      <c r="AW244" s="19">
        <v>0</v>
      </c>
      <c r="AX244" s="19">
        <v>0</v>
      </c>
      <c r="AY244" s="19">
        <v>0</v>
      </c>
      <c r="AZ244" s="19">
        <v>0</v>
      </c>
      <c r="BA244" s="19">
        <v>0</v>
      </c>
      <c r="BB244" s="19">
        <v>1</v>
      </c>
      <c r="BC244" s="19">
        <v>1</v>
      </c>
      <c r="BD244" s="19">
        <v>1</v>
      </c>
      <c r="BE244" s="19">
        <v>10</v>
      </c>
      <c r="BF244" s="19">
        <v>0</v>
      </c>
      <c r="BG244" s="19">
        <v>0</v>
      </c>
      <c r="BH244" s="19">
        <v>0</v>
      </c>
      <c r="BI244" s="19">
        <v>0</v>
      </c>
      <c r="BJ244" s="19">
        <v>0</v>
      </c>
      <c r="BK244" s="19">
        <v>0</v>
      </c>
      <c r="BL244" s="19">
        <v>0</v>
      </c>
      <c r="BM244" s="19">
        <v>0</v>
      </c>
      <c r="BN244" s="19">
        <v>0</v>
      </c>
      <c r="BO244" s="19">
        <v>0</v>
      </c>
      <c r="BP244" s="19">
        <v>0</v>
      </c>
      <c r="BQ244" s="19">
        <v>0</v>
      </c>
      <c r="BR244" s="19">
        <v>4</v>
      </c>
      <c r="BS244" s="19">
        <v>4</v>
      </c>
      <c r="BT244" s="19">
        <v>5</v>
      </c>
      <c r="BU244" s="19">
        <v>5</v>
      </c>
      <c r="BV244" s="19">
        <v>5</v>
      </c>
      <c r="BW244" s="19">
        <v>4</v>
      </c>
      <c r="BX244" s="19">
        <v>5</v>
      </c>
      <c r="BY244" s="19">
        <v>5</v>
      </c>
      <c r="BZ244" s="19">
        <v>3</v>
      </c>
      <c r="CA244" s="19">
        <v>3</v>
      </c>
      <c r="CB244" s="19">
        <v>3</v>
      </c>
      <c r="CC244" s="19">
        <v>3</v>
      </c>
      <c r="CD244" s="19">
        <v>2</v>
      </c>
      <c r="CE244" s="19">
        <v>3</v>
      </c>
      <c r="CF244" s="19">
        <v>4</v>
      </c>
      <c r="CG244" s="19">
        <v>4</v>
      </c>
      <c r="CH244" s="19">
        <v>2</v>
      </c>
      <c r="CI244" s="19">
        <v>3</v>
      </c>
      <c r="CJ244" s="19">
        <v>3</v>
      </c>
      <c r="CK244" s="19">
        <v>10</v>
      </c>
      <c r="CL244" t="s">
        <v>274</v>
      </c>
      <c r="CM244">
        <v>19.5</v>
      </c>
      <c r="CN244" s="16">
        <v>74.3</v>
      </c>
      <c r="CO244" s="16">
        <v>80.400000000000006</v>
      </c>
      <c r="CP244" s="16">
        <v>7.8</v>
      </c>
      <c r="CQ244">
        <v>89.52</v>
      </c>
      <c r="CR244">
        <v>8.69</v>
      </c>
      <c r="CS244">
        <v>1.79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18.73</v>
      </c>
      <c r="DD244">
        <v>9.35</v>
      </c>
      <c r="DE244">
        <v>0</v>
      </c>
      <c r="DF244">
        <v>0</v>
      </c>
      <c r="DG244">
        <v>0</v>
      </c>
      <c r="DU244">
        <v>3.92</v>
      </c>
      <c r="DV244">
        <v>1</v>
      </c>
      <c r="DW244">
        <v>52</v>
      </c>
      <c r="DX244">
        <v>4</v>
      </c>
      <c r="DY244">
        <f>1.01*2+0.56+0.9</f>
        <v>3.48</v>
      </c>
      <c r="DZ244">
        <v>2</v>
      </c>
      <c r="EG244" s="18"/>
      <c r="EY244">
        <v>1</v>
      </c>
      <c r="EZ244">
        <v>50</v>
      </c>
      <c r="FA244">
        <v>1</v>
      </c>
      <c r="FB244">
        <v>1.9</v>
      </c>
      <c r="FC244">
        <v>3</v>
      </c>
      <c r="GJ244" s="16">
        <v>2.2400000000000002</v>
      </c>
      <c r="GK244" s="16">
        <v>1</v>
      </c>
      <c r="GL244" s="16">
        <v>2</v>
      </c>
      <c r="GM244" s="16"/>
      <c r="GN244" s="16">
        <f>1.87*2</f>
        <v>3.74</v>
      </c>
      <c r="GO244" s="16"/>
      <c r="GP244" s="16"/>
      <c r="GQ244" s="16"/>
      <c r="GR244" s="16"/>
      <c r="GS244" s="16"/>
      <c r="GT244" s="16"/>
      <c r="GU244" s="16">
        <v>5.49</v>
      </c>
      <c r="GV244" s="16">
        <f>1.01*2+0.56+1.87*2+0.9</f>
        <v>7.2200000000000006</v>
      </c>
      <c r="GW244" s="16"/>
      <c r="GX244" s="16"/>
      <c r="GY244" s="16">
        <v>0</v>
      </c>
      <c r="GZ244" s="16">
        <v>0</v>
      </c>
      <c r="HA244" s="16">
        <v>0</v>
      </c>
      <c r="HB244">
        <v>0</v>
      </c>
      <c r="HC244" t="s">
        <v>275</v>
      </c>
      <c r="HD244">
        <v>19.5</v>
      </c>
      <c r="HE244" s="16">
        <v>74.599999999999994</v>
      </c>
      <c r="HF244" s="16">
        <v>80.400000000000006</v>
      </c>
      <c r="HG244" s="16">
        <v>7.8</v>
      </c>
      <c r="HH244">
        <v>89.29</v>
      </c>
      <c r="HI244">
        <v>8.92</v>
      </c>
      <c r="HJ244">
        <v>1.79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18.95</v>
      </c>
      <c r="HU244">
        <v>9.35</v>
      </c>
      <c r="HV244">
        <v>0</v>
      </c>
      <c r="HW244">
        <v>0</v>
      </c>
      <c r="HX244">
        <v>0</v>
      </c>
      <c r="IL244">
        <v>3.9</v>
      </c>
      <c r="IM244">
        <v>1</v>
      </c>
      <c r="IN244">
        <v>52</v>
      </c>
      <c r="IO244">
        <v>4</v>
      </c>
      <c r="IP244">
        <f>1.01*2+0.56+0.9</f>
        <v>3.48</v>
      </c>
      <c r="IQ244">
        <v>3</v>
      </c>
      <c r="IX244" s="18"/>
      <c r="JP244">
        <v>1</v>
      </c>
      <c r="JQ244">
        <v>50</v>
      </c>
      <c r="JR244">
        <v>1</v>
      </c>
      <c r="JS244">
        <v>1.9</v>
      </c>
      <c r="JT244">
        <v>3</v>
      </c>
      <c r="LA244" s="16">
        <v>2.2400000000000002</v>
      </c>
      <c r="LB244" s="16">
        <v>1</v>
      </c>
      <c r="LC244" s="16">
        <v>2</v>
      </c>
      <c r="LD244" s="16"/>
      <c r="LE244" s="16">
        <f>1.87*2</f>
        <v>3.74</v>
      </c>
      <c r="LF244" s="16"/>
      <c r="LG244" s="16"/>
      <c r="LH244" s="16"/>
      <c r="LI244" s="16"/>
      <c r="LJ244" s="16"/>
      <c r="LK244" s="16"/>
      <c r="LL244" s="16">
        <v>6.49</v>
      </c>
      <c r="LM244" s="16">
        <f>1.01*2+0.56+1.87*2+0.9</f>
        <v>7.2200000000000006</v>
      </c>
      <c r="LN244" s="16"/>
      <c r="LO244" s="16"/>
      <c r="LP244" s="16">
        <v>0</v>
      </c>
      <c r="LQ244" s="16">
        <v>0</v>
      </c>
      <c r="LR244" s="16">
        <v>0</v>
      </c>
      <c r="LS244">
        <v>0</v>
      </c>
      <c r="LT244" t="s">
        <v>276</v>
      </c>
      <c r="LU244">
        <v>22.5</v>
      </c>
      <c r="LV244" s="16">
        <v>73.400000000000006</v>
      </c>
      <c r="LW244" s="16">
        <v>80.400000000000006</v>
      </c>
      <c r="LX244" s="16">
        <v>10.4</v>
      </c>
      <c r="LY244">
        <v>88.12</v>
      </c>
      <c r="LZ244">
        <v>6.29</v>
      </c>
      <c r="MA244">
        <v>4.25</v>
      </c>
      <c r="MB244">
        <v>0</v>
      </c>
      <c r="MC244">
        <v>1.34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2.46</v>
      </c>
      <c r="ML244">
        <v>13.2</v>
      </c>
      <c r="MM244">
        <v>0</v>
      </c>
      <c r="MN244">
        <v>0</v>
      </c>
      <c r="MO244">
        <v>0</v>
      </c>
      <c r="NC244">
        <v>0</v>
      </c>
      <c r="NO244" s="18"/>
      <c r="PR244" s="16">
        <v>2.2400000000000002</v>
      </c>
      <c r="PS244" s="16">
        <v>1</v>
      </c>
      <c r="PT244" s="16">
        <v>2</v>
      </c>
      <c r="PU244" s="16">
        <v>3.73</v>
      </c>
      <c r="PV244" s="16"/>
      <c r="PW244" s="16"/>
      <c r="PX244" s="16"/>
      <c r="PY244" s="16"/>
      <c r="PZ244" s="16"/>
      <c r="QA244" s="16"/>
      <c r="QB244" s="16"/>
      <c r="QC244" s="16">
        <v>9.68</v>
      </c>
      <c r="QD244" s="16">
        <f>2.01+1.34+2.69+3.73+0.81</f>
        <v>10.58</v>
      </c>
      <c r="QE244" s="16"/>
      <c r="QF244" s="16"/>
      <c r="QG244" s="16">
        <v>0</v>
      </c>
      <c r="QH244" s="16">
        <v>0</v>
      </c>
      <c r="QI244" s="16">
        <v>0.16</v>
      </c>
      <c r="QJ244">
        <v>0</v>
      </c>
      <c r="QK244" t="s">
        <v>277</v>
      </c>
      <c r="QL244">
        <v>29.5</v>
      </c>
      <c r="QM244" s="16">
        <v>53.8</v>
      </c>
      <c r="QN244" s="16">
        <v>80.400000000000006</v>
      </c>
      <c r="QO244" s="16">
        <v>12.1</v>
      </c>
      <c r="QP244">
        <v>86.6</v>
      </c>
      <c r="QQ244">
        <v>8.48</v>
      </c>
      <c r="QR244">
        <v>4.93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2.02</v>
      </c>
      <c r="RC244">
        <v>19.559999999999999</v>
      </c>
      <c r="RD244">
        <v>0.25</v>
      </c>
      <c r="RE244">
        <v>0</v>
      </c>
      <c r="RF244">
        <v>0</v>
      </c>
      <c r="RG244">
        <v>0</v>
      </c>
      <c r="RH244">
        <v>0</v>
      </c>
      <c r="RN244">
        <v>0</v>
      </c>
      <c r="RT244">
        <v>0</v>
      </c>
      <c r="RU244">
        <v>0</v>
      </c>
      <c r="SF244" s="18"/>
      <c r="SX244">
        <v>0</v>
      </c>
      <c r="UI244" s="16">
        <v>6.72</v>
      </c>
      <c r="UJ244" s="16">
        <v>1</v>
      </c>
      <c r="UK244" s="16">
        <v>2</v>
      </c>
      <c r="UL244" s="16"/>
      <c r="UM244" s="16">
        <f>3.73*3</f>
        <v>11.19</v>
      </c>
      <c r="UN244" s="16"/>
      <c r="UO244" s="16"/>
      <c r="UP244" s="16"/>
      <c r="UQ244" s="16"/>
      <c r="UR244" s="16"/>
      <c r="US244" s="16"/>
      <c r="UT244" s="16">
        <v>10.6</v>
      </c>
      <c r="UU244" s="16">
        <v>12.44</v>
      </c>
      <c r="UV244" s="16"/>
      <c r="UW244" s="16"/>
      <c r="UX244" s="16">
        <v>0</v>
      </c>
      <c r="UY244" s="16">
        <v>0</v>
      </c>
      <c r="UZ244" s="16">
        <v>0</v>
      </c>
      <c r="VA244">
        <v>0</v>
      </c>
      <c r="VB244" t="s">
        <v>278</v>
      </c>
      <c r="VC244">
        <v>51.5</v>
      </c>
      <c r="VD244" s="16">
        <v>63.4</v>
      </c>
      <c r="VE244" s="16">
        <v>80.400000000000006</v>
      </c>
      <c r="VF244" s="16">
        <v>18.100000000000001</v>
      </c>
      <c r="VG244">
        <v>83.5</v>
      </c>
      <c r="VH244">
        <v>5.36</v>
      </c>
      <c r="VI244">
        <v>8.4600000000000009</v>
      </c>
      <c r="VJ244">
        <v>0</v>
      </c>
      <c r="VK244">
        <v>2.69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0.99</v>
      </c>
      <c r="VT244">
        <v>13.55</v>
      </c>
      <c r="VU244">
        <v>16.2</v>
      </c>
      <c r="VV244">
        <v>0</v>
      </c>
      <c r="VW244">
        <v>0</v>
      </c>
      <c r="VX244">
        <v>0</v>
      </c>
      <c r="WK244">
        <v>18.399999999999999</v>
      </c>
      <c r="WL244">
        <v>1</v>
      </c>
      <c r="WM244">
        <v>47</v>
      </c>
      <c r="WN244">
        <v>1</v>
      </c>
      <c r="WO244">
        <v>0.9</v>
      </c>
      <c r="WP244">
        <v>3</v>
      </c>
      <c r="WQ244">
        <v>35</v>
      </c>
      <c r="WR244">
        <v>3</v>
      </c>
      <c r="WS244">
        <f>0.94</f>
        <v>0.94</v>
      </c>
      <c r="WT244">
        <v>3</v>
      </c>
      <c r="WU244">
        <v>68</v>
      </c>
      <c r="WV244">
        <v>1</v>
      </c>
      <c r="WW244" s="18">
        <v>6.22</v>
      </c>
      <c r="WX244">
        <v>1</v>
      </c>
      <c r="XO244">
        <v>0</v>
      </c>
      <c r="YZ244" s="16">
        <v>3.75</v>
      </c>
      <c r="ZA244" s="16">
        <v>1</v>
      </c>
      <c r="ZB244" s="16">
        <v>1</v>
      </c>
      <c r="ZC244" s="16"/>
      <c r="ZD244" s="16">
        <f>2.49+0.05+0.03</f>
        <v>2.57</v>
      </c>
      <c r="ZE244" s="16">
        <v>2</v>
      </c>
      <c r="ZF244" s="16"/>
      <c r="ZG244" s="16">
        <v>2.4900000000000002</v>
      </c>
      <c r="ZH244" s="16"/>
      <c r="ZI244" s="16"/>
      <c r="ZJ244" s="16"/>
      <c r="ZK244" s="16">
        <v>11.1</v>
      </c>
      <c r="ZL244" s="16">
        <v>18.47</v>
      </c>
      <c r="ZM244" s="16"/>
      <c r="ZN244" s="16"/>
      <c r="ZO244" s="16">
        <v>0</v>
      </c>
      <c r="ZP244" s="16">
        <v>0</v>
      </c>
      <c r="ZQ244" s="16">
        <v>0</v>
      </c>
      <c r="ZR244">
        <v>0</v>
      </c>
      <c r="ZS244" t="s">
        <v>279</v>
      </c>
      <c r="ZT244">
        <v>33.5</v>
      </c>
      <c r="ZU244" s="16">
        <v>54</v>
      </c>
      <c r="ZV244" s="16">
        <v>80.400000000000006</v>
      </c>
      <c r="ZW244" s="16">
        <v>9.6</v>
      </c>
      <c r="ZX244">
        <v>86.69</v>
      </c>
      <c r="ZY244">
        <v>8.34</v>
      </c>
      <c r="ZZ244">
        <v>4.97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12.83</v>
      </c>
      <c r="AAK244">
        <v>6.09</v>
      </c>
      <c r="AAL244">
        <v>0</v>
      </c>
      <c r="AAM244">
        <v>0</v>
      </c>
      <c r="AAN244">
        <v>0</v>
      </c>
      <c r="AAO244">
        <v>0</v>
      </c>
      <c r="ABB244">
        <v>11.3</v>
      </c>
      <c r="ABC244">
        <v>1</v>
      </c>
      <c r="ABD244">
        <v>47</v>
      </c>
      <c r="ABE244">
        <v>1</v>
      </c>
      <c r="ABF244">
        <v>0.9</v>
      </c>
      <c r="ABG244">
        <v>3</v>
      </c>
      <c r="ABH244">
        <v>35</v>
      </c>
      <c r="ABI244">
        <v>2</v>
      </c>
      <c r="ABJ244">
        <v>0.92</v>
      </c>
      <c r="ABK244">
        <v>3</v>
      </c>
      <c r="ABN244" s="18"/>
      <c r="ACF244">
        <v>0</v>
      </c>
      <c r="ADQ244" s="16">
        <v>3.75</v>
      </c>
      <c r="ADR244" s="16">
        <v>1</v>
      </c>
      <c r="ADS244" s="16">
        <v>1</v>
      </c>
      <c r="ADT244" s="16"/>
      <c r="ADU244" s="16">
        <f>2.49+0.05+0.03</f>
        <v>2.57</v>
      </c>
      <c r="ADV244" s="16">
        <v>2</v>
      </c>
      <c r="ADW244" s="16"/>
      <c r="ADX244" s="16">
        <v>2.4900000000000002</v>
      </c>
      <c r="ADY244" s="16"/>
      <c r="ADZ244" s="16"/>
      <c r="AEA244" s="16"/>
      <c r="AEB244" s="16">
        <v>8.81</v>
      </c>
      <c r="AEC244" s="16">
        <v>6.01</v>
      </c>
      <c r="AED244" s="16"/>
      <c r="AEE244" s="16"/>
      <c r="AEF244" s="16">
        <v>0</v>
      </c>
      <c r="AEG244" s="16">
        <v>0</v>
      </c>
      <c r="AEH244" s="16">
        <v>0</v>
      </c>
      <c r="AEI244">
        <v>0</v>
      </c>
      <c r="AEJ244" t="s">
        <v>280</v>
      </c>
      <c r="AEK244">
        <v>79</v>
      </c>
      <c r="AEL244" s="16">
        <v>63.9</v>
      </c>
      <c r="AEM244" s="16">
        <v>80.400000000000006</v>
      </c>
      <c r="AEN244" s="16">
        <v>11.2</v>
      </c>
      <c r="AEO244">
        <v>77.430000000000007</v>
      </c>
      <c r="AEP244">
        <v>22.57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45.87</v>
      </c>
      <c r="AFC244">
        <v>0</v>
      </c>
      <c r="AFD244">
        <v>0</v>
      </c>
      <c r="AFE244">
        <v>0</v>
      </c>
      <c r="AFF244">
        <v>0</v>
      </c>
      <c r="AFS244">
        <v>56.3</v>
      </c>
      <c r="AFT244">
        <v>1</v>
      </c>
      <c r="AFU244">
        <v>47</v>
      </c>
      <c r="AFV244">
        <v>18</v>
      </c>
      <c r="AFW244">
        <f>13.43+9.14</f>
        <v>22.57</v>
      </c>
      <c r="AFX244">
        <v>3</v>
      </c>
      <c r="AGE244" s="18"/>
      <c r="AGW244">
        <v>0</v>
      </c>
      <c r="AIH244" s="16">
        <v>0</v>
      </c>
      <c r="AII244" s="16">
        <v>0</v>
      </c>
      <c r="AIJ244" s="16"/>
      <c r="AIK244" s="16"/>
      <c r="AIL244" s="16"/>
      <c r="AIM244" s="16"/>
      <c r="AIN244" s="16"/>
      <c r="AIO244" s="16"/>
      <c r="AIP244" s="16"/>
      <c r="AIQ244" s="16"/>
      <c r="AIR244" s="16"/>
      <c r="AIS244" s="16">
        <v>11.54</v>
      </c>
      <c r="AIT244" s="16">
        <v>22.57</v>
      </c>
      <c r="AIU244" s="16"/>
      <c r="AIV244" s="16"/>
      <c r="AIW244" s="16">
        <v>0</v>
      </c>
      <c r="AIX244" s="16">
        <v>0</v>
      </c>
      <c r="AIY244" s="16">
        <v>0</v>
      </c>
      <c r="AIZ244">
        <v>0</v>
      </c>
      <c r="AJA244" t="s">
        <v>281</v>
      </c>
      <c r="AJB244">
        <v>42.5</v>
      </c>
      <c r="AJC244" s="16">
        <v>76.400000000000006</v>
      </c>
      <c r="AJD244" s="16">
        <v>80.400000000000006</v>
      </c>
      <c r="AJE244" s="16">
        <v>15.3</v>
      </c>
      <c r="AJF244">
        <v>73.599999999999994</v>
      </c>
      <c r="AJG244">
        <v>20.420000000000002</v>
      </c>
      <c r="AJH244">
        <v>3.69</v>
      </c>
      <c r="AJI244">
        <v>0</v>
      </c>
      <c r="AJJ244">
        <v>2.2799999999999998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35.36</v>
      </c>
      <c r="AJT244">
        <v>16.37</v>
      </c>
      <c r="AJU244">
        <v>0</v>
      </c>
      <c r="AJV244">
        <v>4.4000000000000004</v>
      </c>
      <c r="AJW244">
        <v>2</v>
      </c>
      <c r="AJX244">
        <v>10</v>
      </c>
      <c r="AJY244">
        <v>0.9</v>
      </c>
      <c r="AKD244">
        <v>10</v>
      </c>
      <c r="AKE244">
        <v>0.9</v>
      </c>
      <c r="AKJ244">
        <v>9.6999999999999993</v>
      </c>
      <c r="AKK244">
        <v>1</v>
      </c>
      <c r="AKL244">
        <v>68</v>
      </c>
      <c r="AKM244">
        <v>2</v>
      </c>
      <c r="AKN244">
        <f>3.34+5.29</f>
        <v>8.629999999999999</v>
      </c>
      <c r="AKO244">
        <v>1</v>
      </c>
      <c r="AKP244">
        <v>34</v>
      </c>
      <c r="AKQ244">
        <v>86</v>
      </c>
      <c r="AKR244">
        <f>0.8+0.6</f>
        <v>1.4</v>
      </c>
      <c r="AKS244">
        <v>1</v>
      </c>
      <c r="AKT244">
        <v>47</v>
      </c>
      <c r="AKU244">
        <v>1</v>
      </c>
      <c r="AKV244" s="18">
        <v>1.52</v>
      </c>
      <c r="AKW244">
        <v>3</v>
      </c>
      <c r="ALN244">
        <v>0</v>
      </c>
    </row>
    <row r="245" spans="1:1024" x14ac:dyDescent="0.2">
      <c r="A245" s="1" t="s">
        <v>763</v>
      </c>
      <c r="B245" s="12">
        <v>42909</v>
      </c>
      <c r="C245">
        <v>1</v>
      </c>
      <c r="D245" s="13">
        <v>42811</v>
      </c>
      <c r="E245" s="13">
        <v>26464</v>
      </c>
      <c r="F245" s="14">
        <f t="shared" si="62"/>
        <v>45.023956194387409</v>
      </c>
      <c r="G245" s="14">
        <f t="shared" si="63"/>
        <v>0.26830937713894593</v>
      </c>
      <c r="H245" s="19" t="s">
        <v>217</v>
      </c>
      <c r="I245" s="15" t="s">
        <v>272</v>
      </c>
      <c r="J245" s="21" t="s">
        <v>183</v>
      </c>
      <c r="K245" s="21">
        <v>8</v>
      </c>
      <c r="L245" s="19">
        <v>72</v>
      </c>
      <c r="M245">
        <v>1.65</v>
      </c>
      <c r="N245" s="16">
        <f t="shared" si="64"/>
        <v>26.446280991735541</v>
      </c>
      <c r="O245" s="19">
        <v>0</v>
      </c>
      <c r="P245" s="19">
        <v>0</v>
      </c>
      <c r="Q245" s="19">
        <v>0</v>
      </c>
      <c r="R245" s="26">
        <v>0</v>
      </c>
      <c r="S245" s="26">
        <v>0</v>
      </c>
      <c r="T245" s="26">
        <v>0</v>
      </c>
      <c r="U245" s="19">
        <v>0</v>
      </c>
      <c r="V245" s="19">
        <v>0</v>
      </c>
      <c r="W245" s="19">
        <v>0</v>
      </c>
      <c r="X245" s="19">
        <v>0</v>
      </c>
      <c r="Y245" s="19">
        <v>0</v>
      </c>
      <c r="Z245" s="19">
        <v>0</v>
      </c>
      <c r="AA245" s="19">
        <v>0</v>
      </c>
      <c r="AB245" s="19">
        <v>0</v>
      </c>
      <c r="AC245" s="19">
        <v>0</v>
      </c>
      <c r="AD245" s="19">
        <v>0</v>
      </c>
      <c r="AE245" s="19">
        <v>0</v>
      </c>
      <c r="AF245" s="19">
        <v>0</v>
      </c>
      <c r="AG245" s="19">
        <v>0</v>
      </c>
      <c r="AH245" s="19">
        <v>0</v>
      </c>
      <c r="AI245" s="19">
        <v>0</v>
      </c>
      <c r="AJ245" s="19">
        <v>0</v>
      </c>
      <c r="AK245" s="19">
        <v>0</v>
      </c>
      <c r="AL245" s="19">
        <v>0</v>
      </c>
      <c r="AM245" s="19">
        <v>0</v>
      </c>
      <c r="AN245" s="19">
        <v>0</v>
      </c>
      <c r="AO245" s="19">
        <v>0</v>
      </c>
      <c r="AP245" s="19">
        <v>0</v>
      </c>
      <c r="AQ245" s="19">
        <v>0</v>
      </c>
      <c r="AR245" s="19">
        <v>0</v>
      </c>
      <c r="AS245" s="19">
        <v>1</v>
      </c>
      <c r="AT245" s="19">
        <v>0</v>
      </c>
      <c r="AU245" s="19">
        <v>0</v>
      </c>
      <c r="AV245" s="19">
        <v>0</v>
      </c>
      <c r="AW245" s="19">
        <v>0</v>
      </c>
      <c r="AX245" s="19">
        <v>0</v>
      </c>
      <c r="AY245" s="19">
        <v>0</v>
      </c>
      <c r="AZ245" s="19">
        <v>0</v>
      </c>
      <c r="BA245" s="19">
        <v>0</v>
      </c>
      <c r="BB245" s="19">
        <v>0</v>
      </c>
      <c r="BC245" s="19">
        <v>0</v>
      </c>
      <c r="BD245" s="19">
        <v>0</v>
      </c>
      <c r="BE245" s="19">
        <v>0</v>
      </c>
      <c r="BF245" s="19">
        <v>0</v>
      </c>
      <c r="BG245" s="19">
        <v>0</v>
      </c>
      <c r="BH245" s="19">
        <v>0</v>
      </c>
      <c r="BI245" s="19">
        <v>0</v>
      </c>
      <c r="BJ245" s="19">
        <v>0</v>
      </c>
      <c r="BK245" s="19">
        <v>0</v>
      </c>
      <c r="BL245" s="19">
        <v>0</v>
      </c>
      <c r="BM245" s="19">
        <v>0</v>
      </c>
      <c r="BN245" s="19">
        <v>0</v>
      </c>
      <c r="BO245" s="19">
        <v>0</v>
      </c>
      <c r="BP245" s="19">
        <v>0</v>
      </c>
      <c r="BQ245" s="19">
        <v>0</v>
      </c>
      <c r="BR245" s="19">
        <v>1</v>
      </c>
      <c r="BS245" s="19">
        <v>1</v>
      </c>
      <c r="BT245" s="19">
        <v>4</v>
      </c>
      <c r="BU245" s="19">
        <v>4</v>
      </c>
      <c r="BV245" s="19">
        <v>1</v>
      </c>
      <c r="BW245" s="19">
        <v>1</v>
      </c>
      <c r="BX245" s="19">
        <v>1</v>
      </c>
      <c r="BY245" s="19">
        <v>2</v>
      </c>
      <c r="BZ245" s="19">
        <v>4</v>
      </c>
      <c r="CA245" s="19">
        <v>4</v>
      </c>
      <c r="CB245" s="19">
        <v>4</v>
      </c>
      <c r="CC245" s="19">
        <v>5</v>
      </c>
      <c r="CD245" s="19">
        <v>5</v>
      </c>
      <c r="CE245" s="19">
        <v>5</v>
      </c>
      <c r="CF245" s="19">
        <v>5</v>
      </c>
      <c r="CG245" s="19">
        <v>5</v>
      </c>
      <c r="CH245" s="19">
        <v>5</v>
      </c>
      <c r="CI245" s="19">
        <v>5</v>
      </c>
      <c r="CJ245" s="19">
        <v>5</v>
      </c>
      <c r="CK245" s="19">
        <v>10</v>
      </c>
      <c r="CL245" t="s">
        <v>274</v>
      </c>
      <c r="CM245">
        <v>19.5</v>
      </c>
      <c r="CN245" s="16">
        <v>74.3</v>
      </c>
      <c r="CO245" s="16">
        <v>80.400000000000006</v>
      </c>
      <c r="CP245" s="16">
        <v>7.8</v>
      </c>
      <c r="CQ245">
        <v>89.52</v>
      </c>
      <c r="CR245">
        <v>8.69</v>
      </c>
      <c r="CS245">
        <v>1.79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18.73</v>
      </c>
      <c r="DD245">
        <v>9.35</v>
      </c>
      <c r="DE245">
        <v>0</v>
      </c>
      <c r="DF245">
        <v>0</v>
      </c>
      <c r="DG245">
        <v>0</v>
      </c>
      <c r="DU245">
        <v>3.92</v>
      </c>
      <c r="DV245">
        <v>1</v>
      </c>
      <c r="DW245">
        <v>52</v>
      </c>
      <c r="DX245">
        <v>4</v>
      </c>
      <c r="DY245">
        <f>1.01*2+0.56+0.9</f>
        <v>3.48</v>
      </c>
      <c r="DZ245">
        <v>2</v>
      </c>
      <c r="EG245" s="18"/>
      <c r="EY245">
        <v>1</v>
      </c>
      <c r="EZ245">
        <v>50</v>
      </c>
      <c r="FA245">
        <v>1</v>
      </c>
      <c r="FB245">
        <v>1.9</v>
      </c>
      <c r="FC245">
        <v>3</v>
      </c>
      <c r="GJ245" s="16">
        <v>2.2400000000000002</v>
      </c>
      <c r="GK245" s="16">
        <v>1</v>
      </c>
      <c r="GL245" s="16">
        <v>2</v>
      </c>
      <c r="GM245" s="16"/>
      <c r="GN245" s="16">
        <f>1.87*2</f>
        <v>3.74</v>
      </c>
      <c r="GO245" s="16"/>
      <c r="GP245" s="16"/>
      <c r="GQ245" s="16"/>
      <c r="GR245" s="16"/>
      <c r="GS245" s="16"/>
      <c r="GT245" s="16"/>
      <c r="GU245" s="16">
        <v>5.49</v>
      </c>
      <c r="GV245" s="16">
        <f>1.01*2+0.56+1.87*2+0.9</f>
        <v>7.2200000000000006</v>
      </c>
      <c r="GW245" s="16"/>
      <c r="GX245" s="16"/>
      <c r="GY245" s="16">
        <v>0</v>
      </c>
      <c r="GZ245" s="16">
        <v>0</v>
      </c>
      <c r="HA245" s="16">
        <v>0</v>
      </c>
      <c r="HB245">
        <v>0</v>
      </c>
      <c r="HC245" t="s">
        <v>275</v>
      </c>
      <c r="HD245">
        <v>19.5</v>
      </c>
      <c r="HE245" s="16">
        <v>74.599999999999994</v>
      </c>
      <c r="HF245" s="16">
        <v>80.400000000000006</v>
      </c>
      <c r="HG245" s="16">
        <v>7.8</v>
      </c>
      <c r="HH245">
        <v>89.29</v>
      </c>
      <c r="HI245">
        <v>8.92</v>
      </c>
      <c r="HJ245">
        <v>1.79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18.95</v>
      </c>
      <c r="HU245">
        <v>9.35</v>
      </c>
      <c r="HV245">
        <v>0</v>
      </c>
      <c r="HW245">
        <v>0</v>
      </c>
      <c r="HX245">
        <v>0</v>
      </c>
      <c r="IL245">
        <v>3.9</v>
      </c>
      <c r="IM245">
        <v>1</v>
      </c>
      <c r="IN245">
        <v>52</v>
      </c>
      <c r="IO245">
        <v>4</v>
      </c>
      <c r="IP245">
        <f>1.01*2+0.56+0.9</f>
        <v>3.48</v>
      </c>
      <c r="IQ245">
        <v>3</v>
      </c>
      <c r="IX245" s="18"/>
      <c r="JP245">
        <v>1</v>
      </c>
      <c r="JQ245">
        <v>50</v>
      </c>
      <c r="JR245">
        <v>1</v>
      </c>
      <c r="JS245">
        <v>1.9</v>
      </c>
      <c r="JT245">
        <v>3</v>
      </c>
      <c r="LA245" s="16">
        <v>2.2400000000000002</v>
      </c>
      <c r="LB245" s="16">
        <v>1</v>
      </c>
      <c r="LC245" s="16">
        <v>2</v>
      </c>
      <c r="LD245" s="16"/>
      <c r="LE245" s="16">
        <f>1.87*2</f>
        <v>3.74</v>
      </c>
      <c r="LF245" s="16"/>
      <c r="LG245" s="16"/>
      <c r="LH245" s="16"/>
      <c r="LI245" s="16"/>
      <c r="LJ245" s="16"/>
      <c r="LK245" s="16"/>
      <c r="LL245" s="16">
        <v>6.49</v>
      </c>
      <c r="LM245" s="16">
        <f>1.01*2+0.56+1.87*2+0.9</f>
        <v>7.2200000000000006</v>
      </c>
      <c r="LN245" s="16"/>
      <c r="LO245" s="16"/>
      <c r="LP245" s="16">
        <v>0</v>
      </c>
      <c r="LQ245" s="16">
        <v>0</v>
      </c>
      <c r="LR245" s="16">
        <v>0</v>
      </c>
      <c r="LS245">
        <v>0</v>
      </c>
      <c r="LT245" t="s">
        <v>276</v>
      </c>
      <c r="LU245">
        <v>22.5</v>
      </c>
      <c r="LV245" s="16">
        <v>73.400000000000006</v>
      </c>
      <c r="LW245" s="16">
        <v>80.400000000000006</v>
      </c>
      <c r="LX245" s="16">
        <v>10.4</v>
      </c>
      <c r="LY245">
        <v>88.12</v>
      </c>
      <c r="LZ245">
        <v>6.29</v>
      </c>
      <c r="MA245">
        <v>4.25</v>
      </c>
      <c r="MB245">
        <v>0</v>
      </c>
      <c r="MC245">
        <v>1.34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2.46</v>
      </c>
      <c r="ML245">
        <v>13.2</v>
      </c>
      <c r="MM245">
        <v>0</v>
      </c>
      <c r="MN245">
        <v>0</v>
      </c>
      <c r="MO245">
        <v>0</v>
      </c>
      <c r="NC245">
        <v>0</v>
      </c>
      <c r="NO245" s="18"/>
      <c r="PR245" s="16">
        <v>2.2400000000000002</v>
      </c>
      <c r="PS245" s="16">
        <v>1</v>
      </c>
      <c r="PT245" s="16">
        <v>2</v>
      </c>
      <c r="PU245" s="16">
        <v>3.73</v>
      </c>
      <c r="PV245" s="16"/>
      <c r="PW245" s="16"/>
      <c r="PX245" s="16"/>
      <c r="PY245" s="16"/>
      <c r="PZ245" s="16"/>
      <c r="QA245" s="16"/>
      <c r="QB245" s="16"/>
      <c r="QC245" s="16">
        <v>9.68</v>
      </c>
      <c r="QD245" s="16">
        <f>2.01+1.34+2.69+3.73+0.81</f>
        <v>10.58</v>
      </c>
      <c r="QE245" s="16"/>
      <c r="QF245" s="16"/>
      <c r="QG245" s="16">
        <v>0</v>
      </c>
      <c r="QH245" s="16">
        <v>0</v>
      </c>
      <c r="QI245" s="16">
        <v>0.16</v>
      </c>
      <c r="QJ245">
        <v>0</v>
      </c>
      <c r="QK245" t="s">
        <v>277</v>
      </c>
      <c r="QL245">
        <v>29.5</v>
      </c>
      <c r="QM245" s="16">
        <v>53.8</v>
      </c>
      <c r="QN245" s="16">
        <v>80.400000000000006</v>
      </c>
      <c r="QO245" s="16">
        <v>12.1</v>
      </c>
      <c r="QP245">
        <v>86.6</v>
      </c>
      <c r="QQ245">
        <v>8.48</v>
      </c>
      <c r="QR245">
        <v>4.93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2.02</v>
      </c>
      <c r="RC245">
        <v>19.559999999999999</v>
      </c>
      <c r="RD245">
        <v>0.25</v>
      </c>
      <c r="RE245">
        <v>0</v>
      </c>
      <c r="RF245">
        <v>0</v>
      </c>
      <c r="RG245">
        <v>0</v>
      </c>
      <c r="RH245">
        <v>0</v>
      </c>
      <c r="RN245">
        <v>0</v>
      </c>
      <c r="RT245">
        <v>0</v>
      </c>
      <c r="RU245">
        <v>0</v>
      </c>
      <c r="SF245" s="18"/>
      <c r="SX245">
        <v>0</v>
      </c>
      <c r="UI245" s="16">
        <v>6.72</v>
      </c>
      <c r="UJ245" s="16">
        <v>1</v>
      </c>
      <c r="UK245" s="16">
        <v>2</v>
      </c>
      <c r="UL245" s="16"/>
      <c r="UM245" s="16">
        <f>3.73*3</f>
        <v>11.19</v>
      </c>
      <c r="UN245" s="16"/>
      <c r="UO245" s="16"/>
      <c r="UP245" s="16"/>
      <c r="UQ245" s="16"/>
      <c r="UR245" s="16"/>
      <c r="US245" s="16"/>
      <c r="UT245" s="16">
        <v>10.6</v>
      </c>
      <c r="UU245" s="16">
        <v>12.44</v>
      </c>
      <c r="UV245" s="16"/>
      <c r="UW245" s="16"/>
      <c r="UX245" s="16">
        <v>0</v>
      </c>
      <c r="UY245" s="16">
        <v>0</v>
      </c>
      <c r="UZ245" s="16">
        <v>0</v>
      </c>
      <c r="VA245">
        <v>0</v>
      </c>
      <c r="VB245" t="s">
        <v>278</v>
      </c>
      <c r="VC245">
        <v>51.5</v>
      </c>
      <c r="VD245" s="16">
        <v>63.4</v>
      </c>
      <c r="VE245" s="16">
        <v>80.400000000000006</v>
      </c>
      <c r="VF245" s="16">
        <v>18.100000000000001</v>
      </c>
      <c r="VG245">
        <v>83.5</v>
      </c>
      <c r="VH245">
        <v>5.36</v>
      </c>
      <c r="VI245">
        <v>8.4600000000000009</v>
      </c>
      <c r="VJ245">
        <v>0</v>
      </c>
      <c r="VK245">
        <v>2.69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0.99</v>
      </c>
      <c r="VT245">
        <v>13.55</v>
      </c>
      <c r="VU245">
        <v>16.2</v>
      </c>
      <c r="VV245">
        <v>0</v>
      </c>
      <c r="VW245">
        <v>0</v>
      </c>
      <c r="VX245">
        <v>0</v>
      </c>
      <c r="WK245">
        <v>18.399999999999999</v>
      </c>
      <c r="WL245">
        <v>1</v>
      </c>
      <c r="WM245">
        <v>47</v>
      </c>
      <c r="WN245">
        <v>1</v>
      </c>
      <c r="WO245">
        <v>0.9</v>
      </c>
      <c r="WP245">
        <v>3</v>
      </c>
      <c r="WQ245">
        <v>35</v>
      </c>
      <c r="WR245">
        <v>3</v>
      </c>
      <c r="WS245">
        <f>0.94</f>
        <v>0.94</v>
      </c>
      <c r="WT245">
        <v>3</v>
      </c>
      <c r="WU245">
        <v>68</v>
      </c>
      <c r="WV245">
        <v>1</v>
      </c>
      <c r="WW245" s="18">
        <v>6.22</v>
      </c>
      <c r="WX245">
        <v>1</v>
      </c>
      <c r="XO245">
        <v>0</v>
      </c>
      <c r="YZ245" s="16">
        <v>3.75</v>
      </c>
      <c r="ZA245" s="16">
        <v>1</v>
      </c>
      <c r="ZB245" s="16">
        <v>1</v>
      </c>
      <c r="ZC245" s="16"/>
      <c r="ZD245" s="16">
        <f>2.49+0.05+0.03</f>
        <v>2.57</v>
      </c>
      <c r="ZE245" s="16">
        <v>2</v>
      </c>
      <c r="ZF245" s="16"/>
      <c r="ZG245" s="16">
        <v>2.4900000000000002</v>
      </c>
      <c r="ZH245" s="16"/>
      <c r="ZI245" s="16"/>
      <c r="ZJ245" s="16"/>
      <c r="ZK245" s="16">
        <v>11.1</v>
      </c>
      <c r="ZL245" s="16">
        <v>18.47</v>
      </c>
      <c r="ZM245" s="16"/>
      <c r="ZN245" s="16"/>
      <c r="ZO245" s="16">
        <v>0</v>
      </c>
      <c r="ZP245" s="16">
        <v>0</v>
      </c>
      <c r="ZQ245" s="16">
        <v>0</v>
      </c>
      <c r="ZR245">
        <v>0</v>
      </c>
      <c r="ZS245" t="s">
        <v>279</v>
      </c>
      <c r="ZT245">
        <v>33.5</v>
      </c>
      <c r="ZU245" s="16">
        <v>54</v>
      </c>
      <c r="ZV245" s="16">
        <v>80.400000000000006</v>
      </c>
      <c r="ZW245" s="16">
        <v>9.6</v>
      </c>
      <c r="ZX245">
        <v>86.69</v>
      </c>
      <c r="ZY245">
        <v>8.34</v>
      </c>
      <c r="ZZ245">
        <v>4.97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12.83</v>
      </c>
      <c r="AAK245">
        <v>6.09</v>
      </c>
      <c r="AAL245">
        <v>0</v>
      </c>
      <c r="AAM245">
        <v>0</v>
      </c>
      <c r="AAN245">
        <v>0</v>
      </c>
      <c r="AAO245">
        <v>0</v>
      </c>
      <c r="ABB245">
        <v>11.3</v>
      </c>
      <c r="ABC245">
        <v>1</v>
      </c>
      <c r="ABD245">
        <v>47</v>
      </c>
      <c r="ABE245">
        <v>1</v>
      </c>
      <c r="ABF245">
        <v>0.9</v>
      </c>
      <c r="ABG245">
        <v>3</v>
      </c>
      <c r="ABH245">
        <v>35</v>
      </c>
      <c r="ABI245">
        <v>2</v>
      </c>
      <c r="ABJ245">
        <v>0.92</v>
      </c>
      <c r="ABK245">
        <v>3</v>
      </c>
      <c r="ABN245" s="18"/>
      <c r="ACF245">
        <v>0</v>
      </c>
      <c r="ADQ245" s="16">
        <v>3.75</v>
      </c>
      <c r="ADR245" s="16">
        <v>1</v>
      </c>
      <c r="ADS245" s="16">
        <v>1</v>
      </c>
      <c r="ADT245" s="16"/>
      <c r="ADU245" s="16">
        <f>2.49+0.05+0.03</f>
        <v>2.57</v>
      </c>
      <c r="ADV245" s="16">
        <v>2</v>
      </c>
      <c r="ADW245" s="16"/>
      <c r="ADX245" s="16">
        <v>2.4900000000000002</v>
      </c>
      <c r="ADY245" s="16"/>
      <c r="ADZ245" s="16"/>
      <c r="AEA245" s="16"/>
      <c r="AEB245" s="16">
        <v>8.81</v>
      </c>
      <c r="AEC245" s="16">
        <v>6.01</v>
      </c>
      <c r="AED245" s="16"/>
      <c r="AEE245" s="16"/>
      <c r="AEF245" s="16">
        <v>0</v>
      </c>
      <c r="AEG245" s="16">
        <v>0</v>
      </c>
      <c r="AEH245" s="16">
        <v>0</v>
      </c>
      <c r="AEI245">
        <v>0</v>
      </c>
      <c r="AEJ245" t="s">
        <v>280</v>
      </c>
      <c r="AEK245">
        <v>79</v>
      </c>
      <c r="AEL245" s="16">
        <v>63.9</v>
      </c>
      <c r="AEM245" s="16">
        <v>80.400000000000006</v>
      </c>
      <c r="AEN245" s="16">
        <v>11.2</v>
      </c>
      <c r="AEO245">
        <v>77.430000000000007</v>
      </c>
      <c r="AEP245">
        <v>22.57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45.87</v>
      </c>
      <c r="AFC245">
        <v>0</v>
      </c>
      <c r="AFD245">
        <v>0</v>
      </c>
      <c r="AFE245">
        <v>0</v>
      </c>
      <c r="AFF245">
        <v>0</v>
      </c>
      <c r="AFS245">
        <v>56.3</v>
      </c>
      <c r="AFT245">
        <v>1</v>
      </c>
      <c r="AFU245">
        <v>47</v>
      </c>
      <c r="AFV245">
        <v>18</v>
      </c>
      <c r="AFW245">
        <f>13.43+9.14</f>
        <v>22.57</v>
      </c>
      <c r="AFX245">
        <v>3</v>
      </c>
      <c r="AGE245" s="18"/>
      <c r="AGW245">
        <v>0</v>
      </c>
      <c r="AIH245" s="16">
        <v>0</v>
      </c>
      <c r="AII245" s="16">
        <v>0</v>
      </c>
      <c r="AIJ245" s="16"/>
      <c r="AIK245" s="16"/>
      <c r="AIL245" s="16"/>
      <c r="AIM245" s="16"/>
      <c r="AIN245" s="16"/>
      <c r="AIO245" s="16"/>
      <c r="AIP245" s="16"/>
      <c r="AIQ245" s="16"/>
      <c r="AIR245" s="16"/>
      <c r="AIS245" s="16">
        <v>11.54</v>
      </c>
      <c r="AIT245" s="16">
        <v>22.57</v>
      </c>
      <c r="AIU245" s="16"/>
      <c r="AIV245" s="16"/>
      <c r="AIW245" s="16">
        <v>0</v>
      </c>
      <c r="AIX245" s="16">
        <v>0</v>
      </c>
      <c r="AIY245" s="16">
        <v>0</v>
      </c>
      <c r="AIZ245">
        <v>0</v>
      </c>
      <c r="AJA245" t="s">
        <v>281</v>
      </c>
      <c r="AJB245">
        <v>42.5</v>
      </c>
      <c r="AJC245" s="16">
        <v>76.400000000000006</v>
      </c>
      <c r="AJD245" s="16">
        <v>80.400000000000006</v>
      </c>
      <c r="AJE245" s="16">
        <v>15.3</v>
      </c>
      <c r="AJF245">
        <v>73.599999999999994</v>
      </c>
      <c r="AJG245">
        <v>20.420000000000002</v>
      </c>
      <c r="AJH245">
        <v>3.69</v>
      </c>
      <c r="AJI245">
        <v>0</v>
      </c>
      <c r="AJJ245">
        <v>2.2799999999999998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35.36</v>
      </c>
      <c r="AJT245">
        <v>16.37</v>
      </c>
      <c r="AJU245">
        <v>0</v>
      </c>
      <c r="AJV245">
        <v>4.4000000000000004</v>
      </c>
      <c r="AJW245">
        <v>2</v>
      </c>
      <c r="AJX245">
        <v>10</v>
      </c>
      <c r="AJY245">
        <v>0.9</v>
      </c>
      <c r="AKD245">
        <v>10</v>
      </c>
      <c r="AKE245">
        <v>0.9</v>
      </c>
      <c r="AKJ245">
        <v>9.6999999999999993</v>
      </c>
      <c r="AKK245">
        <v>1</v>
      </c>
      <c r="AKL245">
        <v>68</v>
      </c>
      <c r="AKM245">
        <v>2</v>
      </c>
      <c r="AKN245">
        <f>3.34+5.29</f>
        <v>8.629999999999999</v>
      </c>
      <c r="AKO245">
        <v>1</v>
      </c>
      <c r="AKP245">
        <v>34</v>
      </c>
      <c r="AKQ245">
        <v>86</v>
      </c>
      <c r="AKR245">
        <f>0.8+0.6</f>
        <v>1.4</v>
      </c>
      <c r="AKS245">
        <v>1</v>
      </c>
      <c r="AKT245">
        <v>47</v>
      </c>
      <c r="AKU245">
        <v>1</v>
      </c>
      <c r="AKV245" s="18">
        <v>1.52</v>
      </c>
      <c r="AKW245">
        <v>3</v>
      </c>
      <c r="ALN245">
        <v>0</v>
      </c>
    </row>
    <row r="246" spans="1:1024" x14ac:dyDescent="0.2">
      <c r="A246" s="1" t="s">
        <v>764</v>
      </c>
      <c r="B246" s="12">
        <v>42908</v>
      </c>
      <c r="C246">
        <v>2</v>
      </c>
      <c r="D246" s="13">
        <v>34973</v>
      </c>
      <c r="E246" s="12">
        <v>25401</v>
      </c>
      <c r="F246" s="14">
        <f t="shared" si="62"/>
        <v>47.931553730321696</v>
      </c>
      <c r="G246" s="14">
        <f t="shared" si="63"/>
        <v>21.724845995893222</v>
      </c>
      <c r="H246" s="19" t="s">
        <v>217</v>
      </c>
      <c r="I246" s="15" t="s">
        <v>402</v>
      </c>
      <c r="J246" s="21" t="s">
        <v>183</v>
      </c>
      <c r="K246" s="21">
        <v>8</v>
      </c>
      <c r="L246" s="19">
        <v>62</v>
      </c>
      <c r="M246">
        <v>1.7</v>
      </c>
      <c r="N246" s="16">
        <f t="shared" si="64"/>
        <v>21.453287197231838</v>
      </c>
      <c r="O246" s="19">
        <v>0</v>
      </c>
      <c r="P246" s="19">
        <v>0</v>
      </c>
      <c r="Q246" s="19">
        <v>0</v>
      </c>
      <c r="R246" s="26">
        <v>0</v>
      </c>
      <c r="S246" s="26">
        <v>0</v>
      </c>
      <c r="T246" s="26">
        <v>0</v>
      </c>
      <c r="U246" s="19">
        <v>1</v>
      </c>
      <c r="V246" s="19">
        <v>6</v>
      </c>
      <c r="W246" s="19">
        <v>1</v>
      </c>
      <c r="X246" s="19">
        <v>1</v>
      </c>
      <c r="Y246" s="19">
        <v>0</v>
      </c>
      <c r="Z246" s="19">
        <v>0</v>
      </c>
      <c r="AA246" s="19">
        <v>0</v>
      </c>
      <c r="AB246" s="19">
        <v>0</v>
      </c>
      <c r="AC246" s="19">
        <v>1</v>
      </c>
      <c r="AD246" s="19">
        <v>15</v>
      </c>
      <c r="AE246" s="19">
        <v>1</v>
      </c>
      <c r="AF246" s="19">
        <v>1</v>
      </c>
      <c r="AG246" s="19">
        <v>1</v>
      </c>
      <c r="AH246" s="19">
        <v>4</v>
      </c>
      <c r="AI246" s="19">
        <v>0</v>
      </c>
      <c r="AJ246" s="19">
        <v>0</v>
      </c>
      <c r="AK246" s="19">
        <v>0</v>
      </c>
      <c r="AL246" s="19">
        <v>0</v>
      </c>
      <c r="AM246" s="19">
        <v>0</v>
      </c>
      <c r="AN246" s="19">
        <v>2</v>
      </c>
      <c r="AO246" s="19">
        <v>2</v>
      </c>
      <c r="AP246" s="19">
        <v>2</v>
      </c>
      <c r="AQ246" s="19">
        <v>0</v>
      </c>
      <c r="AR246" s="19">
        <v>4</v>
      </c>
      <c r="AS246" s="19">
        <v>0</v>
      </c>
      <c r="AT246" s="19">
        <v>0</v>
      </c>
      <c r="AU246" s="19">
        <v>0</v>
      </c>
      <c r="AV246" s="19">
        <v>0</v>
      </c>
      <c r="AW246" s="19">
        <v>0</v>
      </c>
      <c r="AX246" s="19">
        <v>1</v>
      </c>
      <c r="AY246" s="19">
        <v>1</v>
      </c>
      <c r="AZ246" s="19">
        <v>1</v>
      </c>
      <c r="BA246" s="19">
        <v>8</v>
      </c>
      <c r="BB246" s="19">
        <v>1</v>
      </c>
      <c r="BC246" s="19">
        <v>1</v>
      </c>
      <c r="BD246" s="19">
        <v>1</v>
      </c>
      <c r="BE246" s="19">
        <v>8</v>
      </c>
      <c r="BF246" s="19">
        <v>1</v>
      </c>
      <c r="BG246" s="19">
        <v>1</v>
      </c>
      <c r="BH246" s="19">
        <v>1</v>
      </c>
      <c r="BI246" s="19">
        <v>8</v>
      </c>
      <c r="BJ246" s="19">
        <v>0</v>
      </c>
      <c r="BK246" s="19">
        <v>0</v>
      </c>
      <c r="BL246" s="19">
        <v>0</v>
      </c>
      <c r="BM246" s="19">
        <v>0</v>
      </c>
      <c r="BN246" s="19">
        <v>1</v>
      </c>
      <c r="BO246" s="19">
        <v>1</v>
      </c>
      <c r="BP246" s="19">
        <v>1</v>
      </c>
      <c r="BQ246" s="19">
        <v>8</v>
      </c>
      <c r="BR246" s="19">
        <v>3</v>
      </c>
      <c r="BS246" s="19">
        <v>3</v>
      </c>
      <c r="BT246" s="19">
        <v>4</v>
      </c>
      <c r="BU246" s="19">
        <v>5</v>
      </c>
      <c r="BV246" s="19">
        <v>3</v>
      </c>
      <c r="BW246" s="19">
        <v>5</v>
      </c>
      <c r="BX246" s="19">
        <v>4</v>
      </c>
      <c r="BY246" s="19">
        <v>4</v>
      </c>
      <c r="BZ246" s="19">
        <v>3</v>
      </c>
      <c r="CA246" s="19">
        <v>2</v>
      </c>
      <c r="CB246" s="19">
        <v>4</v>
      </c>
      <c r="CC246" s="19">
        <v>5</v>
      </c>
      <c r="CD246" s="19">
        <v>2</v>
      </c>
      <c r="CE246" s="19">
        <v>2</v>
      </c>
      <c r="CF246" s="19">
        <v>3</v>
      </c>
      <c r="CG246" s="19">
        <v>4</v>
      </c>
      <c r="CH246" s="19">
        <v>2</v>
      </c>
      <c r="CI246" s="19">
        <v>3</v>
      </c>
      <c r="CJ246" s="19">
        <v>2</v>
      </c>
      <c r="CK246" s="19">
        <v>4</v>
      </c>
      <c r="CL246" t="s">
        <v>403</v>
      </c>
      <c r="CM246">
        <v>21.5</v>
      </c>
      <c r="CN246" s="16">
        <v>78.400000000000006</v>
      </c>
      <c r="CO246" s="16">
        <v>80.400000000000006</v>
      </c>
      <c r="CP246" s="16">
        <v>9.6</v>
      </c>
      <c r="CQ246">
        <v>84.68</v>
      </c>
      <c r="CR246">
        <v>14.18</v>
      </c>
      <c r="CS246">
        <v>1.1200000000000001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9.51</v>
      </c>
      <c r="DD246">
        <v>25.42</v>
      </c>
      <c r="DE246">
        <v>0</v>
      </c>
      <c r="DF246">
        <v>0</v>
      </c>
      <c r="DG246">
        <v>0</v>
      </c>
      <c r="DH246">
        <v>2</v>
      </c>
      <c r="DI246">
        <v>5</v>
      </c>
      <c r="DO246">
        <v>5</v>
      </c>
      <c r="DU246">
        <v>3.2</v>
      </c>
      <c r="DV246">
        <v>1</v>
      </c>
      <c r="DW246">
        <v>52</v>
      </c>
      <c r="DX246">
        <v>3</v>
      </c>
      <c r="DY246">
        <f>0.07+0.76</f>
        <v>0.83000000000000007</v>
      </c>
      <c r="DZ246">
        <v>2</v>
      </c>
      <c r="EA246">
        <v>103</v>
      </c>
      <c r="EB246">
        <v>3</v>
      </c>
      <c r="EC246">
        <f>0.36+0.34</f>
        <v>0.7</v>
      </c>
      <c r="ED246">
        <v>1</v>
      </c>
      <c r="EE246">
        <v>68</v>
      </c>
      <c r="EF246">
        <v>2</v>
      </c>
      <c r="EG246" s="18">
        <f>0.24</f>
        <v>0.24</v>
      </c>
      <c r="EH246">
        <v>1</v>
      </c>
      <c r="EI246">
        <v>34</v>
      </c>
      <c r="EJ246">
        <v>2</v>
      </c>
      <c r="EK246">
        <f>0.24</f>
        <v>0.24</v>
      </c>
      <c r="EL246">
        <v>1</v>
      </c>
      <c r="EY246">
        <v>0</v>
      </c>
      <c r="GJ246" s="16">
        <v>0.36</v>
      </c>
      <c r="GK246" s="16">
        <v>1</v>
      </c>
      <c r="GL246" s="16">
        <v>1</v>
      </c>
      <c r="GM246" s="16"/>
      <c r="GN246" s="16">
        <v>1.52</v>
      </c>
      <c r="GO246" s="16"/>
      <c r="GP246" s="16"/>
      <c r="GQ246" s="16"/>
      <c r="GR246" s="16"/>
      <c r="GS246" s="16"/>
      <c r="GT246" s="16"/>
      <c r="GU246" s="16">
        <v>8.32</v>
      </c>
      <c r="GV246" s="16">
        <v>8.31</v>
      </c>
      <c r="GW246" s="16"/>
      <c r="GX246" s="16"/>
      <c r="GY246" s="16">
        <v>0</v>
      </c>
      <c r="GZ246" s="16">
        <v>0</v>
      </c>
      <c r="HA246" s="16">
        <v>0</v>
      </c>
      <c r="HB246">
        <v>0</v>
      </c>
      <c r="HC246" t="s">
        <v>404</v>
      </c>
      <c r="HD246">
        <v>50.5</v>
      </c>
      <c r="HE246" s="16">
        <v>95.8</v>
      </c>
      <c r="HF246" s="16">
        <v>80.400000000000006</v>
      </c>
      <c r="HG246" s="16">
        <v>22.6</v>
      </c>
      <c r="HH246">
        <v>70.650000000000006</v>
      </c>
      <c r="HI246">
        <v>13.02</v>
      </c>
      <c r="HJ246">
        <v>16.329999999999998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3.81</v>
      </c>
      <c r="HU246">
        <v>53.36</v>
      </c>
      <c r="HV246">
        <v>0</v>
      </c>
      <c r="HW246">
        <v>0</v>
      </c>
      <c r="HX246">
        <v>7.8</v>
      </c>
      <c r="HY246">
        <v>2</v>
      </c>
      <c r="HZ246">
        <v>10</v>
      </c>
      <c r="IA246">
        <v>2.69</v>
      </c>
      <c r="IF246">
        <v>10</v>
      </c>
      <c r="IG246">
        <v>2.69</v>
      </c>
      <c r="IL246">
        <v>0</v>
      </c>
      <c r="IM246">
        <v>0</v>
      </c>
      <c r="IX246" s="18"/>
      <c r="JP246">
        <v>0</v>
      </c>
      <c r="LA246" s="16">
        <v>10.02</v>
      </c>
      <c r="LB246" s="16">
        <v>1</v>
      </c>
      <c r="LC246" s="16">
        <v>2</v>
      </c>
      <c r="LD246" s="16"/>
      <c r="LE246" s="16">
        <f>0.05*4+0.33*4+1.5*4+0.76*4+1.14*4</f>
        <v>15.119999999999997</v>
      </c>
      <c r="LF246" s="16"/>
      <c r="LG246" s="16"/>
      <c r="LH246" s="16"/>
      <c r="LI246" s="16"/>
      <c r="LJ246" s="16"/>
      <c r="LK246" s="16"/>
      <c r="LL246" s="16">
        <v>9.92</v>
      </c>
      <c r="LM246" s="16">
        <v>20.94</v>
      </c>
      <c r="LN246" s="16"/>
      <c r="LO246" s="16"/>
      <c r="LP246" s="16">
        <v>0</v>
      </c>
      <c r="LQ246" s="16">
        <v>0</v>
      </c>
      <c r="LR246" s="16">
        <v>0</v>
      </c>
      <c r="LS246">
        <v>0</v>
      </c>
      <c r="LT246" t="s">
        <v>405</v>
      </c>
      <c r="LU246">
        <v>57.5</v>
      </c>
      <c r="LV246" s="16">
        <v>93.3</v>
      </c>
      <c r="LW246" s="16">
        <v>80.400000000000006</v>
      </c>
      <c r="LX246" s="16">
        <v>37.200000000000003</v>
      </c>
      <c r="LY246">
        <v>37.4</v>
      </c>
      <c r="LZ246">
        <v>31.73</v>
      </c>
      <c r="MA246">
        <v>29.89</v>
      </c>
      <c r="MB246">
        <v>0</v>
      </c>
      <c r="MC246">
        <v>0.98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21.26</v>
      </c>
      <c r="ML246">
        <v>57.4</v>
      </c>
      <c r="MM246">
        <v>0</v>
      </c>
      <c r="MN246">
        <v>0</v>
      </c>
      <c r="MO246">
        <v>0</v>
      </c>
      <c r="MP246">
        <v>0</v>
      </c>
      <c r="NC246">
        <v>2.2999999999999998</v>
      </c>
      <c r="ND246">
        <v>1</v>
      </c>
      <c r="NE246">
        <v>35</v>
      </c>
      <c r="NF246">
        <v>1</v>
      </c>
      <c r="NG246">
        <v>0.49</v>
      </c>
      <c r="NH246">
        <v>3</v>
      </c>
      <c r="NO246" s="18"/>
      <c r="OG246">
        <v>0</v>
      </c>
      <c r="PR246" s="16">
        <v>2.91</v>
      </c>
      <c r="PS246" s="16">
        <v>1</v>
      </c>
      <c r="PT246" s="16">
        <v>1</v>
      </c>
      <c r="PU246" s="16"/>
      <c r="PV246" s="16">
        <f>2.49+0.21+0.47*2+2.49+0.26+0.53+0.01+4.77+14.32+1.53+3.06+0.13</f>
        <v>30.74</v>
      </c>
      <c r="PW246" s="16"/>
      <c r="PX246" s="16"/>
      <c r="PY246" s="16"/>
      <c r="PZ246" s="16"/>
      <c r="QA246" s="16"/>
      <c r="QB246" s="16"/>
      <c r="QC246" s="16">
        <v>14.81</v>
      </c>
      <c r="QD246" s="16">
        <v>52.45</v>
      </c>
      <c r="QE246" s="16"/>
      <c r="QF246" s="16"/>
      <c r="QG246" s="16">
        <v>0</v>
      </c>
      <c r="QH246" s="16">
        <v>0</v>
      </c>
      <c r="QI246" s="16">
        <v>0</v>
      </c>
      <c r="QJ246">
        <v>0</v>
      </c>
      <c r="QK246" t="s">
        <v>406</v>
      </c>
      <c r="QL246">
        <v>12.5</v>
      </c>
      <c r="QM246" s="16">
        <v>69.900000000000006</v>
      </c>
      <c r="QN246" s="16">
        <v>80.400000000000006</v>
      </c>
      <c r="QO246" s="16">
        <v>9</v>
      </c>
      <c r="QP246">
        <v>90.9</v>
      </c>
      <c r="QQ246">
        <v>7.98</v>
      </c>
      <c r="QR246">
        <v>1.1200000000000001</v>
      </c>
      <c r="QS246">
        <v>4.5599999999999996</v>
      </c>
      <c r="QT246">
        <v>17.670000000000002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4.5599999999999996</v>
      </c>
      <c r="RC246">
        <v>17.670000000000002</v>
      </c>
      <c r="RD246">
        <v>0</v>
      </c>
      <c r="RE246">
        <v>0</v>
      </c>
      <c r="RF246">
        <v>0</v>
      </c>
      <c r="RG246">
        <v>0</v>
      </c>
      <c r="RT246">
        <v>0</v>
      </c>
      <c r="RU246">
        <v>0</v>
      </c>
      <c r="SF246" s="18"/>
      <c r="SX246">
        <v>0</v>
      </c>
      <c r="UI246" s="16">
        <v>0</v>
      </c>
      <c r="UJ246" s="16">
        <v>0</v>
      </c>
      <c r="UK246" s="16"/>
      <c r="UL246" s="16"/>
      <c r="UM246" s="16"/>
      <c r="UN246" s="16"/>
      <c r="UO246" s="16"/>
      <c r="UP246" s="16"/>
      <c r="UQ246" s="16"/>
      <c r="UR246" s="16"/>
      <c r="US246" s="16"/>
      <c r="UT246" s="16">
        <v>3.41</v>
      </c>
      <c r="UU246" s="16">
        <v>3.41</v>
      </c>
      <c r="UV246" s="16"/>
      <c r="UW246" s="16"/>
      <c r="UX246" s="16">
        <v>0</v>
      </c>
      <c r="UY246" s="16">
        <v>0</v>
      </c>
      <c r="UZ246" s="16">
        <v>0</v>
      </c>
      <c r="VA246">
        <v>0</v>
      </c>
      <c r="VB246" t="s">
        <v>407</v>
      </c>
      <c r="VC246">
        <v>17</v>
      </c>
      <c r="VD246" s="16">
        <v>84.3</v>
      </c>
      <c r="VE246" s="16">
        <v>80.400000000000006</v>
      </c>
      <c r="VF246" s="16">
        <v>9.8000000000000007</v>
      </c>
      <c r="VG246">
        <v>84.81</v>
      </c>
      <c r="VH246">
        <v>14.07</v>
      </c>
      <c r="VI246">
        <v>1.1200000000000001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7.34</v>
      </c>
      <c r="VT246">
        <v>26.23</v>
      </c>
      <c r="VU246">
        <v>0</v>
      </c>
      <c r="VV246">
        <v>0</v>
      </c>
      <c r="VW246">
        <v>0</v>
      </c>
      <c r="VX246">
        <v>0</v>
      </c>
      <c r="WK246">
        <v>0</v>
      </c>
      <c r="WL246">
        <v>0</v>
      </c>
      <c r="WW246" s="18"/>
      <c r="XO246">
        <v>0</v>
      </c>
      <c r="YZ246" s="16">
        <v>1.51</v>
      </c>
      <c r="ZA246" s="16">
        <v>1</v>
      </c>
      <c r="ZB246" s="16">
        <v>2</v>
      </c>
      <c r="ZC246" s="16"/>
      <c r="ZD246" s="16">
        <f>0.99+4.04</f>
        <v>5.03</v>
      </c>
      <c r="ZE246" s="16"/>
      <c r="ZF246" s="16"/>
      <c r="ZG246" s="16"/>
      <c r="ZH246" s="16"/>
      <c r="ZI246" s="16"/>
      <c r="ZJ246" s="16"/>
      <c r="ZK246" s="16">
        <v>5.5</v>
      </c>
      <c r="ZL246" s="16">
        <v>9.84</v>
      </c>
      <c r="ZM246" s="16"/>
      <c r="ZN246" s="16"/>
      <c r="ZO246" s="16">
        <v>0</v>
      </c>
      <c r="ZP246" s="16">
        <v>0</v>
      </c>
      <c r="ZQ246" s="16">
        <v>0</v>
      </c>
      <c r="ZR246">
        <v>0</v>
      </c>
      <c r="ZS246" t="s">
        <v>408</v>
      </c>
      <c r="ZT246">
        <v>26</v>
      </c>
      <c r="ZU246" s="16">
        <v>75.099999999999994</v>
      </c>
      <c r="ZV246" s="16">
        <v>80.400000000000006</v>
      </c>
      <c r="ZW246" s="16">
        <v>10.7</v>
      </c>
      <c r="ZX246">
        <v>76.38</v>
      </c>
      <c r="ZY246">
        <v>22.5</v>
      </c>
      <c r="ZZ246">
        <v>1.1200000000000001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10.84</v>
      </c>
      <c r="AAK246">
        <v>26.14</v>
      </c>
      <c r="AAL246">
        <v>0</v>
      </c>
      <c r="AAM246">
        <v>0</v>
      </c>
      <c r="AAN246">
        <v>0</v>
      </c>
      <c r="AAO246">
        <v>0</v>
      </c>
      <c r="ABB246">
        <v>2.5</v>
      </c>
      <c r="ABC246">
        <v>1</v>
      </c>
      <c r="ABD246">
        <v>68</v>
      </c>
      <c r="ABE246">
        <v>1</v>
      </c>
      <c r="ABF246">
        <f>1.34</f>
        <v>1.34</v>
      </c>
      <c r="ABG246">
        <v>1</v>
      </c>
      <c r="ABH246">
        <v>52</v>
      </c>
      <c r="ABI246">
        <v>2</v>
      </c>
      <c r="ABJ246">
        <v>0.45</v>
      </c>
      <c r="ABK246">
        <v>2</v>
      </c>
      <c r="ABN246" s="18"/>
      <c r="ACF246">
        <v>0</v>
      </c>
      <c r="ADQ246" s="16">
        <v>1.21</v>
      </c>
      <c r="ADR246" s="16">
        <v>1</v>
      </c>
      <c r="ADS246" s="16">
        <v>2</v>
      </c>
      <c r="ADT246" s="16"/>
      <c r="ADU246" s="16">
        <v>4.04</v>
      </c>
      <c r="ADV246" s="16"/>
      <c r="ADW246" s="16"/>
      <c r="ADX246" s="16"/>
      <c r="ADY246" s="16"/>
      <c r="ADZ246" s="16"/>
      <c r="AEA246" s="16"/>
      <c r="AEB246" s="16">
        <v>11.17</v>
      </c>
      <c r="AEC246" s="16">
        <v>19.84</v>
      </c>
      <c r="AED246" s="16"/>
      <c r="AEE246" s="16"/>
      <c r="AEF246" s="16">
        <v>0</v>
      </c>
      <c r="AEG246" s="16">
        <v>0</v>
      </c>
      <c r="AEH246" s="16">
        <v>0</v>
      </c>
      <c r="AEI246">
        <v>0</v>
      </c>
      <c r="AEJ246" t="s">
        <v>409</v>
      </c>
      <c r="AEK246">
        <v>23</v>
      </c>
      <c r="AEL246" s="16">
        <v>90.8</v>
      </c>
      <c r="AEM246" s="16">
        <v>80.400000000000006</v>
      </c>
      <c r="AEN246" s="16">
        <v>11.6</v>
      </c>
      <c r="AEO246">
        <v>71.459999999999994</v>
      </c>
      <c r="AEP246">
        <v>27.42</v>
      </c>
      <c r="AEQ246">
        <v>1.1200000000000001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11.58</v>
      </c>
      <c r="AFB246">
        <v>41.25</v>
      </c>
      <c r="AFC246">
        <v>0</v>
      </c>
      <c r="AFD246">
        <v>0</v>
      </c>
      <c r="AFE246">
        <v>0</v>
      </c>
      <c r="AFF246">
        <v>0</v>
      </c>
      <c r="AFS246">
        <v>1.7</v>
      </c>
      <c r="AFT246">
        <v>1</v>
      </c>
      <c r="AFU246">
        <v>35</v>
      </c>
      <c r="AFV246">
        <v>1</v>
      </c>
      <c r="AFW246">
        <v>0.05</v>
      </c>
      <c r="AFX246">
        <v>3</v>
      </c>
      <c r="AFY246">
        <v>103</v>
      </c>
      <c r="AFZ246">
        <v>5</v>
      </c>
      <c r="AGA246">
        <v>0.25</v>
      </c>
      <c r="AGB246">
        <v>1</v>
      </c>
      <c r="AGC246">
        <v>68</v>
      </c>
      <c r="AGD246">
        <v>4</v>
      </c>
      <c r="AGE246" s="18">
        <v>0.26</v>
      </c>
      <c r="AGF246">
        <v>1</v>
      </c>
      <c r="AGG246">
        <v>52</v>
      </c>
      <c r="AGH246">
        <v>4</v>
      </c>
      <c r="AGI246">
        <f>0.09+0.05+0.04</f>
        <v>0.18000000000000002</v>
      </c>
      <c r="AGJ246">
        <v>2</v>
      </c>
      <c r="AGW246">
        <v>0</v>
      </c>
      <c r="AIH246" s="16">
        <v>0.04</v>
      </c>
      <c r="AII246" s="16">
        <v>1</v>
      </c>
      <c r="AIJ246" s="16">
        <v>1</v>
      </c>
      <c r="AIK246" s="16"/>
      <c r="AIL246" s="16">
        <v>0.13</v>
      </c>
      <c r="AIM246" s="16"/>
      <c r="AIN246" s="16"/>
      <c r="AIO246" s="16"/>
      <c r="AIP246" s="16"/>
      <c r="AIQ246" s="16"/>
      <c r="AIR246" s="16"/>
      <c r="AIS246" s="16">
        <v>9.52</v>
      </c>
      <c r="AIT246" s="16">
        <v>21.65</v>
      </c>
      <c r="AIU246" s="16"/>
      <c r="AIV246" s="16"/>
      <c r="AIW246" s="16">
        <v>0</v>
      </c>
      <c r="AIX246" s="16">
        <v>0</v>
      </c>
      <c r="AIY246" s="16">
        <v>0</v>
      </c>
      <c r="AIZ246">
        <v>0</v>
      </c>
      <c r="AJA246" t="s">
        <v>410</v>
      </c>
      <c r="AJB246">
        <v>24</v>
      </c>
      <c r="AJC246" s="16">
        <v>82.9</v>
      </c>
      <c r="AJD246" s="16">
        <v>80.400000000000006</v>
      </c>
      <c r="AJE246" s="16">
        <v>9.6</v>
      </c>
      <c r="AJF246">
        <v>86.23</v>
      </c>
      <c r="AJG246">
        <v>11.76</v>
      </c>
      <c r="AJH246">
        <v>0</v>
      </c>
      <c r="AJI246">
        <v>0</v>
      </c>
      <c r="AJJ246">
        <v>1.01</v>
      </c>
      <c r="AJK246">
        <v>1.01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8.84</v>
      </c>
      <c r="AJS246">
        <v>23.37</v>
      </c>
      <c r="AJT246">
        <v>0</v>
      </c>
      <c r="AJU246">
        <v>0</v>
      </c>
      <c r="AJV246">
        <v>0</v>
      </c>
      <c r="AJW246">
        <v>0</v>
      </c>
      <c r="AKJ246">
        <v>0</v>
      </c>
      <c r="AKK246">
        <v>1</v>
      </c>
      <c r="AKL246">
        <v>52</v>
      </c>
      <c r="AKM246">
        <v>1</v>
      </c>
      <c r="AKN246">
        <v>0.02</v>
      </c>
      <c r="AKO246">
        <v>2</v>
      </c>
      <c r="AKV246" s="18"/>
      <c r="ALN246">
        <v>0</v>
      </c>
    </row>
    <row r="247" spans="1:1024" x14ac:dyDescent="0.2">
      <c r="A247" s="1" t="s">
        <v>765</v>
      </c>
      <c r="B247" s="12">
        <v>42908</v>
      </c>
      <c r="C247">
        <v>2</v>
      </c>
      <c r="D247" s="13">
        <v>40693</v>
      </c>
      <c r="E247" s="12">
        <v>32985</v>
      </c>
      <c r="F247" s="14">
        <f t="shared" si="62"/>
        <v>27.167693360711841</v>
      </c>
      <c r="G247" s="14">
        <f t="shared" si="63"/>
        <v>6.064339493497604</v>
      </c>
      <c r="H247" s="19" t="s">
        <v>217</v>
      </c>
      <c r="I247" s="15" t="s">
        <v>402</v>
      </c>
      <c r="J247" s="21" t="s">
        <v>183</v>
      </c>
      <c r="K247" s="21">
        <v>8</v>
      </c>
      <c r="L247" s="19">
        <v>80</v>
      </c>
      <c r="M247">
        <v>1.68</v>
      </c>
      <c r="N247" s="16">
        <f t="shared" si="64"/>
        <v>28.344671201814062</v>
      </c>
      <c r="O247" s="19">
        <v>0</v>
      </c>
      <c r="P247" s="19">
        <v>0</v>
      </c>
      <c r="Q247" s="19">
        <v>0</v>
      </c>
      <c r="R247" s="26">
        <v>0</v>
      </c>
      <c r="S247" s="26">
        <v>0</v>
      </c>
      <c r="T247" s="26">
        <v>0</v>
      </c>
      <c r="U247" s="26">
        <v>0</v>
      </c>
      <c r="V247" s="26">
        <v>0</v>
      </c>
      <c r="W247" s="19">
        <v>0</v>
      </c>
      <c r="X247" s="19">
        <v>0</v>
      </c>
      <c r="Y247" s="19">
        <v>0</v>
      </c>
      <c r="Z247" s="19">
        <v>0</v>
      </c>
      <c r="AA247" s="19">
        <v>0</v>
      </c>
      <c r="AB247" s="19">
        <v>0</v>
      </c>
      <c r="AC247" s="19">
        <v>0</v>
      </c>
      <c r="AD247" s="19">
        <v>0</v>
      </c>
      <c r="AE247" s="19">
        <v>0</v>
      </c>
      <c r="AF247" s="19">
        <v>0</v>
      </c>
      <c r="AG247" s="19">
        <v>0</v>
      </c>
      <c r="AH247" s="19">
        <v>0</v>
      </c>
      <c r="AI247" s="19">
        <v>0</v>
      </c>
      <c r="AJ247" s="19">
        <v>0</v>
      </c>
      <c r="AK247" s="19">
        <v>0</v>
      </c>
      <c r="AL247" s="19">
        <v>0</v>
      </c>
      <c r="AM247" s="19">
        <v>0</v>
      </c>
      <c r="AN247" s="19">
        <v>0</v>
      </c>
      <c r="AO247" s="19">
        <v>0</v>
      </c>
      <c r="AP247" s="19">
        <v>0</v>
      </c>
      <c r="AQ247" s="19">
        <v>0</v>
      </c>
      <c r="AR247" s="19">
        <v>0</v>
      </c>
      <c r="AS247" s="19">
        <v>0</v>
      </c>
      <c r="AT247" s="19">
        <v>0</v>
      </c>
      <c r="AU247" s="19">
        <v>0</v>
      </c>
      <c r="AV247" s="19">
        <v>0</v>
      </c>
      <c r="AW247" s="19">
        <v>0</v>
      </c>
      <c r="AX247" s="19">
        <v>0</v>
      </c>
      <c r="AY247" s="19">
        <v>0</v>
      </c>
      <c r="AZ247" s="19">
        <v>0</v>
      </c>
      <c r="BA247" s="19">
        <v>0</v>
      </c>
      <c r="BB247" s="19">
        <v>0</v>
      </c>
      <c r="BC247" s="19">
        <v>0</v>
      </c>
      <c r="BD247" s="19">
        <v>0</v>
      </c>
      <c r="BE247" s="19">
        <v>0</v>
      </c>
      <c r="BF247" s="19">
        <v>0</v>
      </c>
      <c r="BG247" s="19">
        <v>0</v>
      </c>
      <c r="BH247" s="19">
        <v>0</v>
      </c>
      <c r="BI247" s="19">
        <v>0</v>
      </c>
      <c r="BJ247" s="19">
        <v>0</v>
      </c>
      <c r="BK247" s="19">
        <v>0</v>
      </c>
      <c r="BL247" s="19">
        <v>0</v>
      </c>
      <c r="BM247" s="19">
        <v>0</v>
      </c>
      <c r="BN247" s="19">
        <v>0</v>
      </c>
      <c r="BO247" s="19">
        <v>0</v>
      </c>
      <c r="BP247" s="19">
        <v>0</v>
      </c>
      <c r="BQ247" s="19">
        <v>0</v>
      </c>
      <c r="BR247" s="19">
        <v>3</v>
      </c>
      <c r="BS247" s="19">
        <v>3</v>
      </c>
      <c r="BT247" s="19">
        <v>2</v>
      </c>
      <c r="BU247" s="19">
        <v>2</v>
      </c>
      <c r="BV247" s="19">
        <v>1</v>
      </c>
      <c r="BW247" s="19">
        <v>1</v>
      </c>
      <c r="BX247" s="19">
        <v>1</v>
      </c>
      <c r="BY247" s="19">
        <v>2</v>
      </c>
      <c r="BZ247" s="19">
        <v>1</v>
      </c>
      <c r="CA247" s="19">
        <v>2</v>
      </c>
      <c r="CB247" s="19">
        <v>3</v>
      </c>
      <c r="CC247" s="19">
        <v>4</v>
      </c>
      <c r="CD247" s="19">
        <v>1</v>
      </c>
      <c r="CE247" s="19">
        <v>3</v>
      </c>
      <c r="CF247" s="19">
        <v>4</v>
      </c>
      <c r="CG247" s="19">
        <v>3</v>
      </c>
      <c r="CH247" s="19">
        <v>3</v>
      </c>
      <c r="CI247" s="19">
        <v>3</v>
      </c>
      <c r="CJ247" s="19">
        <v>3</v>
      </c>
      <c r="CK247" s="19">
        <v>10</v>
      </c>
      <c r="CL247" t="s">
        <v>403</v>
      </c>
      <c r="CM247">
        <v>21.5</v>
      </c>
      <c r="CN247" s="16">
        <v>78.400000000000006</v>
      </c>
      <c r="CO247" s="16">
        <v>80.400000000000006</v>
      </c>
      <c r="CP247" s="16">
        <v>9.6</v>
      </c>
      <c r="CQ247">
        <v>84.68</v>
      </c>
      <c r="CR247">
        <v>14.18</v>
      </c>
      <c r="CS247">
        <v>1.1200000000000001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9.51</v>
      </c>
      <c r="DD247">
        <v>25.42</v>
      </c>
      <c r="DE247">
        <v>0</v>
      </c>
      <c r="DF247">
        <v>0</v>
      </c>
      <c r="DG247">
        <v>0</v>
      </c>
      <c r="DH247">
        <v>2</v>
      </c>
      <c r="DI247">
        <v>5</v>
      </c>
      <c r="DO247">
        <v>5</v>
      </c>
      <c r="DU247">
        <v>3.2</v>
      </c>
      <c r="DV247">
        <v>1</v>
      </c>
      <c r="DW247">
        <v>52</v>
      </c>
      <c r="DX247">
        <v>3</v>
      </c>
      <c r="DY247">
        <f>0.07+0.76</f>
        <v>0.83000000000000007</v>
      </c>
      <c r="DZ247">
        <v>2</v>
      </c>
      <c r="EA247">
        <v>103</v>
      </c>
      <c r="EB247">
        <v>3</v>
      </c>
      <c r="EC247">
        <f>0.36+0.34</f>
        <v>0.7</v>
      </c>
      <c r="ED247">
        <v>1</v>
      </c>
      <c r="EE247">
        <v>68</v>
      </c>
      <c r="EF247">
        <v>2</v>
      </c>
      <c r="EG247" s="18">
        <f>0.24</f>
        <v>0.24</v>
      </c>
      <c r="EH247">
        <v>1</v>
      </c>
      <c r="EI247">
        <v>34</v>
      </c>
      <c r="EJ247">
        <v>2</v>
      </c>
      <c r="EK247">
        <f>0.24</f>
        <v>0.24</v>
      </c>
      <c r="EL247">
        <v>1</v>
      </c>
      <c r="EY247">
        <v>0</v>
      </c>
      <c r="GJ247" s="16">
        <v>0.36</v>
      </c>
      <c r="GK247" s="16">
        <v>1</v>
      </c>
      <c r="GL247" s="16">
        <v>1</v>
      </c>
      <c r="GM247" s="16"/>
      <c r="GN247" s="16">
        <v>1.52</v>
      </c>
      <c r="GO247" s="16"/>
      <c r="GP247" s="16"/>
      <c r="GQ247" s="16"/>
      <c r="GR247" s="16"/>
      <c r="GS247" s="16"/>
      <c r="GT247" s="16"/>
      <c r="GU247" s="16">
        <v>8.32</v>
      </c>
      <c r="GV247" s="16">
        <v>8.31</v>
      </c>
      <c r="GW247" s="16"/>
      <c r="GX247" s="16"/>
      <c r="GY247" s="16">
        <v>0</v>
      </c>
      <c r="GZ247" s="16">
        <v>0</v>
      </c>
      <c r="HA247" s="16">
        <v>0</v>
      </c>
      <c r="HB247">
        <v>0</v>
      </c>
      <c r="HC247" t="s">
        <v>404</v>
      </c>
      <c r="HD247">
        <v>50.5</v>
      </c>
      <c r="HE247" s="16">
        <v>95.8</v>
      </c>
      <c r="HF247" s="16">
        <v>80.400000000000006</v>
      </c>
      <c r="HG247" s="16">
        <v>22.6</v>
      </c>
      <c r="HH247">
        <v>70.650000000000006</v>
      </c>
      <c r="HI247">
        <v>13.02</v>
      </c>
      <c r="HJ247">
        <v>16.329999999999998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3.81</v>
      </c>
      <c r="HU247">
        <v>53.36</v>
      </c>
      <c r="HV247">
        <v>0</v>
      </c>
      <c r="HW247">
        <v>0</v>
      </c>
      <c r="HX247">
        <v>7.8</v>
      </c>
      <c r="HY247">
        <v>2</v>
      </c>
      <c r="HZ247">
        <v>10</v>
      </c>
      <c r="IA247">
        <v>2.69</v>
      </c>
      <c r="IF247">
        <v>10</v>
      </c>
      <c r="IG247">
        <v>2.69</v>
      </c>
      <c r="IL247">
        <v>0</v>
      </c>
      <c r="IM247">
        <v>0</v>
      </c>
      <c r="IX247" s="18"/>
      <c r="JP247">
        <v>0</v>
      </c>
      <c r="LA247" s="16">
        <v>10.02</v>
      </c>
      <c r="LB247" s="16">
        <v>1</v>
      </c>
      <c r="LC247" s="16">
        <v>2</v>
      </c>
      <c r="LD247" s="16"/>
      <c r="LE247" s="16">
        <f>0.05*4+0.33*4+1.5*4+0.76*4+1.14*4</f>
        <v>15.119999999999997</v>
      </c>
      <c r="LF247" s="16"/>
      <c r="LG247" s="16"/>
      <c r="LH247" s="16"/>
      <c r="LI247" s="16"/>
      <c r="LJ247" s="16"/>
      <c r="LK247" s="16"/>
      <c r="LL247" s="16">
        <v>9.92</v>
      </c>
      <c r="LM247" s="16">
        <v>20.94</v>
      </c>
      <c r="LN247" s="16"/>
      <c r="LO247" s="16"/>
      <c r="LP247" s="16">
        <v>0</v>
      </c>
      <c r="LQ247" s="16">
        <v>0</v>
      </c>
      <c r="LR247" s="16">
        <v>0</v>
      </c>
      <c r="LS247">
        <v>0</v>
      </c>
      <c r="LT247" t="s">
        <v>405</v>
      </c>
      <c r="LU247">
        <v>57.5</v>
      </c>
      <c r="LV247" s="16">
        <v>93.3</v>
      </c>
      <c r="LW247" s="16">
        <v>80.400000000000006</v>
      </c>
      <c r="LX247" s="16">
        <v>37.200000000000003</v>
      </c>
      <c r="LY247">
        <v>37.4</v>
      </c>
      <c r="LZ247">
        <v>31.73</v>
      </c>
      <c r="MA247">
        <v>29.89</v>
      </c>
      <c r="MB247">
        <v>0</v>
      </c>
      <c r="MC247">
        <v>0.98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21.26</v>
      </c>
      <c r="ML247">
        <v>57.4</v>
      </c>
      <c r="MM247">
        <v>0</v>
      </c>
      <c r="MN247">
        <v>0</v>
      </c>
      <c r="MO247">
        <v>0</v>
      </c>
      <c r="MP247">
        <v>0</v>
      </c>
      <c r="NC247">
        <v>2.2999999999999998</v>
      </c>
      <c r="ND247">
        <v>1</v>
      </c>
      <c r="NE247">
        <v>35</v>
      </c>
      <c r="NF247">
        <v>1</v>
      </c>
      <c r="NG247">
        <v>0.49</v>
      </c>
      <c r="NH247">
        <v>3</v>
      </c>
      <c r="NO247" s="18"/>
      <c r="OG247">
        <v>0</v>
      </c>
      <c r="PR247" s="16">
        <v>2.91</v>
      </c>
      <c r="PS247" s="16">
        <v>1</v>
      </c>
      <c r="PT247" s="16">
        <v>1</v>
      </c>
      <c r="PU247" s="16"/>
      <c r="PV247" s="16">
        <f>2.49+0.21+0.47*2+2.49+0.26+0.53+0.01+4.77+14.32+1.53+3.06+0.13</f>
        <v>30.74</v>
      </c>
      <c r="PW247" s="16"/>
      <c r="PX247" s="16"/>
      <c r="PY247" s="16"/>
      <c r="PZ247" s="16"/>
      <c r="QA247" s="16"/>
      <c r="QB247" s="16"/>
      <c r="QC247" s="16">
        <v>14.81</v>
      </c>
      <c r="QD247" s="16">
        <v>52.45</v>
      </c>
      <c r="QE247" s="16"/>
      <c r="QF247" s="16"/>
      <c r="QG247" s="16">
        <v>0</v>
      </c>
      <c r="QH247" s="16">
        <v>0</v>
      </c>
      <c r="QI247" s="16">
        <v>0</v>
      </c>
      <c r="QJ247">
        <v>0</v>
      </c>
      <c r="QK247" t="s">
        <v>406</v>
      </c>
      <c r="QL247">
        <v>12.5</v>
      </c>
      <c r="QM247" s="16">
        <v>69.900000000000006</v>
      </c>
      <c r="QN247" s="16">
        <v>80.400000000000006</v>
      </c>
      <c r="QO247" s="16">
        <v>9</v>
      </c>
      <c r="QP247">
        <v>90.9</v>
      </c>
      <c r="QQ247">
        <v>7.98</v>
      </c>
      <c r="QR247">
        <v>1.1200000000000001</v>
      </c>
      <c r="QS247">
        <v>4.5599999999999996</v>
      </c>
      <c r="QT247">
        <v>17.670000000000002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4.5599999999999996</v>
      </c>
      <c r="RC247">
        <v>17.670000000000002</v>
      </c>
      <c r="RD247">
        <v>0</v>
      </c>
      <c r="RE247">
        <v>0</v>
      </c>
      <c r="RF247">
        <v>0</v>
      </c>
      <c r="RG247">
        <v>0</v>
      </c>
      <c r="RT247">
        <v>0</v>
      </c>
      <c r="RU247">
        <v>0</v>
      </c>
      <c r="SF247" s="18"/>
      <c r="SX247">
        <v>0</v>
      </c>
      <c r="UI247" s="16">
        <v>0</v>
      </c>
      <c r="UJ247" s="16">
        <v>0</v>
      </c>
      <c r="UK247" s="16"/>
      <c r="UL247" s="16"/>
      <c r="UM247" s="16"/>
      <c r="UN247" s="16"/>
      <c r="UO247" s="16"/>
      <c r="UP247" s="16"/>
      <c r="UQ247" s="16"/>
      <c r="UR247" s="16"/>
      <c r="US247" s="16"/>
      <c r="UT247" s="16">
        <v>3.41</v>
      </c>
      <c r="UU247" s="16">
        <v>3.41</v>
      </c>
      <c r="UV247" s="16"/>
      <c r="UW247" s="16"/>
      <c r="UX247" s="16">
        <v>0</v>
      </c>
      <c r="UY247" s="16">
        <v>0</v>
      </c>
      <c r="UZ247" s="16">
        <v>0</v>
      </c>
      <c r="VA247">
        <v>0</v>
      </c>
      <c r="VB247" t="s">
        <v>407</v>
      </c>
      <c r="VC247">
        <v>17</v>
      </c>
      <c r="VD247" s="16">
        <v>84.3</v>
      </c>
      <c r="VE247" s="16">
        <v>80.400000000000006</v>
      </c>
      <c r="VF247" s="16">
        <v>9.8000000000000007</v>
      </c>
      <c r="VG247">
        <v>84.81</v>
      </c>
      <c r="VH247">
        <v>14.07</v>
      </c>
      <c r="VI247">
        <v>1.1200000000000001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7.34</v>
      </c>
      <c r="VT247">
        <v>26.23</v>
      </c>
      <c r="VU247">
        <v>0</v>
      </c>
      <c r="VV247">
        <v>0</v>
      </c>
      <c r="VW247">
        <v>0</v>
      </c>
      <c r="VX247">
        <v>0</v>
      </c>
      <c r="WK247">
        <v>0</v>
      </c>
      <c r="WL247">
        <v>0</v>
      </c>
      <c r="WW247" s="18"/>
      <c r="XO247">
        <v>0</v>
      </c>
      <c r="YZ247" s="16">
        <v>1.51</v>
      </c>
      <c r="ZA247" s="16">
        <v>1</v>
      </c>
      <c r="ZB247" s="16">
        <v>2</v>
      </c>
      <c r="ZC247" s="16"/>
      <c r="ZD247" s="16">
        <f>0.99+4.04</f>
        <v>5.03</v>
      </c>
      <c r="ZE247" s="16"/>
      <c r="ZF247" s="16"/>
      <c r="ZG247" s="16"/>
      <c r="ZH247" s="16"/>
      <c r="ZI247" s="16"/>
      <c r="ZJ247" s="16"/>
      <c r="ZK247" s="16">
        <v>5.5</v>
      </c>
      <c r="ZL247" s="16">
        <v>9.84</v>
      </c>
      <c r="ZM247" s="16"/>
      <c r="ZN247" s="16"/>
      <c r="ZO247" s="16">
        <v>0</v>
      </c>
      <c r="ZP247" s="16">
        <v>0</v>
      </c>
      <c r="ZQ247" s="16">
        <v>0</v>
      </c>
      <c r="ZR247">
        <v>0</v>
      </c>
      <c r="ZS247" t="s">
        <v>408</v>
      </c>
      <c r="ZT247">
        <v>26</v>
      </c>
      <c r="ZU247" s="16">
        <v>75.099999999999994</v>
      </c>
      <c r="ZV247" s="16">
        <v>80.400000000000006</v>
      </c>
      <c r="ZW247" s="16">
        <v>10.7</v>
      </c>
      <c r="ZX247">
        <v>76.38</v>
      </c>
      <c r="ZY247">
        <v>22.5</v>
      </c>
      <c r="ZZ247">
        <v>1.1200000000000001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10.84</v>
      </c>
      <c r="AAK247">
        <v>26.14</v>
      </c>
      <c r="AAL247">
        <v>0</v>
      </c>
      <c r="AAM247">
        <v>0</v>
      </c>
      <c r="AAN247">
        <v>0</v>
      </c>
      <c r="AAO247">
        <v>0</v>
      </c>
      <c r="ABB247">
        <v>2.5</v>
      </c>
      <c r="ABC247">
        <v>1</v>
      </c>
      <c r="ABD247">
        <v>68</v>
      </c>
      <c r="ABE247">
        <v>1</v>
      </c>
      <c r="ABF247">
        <f>1.34</f>
        <v>1.34</v>
      </c>
      <c r="ABG247">
        <v>1</v>
      </c>
      <c r="ABH247">
        <v>52</v>
      </c>
      <c r="ABI247">
        <v>2</v>
      </c>
      <c r="ABJ247">
        <v>0.45</v>
      </c>
      <c r="ABK247">
        <v>2</v>
      </c>
      <c r="ABN247" s="18"/>
      <c r="ACF247">
        <v>0</v>
      </c>
      <c r="ADQ247" s="16">
        <v>1.21</v>
      </c>
      <c r="ADR247" s="16">
        <v>1</v>
      </c>
      <c r="ADS247" s="16">
        <v>2</v>
      </c>
      <c r="ADT247" s="16"/>
      <c r="ADU247" s="16">
        <v>4.04</v>
      </c>
      <c r="ADV247" s="16"/>
      <c r="ADW247" s="16"/>
      <c r="ADX247" s="16"/>
      <c r="ADY247" s="16"/>
      <c r="ADZ247" s="16"/>
      <c r="AEA247" s="16"/>
      <c r="AEB247" s="16">
        <v>11.17</v>
      </c>
      <c r="AEC247" s="16">
        <v>19.84</v>
      </c>
      <c r="AED247" s="16"/>
      <c r="AEE247" s="16"/>
      <c r="AEF247" s="16">
        <v>0</v>
      </c>
      <c r="AEG247" s="16">
        <v>0</v>
      </c>
      <c r="AEH247" s="16">
        <v>0</v>
      </c>
      <c r="AEI247">
        <v>0</v>
      </c>
      <c r="AEJ247" t="s">
        <v>409</v>
      </c>
      <c r="AEK247">
        <v>23</v>
      </c>
      <c r="AEL247" s="16">
        <v>90.8</v>
      </c>
      <c r="AEM247" s="16">
        <v>80.400000000000006</v>
      </c>
      <c r="AEN247" s="16">
        <v>11.6</v>
      </c>
      <c r="AEO247">
        <v>71.459999999999994</v>
      </c>
      <c r="AEP247">
        <v>27.42</v>
      </c>
      <c r="AEQ247">
        <v>1.1200000000000001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11.58</v>
      </c>
      <c r="AFB247">
        <v>41.25</v>
      </c>
      <c r="AFC247">
        <v>0</v>
      </c>
      <c r="AFD247">
        <v>0</v>
      </c>
      <c r="AFE247">
        <v>0</v>
      </c>
      <c r="AFF247">
        <v>0</v>
      </c>
      <c r="AFS247">
        <v>1.7</v>
      </c>
      <c r="AFT247">
        <v>1</v>
      </c>
      <c r="AFU247">
        <v>35</v>
      </c>
      <c r="AFV247">
        <v>1</v>
      </c>
      <c r="AFW247">
        <v>0.05</v>
      </c>
      <c r="AFX247">
        <v>3</v>
      </c>
      <c r="AFY247">
        <v>103</v>
      </c>
      <c r="AFZ247">
        <v>5</v>
      </c>
      <c r="AGA247">
        <v>0.25</v>
      </c>
      <c r="AGB247">
        <v>1</v>
      </c>
      <c r="AGC247">
        <v>68</v>
      </c>
      <c r="AGD247">
        <v>4</v>
      </c>
      <c r="AGE247" s="18">
        <v>0.26</v>
      </c>
      <c r="AGF247">
        <v>1</v>
      </c>
      <c r="AGG247">
        <v>52</v>
      </c>
      <c r="AGH247">
        <v>4</v>
      </c>
      <c r="AGI247">
        <f>0.09+0.05+0.04</f>
        <v>0.18000000000000002</v>
      </c>
      <c r="AGJ247">
        <v>2</v>
      </c>
      <c r="AGW247">
        <v>0</v>
      </c>
      <c r="AIH247" s="16">
        <v>0.04</v>
      </c>
      <c r="AII247" s="16">
        <v>1</v>
      </c>
      <c r="AIJ247" s="16">
        <v>1</v>
      </c>
      <c r="AIK247" s="16"/>
      <c r="AIL247" s="16">
        <v>0.13</v>
      </c>
      <c r="AIM247" s="16"/>
      <c r="AIN247" s="16"/>
      <c r="AIO247" s="16"/>
      <c r="AIP247" s="16"/>
      <c r="AIQ247" s="16"/>
      <c r="AIR247" s="16"/>
      <c r="AIS247" s="16">
        <v>9.52</v>
      </c>
      <c r="AIT247" s="16">
        <v>21.65</v>
      </c>
      <c r="AIU247" s="16"/>
      <c r="AIV247" s="16"/>
      <c r="AIW247" s="16">
        <v>0</v>
      </c>
      <c r="AIX247" s="16">
        <v>0</v>
      </c>
      <c r="AIY247" s="16">
        <v>0</v>
      </c>
      <c r="AIZ247">
        <v>0</v>
      </c>
      <c r="AJA247" t="s">
        <v>410</v>
      </c>
      <c r="AJB247">
        <v>24</v>
      </c>
      <c r="AJC247" s="16">
        <v>82.9</v>
      </c>
      <c r="AJD247" s="16">
        <v>80.400000000000006</v>
      </c>
      <c r="AJE247" s="16">
        <v>9.6</v>
      </c>
      <c r="AJF247">
        <v>86.23</v>
      </c>
      <c r="AJG247">
        <v>11.76</v>
      </c>
      <c r="AJH247">
        <v>0</v>
      </c>
      <c r="AJI247">
        <v>0</v>
      </c>
      <c r="AJJ247">
        <v>1.01</v>
      </c>
      <c r="AJK247">
        <v>1.01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8.84</v>
      </c>
      <c r="AJS247">
        <v>23.37</v>
      </c>
      <c r="AJT247">
        <v>0</v>
      </c>
      <c r="AJU247">
        <v>0</v>
      </c>
      <c r="AJV247">
        <v>0</v>
      </c>
      <c r="AJW247">
        <v>0</v>
      </c>
      <c r="AKJ247">
        <v>0</v>
      </c>
      <c r="AKK247">
        <v>1</v>
      </c>
      <c r="AKL247">
        <v>52</v>
      </c>
      <c r="AKM247">
        <v>1</v>
      </c>
      <c r="AKN247">
        <v>0.02</v>
      </c>
      <c r="AKO247">
        <v>2</v>
      </c>
      <c r="AKV247" s="18"/>
      <c r="ALN247">
        <v>0</v>
      </c>
    </row>
    <row r="248" spans="1:1024" x14ac:dyDescent="0.2">
      <c r="A248" s="1" t="s">
        <v>766</v>
      </c>
      <c r="B248" s="12">
        <v>42908</v>
      </c>
      <c r="C248">
        <v>2</v>
      </c>
      <c r="D248" s="13">
        <v>34834</v>
      </c>
      <c r="E248" s="12">
        <v>25213</v>
      </c>
      <c r="F248" s="14">
        <f t="shared" si="62"/>
        <v>48.446269678302535</v>
      </c>
      <c r="G248" s="14">
        <f t="shared" si="63"/>
        <v>22.105407255304584</v>
      </c>
      <c r="H248" s="19" t="s">
        <v>217</v>
      </c>
      <c r="I248" s="15" t="s">
        <v>402</v>
      </c>
      <c r="J248" s="21" t="s">
        <v>183</v>
      </c>
      <c r="K248" s="21">
        <v>8</v>
      </c>
      <c r="L248" s="19">
        <v>92</v>
      </c>
      <c r="M248">
        <v>1.83</v>
      </c>
      <c r="N248" s="16">
        <f t="shared" si="64"/>
        <v>27.471707127713575</v>
      </c>
      <c r="O248" s="19">
        <v>0</v>
      </c>
      <c r="P248" s="19">
        <v>0</v>
      </c>
      <c r="Q248" s="19">
        <v>0</v>
      </c>
      <c r="R248" s="26">
        <v>0</v>
      </c>
      <c r="S248" s="26">
        <v>0</v>
      </c>
      <c r="T248" s="26">
        <v>0</v>
      </c>
      <c r="U248" s="26">
        <v>0</v>
      </c>
      <c r="V248" s="26">
        <v>0</v>
      </c>
      <c r="W248" s="19">
        <v>0</v>
      </c>
      <c r="X248" s="19">
        <v>0</v>
      </c>
      <c r="Y248" s="19">
        <v>1</v>
      </c>
      <c r="Z248" s="19">
        <v>2</v>
      </c>
      <c r="AA248" s="19">
        <v>120</v>
      </c>
      <c r="AB248" s="19" t="s">
        <v>767</v>
      </c>
      <c r="AC248" s="19">
        <v>0</v>
      </c>
      <c r="AD248" s="19">
        <v>0</v>
      </c>
      <c r="AE248" s="19">
        <v>0</v>
      </c>
      <c r="AF248" s="19">
        <v>0</v>
      </c>
      <c r="AG248" s="19">
        <v>0</v>
      </c>
      <c r="AH248" s="19">
        <v>0</v>
      </c>
      <c r="AI248" s="19">
        <v>0</v>
      </c>
      <c r="AJ248" s="19">
        <v>0</v>
      </c>
      <c r="AK248" s="19">
        <v>0</v>
      </c>
      <c r="AL248" s="19">
        <v>0</v>
      </c>
      <c r="AM248" s="19">
        <v>0</v>
      </c>
      <c r="AN248" s="19">
        <v>0</v>
      </c>
      <c r="AO248" s="19">
        <v>0</v>
      </c>
      <c r="AP248" s="19">
        <v>0</v>
      </c>
      <c r="AQ248" s="19">
        <v>0</v>
      </c>
      <c r="AR248" s="19">
        <v>0</v>
      </c>
      <c r="AS248" s="19">
        <v>0</v>
      </c>
      <c r="AT248" s="19">
        <v>0</v>
      </c>
      <c r="AU248" s="19">
        <v>0</v>
      </c>
      <c r="AV248" s="19">
        <v>0</v>
      </c>
      <c r="AW248" s="19">
        <v>0</v>
      </c>
      <c r="AX248" s="19">
        <v>0</v>
      </c>
      <c r="AY248" s="19">
        <v>0</v>
      </c>
      <c r="AZ248" s="19">
        <v>0</v>
      </c>
      <c r="BA248" s="19">
        <v>0</v>
      </c>
      <c r="BB248" s="19">
        <v>1</v>
      </c>
      <c r="BC248" s="19">
        <v>1</v>
      </c>
      <c r="BD248" s="19">
        <v>0</v>
      </c>
      <c r="BE248" s="19">
        <v>0</v>
      </c>
      <c r="BF248" s="19">
        <v>1</v>
      </c>
      <c r="BG248" s="19">
        <v>1</v>
      </c>
      <c r="BH248" s="19">
        <v>0</v>
      </c>
      <c r="BI248" s="19">
        <v>0</v>
      </c>
      <c r="BJ248" s="19">
        <v>0</v>
      </c>
      <c r="BK248" s="19">
        <v>0</v>
      </c>
      <c r="BL248" s="19">
        <v>0</v>
      </c>
      <c r="BM248" s="19">
        <v>0</v>
      </c>
      <c r="BN248" s="19">
        <v>0</v>
      </c>
      <c r="BO248" s="19">
        <v>0</v>
      </c>
      <c r="BP248" s="19">
        <v>0</v>
      </c>
      <c r="BQ248" s="19">
        <v>0</v>
      </c>
      <c r="BR248" s="19">
        <v>3</v>
      </c>
      <c r="BS248" s="19">
        <v>3</v>
      </c>
      <c r="BT248" s="19">
        <v>5</v>
      </c>
      <c r="BU248" s="19">
        <v>5</v>
      </c>
      <c r="BV248" s="19">
        <v>3</v>
      </c>
      <c r="BW248" s="19">
        <v>5</v>
      </c>
      <c r="BX248" s="19">
        <v>5</v>
      </c>
      <c r="BY248" s="19">
        <v>4</v>
      </c>
      <c r="BZ248" s="19">
        <v>3</v>
      </c>
      <c r="CA248" s="19">
        <v>2</v>
      </c>
      <c r="CB248" s="19">
        <v>5</v>
      </c>
      <c r="CC248" s="19">
        <v>5</v>
      </c>
      <c r="CD248" s="19">
        <v>3</v>
      </c>
      <c r="CE248" s="19">
        <v>3</v>
      </c>
      <c r="CF248" s="19">
        <v>4</v>
      </c>
      <c r="CG248" s="19">
        <v>5</v>
      </c>
      <c r="CH248" s="19">
        <v>2</v>
      </c>
      <c r="CI248" s="19">
        <v>5</v>
      </c>
      <c r="CJ248" s="19">
        <v>4</v>
      </c>
      <c r="CK248" s="19">
        <v>9</v>
      </c>
      <c r="CL248" t="s">
        <v>403</v>
      </c>
      <c r="CM248">
        <v>21.5</v>
      </c>
      <c r="CN248" s="16">
        <v>78.400000000000006</v>
      </c>
      <c r="CO248" s="16">
        <v>80.400000000000006</v>
      </c>
      <c r="CP248" s="16">
        <v>9.6</v>
      </c>
      <c r="CQ248">
        <v>84.68</v>
      </c>
      <c r="CR248">
        <v>14.18</v>
      </c>
      <c r="CS248">
        <v>1.1200000000000001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9.51</v>
      </c>
      <c r="DD248">
        <v>25.42</v>
      </c>
      <c r="DE248">
        <v>0</v>
      </c>
      <c r="DF248">
        <v>0</v>
      </c>
      <c r="DG248">
        <v>0</v>
      </c>
      <c r="DH248">
        <v>2</v>
      </c>
      <c r="DI248">
        <v>5</v>
      </c>
      <c r="DO248">
        <v>5</v>
      </c>
      <c r="DU248">
        <v>3.2</v>
      </c>
      <c r="DV248">
        <v>1</v>
      </c>
      <c r="DW248">
        <v>52</v>
      </c>
      <c r="DX248">
        <v>3</v>
      </c>
      <c r="DY248">
        <f>0.07+0.76</f>
        <v>0.83000000000000007</v>
      </c>
      <c r="DZ248">
        <v>2</v>
      </c>
      <c r="EA248">
        <v>103</v>
      </c>
      <c r="EB248">
        <v>3</v>
      </c>
      <c r="EC248">
        <f>0.36+0.34</f>
        <v>0.7</v>
      </c>
      <c r="ED248">
        <v>1</v>
      </c>
      <c r="EE248">
        <v>68</v>
      </c>
      <c r="EF248">
        <v>2</v>
      </c>
      <c r="EG248" s="18">
        <f>0.24</f>
        <v>0.24</v>
      </c>
      <c r="EH248">
        <v>1</v>
      </c>
      <c r="EI248">
        <v>34</v>
      </c>
      <c r="EJ248">
        <v>2</v>
      </c>
      <c r="EK248">
        <f>0.24</f>
        <v>0.24</v>
      </c>
      <c r="EL248">
        <v>1</v>
      </c>
      <c r="EY248">
        <v>0</v>
      </c>
      <c r="GJ248" s="16">
        <v>0.36</v>
      </c>
      <c r="GK248" s="16">
        <v>1</v>
      </c>
      <c r="GL248" s="16">
        <v>1</v>
      </c>
      <c r="GM248" s="16"/>
      <c r="GN248" s="16">
        <v>1.52</v>
      </c>
      <c r="GO248" s="16"/>
      <c r="GP248" s="16"/>
      <c r="GQ248" s="16"/>
      <c r="GR248" s="16"/>
      <c r="GS248" s="16"/>
      <c r="GT248" s="16"/>
      <c r="GU248" s="16">
        <v>8.32</v>
      </c>
      <c r="GV248" s="16">
        <v>8.31</v>
      </c>
      <c r="GW248" s="16"/>
      <c r="GX248" s="16"/>
      <c r="GY248" s="16">
        <v>0</v>
      </c>
      <c r="GZ248" s="16">
        <v>0</v>
      </c>
      <c r="HA248" s="16">
        <v>0</v>
      </c>
      <c r="HB248">
        <v>0</v>
      </c>
      <c r="HC248" t="s">
        <v>404</v>
      </c>
      <c r="HD248">
        <v>50.5</v>
      </c>
      <c r="HE248" s="16">
        <v>95.8</v>
      </c>
      <c r="HF248" s="16">
        <v>80.400000000000006</v>
      </c>
      <c r="HG248" s="16">
        <v>22.6</v>
      </c>
      <c r="HH248">
        <v>70.650000000000006</v>
      </c>
      <c r="HI248">
        <v>13.02</v>
      </c>
      <c r="HJ248">
        <v>16.329999999999998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3.81</v>
      </c>
      <c r="HU248">
        <v>53.36</v>
      </c>
      <c r="HV248">
        <v>0</v>
      </c>
      <c r="HW248">
        <v>0</v>
      </c>
      <c r="HX248">
        <v>7.8</v>
      </c>
      <c r="HY248">
        <v>2</v>
      </c>
      <c r="HZ248">
        <v>10</v>
      </c>
      <c r="IA248">
        <v>2.69</v>
      </c>
      <c r="IF248">
        <v>10</v>
      </c>
      <c r="IG248">
        <v>2.69</v>
      </c>
      <c r="IL248">
        <v>0</v>
      </c>
      <c r="IM248">
        <v>0</v>
      </c>
      <c r="IX248" s="18"/>
      <c r="JP248">
        <v>0</v>
      </c>
      <c r="LA248" s="16">
        <v>10.02</v>
      </c>
      <c r="LB248" s="16">
        <v>1</v>
      </c>
      <c r="LC248" s="16">
        <v>2</v>
      </c>
      <c r="LD248" s="16"/>
      <c r="LE248" s="16">
        <f>0.05*4+0.33*4+1.5*4+0.76*4+1.14*4</f>
        <v>15.119999999999997</v>
      </c>
      <c r="LF248" s="16"/>
      <c r="LG248" s="16"/>
      <c r="LH248" s="16"/>
      <c r="LI248" s="16"/>
      <c r="LJ248" s="16"/>
      <c r="LK248" s="16"/>
      <c r="LL248" s="16">
        <v>9.92</v>
      </c>
      <c r="LM248" s="16">
        <v>20.94</v>
      </c>
      <c r="LN248" s="16"/>
      <c r="LO248" s="16"/>
      <c r="LP248" s="16">
        <v>0</v>
      </c>
      <c r="LQ248" s="16">
        <v>0</v>
      </c>
      <c r="LR248" s="16">
        <v>0</v>
      </c>
      <c r="LS248">
        <v>0</v>
      </c>
      <c r="LT248" t="s">
        <v>405</v>
      </c>
      <c r="LU248">
        <v>57.5</v>
      </c>
      <c r="LV248" s="16">
        <v>93.3</v>
      </c>
      <c r="LW248" s="16">
        <v>80.400000000000006</v>
      </c>
      <c r="LX248" s="16">
        <v>37.200000000000003</v>
      </c>
      <c r="LY248">
        <v>37.4</v>
      </c>
      <c r="LZ248">
        <v>31.73</v>
      </c>
      <c r="MA248">
        <v>29.89</v>
      </c>
      <c r="MB248">
        <v>0</v>
      </c>
      <c r="MC248">
        <v>0.98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21.26</v>
      </c>
      <c r="ML248">
        <v>57.4</v>
      </c>
      <c r="MM248">
        <v>0</v>
      </c>
      <c r="MN248">
        <v>0</v>
      </c>
      <c r="MO248">
        <v>0</v>
      </c>
      <c r="MP248">
        <v>0</v>
      </c>
      <c r="NC248">
        <v>2.2999999999999998</v>
      </c>
      <c r="ND248">
        <v>1</v>
      </c>
      <c r="NE248">
        <v>35</v>
      </c>
      <c r="NF248">
        <v>1</v>
      </c>
      <c r="NG248">
        <v>0.49</v>
      </c>
      <c r="NH248">
        <v>3</v>
      </c>
      <c r="NO248" s="18"/>
      <c r="OG248">
        <v>0</v>
      </c>
      <c r="PR248" s="16">
        <v>2.91</v>
      </c>
      <c r="PS248" s="16">
        <v>1</v>
      </c>
      <c r="PT248" s="16">
        <v>1</v>
      </c>
      <c r="PU248" s="16"/>
      <c r="PV248" s="16">
        <f>2.49+0.21+0.47*2+2.49+0.26+0.53+0.01+4.77+14.32+1.53+3.06+0.13</f>
        <v>30.74</v>
      </c>
      <c r="PW248" s="16"/>
      <c r="PX248" s="16"/>
      <c r="PY248" s="16"/>
      <c r="PZ248" s="16"/>
      <c r="QA248" s="16"/>
      <c r="QB248" s="16"/>
      <c r="QC248" s="16">
        <v>14.81</v>
      </c>
      <c r="QD248" s="16">
        <v>52.45</v>
      </c>
      <c r="QE248" s="16"/>
      <c r="QF248" s="16"/>
      <c r="QG248" s="16">
        <v>0</v>
      </c>
      <c r="QH248" s="16">
        <v>0</v>
      </c>
      <c r="QI248" s="16">
        <v>0</v>
      </c>
      <c r="QJ248">
        <v>0</v>
      </c>
      <c r="QK248" t="s">
        <v>406</v>
      </c>
      <c r="QL248">
        <v>12.5</v>
      </c>
      <c r="QM248" s="16">
        <v>69.900000000000006</v>
      </c>
      <c r="QN248" s="16">
        <v>80.400000000000006</v>
      </c>
      <c r="QO248" s="16">
        <v>9</v>
      </c>
      <c r="QP248">
        <v>90.9</v>
      </c>
      <c r="QQ248">
        <v>7.98</v>
      </c>
      <c r="QR248">
        <v>1.1200000000000001</v>
      </c>
      <c r="QS248">
        <v>4.5599999999999996</v>
      </c>
      <c r="QT248">
        <v>17.670000000000002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4.5599999999999996</v>
      </c>
      <c r="RC248">
        <v>17.670000000000002</v>
      </c>
      <c r="RD248">
        <v>0</v>
      </c>
      <c r="RE248">
        <v>0</v>
      </c>
      <c r="RF248">
        <v>0</v>
      </c>
      <c r="RG248">
        <v>0</v>
      </c>
      <c r="RT248">
        <v>0</v>
      </c>
      <c r="RU248">
        <v>0</v>
      </c>
      <c r="SF248" s="18"/>
      <c r="SX248">
        <v>0</v>
      </c>
      <c r="UI248" s="16">
        <v>0</v>
      </c>
      <c r="UJ248" s="16">
        <v>0</v>
      </c>
      <c r="UK248" s="16"/>
      <c r="UL248" s="16"/>
      <c r="UM248" s="16"/>
      <c r="UN248" s="16"/>
      <c r="UO248" s="16"/>
      <c r="UP248" s="16"/>
      <c r="UQ248" s="16"/>
      <c r="UR248" s="16"/>
      <c r="US248" s="16"/>
      <c r="UT248" s="16">
        <v>3.41</v>
      </c>
      <c r="UU248" s="16">
        <v>3.41</v>
      </c>
      <c r="UV248" s="16"/>
      <c r="UW248" s="16"/>
      <c r="UX248" s="16">
        <v>0</v>
      </c>
      <c r="UY248" s="16">
        <v>0</v>
      </c>
      <c r="UZ248" s="16">
        <v>0</v>
      </c>
      <c r="VA248">
        <v>0</v>
      </c>
      <c r="VB248" t="s">
        <v>407</v>
      </c>
      <c r="VC248">
        <v>17</v>
      </c>
      <c r="VD248" s="16">
        <v>84.3</v>
      </c>
      <c r="VE248" s="16">
        <v>80.400000000000006</v>
      </c>
      <c r="VF248" s="16">
        <v>9.8000000000000007</v>
      </c>
      <c r="VG248">
        <v>84.81</v>
      </c>
      <c r="VH248">
        <v>14.07</v>
      </c>
      <c r="VI248">
        <v>1.1200000000000001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7.34</v>
      </c>
      <c r="VT248">
        <v>26.23</v>
      </c>
      <c r="VU248">
        <v>0</v>
      </c>
      <c r="VV248">
        <v>0</v>
      </c>
      <c r="VW248">
        <v>0</v>
      </c>
      <c r="VX248">
        <v>0</v>
      </c>
      <c r="WK248">
        <v>0</v>
      </c>
      <c r="WL248">
        <v>0</v>
      </c>
      <c r="WW248" s="18"/>
      <c r="XO248">
        <v>0</v>
      </c>
      <c r="YZ248" s="16">
        <v>1.51</v>
      </c>
      <c r="ZA248" s="16">
        <v>1</v>
      </c>
      <c r="ZB248" s="16">
        <v>2</v>
      </c>
      <c r="ZC248" s="16"/>
      <c r="ZD248" s="16">
        <f>0.99+4.04</f>
        <v>5.03</v>
      </c>
      <c r="ZE248" s="16"/>
      <c r="ZF248" s="16"/>
      <c r="ZG248" s="16"/>
      <c r="ZH248" s="16"/>
      <c r="ZI248" s="16"/>
      <c r="ZJ248" s="16"/>
      <c r="ZK248" s="16">
        <v>5.5</v>
      </c>
      <c r="ZL248" s="16">
        <v>9.84</v>
      </c>
      <c r="ZM248" s="16"/>
      <c r="ZN248" s="16"/>
      <c r="ZO248" s="16">
        <v>0</v>
      </c>
      <c r="ZP248" s="16">
        <v>0</v>
      </c>
      <c r="ZQ248" s="16">
        <v>0</v>
      </c>
      <c r="ZR248">
        <v>0</v>
      </c>
      <c r="ZS248" t="s">
        <v>408</v>
      </c>
      <c r="ZT248">
        <v>26</v>
      </c>
      <c r="ZU248" s="16">
        <v>75.099999999999994</v>
      </c>
      <c r="ZV248" s="16">
        <v>80.400000000000006</v>
      </c>
      <c r="ZW248" s="16">
        <v>10.7</v>
      </c>
      <c r="ZX248">
        <v>76.38</v>
      </c>
      <c r="ZY248">
        <v>22.5</v>
      </c>
      <c r="ZZ248">
        <v>1.1200000000000001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10.84</v>
      </c>
      <c r="AAK248">
        <v>26.14</v>
      </c>
      <c r="AAL248">
        <v>0</v>
      </c>
      <c r="AAM248">
        <v>0</v>
      </c>
      <c r="AAN248">
        <v>0</v>
      </c>
      <c r="AAO248">
        <v>0</v>
      </c>
      <c r="ABB248">
        <v>2.5</v>
      </c>
      <c r="ABC248">
        <v>1</v>
      </c>
      <c r="ABD248">
        <v>68</v>
      </c>
      <c r="ABE248">
        <v>1</v>
      </c>
      <c r="ABF248">
        <f>1.34</f>
        <v>1.34</v>
      </c>
      <c r="ABG248">
        <v>1</v>
      </c>
      <c r="ABH248">
        <v>52</v>
      </c>
      <c r="ABI248">
        <v>2</v>
      </c>
      <c r="ABJ248">
        <v>0.45</v>
      </c>
      <c r="ABK248">
        <v>2</v>
      </c>
      <c r="ABN248" s="18"/>
      <c r="ACF248">
        <v>0</v>
      </c>
      <c r="ADQ248" s="16">
        <v>1.21</v>
      </c>
      <c r="ADR248" s="16">
        <v>1</v>
      </c>
      <c r="ADS248" s="16">
        <v>2</v>
      </c>
      <c r="ADT248" s="16"/>
      <c r="ADU248" s="16">
        <v>4.04</v>
      </c>
      <c r="ADV248" s="16"/>
      <c r="ADW248" s="16"/>
      <c r="ADX248" s="16"/>
      <c r="ADY248" s="16"/>
      <c r="ADZ248" s="16"/>
      <c r="AEA248" s="16"/>
      <c r="AEB248" s="16">
        <v>11.17</v>
      </c>
      <c r="AEC248" s="16">
        <v>19.84</v>
      </c>
      <c r="AED248" s="16"/>
      <c r="AEE248" s="16"/>
      <c r="AEF248" s="16">
        <v>0</v>
      </c>
      <c r="AEG248" s="16">
        <v>0</v>
      </c>
      <c r="AEH248" s="16">
        <v>0</v>
      </c>
      <c r="AEI248">
        <v>0</v>
      </c>
      <c r="AEJ248" t="s">
        <v>409</v>
      </c>
      <c r="AEK248">
        <v>23</v>
      </c>
      <c r="AEL248" s="16">
        <v>90.8</v>
      </c>
      <c r="AEM248" s="16">
        <v>80.400000000000006</v>
      </c>
      <c r="AEN248" s="16">
        <v>11.6</v>
      </c>
      <c r="AEO248">
        <v>71.459999999999994</v>
      </c>
      <c r="AEP248">
        <v>27.42</v>
      </c>
      <c r="AEQ248">
        <v>1.1200000000000001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11.58</v>
      </c>
      <c r="AFB248">
        <v>41.25</v>
      </c>
      <c r="AFC248">
        <v>0</v>
      </c>
      <c r="AFD248">
        <v>0</v>
      </c>
      <c r="AFE248">
        <v>0</v>
      </c>
      <c r="AFF248">
        <v>0</v>
      </c>
      <c r="AFS248">
        <v>1.7</v>
      </c>
      <c r="AFT248">
        <v>1</v>
      </c>
      <c r="AFU248">
        <v>35</v>
      </c>
      <c r="AFV248">
        <v>1</v>
      </c>
      <c r="AFW248">
        <v>0.05</v>
      </c>
      <c r="AFX248">
        <v>3</v>
      </c>
      <c r="AFY248">
        <v>103</v>
      </c>
      <c r="AFZ248">
        <v>5</v>
      </c>
      <c r="AGA248">
        <v>0.25</v>
      </c>
      <c r="AGB248">
        <v>1</v>
      </c>
      <c r="AGC248">
        <v>68</v>
      </c>
      <c r="AGD248">
        <v>4</v>
      </c>
      <c r="AGE248" s="18">
        <v>0.26</v>
      </c>
      <c r="AGF248">
        <v>1</v>
      </c>
      <c r="AGG248">
        <v>52</v>
      </c>
      <c r="AGH248">
        <v>4</v>
      </c>
      <c r="AGI248">
        <f>0.09+0.05+0.04</f>
        <v>0.18000000000000002</v>
      </c>
      <c r="AGJ248">
        <v>2</v>
      </c>
      <c r="AGW248">
        <v>0</v>
      </c>
      <c r="AIH248" s="16">
        <v>0.04</v>
      </c>
      <c r="AII248" s="16">
        <v>1</v>
      </c>
      <c r="AIJ248" s="16">
        <v>1</v>
      </c>
      <c r="AIK248" s="16"/>
      <c r="AIL248" s="16">
        <v>0.13</v>
      </c>
      <c r="AIM248" s="16"/>
      <c r="AIN248" s="16"/>
      <c r="AIO248" s="16"/>
      <c r="AIP248" s="16"/>
      <c r="AIQ248" s="16"/>
      <c r="AIR248" s="16"/>
      <c r="AIS248" s="16">
        <v>9.52</v>
      </c>
      <c r="AIT248" s="16">
        <v>21.65</v>
      </c>
      <c r="AIU248" s="16"/>
      <c r="AIV248" s="16"/>
      <c r="AIW248" s="16">
        <v>0</v>
      </c>
      <c r="AIX248" s="16">
        <v>0</v>
      </c>
      <c r="AIY248" s="16">
        <v>0</v>
      </c>
      <c r="AIZ248">
        <v>0</v>
      </c>
      <c r="AJA248" t="s">
        <v>410</v>
      </c>
      <c r="AJB248">
        <v>24</v>
      </c>
      <c r="AJC248" s="16">
        <v>82.9</v>
      </c>
      <c r="AJD248" s="16">
        <v>80.400000000000006</v>
      </c>
      <c r="AJE248" s="16">
        <v>9.6</v>
      </c>
      <c r="AJF248">
        <v>86.23</v>
      </c>
      <c r="AJG248">
        <v>11.76</v>
      </c>
      <c r="AJH248">
        <v>0</v>
      </c>
      <c r="AJI248">
        <v>0</v>
      </c>
      <c r="AJJ248">
        <v>1.01</v>
      </c>
      <c r="AJK248">
        <v>1.01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8.84</v>
      </c>
      <c r="AJS248">
        <v>23.37</v>
      </c>
      <c r="AJT248">
        <v>0</v>
      </c>
      <c r="AJU248">
        <v>0</v>
      </c>
      <c r="AJV248">
        <v>0</v>
      </c>
      <c r="AJW248">
        <v>0</v>
      </c>
      <c r="AKJ248">
        <v>0</v>
      </c>
      <c r="AKK248">
        <v>1</v>
      </c>
      <c r="AKL248">
        <v>52</v>
      </c>
      <c r="AKM248">
        <v>1</v>
      </c>
      <c r="AKN248">
        <v>0.02</v>
      </c>
      <c r="AKO248">
        <v>2</v>
      </c>
      <c r="AKV248" s="18"/>
      <c r="ALN248">
        <v>0</v>
      </c>
    </row>
    <row r="249" spans="1:1024" x14ac:dyDescent="0.2">
      <c r="A249" s="1" t="s">
        <v>768</v>
      </c>
      <c r="B249" s="12">
        <v>42909</v>
      </c>
      <c r="C249">
        <v>1</v>
      </c>
      <c r="D249" s="13">
        <v>42811</v>
      </c>
      <c r="E249" s="12">
        <v>33917</v>
      </c>
      <c r="F249" s="14">
        <f t="shared" si="62"/>
        <v>24.618754277891856</v>
      </c>
      <c r="G249" s="14">
        <f t="shared" si="63"/>
        <v>0.26830937713894593</v>
      </c>
      <c r="H249" s="19" t="s">
        <v>217</v>
      </c>
      <c r="I249" s="15" t="s">
        <v>402</v>
      </c>
      <c r="J249" s="21" t="s">
        <v>183</v>
      </c>
      <c r="K249" s="21">
        <v>8</v>
      </c>
      <c r="L249" s="19">
        <v>50</v>
      </c>
      <c r="M249">
        <v>1.58</v>
      </c>
      <c r="N249" s="16">
        <f t="shared" si="64"/>
        <v>20.028841531805796</v>
      </c>
      <c r="O249" s="19">
        <v>0</v>
      </c>
      <c r="P249" s="19">
        <v>0</v>
      </c>
      <c r="Q249" s="19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19">
        <v>1</v>
      </c>
      <c r="X249" s="19">
        <v>0</v>
      </c>
      <c r="Y249" s="19">
        <v>0</v>
      </c>
      <c r="Z249" s="19">
        <v>0</v>
      </c>
      <c r="AA249" s="19">
        <v>0</v>
      </c>
      <c r="AB249" s="19">
        <v>0</v>
      </c>
      <c r="AC249" s="19">
        <v>1</v>
      </c>
      <c r="AD249" s="19">
        <v>11</v>
      </c>
      <c r="AE249" s="19">
        <v>1</v>
      </c>
      <c r="AF249" s="19">
        <v>0</v>
      </c>
      <c r="AG249" s="19">
        <v>0</v>
      </c>
      <c r="AH249" s="19">
        <v>0</v>
      </c>
      <c r="AI249" s="19">
        <v>0</v>
      </c>
      <c r="AJ249" s="19">
        <v>0</v>
      </c>
      <c r="AK249" s="19">
        <v>0</v>
      </c>
      <c r="AL249" s="19">
        <v>0</v>
      </c>
      <c r="AM249" s="19">
        <v>0</v>
      </c>
      <c r="AN249" s="19">
        <v>0</v>
      </c>
      <c r="AO249" s="19">
        <v>0</v>
      </c>
      <c r="AP249" s="19">
        <v>0</v>
      </c>
      <c r="AQ249" s="19">
        <v>0</v>
      </c>
      <c r="AR249" s="19">
        <v>0</v>
      </c>
      <c r="AS249" s="19">
        <v>0</v>
      </c>
      <c r="AT249" s="19">
        <v>0</v>
      </c>
      <c r="AU249" s="19">
        <v>0</v>
      </c>
      <c r="AV249" s="19">
        <v>0</v>
      </c>
      <c r="AW249" s="19">
        <v>0</v>
      </c>
      <c r="AX249" s="19">
        <v>1</v>
      </c>
      <c r="AY249" s="19">
        <v>1</v>
      </c>
      <c r="AZ249" s="19">
        <v>0</v>
      </c>
      <c r="BA249" s="19">
        <v>0</v>
      </c>
      <c r="BB249" s="19">
        <v>1</v>
      </c>
      <c r="BC249" s="19">
        <v>0</v>
      </c>
      <c r="BD249" s="19">
        <v>0</v>
      </c>
      <c r="BE249" s="19">
        <v>0</v>
      </c>
      <c r="BF249" s="19">
        <v>0</v>
      </c>
      <c r="BG249" s="19">
        <v>0</v>
      </c>
      <c r="BH249" s="19">
        <v>0</v>
      </c>
      <c r="BI249" s="19">
        <v>0</v>
      </c>
      <c r="BJ249" s="19">
        <v>0</v>
      </c>
      <c r="BK249" s="19">
        <v>0</v>
      </c>
      <c r="BL249" s="19">
        <v>0</v>
      </c>
      <c r="BM249" s="19">
        <v>0</v>
      </c>
      <c r="BN249" s="19">
        <v>0</v>
      </c>
      <c r="BO249" s="19">
        <v>0</v>
      </c>
      <c r="BP249" s="19">
        <v>0</v>
      </c>
      <c r="BQ249" s="19">
        <v>0</v>
      </c>
      <c r="BR249" s="19">
        <v>1</v>
      </c>
      <c r="BS249" s="19">
        <v>3</v>
      </c>
      <c r="BT249" s="19">
        <v>4</v>
      </c>
      <c r="BU249" s="19">
        <v>5</v>
      </c>
      <c r="BV249" s="19">
        <v>3</v>
      </c>
      <c r="BW249" s="19">
        <v>2</v>
      </c>
      <c r="BX249" s="19">
        <v>2</v>
      </c>
      <c r="BY249" s="19">
        <v>5</v>
      </c>
      <c r="BZ249" s="19">
        <v>5</v>
      </c>
      <c r="CA249" s="19">
        <v>5</v>
      </c>
      <c r="CB249" s="19">
        <v>5</v>
      </c>
      <c r="CC249" s="19">
        <v>5</v>
      </c>
      <c r="CD249" s="19">
        <v>4</v>
      </c>
      <c r="CE249" s="19">
        <v>5</v>
      </c>
      <c r="CF249" s="19">
        <v>5</v>
      </c>
      <c r="CG249" s="19">
        <v>5</v>
      </c>
      <c r="CH249" s="19">
        <v>5</v>
      </c>
      <c r="CI249" s="19">
        <v>5</v>
      </c>
      <c r="CJ249" s="19">
        <v>5</v>
      </c>
      <c r="CK249" s="19">
        <v>10</v>
      </c>
      <c r="CL249" t="s">
        <v>403</v>
      </c>
      <c r="CM249">
        <v>21.5</v>
      </c>
      <c r="CN249" s="16">
        <v>78.400000000000006</v>
      </c>
      <c r="CO249" s="16">
        <v>80.400000000000006</v>
      </c>
      <c r="CP249" s="16">
        <v>9.6</v>
      </c>
      <c r="CQ249">
        <v>84.68</v>
      </c>
      <c r="CR249">
        <v>14.18</v>
      </c>
      <c r="CS249">
        <v>1.1200000000000001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9.51</v>
      </c>
      <c r="DD249">
        <v>25.42</v>
      </c>
      <c r="DE249">
        <v>0</v>
      </c>
      <c r="DF249">
        <v>0</v>
      </c>
      <c r="DG249">
        <v>0</v>
      </c>
      <c r="DH249">
        <v>2</v>
      </c>
      <c r="DI249">
        <v>5</v>
      </c>
      <c r="DO249">
        <v>5</v>
      </c>
      <c r="DU249">
        <v>3.2</v>
      </c>
      <c r="DV249">
        <v>1</v>
      </c>
      <c r="DW249">
        <v>52</v>
      </c>
      <c r="DX249">
        <v>3</v>
      </c>
      <c r="DY249">
        <f>0.07+0.76</f>
        <v>0.83000000000000007</v>
      </c>
      <c r="DZ249">
        <v>2</v>
      </c>
      <c r="EA249">
        <v>103</v>
      </c>
      <c r="EB249">
        <v>3</v>
      </c>
      <c r="EC249">
        <f>0.36+0.34</f>
        <v>0.7</v>
      </c>
      <c r="ED249">
        <v>1</v>
      </c>
      <c r="EE249">
        <v>68</v>
      </c>
      <c r="EF249">
        <v>2</v>
      </c>
      <c r="EG249" s="18">
        <f>0.24</f>
        <v>0.24</v>
      </c>
      <c r="EH249">
        <v>1</v>
      </c>
      <c r="EI249">
        <v>34</v>
      </c>
      <c r="EJ249">
        <v>2</v>
      </c>
      <c r="EK249">
        <f>0.24</f>
        <v>0.24</v>
      </c>
      <c r="EL249">
        <v>1</v>
      </c>
      <c r="EY249">
        <v>0</v>
      </c>
      <c r="GJ249" s="16">
        <v>0.36</v>
      </c>
      <c r="GK249" s="16">
        <v>1</v>
      </c>
      <c r="GL249" s="16">
        <v>1</v>
      </c>
      <c r="GM249" s="16"/>
      <c r="GN249" s="16">
        <v>1.52</v>
      </c>
      <c r="GO249" s="16"/>
      <c r="GP249" s="16"/>
      <c r="GQ249" s="16"/>
      <c r="GR249" s="16"/>
      <c r="GS249" s="16"/>
      <c r="GT249" s="16"/>
      <c r="GU249" s="16">
        <v>8.32</v>
      </c>
      <c r="GV249" s="16">
        <v>8.31</v>
      </c>
      <c r="GW249" s="16"/>
      <c r="GX249" s="16"/>
      <c r="GY249" s="16">
        <v>0</v>
      </c>
      <c r="GZ249" s="16">
        <v>0</v>
      </c>
      <c r="HA249" s="16">
        <v>0</v>
      </c>
      <c r="HB249">
        <v>0</v>
      </c>
      <c r="HC249" t="s">
        <v>404</v>
      </c>
      <c r="HD249">
        <v>50.5</v>
      </c>
      <c r="HE249" s="16">
        <v>95.8</v>
      </c>
      <c r="HF249" s="16">
        <v>80.400000000000006</v>
      </c>
      <c r="HG249" s="16">
        <v>22.6</v>
      </c>
      <c r="HH249">
        <v>70.650000000000006</v>
      </c>
      <c r="HI249">
        <v>13.02</v>
      </c>
      <c r="HJ249">
        <v>16.329999999999998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3.81</v>
      </c>
      <c r="HU249">
        <v>53.36</v>
      </c>
      <c r="HV249">
        <v>0</v>
      </c>
      <c r="HW249">
        <v>0</v>
      </c>
      <c r="HX249">
        <v>7.8</v>
      </c>
      <c r="HY249">
        <v>2</v>
      </c>
      <c r="HZ249">
        <v>10</v>
      </c>
      <c r="IA249">
        <v>2.69</v>
      </c>
      <c r="IF249">
        <v>10</v>
      </c>
      <c r="IG249">
        <v>2.69</v>
      </c>
      <c r="IL249">
        <v>0</v>
      </c>
      <c r="IM249">
        <v>0</v>
      </c>
      <c r="IX249" s="18"/>
      <c r="JP249">
        <v>0</v>
      </c>
      <c r="LA249" s="16">
        <v>10.02</v>
      </c>
      <c r="LB249" s="16">
        <v>1</v>
      </c>
      <c r="LC249" s="16">
        <v>2</v>
      </c>
      <c r="LD249" s="16"/>
      <c r="LE249" s="16">
        <f>0.05*4+0.33*4+1.5*4+0.76*4+1.14*4</f>
        <v>15.119999999999997</v>
      </c>
      <c r="LF249" s="16"/>
      <c r="LG249" s="16"/>
      <c r="LH249" s="16"/>
      <c r="LI249" s="16"/>
      <c r="LJ249" s="16"/>
      <c r="LK249" s="16"/>
      <c r="LL249" s="16">
        <v>9.92</v>
      </c>
      <c r="LM249" s="16">
        <v>20.94</v>
      </c>
      <c r="LN249" s="16"/>
      <c r="LO249" s="16"/>
      <c r="LP249" s="16">
        <v>0</v>
      </c>
      <c r="LQ249" s="16">
        <v>0</v>
      </c>
      <c r="LR249" s="16">
        <v>0</v>
      </c>
      <c r="LS249">
        <v>0</v>
      </c>
      <c r="LT249" t="s">
        <v>405</v>
      </c>
      <c r="LU249">
        <v>57.5</v>
      </c>
      <c r="LV249" s="16">
        <v>93.3</v>
      </c>
      <c r="LW249" s="16">
        <v>80.400000000000006</v>
      </c>
      <c r="LX249" s="16">
        <v>37.200000000000003</v>
      </c>
      <c r="LY249">
        <v>37.4</v>
      </c>
      <c r="LZ249">
        <v>31.73</v>
      </c>
      <c r="MA249">
        <v>29.89</v>
      </c>
      <c r="MB249">
        <v>0</v>
      </c>
      <c r="MC249">
        <v>0.98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21.26</v>
      </c>
      <c r="ML249">
        <v>57.4</v>
      </c>
      <c r="MM249">
        <v>0</v>
      </c>
      <c r="MN249">
        <v>0</v>
      </c>
      <c r="MO249">
        <v>0</v>
      </c>
      <c r="MP249">
        <v>0</v>
      </c>
      <c r="NC249">
        <v>2.2999999999999998</v>
      </c>
      <c r="ND249">
        <v>1</v>
      </c>
      <c r="NE249">
        <v>35</v>
      </c>
      <c r="NF249">
        <v>1</v>
      </c>
      <c r="NG249">
        <v>0.49</v>
      </c>
      <c r="NH249">
        <v>3</v>
      </c>
      <c r="NO249" s="18"/>
      <c r="OG249">
        <v>0</v>
      </c>
      <c r="PR249" s="16">
        <v>2.91</v>
      </c>
      <c r="PS249" s="16">
        <v>1</v>
      </c>
      <c r="PT249" s="16">
        <v>1</v>
      </c>
      <c r="PU249" s="16"/>
      <c r="PV249" s="16">
        <f>2.49+0.21+0.47*2+2.49+0.26+0.53+0.01+4.77+14.32+1.53+3.06+0.13</f>
        <v>30.74</v>
      </c>
      <c r="PW249" s="16"/>
      <c r="PX249" s="16"/>
      <c r="PY249" s="16"/>
      <c r="PZ249" s="16"/>
      <c r="QA249" s="16"/>
      <c r="QB249" s="16"/>
      <c r="QC249" s="16">
        <v>14.81</v>
      </c>
      <c r="QD249" s="16">
        <v>52.45</v>
      </c>
      <c r="QE249" s="16"/>
      <c r="QF249" s="16"/>
      <c r="QG249" s="16">
        <v>0</v>
      </c>
      <c r="QH249" s="16">
        <v>0</v>
      </c>
      <c r="QI249" s="16">
        <v>0</v>
      </c>
      <c r="QJ249">
        <v>0</v>
      </c>
      <c r="QK249" t="s">
        <v>406</v>
      </c>
      <c r="QL249">
        <v>12.5</v>
      </c>
      <c r="QM249" s="16">
        <v>69.900000000000006</v>
      </c>
      <c r="QN249" s="16">
        <v>80.400000000000006</v>
      </c>
      <c r="QO249" s="16">
        <v>9</v>
      </c>
      <c r="QP249">
        <v>90.9</v>
      </c>
      <c r="QQ249">
        <v>7.98</v>
      </c>
      <c r="QR249">
        <v>1.1200000000000001</v>
      </c>
      <c r="QS249">
        <v>4.5599999999999996</v>
      </c>
      <c r="QT249">
        <v>17.670000000000002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4.5599999999999996</v>
      </c>
      <c r="RC249">
        <v>17.670000000000002</v>
      </c>
      <c r="RD249">
        <v>0</v>
      </c>
      <c r="RE249">
        <v>0</v>
      </c>
      <c r="RF249">
        <v>0</v>
      </c>
      <c r="RG249">
        <v>0</v>
      </c>
      <c r="RT249">
        <v>0</v>
      </c>
      <c r="RU249">
        <v>0</v>
      </c>
      <c r="SF249" s="18"/>
      <c r="SX249">
        <v>0</v>
      </c>
      <c r="UI249" s="16">
        <v>0</v>
      </c>
      <c r="UJ249" s="16">
        <v>0</v>
      </c>
      <c r="UK249" s="16"/>
      <c r="UL249" s="16"/>
      <c r="UM249" s="16"/>
      <c r="UN249" s="16"/>
      <c r="UO249" s="16"/>
      <c r="UP249" s="16"/>
      <c r="UQ249" s="16"/>
      <c r="UR249" s="16"/>
      <c r="US249" s="16"/>
      <c r="UT249" s="16">
        <v>3.41</v>
      </c>
      <c r="UU249" s="16">
        <v>3.41</v>
      </c>
      <c r="UV249" s="16"/>
      <c r="UW249" s="16"/>
      <c r="UX249" s="16">
        <v>0</v>
      </c>
      <c r="UY249" s="16">
        <v>0</v>
      </c>
      <c r="UZ249" s="16">
        <v>0</v>
      </c>
      <c r="VA249">
        <v>0</v>
      </c>
      <c r="VB249" t="s">
        <v>407</v>
      </c>
      <c r="VC249">
        <v>17</v>
      </c>
      <c r="VD249" s="16">
        <v>84.3</v>
      </c>
      <c r="VE249" s="16">
        <v>80.400000000000006</v>
      </c>
      <c r="VF249" s="16">
        <v>9.8000000000000007</v>
      </c>
      <c r="VG249">
        <v>84.81</v>
      </c>
      <c r="VH249">
        <v>14.07</v>
      </c>
      <c r="VI249">
        <v>1.1200000000000001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7.34</v>
      </c>
      <c r="VT249">
        <v>26.23</v>
      </c>
      <c r="VU249">
        <v>0</v>
      </c>
      <c r="VV249">
        <v>0</v>
      </c>
      <c r="VW249">
        <v>0</v>
      </c>
      <c r="VX249">
        <v>0</v>
      </c>
      <c r="WK249">
        <v>0</v>
      </c>
      <c r="WL249">
        <v>0</v>
      </c>
      <c r="WW249" s="18"/>
      <c r="XO249">
        <v>0</v>
      </c>
      <c r="YZ249" s="16">
        <v>1.51</v>
      </c>
      <c r="ZA249" s="16">
        <v>1</v>
      </c>
      <c r="ZB249" s="16">
        <v>2</v>
      </c>
      <c r="ZC249" s="16"/>
      <c r="ZD249" s="16">
        <f>0.99+4.04</f>
        <v>5.03</v>
      </c>
      <c r="ZE249" s="16"/>
      <c r="ZF249" s="16"/>
      <c r="ZG249" s="16"/>
      <c r="ZH249" s="16"/>
      <c r="ZI249" s="16"/>
      <c r="ZJ249" s="16"/>
      <c r="ZK249" s="16">
        <v>5.5</v>
      </c>
      <c r="ZL249" s="16">
        <v>9.84</v>
      </c>
      <c r="ZM249" s="16"/>
      <c r="ZN249" s="16"/>
      <c r="ZO249" s="16">
        <v>0</v>
      </c>
      <c r="ZP249" s="16">
        <v>0</v>
      </c>
      <c r="ZQ249" s="16">
        <v>0</v>
      </c>
      <c r="ZR249">
        <v>0</v>
      </c>
      <c r="ZS249" t="s">
        <v>408</v>
      </c>
      <c r="ZT249">
        <v>26</v>
      </c>
      <c r="ZU249" s="16">
        <v>75.099999999999994</v>
      </c>
      <c r="ZV249" s="16">
        <v>80.400000000000006</v>
      </c>
      <c r="ZW249" s="16">
        <v>10.7</v>
      </c>
      <c r="ZX249">
        <v>76.38</v>
      </c>
      <c r="ZY249">
        <v>22.5</v>
      </c>
      <c r="ZZ249">
        <v>1.1200000000000001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10.84</v>
      </c>
      <c r="AAK249">
        <v>26.14</v>
      </c>
      <c r="AAL249">
        <v>0</v>
      </c>
      <c r="AAM249">
        <v>0</v>
      </c>
      <c r="AAN249">
        <v>0</v>
      </c>
      <c r="AAO249">
        <v>0</v>
      </c>
      <c r="ABB249">
        <v>2.5</v>
      </c>
      <c r="ABC249">
        <v>1</v>
      </c>
      <c r="ABD249">
        <v>68</v>
      </c>
      <c r="ABE249">
        <v>1</v>
      </c>
      <c r="ABF249">
        <f>1.34</f>
        <v>1.34</v>
      </c>
      <c r="ABG249">
        <v>1</v>
      </c>
      <c r="ABH249">
        <v>52</v>
      </c>
      <c r="ABI249">
        <v>2</v>
      </c>
      <c r="ABJ249">
        <v>0.45</v>
      </c>
      <c r="ABK249">
        <v>2</v>
      </c>
      <c r="ABN249" s="18"/>
      <c r="ACF249">
        <v>0</v>
      </c>
      <c r="ADQ249" s="16">
        <v>1.21</v>
      </c>
      <c r="ADR249" s="16">
        <v>1</v>
      </c>
      <c r="ADS249" s="16">
        <v>2</v>
      </c>
      <c r="ADT249" s="16"/>
      <c r="ADU249" s="16">
        <v>4.04</v>
      </c>
      <c r="ADV249" s="16"/>
      <c r="ADW249" s="16"/>
      <c r="ADX249" s="16"/>
      <c r="ADY249" s="16"/>
      <c r="ADZ249" s="16"/>
      <c r="AEA249" s="16"/>
      <c r="AEB249" s="16">
        <v>11.17</v>
      </c>
      <c r="AEC249" s="16">
        <v>19.84</v>
      </c>
      <c r="AED249" s="16"/>
      <c r="AEE249" s="16"/>
      <c r="AEF249" s="16">
        <v>0</v>
      </c>
      <c r="AEG249" s="16">
        <v>0</v>
      </c>
      <c r="AEH249" s="16">
        <v>0</v>
      </c>
      <c r="AEI249">
        <v>0</v>
      </c>
      <c r="AEJ249" t="s">
        <v>409</v>
      </c>
      <c r="AEK249">
        <v>23</v>
      </c>
      <c r="AEL249" s="16">
        <v>90.8</v>
      </c>
      <c r="AEM249" s="16">
        <v>80.400000000000006</v>
      </c>
      <c r="AEN249" s="16">
        <v>11.6</v>
      </c>
      <c r="AEO249">
        <v>71.459999999999994</v>
      </c>
      <c r="AEP249">
        <v>27.42</v>
      </c>
      <c r="AEQ249">
        <v>1.1200000000000001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11.58</v>
      </c>
      <c r="AFB249">
        <v>41.25</v>
      </c>
      <c r="AFC249">
        <v>0</v>
      </c>
      <c r="AFD249">
        <v>0</v>
      </c>
      <c r="AFE249">
        <v>0</v>
      </c>
      <c r="AFF249">
        <v>0</v>
      </c>
      <c r="AFS249">
        <v>1.7</v>
      </c>
      <c r="AFT249">
        <v>1</v>
      </c>
      <c r="AFU249">
        <v>35</v>
      </c>
      <c r="AFV249">
        <v>1</v>
      </c>
      <c r="AFW249">
        <v>0.05</v>
      </c>
      <c r="AFX249">
        <v>3</v>
      </c>
      <c r="AFY249">
        <v>103</v>
      </c>
      <c r="AFZ249">
        <v>5</v>
      </c>
      <c r="AGA249">
        <v>0.25</v>
      </c>
      <c r="AGB249">
        <v>1</v>
      </c>
      <c r="AGC249">
        <v>68</v>
      </c>
      <c r="AGD249">
        <v>4</v>
      </c>
      <c r="AGE249" s="18">
        <v>0.26</v>
      </c>
      <c r="AGF249">
        <v>1</v>
      </c>
      <c r="AGG249">
        <v>52</v>
      </c>
      <c r="AGH249">
        <v>4</v>
      </c>
      <c r="AGI249">
        <f>0.09+0.05+0.04</f>
        <v>0.18000000000000002</v>
      </c>
      <c r="AGJ249">
        <v>2</v>
      </c>
      <c r="AGW249">
        <v>0</v>
      </c>
      <c r="AIH249" s="16">
        <v>0.04</v>
      </c>
      <c r="AII249" s="16">
        <v>1</v>
      </c>
      <c r="AIJ249" s="16">
        <v>1</v>
      </c>
      <c r="AIK249" s="16"/>
      <c r="AIL249" s="16">
        <v>0.13</v>
      </c>
      <c r="AIM249" s="16"/>
      <c r="AIN249" s="16"/>
      <c r="AIO249" s="16"/>
      <c r="AIP249" s="16"/>
      <c r="AIQ249" s="16"/>
      <c r="AIR249" s="16"/>
      <c r="AIS249" s="16">
        <v>9.52</v>
      </c>
      <c r="AIT249" s="16">
        <v>21.65</v>
      </c>
      <c r="AIU249" s="16"/>
      <c r="AIV249" s="16"/>
      <c r="AIW249" s="16">
        <v>0</v>
      </c>
      <c r="AIX249" s="16">
        <v>0</v>
      </c>
      <c r="AIY249" s="16">
        <v>0</v>
      </c>
      <c r="AIZ249">
        <v>0</v>
      </c>
      <c r="AJA249" s="15"/>
      <c r="AJB249" s="15"/>
      <c r="AJI249" s="15"/>
      <c r="AJJ249" s="15"/>
      <c r="AJQ249" s="15"/>
      <c r="AJR249" s="15"/>
      <c r="AJY249" s="15"/>
      <c r="AJZ249" s="15"/>
      <c r="AKG249" s="15"/>
      <c r="AKH249" s="15"/>
      <c r="AKO249" s="15"/>
      <c r="AKP249" s="15"/>
      <c r="AKW249" s="15"/>
      <c r="AKX249" s="15"/>
      <c r="ALE249" s="15"/>
      <c r="ALF249" s="15"/>
      <c r="ALM249" s="15"/>
      <c r="ALN249" s="15"/>
      <c r="ALU249" s="15"/>
      <c r="ALV249" s="15"/>
      <c r="AMC249" s="15"/>
      <c r="AMD249" s="15"/>
    </row>
    <row r="250" spans="1:1024" x14ac:dyDescent="0.2">
      <c r="A250" s="1" t="s">
        <v>769</v>
      </c>
      <c r="B250" s="12">
        <v>42909</v>
      </c>
      <c r="C250">
        <v>2</v>
      </c>
      <c r="D250" s="13">
        <v>42807</v>
      </c>
      <c r="E250" s="12">
        <v>30564</v>
      </c>
      <c r="F250" s="14">
        <f t="shared" si="62"/>
        <v>33.798767967145793</v>
      </c>
      <c r="G250" s="14">
        <f t="shared" si="63"/>
        <v>0.27926078028747431</v>
      </c>
      <c r="H250" s="19" t="s">
        <v>217</v>
      </c>
      <c r="I250" s="15" t="s">
        <v>402</v>
      </c>
      <c r="J250" s="21" t="s">
        <v>183</v>
      </c>
      <c r="K250" s="21">
        <v>8</v>
      </c>
      <c r="L250" s="19">
        <v>64</v>
      </c>
      <c r="M250">
        <v>1.7</v>
      </c>
      <c r="N250" s="16">
        <f t="shared" si="64"/>
        <v>22.145328719723185</v>
      </c>
      <c r="O250" s="19">
        <v>0</v>
      </c>
      <c r="P250" s="19">
        <v>0</v>
      </c>
      <c r="Q250" s="19">
        <v>0</v>
      </c>
      <c r="R250" s="26">
        <v>0</v>
      </c>
      <c r="S250" s="26">
        <v>0</v>
      </c>
      <c r="T250" s="26">
        <v>0</v>
      </c>
      <c r="U250" s="26">
        <v>0</v>
      </c>
      <c r="V250" s="26">
        <v>0</v>
      </c>
      <c r="W250" s="19">
        <v>0</v>
      </c>
      <c r="X250" s="19">
        <v>0</v>
      </c>
      <c r="Y250" s="19">
        <v>0</v>
      </c>
      <c r="Z250" s="19">
        <v>0</v>
      </c>
      <c r="AA250" s="19">
        <v>0</v>
      </c>
      <c r="AB250" s="19">
        <v>0</v>
      </c>
      <c r="AC250" s="19">
        <v>1</v>
      </c>
      <c r="AD250" s="19">
        <v>12</v>
      </c>
      <c r="AE250" s="19">
        <v>0</v>
      </c>
      <c r="AF250" s="19">
        <v>0</v>
      </c>
      <c r="AG250" s="19">
        <v>0</v>
      </c>
      <c r="AH250" s="19">
        <v>0</v>
      </c>
      <c r="AI250" s="19">
        <v>0</v>
      </c>
      <c r="AJ250" s="19">
        <v>0</v>
      </c>
      <c r="AK250" s="19">
        <v>0</v>
      </c>
      <c r="AL250" s="19">
        <v>0</v>
      </c>
      <c r="AM250" s="19">
        <v>0</v>
      </c>
      <c r="AN250" s="19">
        <v>0</v>
      </c>
      <c r="AO250" s="19">
        <v>0</v>
      </c>
      <c r="AP250" s="19">
        <v>0</v>
      </c>
      <c r="AQ250" s="19">
        <v>0</v>
      </c>
      <c r="AR250" s="19">
        <v>0</v>
      </c>
      <c r="AS250" s="19">
        <v>0</v>
      </c>
      <c r="AT250" s="19">
        <v>0</v>
      </c>
      <c r="AU250" s="19">
        <v>0</v>
      </c>
      <c r="AV250" s="19">
        <v>0</v>
      </c>
      <c r="AW250" s="19">
        <v>0</v>
      </c>
      <c r="AX250" s="19">
        <v>0</v>
      </c>
      <c r="AY250" s="19">
        <v>0</v>
      </c>
      <c r="AZ250" s="19">
        <v>0</v>
      </c>
      <c r="BA250" s="19">
        <v>0</v>
      </c>
      <c r="BB250" s="19">
        <v>0</v>
      </c>
      <c r="BC250" s="19">
        <v>0</v>
      </c>
      <c r="BD250" s="19">
        <v>0</v>
      </c>
      <c r="BE250" s="19">
        <v>0</v>
      </c>
      <c r="BF250" s="19">
        <v>0</v>
      </c>
      <c r="BG250" s="19">
        <v>0</v>
      </c>
      <c r="BH250" s="19">
        <v>0</v>
      </c>
      <c r="BI250" s="19">
        <v>0</v>
      </c>
      <c r="BJ250" s="19">
        <v>0</v>
      </c>
      <c r="BK250" s="19">
        <v>0</v>
      </c>
      <c r="BL250" s="19">
        <v>0</v>
      </c>
      <c r="BM250" s="19">
        <v>0</v>
      </c>
      <c r="BN250" s="19">
        <v>0</v>
      </c>
      <c r="BO250" s="19">
        <v>0</v>
      </c>
      <c r="BP250" s="19">
        <v>0</v>
      </c>
      <c r="BQ250" s="19">
        <v>0</v>
      </c>
      <c r="BR250" s="19">
        <v>2</v>
      </c>
      <c r="BS250" s="19">
        <v>2</v>
      </c>
      <c r="BT250" s="19">
        <v>5</v>
      </c>
      <c r="BU250" s="19">
        <v>5</v>
      </c>
      <c r="BV250" s="19">
        <v>2</v>
      </c>
      <c r="BW250" s="19">
        <v>2</v>
      </c>
      <c r="BX250" s="19">
        <v>3</v>
      </c>
      <c r="BY250" s="19">
        <v>3</v>
      </c>
      <c r="BZ250" s="19">
        <v>4</v>
      </c>
      <c r="CA250" s="19">
        <v>3</v>
      </c>
      <c r="CB250" s="19">
        <v>5</v>
      </c>
      <c r="CC250" s="19">
        <v>5</v>
      </c>
      <c r="CD250" s="19">
        <v>5</v>
      </c>
      <c r="CE250" s="19">
        <v>5</v>
      </c>
      <c r="CF250" s="19">
        <v>5</v>
      </c>
      <c r="CG250" s="19">
        <v>5</v>
      </c>
      <c r="CH250" s="19">
        <v>5</v>
      </c>
      <c r="CI250" s="19">
        <v>5</v>
      </c>
      <c r="CJ250" s="19">
        <v>5</v>
      </c>
      <c r="CK250" s="19">
        <v>10</v>
      </c>
      <c r="CL250" t="s">
        <v>403</v>
      </c>
      <c r="CM250">
        <v>21.5</v>
      </c>
      <c r="CN250" s="16">
        <v>78.400000000000006</v>
      </c>
      <c r="CO250" s="16">
        <v>80.400000000000006</v>
      </c>
      <c r="CP250" s="16">
        <v>9.6</v>
      </c>
      <c r="CQ250">
        <v>84.68</v>
      </c>
      <c r="CR250">
        <v>14.18</v>
      </c>
      <c r="CS250">
        <v>1.1200000000000001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9.51</v>
      </c>
      <c r="DD250">
        <v>25.42</v>
      </c>
      <c r="DE250">
        <v>0</v>
      </c>
      <c r="DF250">
        <v>0</v>
      </c>
      <c r="DG250">
        <v>0</v>
      </c>
      <c r="DH250">
        <v>2</v>
      </c>
      <c r="DI250">
        <v>5</v>
      </c>
      <c r="DO250">
        <v>5</v>
      </c>
      <c r="DU250">
        <v>3.2</v>
      </c>
      <c r="DV250">
        <v>1</v>
      </c>
      <c r="DW250">
        <v>52</v>
      </c>
      <c r="DX250">
        <v>3</v>
      </c>
      <c r="DY250">
        <f>0.07+0.76</f>
        <v>0.83000000000000007</v>
      </c>
      <c r="DZ250">
        <v>2</v>
      </c>
      <c r="EA250">
        <v>103</v>
      </c>
      <c r="EB250">
        <v>3</v>
      </c>
      <c r="EC250">
        <f>0.36+0.34</f>
        <v>0.7</v>
      </c>
      <c r="ED250">
        <v>1</v>
      </c>
      <c r="EE250">
        <v>68</v>
      </c>
      <c r="EF250">
        <v>2</v>
      </c>
      <c r="EG250" s="18">
        <f>0.24</f>
        <v>0.24</v>
      </c>
      <c r="EH250">
        <v>1</v>
      </c>
      <c r="EI250">
        <v>34</v>
      </c>
      <c r="EJ250">
        <v>2</v>
      </c>
      <c r="EK250">
        <f>0.24</f>
        <v>0.24</v>
      </c>
      <c r="EL250">
        <v>1</v>
      </c>
      <c r="EY250">
        <v>0</v>
      </c>
      <c r="GJ250" s="16">
        <v>0.36</v>
      </c>
      <c r="GK250" s="16">
        <v>1</v>
      </c>
      <c r="GL250" s="16">
        <v>1</v>
      </c>
      <c r="GM250" s="16"/>
      <c r="GN250" s="16">
        <v>1.52</v>
      </c>
      <c r="GO250" s="16"/>
      <c r="GP250" s="16"/>
      <c r="GQ250" s="16"/>
      <c r="GR250" s="16"/>
      <c r="GS250" s="16"/>
      <c r="GT250" s="16"/>
      <c r="GU250" s="16">
        <v>8.32</v>
      </c>
      <c r="GV250" s="16">
        <v>8.31</v>
      </c>
      <c r="GW250" s="16"/>
      <c r="GX250" s="16"/>
      <c r="GY250" s="16">
        <v>0</v>
      </c>
      <c r="GZ250" s="16">
        <v>0</v>
      </c>
      <c r="HA250" s="16">
        <v>0</v>
      </c>
      <c r="HB250">
        <v>0</v>
      </c>
      <c r="HC250" t="s">
        <v>404</v>
      </c>
      <c r="HD250">
        <v>50.5</v>
      </c>
      <c r="HE250" s="16">
        <v>95.8</v>
      </c>
      <c r="HF250" s="16">
        <v>80.400000000000006</v>
      </c>
      <c r="HG250" s="16">
        <v>22.6</v>
      </c>
      <c r="HH250">
        <v>70.650000000000006</v>
      </c>
      <c r="HI250">
        <v>13.02</v>
      </c>
      <c r="HJ250">
        <v>16.329999999999998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3.81</v>
      </c>
      <c r="HU250">
        <v>53.36</v>
      </c>
      <c r="HV250">
        <v>0</v>
      </c>
      <c r="HW250">
        <v>0</v>
      </c>
      <c r="HX250">
        <v>7.8</v>
      </c>
      <c r="HY250">
        <v>2</v>
      </c>
      <c r="HZ250">
        <v>10</v>
      </c>
      <c r="IA250">
        <v>2.69</v>
      </c>
      <c r="IF250">
        <v>10</v>
      </c>
      <c r="IG250">
        <v>2.69</v>
      </c>
      <c r="IL250">
        <v>0</v>
      </c>
      <c r="IM250">
        <v>0</v>
      </c>
      <c r="IX250" s="18"/>
      <c r="JP250">
        <v>0</v>
      </c>
      <c r="LA250" s="16">
        <v>10.02</v>
      </c>
      <c r="LB250" s="16">
        <v>1</v>
      </c>
      <c r="LC250" s="16">
        <v>2</v>
      </c>
      <c r="LD250" s="16"/>
      <c r="LE250" s="16">
        <f>0.05*4+0.33*4+1.5*4+0.76*4+1.14*4</f>
        <v>15.119999999999997</v>
      </c>
      <c r="LF250" s="16"/>
      <c r="LG250" s="16"/>
      <c r="LH250" s="16"/>
      <c r="LI250" s="16"/>
      <c r="LJ250" s="16"/>
      <c r="LK250" s="16"/>
      <c r="LL250" s="16">
        <v>9.92</v>
      </c>
      <c r="LM250" s="16">
        <v>20.94</v>
      </c>
      <c r="LN250" s="16"/>
      <c r="LO250" s="16"/>
      <c r="LP250" s="16">
        <v>0</v>
      </c>
      <c r="LQ250" s="16">
        <v>0</v>
      </c>
      <c r="LR250" s="16">
        <v>0</v>
      </c>
      <c r="LS250">
        <v>0</v>
      </c>
      <c r="LT250" t="s">
        <v>405</v>
      </c>
      <c r="LU250">
        <v>57.5</v>
      </c>
      <c r="LV250" s="16">
        <v>93.3</v>
      </c>
      <c r="LW250" s="16">
        <v>80.400000000000006</v>
      </c>
      <c r="LX250" s="16">
        <v>37.200000000000003</v>
      </c>
      <c r="LY250">
        <v>37.4</v>
      </c>
      <c r="LZ250">
        <v>31.73</v>
      </c>
      <c r="MA250">
        <v>29.89</v>
      </c>
      <c r="MB250">
        <v>0</v>
      </c>
      <c r="MC250">
        <v>0.98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21.26</v>
      </c>
      <c r="ML250">
        <v>57.4</v>
      </c>
      <c r="MM250">
        <v>0</v>
      </c>
      <c r="MN250">
        <v>0</v>
      </c>
      <c r="MO250">
        <v>0</v>
      </c>
      <c r="MP250">
        <v>0</v>
      </c>
      <c r="NC250">
        <v>2.2999999999999998</v>
      </c>
      <c r="ND250">
        <v>1</v>
      </c>
      <c r="NE250">
        <v>35</v>
      </c>
      <c r="NF250">
        <v>1</v>
      </c>
      <c r="NG250">
        <v>0.49</v>
      </c>
      <c r="NH250">
        <v>3</v>
      </c>
      <c r="NO250" s="18"/>
      <c r="OG250">
        <v>0</v>
      </c>
      <c r="PR250" s="16">
        <v>2.91</v>
      </c>
      <c r="PS250" s="16">
        <v>1</v>
      </c>
      <c r="PT250" s="16">
        <v>1</v>
      </c>
      <c r="PU250" s="16"/>
      <c r="PV250" s="16">
        <f>2.49+0.21+0.47*2+2.49+0.26+0.53+0.01+4.77+14.32+1.53+3.06+0.13</f>
        <v>30.74</v>
      </c>
      <c r="PW250" s="16"/>
      <c r="PX250" s="16"/>
      <c r="PY250" s="16"/>
      <c r="PZ250" s="16"/>
      <c r="QA250" s="16"/>
      <c r="QB250" s="16"/>
      <c r="QC250" s="16">
        <v>14.81</v>
      </c>
      <c r="QD250" s="16">
        <v>52.45</v>
      </c>
      <c r="QE250" s="16"/>
      <c r="QF250" s="16"/>
      <c r="QG250" s="16">
        <v>0</v>
      </c>
      <c r="QH250" s="16">
        <v>0</v>
      </c>
      <c r="QI250" s="16">
        <v>0</v>
      </c>
      <c r="QJ250">
        <v>0</v>
      </c>
      <c r="QK250" t="s">
        <v>406</v>
      </c>
      <c r="QL250">
        <v>12.5</v>
      </c>
      <c r="QM250" s="16">
        <v>69.900000000000006</v>
      </c>
      <c r="QN250" s="16">
        <v>80.400000000000006</v>
      </c>
      <c r="QO250" s="16">
        <v>9</v>
      </c>
      <c r="QP250">
        <v>90.9</v>
      </c>
      <c r="QQ250">
        <v>7.98</v>
      </c>
      <c r="QR250">
        <v>1.1200000000000001</v>
      </c>
      <c r="QS250">
        <v>4.5599999999999996</v>
      </c>
      <c r="QT250">
        <v>17.670000000000002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4.5599999999999996</v>
      </c>
      <c r="RC250">
        <v>17.670000000000002</v>
      </c>
      <c r="RD250">
        <v>0</v>
      </c>
      <c r="RE250">
        <v>0</v>
      </c>
      <c r="RF250">
        <v>0</v>
      </c>
      <c r="RG250">
        <v>0</v>
      </c>
      <c r="RT250">
        <v>0</v>
      </c>
      <c r="RU250">
        <v>0</v>
      </c>
      <c r="SF250" s="18"/>
      <c r="SX250">
        <v>0</v>
      </c>
      <c r="UI250" s="16">
        <v>0</v>
      </c>
      <c r="UJ250" s="16">
        <v>0</v>
      </c>
      <c r="UK250" s="16"/>
      <c r="UL250" s="16"/>
      <c r="UM250" s="16"/>
      <c r="UN250" s="16"/>
      <c r="UO250" s="16"/>
      <c r="UP250" s="16"/>
      <c r="UQ250" s="16"/>
      <c r="UR250" s="16"/>
      <c r="US250" s="16"/>
      <c r="UT250" s="16">
        <v>3.41</v>
      </c>
      <c r="UU250" s="16">
        <v>3.41</v>
      </c>
      <c r="UV250" s="16"/>
      <c r="UW250" s="16"/>
      <c r="UX250" s="16">
        <v>0</v>
      </c>
      <c r="UY250" s="16">
        <v>0</v>
      </c>
      <c r="UZ250" s="16">
        <v>0</v>
      </c>
      <c r="VA250">
        <v>0</v>
      </c>
      <c r="VB250" t="s">
        <v>407</v>
      </c>
      <c r="VC250">
        <v>17</v>
      </c>
      <c r="VD250" s="16">
        <v>84.3</v>
      </c>
      <c r="VE250" s="16">
        <v>80.400000000000006</v>
      </c>
      <c r="VF250" s="16">
        <v>9.8000000000000007</v>
      </c>
      <c r="VG250">
        <v>84.81</v>
      </c>
      <c r="VH250">
        <v>14.07</v>
      </c>
      <c r="VI250">
        <v>1.1200000000000001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7.34</v>
      </c>
      <c r="VT250">
        <v>26.23</v>
      </c>
      <c r="VU250">
        <v>0</v>
      </c>
      <c r="VV250">
        <v>0</v>
      </c>
      <c r="VW250">
        <v>0</v>
      </c>
      <c r="VX250">
        <v>0</v>
      </c>
      <c r="WK250">
        <v>0</v>
      </c>
      <c r="WL250">
        <v>0</v>
      </c>
      <c r="WW250" s="18"/>
      <c r="XO250">
        <v>0</v>
      </c>
      <c r="YZ250" s="16">
        <v>1.51</v>
      </c>
      <c r="ZA250" s="16">
        <v>1</v>
      </c>
      <c r="ZB250" s="16">
        <v>2</v>
      </c>
      <c r="ZC250" s="16"/>
      <c r="ZD250" s="16">
        <f>0.99+4.04</f>
        <v>5.03</v>
      </c>
      <c r="ZE250" s="16"/>
      <c r="ZF250" s="16"/>
      <c r="ZG250" s="16"/>
      <c r="ZH250" s="16"/>
      <c r="ZI250" s="16"/>
      <c r="ZJ250" s="16"/>
      <c r="ZK250" s="16">
        <v>5.5</v>
      </c>
      <c r="ZL250" s="16">
        <v>9.84</v>
      </c>
      <c r="ZM250" s="16"/>
      <c r="ZN250" s="16"/>
      <c r="ZO250" s="16">
        <v>0</v>
      </c>
      <c r="ZP250" s="16">
        <v>0</v>
      </c>
      <c r="ZQ250" s="16">
        <v>0</v>
      </c>
      <c r="ZR250">
        <v>0</v>
      </c>
      <c r="ZS250" t="s">
        <v>408</v>
      </c>
      <c r="ZT250">
        <v>26</v>
      </c>
      <c r="ZU250" s="16">
        <v>75.099999999999994</v>
      </c>
      <c r="ZV250" s="16">
        <v>80.400000000000006</v>
      </c>
      <c r="ZW250" s="16">
        <v>10.7</v>
      </c>
      <c r="ZX250">
        <v>76.38</v>
      </c>
      <c r="ZY250">
        <v>22.5</v>
      </c>
      <c r="ZZ250">
        <v>1.1200000000000001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10.84</v>
      </c>
      <c r="AAK250">
        <v>26.14</v>
      </c>
      <c r="AAL250">
        <v>0</v>
      </c>
      <c r="AAM250">
        <v>0</v>
      </c>
      <c r="AAN250">
        <v>0</v>
      </c>
      <c r="AAO250">
        <v>0</v>
      </c>
      <c r="ABB250">
        <v>2.5</v>
      </c>
      <c r="ABC250">
        <v>1</v>
      </c>
      <c r="ABD250">
        <v>68</v>
      </c>
      <c r="ABE250">
        <v>1</v>
      </c>
      <c r="ABF250">
        <f>1.34</f>
        <v>1.34</v>
      </c>
      <c r="ABG250">
        <v>1</v>
      </c>
      <c r="ABH250">
        <v>52</v>
      </c>
      <c r="ABI250">
        <v>2</v>
      </c>
      <c r="ABJ250">
        <v>0.45</v>
      </c>
      <c r="ABK250">
        <v>2</v>
      </c>
      <c r="ABN250" s="18"/>
      <c r="ACF250">
        <v>0</v>
      </c>
      <c r="ADQ250" s="16">
        <v>1.21</v>
      </c>
      <c r="ADR250" s="16">
        <v>1</v>
      </c>
      <c r="ADS250" s="16">
        <v>2</v>
      </c>
      <c r="ADT250" s="16"/>
      <c r="ADU250" s="16">
        <v>4.04</v>
      </c>
      <c r="ADV250" s="16"/>
      <c r="ADW250" s="16"/>
      <c r="ADX250" s="16"/>
      <c r="ADY250" s="16"/>
      <c r="ADZ250" s="16"/>
      <c r="AEA250" s="16"/>
      <c r="AEB250" s="16">
        <v>11.17</v>
      </c>
      <c r="AEC250" s="16">
        <v>19.84</v>
      </c>
      <c r="AED250" s="16"/>
      <c r="AEE250" s="16"/>
      <c r="AEF250" s="16">
        <v>0</v>
      </c>
      <c r="AEG250" s="16">
        <v>0</v>
      </c>
      <c r="AEH250" s="16">
        <v>0</v>
      </c>
      <c r="AEI250">
        <v>0</v>
      </c>
      <c r="AEJ250" t="s">
        <v>409</v>
      </c>
      <c r="AEK250">
        <v>23</v>
      </c>
      <c r="AEL250" s="16">
        <v>90.8</v>
      </c>
      <c r="AEM250" s="16">
        <v>80.400000000000006</v>
      </c>
      <c r="AEN250" s="16">
        <v>11.6</v>
      </c>
      <c r="AEO250">
        <v>71.459999999999994</v>
      </c>
      <c r="AEP250">
        <v>27.42</v>
      </c>
      <c r="AEQ250">
        <v>1.1200000000000001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11.58</v>
      </c>
      <c r="AFB250">
        <v>41.25</v>
      </c>
      <c r="AFC250">
        <v>0</v>
      </c>
      <c r="AFD250">
        <v>0</v>
      </c>
      <c r="AFE250">
        <v>0</v>
      </c>
      <c r="AFF250">
        <v>0</v>
      </c>
      <c r="AFS250">
        <v>1.7</v>
      </c>
      <c r="AFT250">
        <v>1</v>
      </c>
      <c r="AFU250">
        <v>35</v>
      </c>
      <c r="AFV250">
        <v>1</v>
      </c>
      <c r="AFW250">
        <v>0.05</v>
      </c>
      <c r="AFX250">
        <v>3</v>
      </c>
      <c r="AFY250">
        <v>103</v>
      </c>
      <c r="AFZ250">
        <v>5</v>
      </c>
      <c r="AGA250">
        <v>0.25</v>
      </c>
      <c r="AGB250">
        <v>1</v>
      </c>
      <c r="AGC250">
        <v>68</v>
      </c>
      <c r="AGD250">
        <v>4</v>
      </c>
      <c r="AGE250" s="18">
        <v>0.26</v>
      </c>
      <c r="AGF250">
        <v>1</v>
      </c>
      <c r="AGG250">
        <v>52</v>
      </c>
      <c r="AGH250">
        <v>4</v>
      </c>
      <c r="AGI250">
        <f>0.09+0.05+0.04</f>
        <v>0.18000000000000002</v>
      </c>
      <c r="AGJ250">
        <v>2</v>
      </c>
      <c r="AGW250">
        <v>0</v>
      </c>
      <c r="AIH250" s="16">
        <v>0.04</v>
      </c>
      <c r="AII250" s="16">
        <v>1</v>
      </c>
      <c r="AIJ250" s="16">
        <v>1</v>
      </c>
      <c r="AIK250" s="16"/>
      <c r="AIL250" s="16">
        <v>0.13</v>
      </c>
      <c r="AIM250" s="16"/>
      <c r="AIN250" s="16"/>
      <c r="AIO250" s="16"/>
      <c r="AIP250" s="16"/>
      <c r="AIQ250" s="16"/>
      <c r="AIR250" s="16"/>
      <c r="AIS250" s="16">
        <v>9.52</v>
      </c>
      <c r="AIT250" s="16">
        <v>21.65</v>
      </c>
      <c r="AIU250" s="16"/>
      <c r="AIV250" s="16"/>
      <c r="AIW250" s="16">
        <v>0</v>
      </c>
      <c r="AIX250" s="16">
        <v>0</v>
      </c>
      <c r="AIY250" s="16">
        <v>0</v>
      </c>
      <c r="AIZ250">
        <v>0</v>
      </c>
      <c r="AJA250" t="s">
        <v>410</v>
      </c>
      <c r="AJB250">
        <v>24</v>
      </c>
      <c r="AJC250" s="16">
        <v>82.9</v>
      </c>
      <c r="AJD250" s="16">
        <v>80.400000000000006</v>
      </c>
      <c r="AJE250" s="16">
        <v>9.6</v>
      </c>
      <c r="AJF250">
        <v>86.23</v>
      </c>
      <c r="AJG250">
        <v>11.76</v>
      </c>
      <c r="AJH250">
        <v>0</v>
      </c>
      <c r="AJI250">
        <v>0</v>
      </c>
      <c r="AJJ250">
        <v>1.01</v>
      </c>
      <c r="AJK250">
        <v>1.01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8.84</v>
      </c>
      <c r="AJS250">
        <v>23.37</v>
      </c>
      <c r="AJT250">
        <v>0</v>
      </c>
      <c r="AJU250">
        <v>0</v>
      </c>
      <c r="AJV250">
        <v>0</v>
      </c>
      <c r="AJW250">
        <v>0</v>
      </c>
      <c r="AKJ250">
        <v>0</v>
      </c>
      <c r="AKK250">
        <v>1</v>
      </c>
      <c r="AKL250">
        <v>52</v>
      </c>
      <c r="AKM250">
        <v>1</v>
      </c>
      <c r="AKN250">
        <v>0.02</v>
      </c>
      <c r="AKO250">
        <v>2</v>
      </c>
      <c r="AKV250" s="18"/>
      <c r="ALN250">
        <v>0</v>
      </c>
    </row>
    <row r="251" spans="1:1024" x14ac:dyDescent="0.2">
      <c r="A251" s="1" t="s">
        <v>770</v>
      </c>
      <c r="B251" s="12">
        <v>42908</v>
      </c>
      <c r="C251">
        <v>2</v>
      </c>
      <c r="D251" s="13">
        <v>35465</v>
      </c>
      <c r="E251" s="12">
        <v>27322</v>
      </c>
      <c r="F251" s="14">
        <f t="shared" si="62"/>
        <v>42.672142368240934</v>
      </c>
      <c r="G251" s="14">
        <f t="shared" si="63"/>
        <v>20.377823408624231</v>
      </c>
      <c r="H251" s="19" t="s">
        <v>217</v>
      </c>
      <c r="I251" s="15" t="s">
        <v>218</v>
      </c>
      <c r="J251" s="21" t="s">
        <v>183</v>
      </c>
      <c r="K251" s="21">
        <v>8</v>
      </c>
      <c r="L251" s="19">
        <v>102</v>
      </c>
      <c r="M251">
        <v>1.79</v>
      </c>
      <c r="N251" s="16">
        <f t="shared" si="64"/>
        <v>31.834212415342844</v>
      </c>
      <c r="O251" s="19">
        <v>0</v>
      </c>
      <c r="P251" s="19">
        <v>0</v>
      </c>
      <c r="Q251" s="19">
        <v>0</v>
      </c>
      <c r="R251" s="26">
        <v>0</v>
      </c>
      <c r="S251" s="26">
        <v>0</v>
      </c>
      <c r="T251" s="26">
        <v>0</v>
      </c>
      <c r="U251" s="26">
        <v>0</v>
      </c>
      <c r="V251" s="26">
        <v>0</v>
      </c>
      <c r="W251" s="19"/>
      <c r="X251" s="19">
        <v>0</v>
      </c>
      <c r="Y251" s="19">
        <v>0</v>
      </c>
      <c r="Z251" s="19">
        <v>0</v>
      </c>
      <c r="AA251" s="19">
        <v>0</v>
      </c>
      <c r="AB251" s="19">
        <v>0</v>
      </c>
      <c r="AC251" s="19">
        <v>0</v>
      </c>
      <c r="AD251" s="19">
        <v>0</v>
      </c>
      <c r="AE251" s="19">
        <v>1</v>
      </c>
      <c r="AF251" s="19">
        <v>1</v>
      </c>
      <c r="AG251" s="19">
        <v>0</v>
      </c>
      <c r="AH251" s="19">
        <v>0</v>
      </c>
      <c r="AI251" s="19">
        <v>2</v>
      </c>
      <c r="AJ251" s="19">
        <v>2</v>
      </c>
      <c r="AK251" s="19">
        <v>2</v>
      </c>
      <c r="AL251" s="19">
        <v>0</v>
      </c>
      <c r="AM251" s="19">
        <v>7</v>
      </c>
      <c r="AN251" s="19">
        <v>0</v>
      </c>
      <c r="AO251" s="19">
        <v>0</v>
      </c>
      <c r="AP251" s="19">
        <v>0</v>
      </c>
      <c r="AQ251" s="19">
        <v>0</v>
      </c>
      <c r="AR251" s="19">
        <v>0</v>
      </c>
      <c r="AS251" s="19">
        <v>0</v>
      </c>
      <c r="AT251" s="19">
        <v>0</v>
      </c>
      <c r="AU251" s="19">
        <v>0</v>
      </c>
      <c r="AV251" s="19">
        <v>0</v>
      </c>
      <c r="AW251" s="19">
        <v>0</v>
      </c>
      <c r="AX251" s="19">
        <v>0</v>
      </c>
      <c r="AY251" s="19">
        <v>0</v>
      </c>
      <c r="AZ251" s="19">
        <v>0</v>
      </c>
      <c r="BA251" s="19">
        <v>0</v>
      </c>
      <c r="BB251" s="19">
        <v>0</v>
      </c>
      <c r="BC251" s="19">
        <v>0</v>
      </c>
      <c r="BD251" s="19">
        <v>0</v>
      </c>
      <c r="BE251" s="19">
        <v>0</v>
      </c>
      <c r="BF251" s="19">
        <v>0</v>
      </c>
      <c r="BG251" s="19">
        <v>0</v>
      </c>
      <c r="BH251" s="19">
        <v>0</v>
      </c>
      <c r="BI251" s="19">
        <v>0</v>
      </c>
      <c r="BJ251" s="19">
        <v>0</v>
      </c>
      <c r="BK251" s="19">
        <v>0</v>
      </c>
      <c r="BL251" s="19">
        <v>0</v>
      </c>
      <c r="BM251" s="19">
        <v>0</v>
      </c>
      <c r="BN251" s="19">
        <v>0</v>
      </c>
      <c r="BO251" s="19">
        <v>0</v>
      </c>
      <c r="BP251" s="19">
        <v>0</v>
      </c>
      <c r="BQ251" s="19">
        <v>0</v>
      </c>
      <c r="BR251" s="19">
        <v>3</v>
      </c>
      <c r="BS251" s="19">
        <v>2</v>
      </c>
      <c r="BT251" s="19">
        <v>3</v>
      </c>
      <c r="BU251" s="19">
        <v>4</v>
      </c>
      <c r="BV251" s="19">
        <v>3</v>
      </c>
      <c r="BW251" s="19">
        <v>3</v>
      </c>
      <c r="BX251" s="19">
        <v>3</v>
      </c>
      <c r="BY251" s="19">
        <v>3</v>
      </c>
      <c r="BZ251" s="19">
        <v>3</v>
      </c>
      <c r="CA251" s="19">
        <v>3</v>
      </c>
      <c r="CB251" s="19">
        <v>3</v>
      </c>
      <c r="CC251" s="19">
        <v>4</v>
      </c>
      <c r="CD251" s="19">
        <v>3</v>
      </c>
      <c r="CE251" s="19">
        <v>3</v>
      </c>
      <c r="CF251" s="19">
        <v>3</v>
      </c>
      <c r="CG251" s="19">
        <v>4</v>
      </c>
      <c r="CH251" s="19">
        <v>3</v>
      </c>
      <c r="CI251" s="19">
        <v>3</v>
      </c>
      <c r="CJ251" s="19">
        <v>3</v>
      </c>
      <c r="CK251" s="19">
        <v>9</v>
      </c>
      <c r="CL251" t="s">
        <v>219</v>
      </c>
      <c r="CM251">
        <v>33.5</v>
      </c>
      <c r="CN251" s="16">
        <v>91.5</v>
      </c>
      <c r="CO251" s="16">
        <v>80.400000000000006</v>
      </c>
      <c r="CP251" s="16">
        <v>20</v>
      </c>
      <c r="CQ251">
        <v>84.58</v>
      </c>
      <c r="CR251" s="17">
        <v>0</v>
      </c>
      <c r="CS251">
        <v>15.42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13.79</v>
      </c>
      <c r="DD251">
        <v>2.67</v>
      </c>
      <c r="DE251">
        <v>11.54</v>
      </c>
      <c r="DF251">
        <v>0</v>
      </c>
      <c r="DG251">
        <v>12.3</v>
      </c>
      <c r="DH251">
        <v>2</v>
      </c>
      <c r="DI251">
        <v>5</v>
      </c>
      <c r="DJ251">
        <v>2</v>
      </c>
      <c r="DO251">
        <v>5</v>
      </c>
      <c r="DP251">
        <v>2</v>
      </c>
      <c r="DU251">
        <v>0</v>
      </c>
      <c r="DV251">
        <v>1</v>
      </c>
      <c r="DW251">
        <v>34</v>
      </c>
      <c r="DX251">
        <v>2</v>
      </c>
      <c r="DY251">
        <v>0.1</v>
      </c>
      <c r="DZ251">
        <v>1</v>
      </c>
      <c r="EA251">
        <v>10</v>
      </c>
      <c r="EB251">
        <f>8*4</f>
        <v>32</v>
      </c>
      <c r="EC251">
        <f>0.06+0.01+0.4+1.7+0.24+0.14+0.96</f>
        <v>3.5100000000000002</v>
      </c>
      <c r="ED251">
        <v>3</v>
      </c>
      <c r="EG251" s="18"/>
      <c r="EY251">
        <v>0</v>
      </c>
      <c r="GJ251" s="16">
        <v>0.25</v>
      </c>
      <c r="GK251" s="16">
        <v>1</v>
      </c>
      <c r="GL251" s="16">
        <v>2</v>
      </c>
      <c r="GM251" s="16"/>
      <c r="GN251" s="16">
        <v>0.55000000000000004</v>
      </c>
      <c r="GO251" s="16"/>
      <c r="GP251" s="16"/>
      <c r="GQ251" s="16"/>
      <c r="GR251" s="16"/>
      <c r="GS251" s="16"/>
      <c r="GT251" s="16"/>
      <c r="GU251" s="16">
        <v>0.55000000000000004</v>
      </c>
      <c r="GV251" s="16">
        <v>0.55000000000000004</v>
      </c>
      <c r="GW251" s="16"/>
      <c r="GX251" s="16"/>
      <c r="GY251" s="16">
        <v>0</v>
      </c>
      <c r="GZ251" s="16">
        <v>0</v>
      </c>
      <c r="HA251" s="16">
        <v>0</v>
      </c>
      <c r="HB251">
        <v>0</v>
      </c>
      <c r="HC251" t="s">
        <v>220</v>
      </c>
      <c r="HD251">
        <v>27</v>
      </c>
      <c r="HE251" s="16">
        <v>54.4</v>
      </c>
      <c r="HF251" s="16">
        <v>80.400000000000006</v>
      </c>
      <c r="HG251" s="16">
        <v>18.100000000000001</v>
      </c>
      <c r="HH251">
        <v>81.88</v>
      </c>
      <c r="HI251" s="17">
        <v>0</v>
      </c>
      <c r="HJ251">
        <v>9.83</v>
      </c>
      <c r="HK251">
        <v>0</v>
      </c>
      <c r="HL251">
        <v>2.14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2.3199999999999998</v>
      </c>
      <c r="HU251">
        <v>19.66</v>
      </c>
      <c r="HV251">
        <v>3.64</v>
      </c>
      <c r="HW251">
        <v>0</v>
      </c>
      <c r="HX251">
        <v>0</v>
      </c>
      <c r="HY251">
        <v>0</v>
      </c>
      <c r="IL251">
        <v>0</v>
      </c>
      <c r="IM251">
        <v>1</v>
      </c>
      <c r="IN251">
        <v>26</v>
      </c>
      <c r="IO251">
        <v>2</v>
      </c>
      <c r="IP251">
        <v>0.05</v>
      </c>
      <c r="IQ251">
        <v>2</v>
      </c>
      <c r="IX251" s="18"/>
      <c r="JP251">
        <v>0</v>
      </c>
      <c r="LA251" s="16">
        <v>2.1</v>
      </c>
      <c r="LB251" s="16">
        <v>1</v>
      </c>
      <c r="LC251" s="16">
        <v>1</v>
      </c>
      <c r="LD251" s="16"/>
      <c r="LE251" s="16">
        <f>0.1+0.76*2+2.02+1.35*2+0.67</f>
        <v>7.01</v>
      </c>
      <c r="LF251" s="16"/>
      <c r="LG251" s="16"/>
      <c r="LH251" s="16"/>
      <c r="LI251" s="16"/>
      <c r="LJ251" s="16"/>
      <c r="LK251" s="16"/>
      <c r="LL251" s="16">
        <v>6.35</v>
      </c>
      <c r="LM251" s="16">
        <v>14.8</v>
      </c>
      <c r="LN251" s="16"/>
      <c r="LO251" s="16"/>
      <c r="LP251" s="16">
        <v>0</v>
      </c>
      <c r="LQ251" s="16">
        <v>0</v>
      </c>
      <c r="LR251" s="16">
        <v>0</v>
      </c>
      <c r="LS251">
        <v>0</v>
      </c>
      <c r="LT251" t="s">
        <v>221</v>
      </c>
      <c r="LU251">
        <v>20.5</v>
      </c>
      <c r="LV251" s="16">
        <v>76.900000000000006</v>
      </c>
      <c r="LW251" s="16">
        <v>80.400000000000006</v>
      </c>
      <c r="LX251" s="16">
        <v>9.1</v>
      </c>
      <c r="LY251">
        <v>88.58</v>
      </c>
      <c r="LZ251">
        <v>10.3</v>
      </c>
      <c r="MA251">
        <v>1.1200000000000001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6.33</v>
      </c>
      <c r="ML251">
        <v>16.97</v>
      </c>
      <c r="MM251">
        <v>0</v>
      </c>
      <c r="MN251">
        <v>0</v>
      </c>
      <c r="MO251">
        <v>4.0999999999999996</v>
      </c>
      <c r="MP251">
        <v>2</v>
      </c>
      <c r="MQ251">
        <v>5</v>
      </c>
      <c r="MR251">
        <v>1</v>
      </c>
      <c r="MW251">
        <v>5</v>
      </c>
      <c r="MX251">
        <v>1</v>
      </c>
      <c r="NC251">
        <v>0</v>
      </c>
      <c r="ND251">
        <v>0</v>
      </c>
      <c r="NO251" s="18"/>
      <c r="OG251">
        <v>0</v>
      </c>
      <c r="PR251" s="16">
        <v>2.2400000000000002</v>
      </c>
      <c r="PS251" s="16">
        <v>1</v>
      </c>
      <c r="PT251" s="16">
        <v>2</v>
      </c>
      <c r="PU251" s="16"/>
      <c r="PV251" s="16">
        <v>4.97</v>
      </c>
      <c r="PW251" s="16"/>
      <c r="PX251" s="16"/>
      <c r="PY251" s="16"/>
      <c r="PZ251" s="16"/>
      <c r="QA251" s="16"/>
      <c r="QB251" s="16"/>
      <c r="QC251" s="16">
        <v>5.0999999999999996</v>
      </c>
      <c r="QD251" s="16">
        <v>5.97</v>
      </c>
      <c r="QE251" s="16"/>
      <c r="QF251" s="16"/>
      <c r="QG251" s="16">
        <v>0</v>
      </c>
      <c r="QH251" s="16">
        <v>0</v>
      </c>
      <c r="QI251" s="16">
        <v>0</v>
      </c>
      <c r="QJ251">
        <v>0</v>
      </c>
      <c r="QK251" t="s">
        <v>222</v>
      </c>
      <c r="QL251">
        <v>32.5</v>
      </c>
      <c r="QM251" s="16">
        <v>96.7</v>
      </c>
      <c r="QN251" s="16">
        <v>80.400000000000006</v>
      </c>
      <c r="QO251" s="16">
        <v>15.1</v>
      </c>
      <c r="QP251">
        <v>52.24</v>
      </c>
      <c r="QQ251">
        <v>45.43</v>
      </c>
      <c r="QR251">
        <v>1.1200000000000001</v>
      </c>
      <c r="QS251">
        <v>0</v>
      </c>
      <c r="QT251">
        <v>1.2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1.2</v>
      </c>
      <c r="RB251">
        <v>15.88</v>
      </c>
      <c r="RC251">
        <v>48.59</v>
      </c>
      <c r="RD251">
        <v>0</v>
      </c>
      <c r="RE251">
        <v>0</v>
      </c>
      <c r="RF251">
        <v>0</v>
      </c>
      <c r="RG251">
        <v>0</v>
      </c>
      <c r="RT251">
        <v>0</v>
      </c>
      <c r="RU251">
        <v>0</v>
      </c>
      <c r="SF251" s="18"/>
      <c r="SX251">
        <v>1</v>
      </c>
      <c r="SY251">
        <v>50</v>
      </c>
      <c r="SZ251">
        <v>2</v>
      </c>
      <c r="TA251">
        <f>3.18+12.73</f>
        <v>15.91</v>
      </c>
      <c r="TB251">
        <v>1</v>
      </c>
      <c r="UI251" s="16">
        <v>5.9</v>
      </c>
      <c r="UJ251" s="16">
        <v>1</v>
      </c>
      <c r="UK251" s="16">
        <v>2</v>
      </c>
      <c r="UL251" s="16"/>
      <c r="UM251" s="16">
        <f>0.09+0.18*3+0.13+0.53+1.07*2+1.34*2+0.17*2+3.18+12.73</f>
        <v>22.36</v>
      </c>
      <c r="UN251" s="16"/>
      <c r="UO251" s="16"/>
      <c r="UP251" s="16"/>
      <c r="UQ251" s="16"/>
      <c r="UR251" s="16"/>
      <c r="US251" s="16"/>
      <c r="UT251" s="16">
        <v>11.45</v>
      </c>
      <c r="UU251" s="16">
        <v>41.19</v>
      </c>
      <c r="UV251" s="16"/>
      <c r="UW251" s="16"/>
      <c r="UX251" s="16">
        <v>0</v>
      </c>
      <c r="UY251" s="16">
        <v>0</v>
      </c>
      <c r="UZ251" s="16">
        <v>0</v>
      </c>
      <c r="VA251">
        <v>0</v>
      </c>
      <c r="VB251" t="s">
        <v>223</v>
      </c>
      <c r="VC251">
        <v>30.5</v>
      </c>
      <c r="VD251" s="16">
        <v>68.8</v>
      </c>
      <c r="VE251" s="16">
        <v>80.400000000000006</v>
      </c>
      <c r="VF251" s="16">
        <v>16.3</v>
      </c>
      <c r="VG251">
        <v>66.28</v>
      </c>
      <c r="VH251">
        <v>20.09</v>
      </c>
      <c r="VI251">
        <v>1.81</v>
      </c>
      <c r="VJ251">
        <v>0</v>
      </c>
      <c r="VK251">
        <v>11.82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13.17</v>
      </c>
      <c r="VT251">
        <v>35.75</v>
      </c>
      <c r="VU251">
        <v>0</v>
      </c>
      <c r="VV251">
        <v>0</v>
      </c>
      <c r="VW251">
        <v>0</v>
      </c>
      <c r="VX251">
        <v>0</v>
      </c>
      <c r="WK251">
        <v>0</v>
      </c>
      <c r="WL251">
        <v>1</v>
      </c>
      <c r="WM251">
        <v>52</v>
      </c>
      <c r="WN251">
        <v>1</v>
      </c>
      <c r="WO251">
        <v>0.01</v>
      </c>
      <c r="WP251">
        <v>2</v>
      </c>
      <c r="WW251" s="18"/>
      <c r="XO251">
        <v>0</v>
      </c>
      <c r="YZ251" s="16">
        <v>5.43</v>
      </c>
      <c r="ZA251" s="16">
        <v>1</v>
      </c>
      <c r="ZB251" s="16">
        <v>1</v>
      </c>
      <c r="ZC251" s="16"/>
      <c r="ZD251" s="16">
        <f>0.09*2+0.07+1.36</f>
        <v>1.61</v>
      </c>
      <c r="ZE251" s="16">
        <v>2</v>
      </c>
      <c r="ZF251" s="16"/>
      <c r="ZG251" s="16">
        <f>4.2+0.09+0.66+0.01+3.18+3.18</f>
        <v>11.32</v>
      </c>
      <c r="ZH251" s="16"/>
      <c r="ZI251" s="16"/>
      <c r="ZJ251" s="16"/>
      <c r="ZK251" s="16">
        <v>8.61</v>
      </c>
      <c r="ZL251" s="16">
        <v>26.91</v>
      </c>
      <c r="ZM251" s="16"/>
      <c r="ZN251" s="16"/>
      <c r="ZO251" s="16">
        <v>0</v>
      </c>
      <c r="ZP251" s="16">
        <v>0</v>
      </c>
      <c r="ZQ251" s="16">
        <v>0</v>
      </c>
      <c r="ZR251">
        <v>0</v>
      </c>
      <c r="ZS251" t="s">
        <v>224</v>
      </c>
      <c r="ZT251">
        <v>39.5</v>
      </c>
      <c r="ZU251" s="16">
        <v>60.8</v>
      </c>
      <c r="ZV251" s="16">
        <v>80.400000000000006</v>
      </c>
      <c r="ZW251" s="16">
        <v>22.9</v>
      </c>
      <c r="ZX251">
        <v>67.010000000000005</v>
      </c>
      <c r="ZY251">
        <v>11.71</v>
      </c>
      <c r="ZZ251">
        <v>16.61</v>
      </c>
      <c r="AAA251">
        <v>0</v>
      </c>
      <c r="AAB251">
        <v>4.67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20.9</v>
      </c>
      <c r="AAK251">
        <v>25.23</v>
      </c>
      <c r="AAL251">
        <v>0.57999999999999996</v>
      </c>
      <c r="AAM251">
        <v>0</v>
      </c>
      <c r="AAN251">
        <v>0</v>
      </c>
      <c r="AAO251">
        <v>0</v>
      </c>
      <c r="ABB251">
        <v>2</v>
      </c>
      <c r="ABC251">
        <v>1</v>
      </c>
      <c r="ABD251">
        <v>103</v>
      </c>
      <c r="ABE251">
        <v>2</v>
      </c>
      <c r="ABF251">
        <f>0.18+0.14</f>
        <v>0.32</v>
      </c>
      <c r="ABG251">
        <v>1</v>
      </c>
      <c r="ABH251">
        <v>68</v>
      </c>
      <c r="ABI251">
        <v>1</v>
      </c>
      <c r="ABJ251">
        <v>0.01</v>
      </c>
      <c r="ABK251">
        <v>1</v>
      </c>
      <c r="ABL251">
        <v>52</v>
      </c>
      <c r="ABM251">
        <v>3</v>
      </c>
      <c r="ABN251" s="18">
        <v>0.05</v>
      </c>
      <c r="ABO251">
        <v>2</v>
      </c>
      <c r="ACF251">
        <v>0</v>
      </c>
      <c r="ADQ251" s="16">
        <v>3.66</v>
      </c>
      <c r="ADR251" s="16">
        <v>1</v>
      </c>
      <c r="ADS251" s="16">
        <v>1</v>
      </c>
      <c r="ADT251" s="16"/>
      <c r="ADU251" s="16">
        <f>2.69*3+1.35*3+0.14*2+0.1</f>
        <v>12.5</v>
      </c>
      <c r="ADV251" s="16">
        <v>2</v>
      </c>
      <c r="ADW251" s="16"/>
      <c r="ADX251" s="16">
        <f>0.66+0.35+0.18+0.14+1.25+1.23</f>
        <v>3.81</v>
      </c>
      <c r="ADY251" s="16"/>
      <c r="ADZ251" s="16"/>
      <c r="AEA251" s="16"/>
      <c r="AEB251" s="16">
        <v>10.050000000000001</v>
      </c>
      <c r="AEC251" s="16">
        <v>27.11</v>
      </c>
      <c r="AED251" s="16"/>
      <c r="AEE251" s="16"/>
      <c r="AEF251" s="16">
        <v>0</v>
      </c>
      <c r="AEG251" s="16">
        <v>0</v>
      </c>
      <c r="AEH251" s="16">
        <v>0</v>
      </c>
      <c r="AEI251">
        <v>0</v>
      </c>
      <c r="AEJ251" t="s">
        <v>225</v>
      </c>
      <c r="AEK251">
        <v>47</v>
      </c>
      <c r="AEL251" s="16">
        <v>72.3</v>
      </c>
      <c r="AEM251" s="16">
        <v>80.400000000000006</v>
      </c>
      <c r="AEN251" s="16">
        <v>18</v>
      </c>
      <c r="AEO251">
        <v>70.55</v>
      </c>
      <c r="AEP251">
        <v>6.81</v>
      </c>
      <c r="AEQ251">
        <v>3.09</v>
      </c>
      <c r="AER251">
        <v>0</v>
      </c>
      <c r="AES251">
        <v>19.55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18.07</v>
      </c>
      <c r="AFB251">
        <v>30.57</v>
      </c>
      <c r="AFC251">
        <v>7.61</v>
      </c>
      <c r="AFD251">
        <v>0</v>
      </c>
      <c r="AFE251">
        <v>14</v>
      </c>
      <c r="AFF251">
        <v>2</v>
      </c>
      <c r="AFG251">
        <v>5</v>
      </c>
      <c r="AFH251">
        <v>4.47</v>
      </c>
      <c r="AFJ251">
        <v>7</v>
      </c>
      <c r="AFK251">
        <v>5.15</v>
      </c>
      <c r="AFM251">
        <v>5</v>
      </c>
      <c r="AFN251">
        <v>4.47</v>
      </c>
      <c r="AFP251">
        <v>7</v>
      </c>
      <c r="AFQ251">
        <v>5.15</v>
      </c>
      <c r="AFS251">
        <v>0</v>
      </c>
      <c r="AFT251">
        <v>0</v>
      </c>
      <c r="AGE251" s="18"/>
      <c r="AGW251">
        <v>0</v>
      </c>
      <c r="AIH251" s="16">
        <v>4.21</v>
      </c>
      <c r="AII251" s="16">
        <v>1</v>
      </c>
      <c r="AIJ251" s="16">
        <v>2</v>
      </c>
      <c r="AIK251" s="16"/>
      <c r="AIL251" s="16">
        <f>7.46+1.59+0.6</f>
        <v>9.65</v>
      </c>
      <c r="AIM251" s="16"/>
      <c r="AIN251" s="16"/>
      <c r="AIO251" s="16"/>
      <c r="AIP251" s="16"/>
      <c r="AIQ251" s="16"/>
      <c r="AIR251" s="16"/>
      <c r="AIS251" s="16">
        <v>10.63</v>
      </c>
      <c r="AIT251" s="16">
        <v>36.380000000000003</v>
      </c>
      <c r="AIU251" s="16"/>
      <c r="AIV251" s="16"/>
      <c r="AIW251" s="16">
        <v>0</v>
      </c>
      <c r="AIX251" s="16">
        <v>0</v>
      </c>
      <c r="AIY251" s="16">
        <v>0</v>
      </c>
      <c r="AIZ251">
        <v>0</v>
      </c>
      <c r="AJA251" t="s">
        <v>226</v>
      </c>
      <c r="AJB251">
        <v>19</v>
      </c>
      <c r="AJC251" s="16">
        <v>82.6</v>
      </c>
      <c r="AJD251" s="16">
        <v>80.400000000000006</v>
      </c>
      <c r="AJE251" s="16">
        <v>7.7</v>
      </c>
      <c r="AJF251">
        <v>86.83</v>
      </c>
      <c r="AJG251">
        <v>12.69</v>
      </c>
      <c r="AJH251">
        <v>0</v>
      </c>
      <c r="AJI251">
        <v>0</v>
      </c>
      <c r="AJJ251">
        <v>0.48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7.16</v>
      </c>
      <c r="AJS251">
        <v>10.76</v>
      </c>
      <c r="AJT251">
        <v>0</v>
      </c>
      <c r="AJU251">
        <v>0</v>
      </c>
      <c r="AJV251">
        <v>3.4</v>
      </c>
      <c r="AJW251">
        <v>2</v>
      </c>
      <c r="AJX251">
        <v>11.9</v>
      </c>
      <c r="AJY251">
        <v>0.48</v>
      </c>
      <c r="AKD251">
        <v>11.9</v>
      </c>
      <c r="AKE251">
        <v>0.48</v>
      </c>
      <c r="AKJ251">
        <v>0</v>
      </c>
      <c r="AKK251">
        <v>1</v>
      </c>
      <c r="AKL251">
        <v>34</v>
      </c>
      <c r="AKM251">
        <v>2</v>
      </c>
      <c r="AKN251">
        <f>0.84*2</f>
        <v>1.68</v>
      </c>
      <c r="AKO251">
        <v>1</v>
      </c>
      <c r="AKV251" s="18"/>
      <c r="ALN251">
        <v>0</v>
      </c>
    </row>
    <row r="252" spans="1:1024" x14ac:dyDescent="0.2">
      <c r="A252" s="1" t="s">
        <v>771</v>
      </c>
      <c r="B252" s="12">
        <v>42909</v>
      </c>
      <c r="C252">
        <v>2</v>
      </c>
      <c r="D252" s="13">
        <v>35009</v>
      </c>
      <c r="E252" s="12">
        <v>27190</v>
      </c>
      <c r="F252" s="14">
        <f t="shared" si="62"/>
        <v>43.036276522929498</v>
      </c>
      <c r="G252" s="14">
        <f t="shared" si="63"/>
        <v>21.629021218343599</v>
      </c>
      <c r="H252" s="19" t="s">
        <v>217</v>
      </c>
      <c r="I252" s="15" t="s">
        <v>218</v>
      </c>
      <c r="J252" s="15" t="s">
        <v>183</v>
      </c>
      <c r="K252" s="21">
        <v>8</v>
      </c>
      <c r="L252" s="19">
        <v>80</v>
      </c>
      <c r="M252">
        <v>1.6</v>
      </c>
      <c r="N252" s="16">
        <f t="shared" si="64"/>
        <v>31.249999999999993</v>
      </c>
      <c r="O252" s="19">
        <v>0</v>
      </c>
      <c r="P252" s="19">
        <v>0</v>
      </c>
      <c r="Q252" s="19">
        <v>0</v>
      </c>
      <c r="R252" s="26">
        <v>0</v>
      </c>
      <c r="S252" s="26">
        <v>0</v>
      </c>
      <c r="T252" s="26">
        <v>0</v>
      </c>
      <c r="U252" s="26">
        <v>0</v>
      </c>
      <c r="V252" s="26">
        <v>0</v>
      </c>
      <c r="W252" s="19">
        <v>1</v>
      </c>
      <c r="X252" s="19">
        <v>1</v>
      </c>
      <c r="Y252" s="19">
        <v>0</v>
      </c>
      <c r="Z252" s="19">
        <v>0</v>
      </c>
      <c r="AA252" s="19">
        <v>0</v>
      </c>
      <c r="AB252" s="19">
        <v>0</v>
      </c>
      <c r="AC252" s="19">
        <v>1</v>
      </c>
      <c r="AD252" s="19">
        <v>2</v>
      </c>
      <c r="AE252" s="19">
        <v>0</v>
      </c>
      <c r="AF252" s="19">
        <v>0</v>
      </c>
      <c r="AG252" s="19">
        <v>0</v>
      </c>
      <c r="AH252" s="19">
        <v>0</v>
      </c>
      <c r="AI252" s="19">
        <v>3</v>
      </c>
      <c r="AJ252" s="19"/>
      <c r="AK252" s="19">
        <v>3</v>
      </c>
      <c r="AL252" s="19">
        <v>5</v>
      </c>
      <c r="AM252" s="19">
        <v>3</v>
      </c>
      <c r="AN252" s="19">
        <v>0</v>
      </c>
      <c r="AO252" s="19">
        <v>0</v>
      </c>
      <c r="AP252" s="19">
        <v>0</v>
      </c>
      <c r="AQ252" s="19">
        <v>0</v>
      </c>
      <c r="AR252" s="19">
        <v>0</v>
      </c>
      <c r="AS252" s="19">
        <v>0</v>
      </c>
      <c r="AT252" s="19">
        <v>0</v>
      </c>
      <c r="AU252" s="19">
        <v>0</v>
      </c>
      <c r="AV252" s="19">
        <v>0</v>
      </c>
      <c r="AW252" s="19">
        <v>0</v>
      </c>
      <c r="AX252" s="19">
        <v>0</v>
      </c>
      <c r="AY252" s="19">
        <v>0</v>
      </c>
      <c r="AZ252" s="19">
        <v>0</v>
      </c>
      <c r="BA252" s="19">
        <v>0</v>
      </c>
      <c r="BB252" s="19">
        <v>1</v>
      </c>
      <c r="BC252" s="19">
        <v>1</v>
      </c>
      <c r="BD252" s="19">
        <v>0</v>
      </c>
      <c r="BE252" s="19">
        <v>0</v>
      </c>
      <c r="BF252" s="19">
        <v>0</v>
      </c>
      <c r="BG252" s="19">
        <v>0</v>
      </c>
      <c r="BH252" s="19">
        <v>0</v>
      </c>
      <c r="BI252" s="19">
        <v>0</v>
      </c>
      <c r="BJ252" s="19">
        <v>0</v>
      </c>
      <c r="BK252" s="19">
        <v>0</v>
      </c>
      <c r="BL252" s="19">
        <v>0</v>
      </c>
      <c r="BM252" s="19">
        <v>0</v>
      </c>
      <c r="BN252" s="19">
        <v>0</v>
      </c>
      <c r="BO252" s="19">
        <v>0</v>
      </c>
      <c r="BP252" s="19">
        <v>0</v>
      </c>
      <c r="BQ252" s="19">
        <v>0</v>
      </c>
      <c r="BR252" s="19">
        <v>4</v>
      </c>
      <c r="BS252" s="19">
        <v>3</v>
      </c>
      <c r="BT252" s="19">
        <v>4</v>
      </c>
      <c r="BU252" s="19">
        <v>5</v>
      </c>
      <c r="BV252" s="19">
        <v>2</v>
      </c>
      <c r="BW252" s="19">
        <v>2</v>
      </c>
      <c r="BX252" s="19">
        <v>4</v>
      </c>
      <c r="BY252" s="19">
        <v>5</v>
      </c>
      <c r="BZ252" s="19">
        <v>5</v>
      </c>
      <c r="CA252" s="19">
        <v>3</v>
      </c>
      <c r="CB252" s="19">
        <v>3</v>
      </c>
      <c r="CC252" s="19">
        <v>5</v>
      </c>
      <c r="CD252" s="19">
        <v>3</v>
      </c>
      <c r="CE252" s="19">
        <v>3</v>
      </c>
      <c r="CF252" s="19">
        <v>3</v>
      </c>
      <c r="CG252" s="19">
        <v>4</v>
      </c>
      <c r="CH252" s="19">
        <v>4</v>
      </c>
      <c r="CI252" s="19">
        <v>4</v>
      </c>
      <c r="CJ252" s="19">
        <v>3</v>
      </c>
      <c r="CK252" s="19">
        <v>10</v>
      </c>
      <c r="CL252" t="s">
        <v>219</v>
      </c>
      <c r="CM252">
        <v>33.5</v>
      </c>
      <c r="CN252" s="16">
        <v>91.5</v>
      </c>
      <c r="CO252" s="16">
        <v>80.400000000000006</v>
      </c>
      <c r="CP252" s="16">
        <v>20</v>
      </c>
      <c r="CQ252">
        <v>84.58</v>
      </c>
      <c r="CR252" s="17">
        <v>0</v>
      </c>
      <c r="CS252">
        <v>15.42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13.79</v>
      </c>
      <c r="DD252">
        <v>2.67</v>
      </c>
      <c r="DE252">
        <v>11.54</v>
      </c>
      <c r="DF252">
        <v>0</v>
      </c>
      <c r="DG252">
        <v>12.3</v>
      </c>
      <c r="DH252">
        <v>2</v>
      </c>
      <c r="DI252">
        <v>5</v>
      </c>
      <c r="DJ252">
        <v>2</v>
      </c>
      <c r="DO252">
        <v>5</v>
      </c>
      <c r="DP252">
        <v>2</v>
      </c>
      <c r="DU252">
        <v>0</v>
      </c>
      <c r="DV252">
        <v>1</v>
      </c>
      <c r="DW252">
        <v>34</v>
      </c>
      <c r="DX252">
        <v>2</v>
      </c>
      <c r="DY252">
        <v>0.1</v>
      </c>
      <c r="DZ252">
        <v>1</v>
      </c>
      <c r="EA252">
        <v>10</v>
      </c>
      <c r="EB252">
        <f>8*4</f>
        <v>32</v>
      </c>
      <c r="EC252">
        <f>0.06+0.01+0.4+1.7+0.24+0.14+0.96</f>
        <v>3.5100000000000002</v>
      </c>
      <c r="ED252">
        <v>3</v>
      </c>
      <c r="EG252" s="18"/>
      <c r="EY252">
        <v>0</v>
      </c>
      <c r="GJ252" s="16">
        <v>0.25</v>
      </c>
      <c r="GK252" s="16">
        <v>1</v>
      </c>
      <c r="GL252" s="16">
        <v>2</v>
      </c>
      <c r="GM252" s="16"/>
      <c r="GN252" s="16">
        <v>0.55000000000000004</v>
      </c>
      <c r="GO252" s="16"/>
      <c r="GP252" s="16"/>
      <c r="GQ252" s="16"/>
      <c r="GR252" s="16"/>
      <c r="GS252" s="16"/>
      <c r="GT252" s="16"/>
      <c r="GU252" s="16">
        <v>0.55000000000000004</v>
      </c>
      <c r="GV252" s="16">
        <v>0.55000000000000004</v>
      </c>
      <c r="GW252" s="16"/>
      <c r="GX252" s="16"/>
      <c r="GY252" s="16">
        <v>0</v>
      </c>
      <c r="GZ252" s="16">
        <v>0</v>
      </c>
      <c r="HA252" s="16">
        <v>0</v>
      </c>
      <c r="HB252">
        <v>0</v>
      </c>
      <c r="HC252" t="s">
        <v>220</v>
      </c>
      <c r="HD252">
        <v>27</v>
      </c>
      <c r="HE252" s="16">
        <v>54.4</v>
      </c>
      <c r="HF252" s="16">
        <v>80.400000000000006</v>
      </c>
      <c r="HG252" s="16">
        <v>18.100000000000001</v>
      </c>
      <c r="HH252">
        <v>81.88</v>
      </c>
      <c r="HI252" s="17">
        <v>0</v>
      </c>
      <c r="HJ252">
        <v>9.83</v>
      </c>
      <c r="HK252">
        <v>0</v>
      </c>
      <c r="HL252">
        <v>2.14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2.3199999999999998</v>
      </c>
      <c r="HU252">
        <v>19.66</v>
      </c>
      <c r="HV252">
        <v>3.64</v>
      </c>
      <c r="HW252">
        <v>0</v>
      </c>
      <c r="HX252">
        <v>0</v>
      </c>
      <c r="HY252">
        <v>0</v>
      </c>
      <c r="IL252">
        <v>0</v>
      </c>
      <c r="IM252">
        <v>1</v>
      </c>
      <c r="IN252">
        <v>26</v>
      </c>
      <c r="IO252">
        <v>2</v>
      </c>
      <c r="IP252">
        <v>0.05</v>
      </c>
      <c r="IQ252">
        <v>2</v>
      </c>
      <c r="IX252" s="18"/>
      <c r="JP252">
        <v>0</v>
      </c>
      <c r="LA252" s="16">
        <v>2.1</v>
      </c>
      <c r="LB252" s="16">
        <v>1</v>
      </c>
      <c r="LC252" s="16">
        <v>1</v>
      </c>
      <c r="LD252" s="16"/>
      <c r="LE252" s="16">
        <f>0.1+0.76*2+2.02+1.35*2+0.67</f>
        <v>7.01</v>
      </c>
      <c r="LF252" s="16"/>
      <c r="LG252" s="16"/>
      <c r="LH252" s="16"/>
      <c r="LI252" s="16"/>
      <c r="LJ252" s="16"/>
      <c r="LK252" s="16"/>
      <c r="LL252" s="16">
        <v>6.35</v>
      </c>
      <c r="LM252" s="16">
        <v>14.8</v>
      </c>
      <c r="LN252" s="16"/>
      <c r="LO252" s="16"/>
      <c r="LP252" s="16">
        <v>0</v>
      </c>
      <c r="LQ252" s="16">
        <v>0</v>
      </c>
      <c r="LR252" s="16">
        <v>0</v>
      </c>
      <c r="LS252">
        <v>0</v>
      </c>
      <c r="LT252" t="s">
        <v>221</v>
      </c>
      <c r="LU252">
        <v>20.5</v>
      </c>
      <c r="LV252" s="16">
        <v>76.900000000000006</v>
      </c>
      <c r="LW252" s="16">
        <v>80.400000000000006</v>
      </c>
      <c r="LX252" s="16">
        <v>9.1</v>
      </c>
      <c r="LY252">
        <v>88.58</v>
      </c>
      <c r="LZ252">
        <v>10.3</v>
      </c>
      <c r="MA252">
        <v>1.1200000000000001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6.33</v>
      </c>
      <c r="ML252">
        <v>16.97</v>
      </c>
      <c r="MM252">
        <v>0</v>
      </c>
      <c r="MN252">
        <v>0</v>
      </c>
      <c r="MO252">
        <v>4.0999999999999996</v>
      </c>
      <c r="MP252">
        <v>2</v>
      </c>
      <c r="MQ252">
        <v>5</v>
      </c>
      <c r="MR252">
        <v>1</v>
      </c>
      <c r="MW252">
        <v>5</v>
      </c>
      <c r="MX252">
        <v>1</v>
      </c>
      <c r="NC252">
        <v>0</v>
      </c>
      <c r="ND252">
        <v>0</v>
      </c>
      <c r="NO252" s="18"/>
      <c r="OG252">
        <v>0</v>
      </c>
      <c r="PR252" s="16">
        <v>2.2400000000000002</v>
      </c>
      <c r="PS252" s="16">
        <v>1</v>
      </c>
      <c r="PT252" s="16">
        <v>2</v>
      </c>
      <c r="PU252" s="16"/>
      <c r="PV252" s="16">
        <v>4.97</v>
      </c>
      <c r="PW252" s="16"/>
      <c r="PX252" s="16"/>
      <c r="PY252" s="16"/>
      <c r="PZ252" s="16"/>
      <c r="QA252" s="16"/>
      <c r="QB252" s="16"/>
      <c r="QC252" s="16">
        <v>5.0999999999999996</v>
      </c>
      <c r="QD252" s="16">
        <v>5.97</v>
      </c>
      <c r="QE252" s="16"/>
      <c r="QF252" s="16"/>
      <c r="QG252" s="16">
        <v>0</v>
      </c>
      <c r="QH252" s="16">
        <v>0</v>
      </c>
      <c r="QI252" s="16">
        <v>0</v>
      </c>
      <c r="QJ252">
        <v>0</v>
      </c>
      <c r="QK252" t="s">
        <v>222</v>
      </c>
      <c r="QL252">
        <v>32.5</v>
      </c>
      <c r="QM252" s="16">
        <v>96.7</v>
      </c>
      <c r="QN252" s="16">
        <v>80.400000000000006</v>
      </c>
      <c r="QO252" s="16">
        <v>15.1</v>
      </c>
      <c r="QP252">
        <v>52.24</v>
      </c>
      <c r="QQ252">
        <v>45.43</v>
      </c>
      <c r="QR252">
        <v>1.1200000000000001</v>
      </c>
      <c r="QS252">
        <v>0</v>
      </c>
      <c r="QT252">
        <v>1.2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1.2</v>
      </c>
      <c r="RB252">
        <v>15.88</v>
      </c>
      <c r="RC252">
        <v>48.59</v>
      </c>
      <c r="RD252">
        <v>0</v>
      </c>
      <c r="RE252">
        <v>0</v>
      </c>
      <c r="RF252">
        <v>0</v>
      </c>
      <c r="RG252">
        <v>0</v>
      </c>
      <c r="RT252">
        <v>0</v>
      </c>
      <c r="RU252">
        <v>0</v>
      </c>
      <c r="SF252" s="18"/>
      <c r="SX252">
        <v>1</v>
      </c>
      <c r="SY252">
        <v>50</v>
      </c>
      <c r="SZ252">
        <v>2</v>
      </c>
      <c r="TA252">
        <f>3.18+12.73</f>
        <v>15.91</v>
      </c>
      <c r="TB252">
        <v>1</v>
      </c>
      <c r="UI252" s="16">
        <v>5.9</v>
      </c>
      <c r="UJ252" s="16">
        <v>1</v>
      </c>
      <c r="UK252" s="16">
        <v>2</v>
      </c>
      <c r="UL252" s="16"/>
      <c r="UM252" s="16">
        <f>0.09+0.18*3+0.13+0.53+1.07*2+1.34*2+0.17*2+3.18+12.73</f>
        <v>22.36</v>
      </c>
      <c r="UN252" s="16"/>
      <c r="UO252" s="16"/>
      <c r="UP252" s="16"/>
      <c r="UQ252" s="16"/>
      <c r="UR252" s="16"/>
      <c r="US252" s="16"/>
      <c r="UT252" s="16">
        <v>11.45</v>
      </c>
      <c r="UU252" s="16">
        <v>41.19</v>
      </c>
      <c r="UV252" s="16"/>
      <c r="UW252" s="16"/>
      <c r="UX252" s="16">
        <v>0</v>
      </c>
      <c r="UY252" s="16">
        <v>0</v>
      </c>
      <c r="UZ252" s="16">
        <v>0</v>
      </c>
      <c r="VA252">
        <v>0</v>
      </c>
      <c r="VB252" t="s">
        <v>223</v>
      </c>
      <c r="VC252">
        <v>30.5</v>
      </c>
      <c r="VD252" s="16">
        <v>68.8</v>
      </c>
      <c r="VE252" s="16">
        <v>80.400000000000006</v>
      </c>
      <c r="VF252" s="16">
        <v>16.3</v>
      </c>
      <c r="VG252">
        <v>66.28</v>
      </c>
      <c r="VH252">
        <v>20.09</v>
      </c>
      <c r="VI252">
        <v>1.81</v>
      </c>
      <c r="VJ252">
        <v>0</v>
      </c>
      <c r="VK252">
        <v>11.82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13.17</v>
      </c>
      <c r="VT252">
        <v>35.75</v>
      </c>
      <c r="VU252">
        <v>0</v>
      </c>
      <c r="VV252">
        <v>0</v>
      </c>
      <c r="VW252">
        <v>0</v>
      </c>
      <c r="VX252">
        <v>0</v>
      </c>
      <c r="WK252">
        <v>0</v>
      </c>
      <c r="WL252">
        <v>1</v>
      </c>
      <c r="WM252">
        <v>52</v>
      </c>
      <c r="WN252">
        <v>1</v>
      </c>
      <c r="WO252">
        <v>0.01</v>
      </c>
      <c r="WP252">
        <v>2</v>
      </c>
      <c r="WW252" s="18"/>
      <c r="XO252">
        <v>0</v>
      </c>
      <c r="YZ252" s="16">
        <v>5.43</v>
      </c>
      <c r="ZA252" s="16">
        <v>1</v>
      </c>
      <c r="ZB252" s="16">
        <v>1</v>
      </c>
      <c r="ZC252" s="16"/>
      <c r="ZD252" s="16">
        <f>0.09*2+0.07+1.36</f>
        <v>1.61</v>
      </c>
      <c r="ZE252" s="16">
        <v>2</v>
      </c>
      <c r="ZF252" s="16"/>
      <c r="ZG252" s="16">
        <f>4.2+0.09+0.66+0.01+3.18+3.18</f>
        <v>11.32</v>
      </c>
      <c r="ZH252" s="16"/>
      <c r="ZI252" s="16"/>
      <c r="ZJ252" s="16"/>
      <c r="ZK252" s="16">
        <v>8.61</v>
      </c>
      <c r="ZL252" s="16">
        <v>26.91</v>
      </c>
      <c r="ZM252" s="16"/>
      <c r="ZN252" s="16"/>
      <c r="ZO252" s="16">
        <v>0</v>
      </c>
      <c r="ZP252" s="16">
        <v>0</v>
      </c>
      <c r="ZQ252" s="16">
        <v>0</v>
      </c>
      <c r="ZR252">
        <v>0</v>
      </c>
      <c r="ZS252" t="s">
        <v>224</v>
      </c>
      <c r="ZT252">
        <v>39.5</v>
      </c>
      <c r="ZU252" s="16">
        <v>60.8</v>
      </c>
      <c r="ZV252" s="16">
        <v>80.400000000000006</v>
      </c>
      <c r="ZW252" s="16">
        <v>22.9</v>
      </c>
      <c r="ZX252">
        <v>67.010000000000005</v>
      </c>
      <c r="ZY252">
        <v>11.71</v>
      </c>
      <c r="ZZ252">
        <v>16.61</v>
      </c>
      <c r="AAA252">
        <v>0</v>
      </c>
      <c r="AAB252">
        <v>4.67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20.9</v>
      </c>
      <c r="AAK252">
        <v>25.23</v>
      </c>
      <c r="AAL252">
        <v>0.57999999999999996</v>
      </c>
      <c r="AAM252">
        <v>0</v>
      </c>
      <c r="AAN252">
        <v>0</v>
      </c>
      <c r="AAO252">
        <v>0</v>
      </c>
      <c r="ABB252">
        <v>2</v>
      </c>
      <c r="ABC252">
        <v>1</v>
      </c>
      <c r="ABD252">
        <v>103</v>
      </c>
      <c r="ABE252">
        <v>2</v>
      </c>
      <c r="ABF252">
        <f>0.18+0.14</f>
        <v>0.32</v>
      </c>
      <c r="ABG252">
        <v>1</v>
      </c>
      <c r="ABH252">
        <v>68</v>
      </c>
      <c r="ABI252">
        <v>1</v>
      </c>
      <c r="ABJ252">
        <v>0.01</v>
      </c>
      <c r="ABK252">
        <v>1</v>
      </c>
      <c r="ABL252">
        <v>52</v>
      </c>
      <c r="ABM252">
        <v>3</v>
      </c>
      <c r="ABN252" s="18">
        <v>0.05</v>
      </c>
      <c r="ABO252">
        <v>2</v>
      </c>
      <c r="ACF252">
        <v>0</v>
      </c>
      <c r="ADQ252" s="16">
        <v>3.66</v>
      </c>
      <c r="ADR252" s="16">
        <v>1</v>
      </c>
      <c r="ADS252" s="16">
        <v>1</v>
      </c>
      <c r="ADT252" s="16"/>
      <c r="ADU252" s="16">
        <f>2.69*3+1.35*3+0.14*2+0.1</f>
        <v>12.5</v>
      </c>
      <c r="ADV252" s="16">
        <v>2</v>
      </c>
      <c r="ADW252" s="16"/>
      <c r="ADX252" s="16">
        <f>0.66+0.35+0.18+0.14+1.25+1.23</f>
        <v>3.81</v>
      </c>
      <c r="ADY252" s="16"/>
      <c r="ADZ252" s="16"/>
      <c r="AEA252" s="16"/>
      <c r="AEB252" s="16">
        <v>10.050000000000001</v>
      </c>
      <c r="AEC252" s="16">
        <v>27.11</v>
      </c>
      <c r="AED252" s="16"/>
      <c r="AEE252" s="16"/>
      <c r="AEF252" s="16">
        <v>0</v>
      </c>
      <c r="AEG252" s="16">
        <v>0</v>
      </c>
      <c r="AEH252" s="16">
        <v>0</v>
      </c>
      <c r="AEI252">
        <v>0</v>
      </c>
      <c r="AEJ252" t="s">
        <v>225</v>
      </c>
      <c r="AEK252">
        <v>47</v>
      </c>
      <c r="AEL252" s="16">
        <v>72.3</v>
      </c>
      <c r="AEM252" s="16">
        <v>80.400000000000006</v>
      </c>
      <c r="AEN252" s="16">
        <v>18</v>
      </c>
      <c r="AEO252">
        <v>70.55</v>
      </c>
      <c r="AEP252">
        <v>6.81</v>
      </c>
      <c r="AEQ252">
        <v>3.09</v>
      </c>
      <c r="AER252">
        <v>0</v>
      </c>
      <c r="AES252">
        <v>19.55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18.07</v>
      </c>
      <c r="AFB252">
        <v>30.57</v>
      </c>
      <c r="AFC252">
        <v>7.61</v>
      </c>
      <c r="AFD252">
        <v>0</v>
      </c>
      <c r="AFE252">
        <v>14</v>
      </c>
      <c r="AFF252">
        <v>2</v>
      </c>
      <c r="AFG252">
        <v>5</v>
      </c>
      <c r="AFH252">
        <v>4.47</v>
      </c>
      <c r="AFJ252">
        <v>7</v>
      </c>
      <c r="AFK252">
        <v>5.15</v>
      </c>
      <c r="AFM252">
        <v>5</v>
      </c>
      <c r="AFN252">
        <v>4.47</v>
      </c>
      <c r="AFP252">
        <v>7</v>
      </c>
      <c r="AFQ252">
        <v>5.15</v>
      </c>
      <c r="AFS252">
        <v>0</v>
      </c>
      <c r="AFT252">
        <v>0</v>
      </c>
      <c r="AGE252" s="18"/>
      <c r="AGW252">
        <v>0</v>
      </c>
      <c r="AIH252" s="16">
        <v>4.21</v>
      </c>
      <c r="AII252" s="16">
        <v>1</v>
      </c>
      <c r="AIJ252" s="16">
        <v>2</v>
      </c>
      <c r="AIK252" s="16"/>
      <c r="AIL252" s="16">
        <f>7.46+1.59+0.6</f>
        <v>9.65</v>
      </c>
      <c r="AIM252" s="16"/>
      <c r="AIN252" s="16"/>
      <c r="AIO252" s="16"/>
      <c r="AIP252" s="16"/>
      <c r="AIQ252" s="16"/>
      <c r="AIR252" s="16"/>
      <c r="AIS252" s="16">
        <v>10.63</v>
      </c>
      <c r="AIT252" s="16">
        <v>36.380000000000003</v>
      </c>
      <c r="AIU252" s="16"/>
      <c r="AIV252" s="16"/>
      <c r="AIW252" s="16">
        <v>0</v>
      </c>
      <c r="AIX252" s="16">
        <v>0</v>
      </c>
      <c r="AIY252" s="16">
        <v>0</v>
      </c>
      <c r="AIZ252">
        <v>0</v>
      </c>
      <c r="AJA252" t="s">
        <v>226</v>
      </c>
      <c r="AJB252">
        <v>19</v>
      </c>
      <c r="AJC252" s="16">
        <v>82.6</v>
      </c>
      <c r="AJD252" s="16">
        <v>80.400000000000006</v>
      </c>
      <c r="AJE252" s="16">
        <v>7.7</v>
      </c>
      <c r="AJF252">
        <v>86.83</v>
      </c>
      <c r="AJG252">
        <v>12.69</v>
      </c>
      <c r="AJH252">
        <v>0</v>
      </c>
      <c r="AJI252">
        <v>0</v>
      </c>
      <c r="AJJ252">
        <v>0.48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7.16</v>
      </c>
      <c r="AJS252">
        <v>10.76</v>
      </c>
      <c r="AJT252">
        <v>0</v>
      </c>
      <c r="AJU252">
        <v>0</v>
      </c>
      <c r="AJV252">
        <v>3.4</v>
      </c>
      <c r="AJW252">
        <v>2</v>
      </c>
      <c r="AJX252">
        <v>11.9</v>
      </c>
      <c r="AJY252">
        <v>0.48</v>
      </c>
      <c r="AKD252">
        <v>11.9</v>
      </c>
      <c r="AKE252">
        <v>0.48</v>
      </c>
      <c r="AKJ252">
        <v>0</v>
      </c>
      <c r="AKK252">
        <v>1</v>
      </c>
      <c r="AKL252">
        <v>34</v>
      </c>
      <c r="AKM252">
        <v>2</v>
      </c>
      <c r="AKN252">
        <f>0.84*2</f>
        <v>1.68</v>
      </c>
      <c r="AKO252">
        <v>1</v>
      </c>
      <c r="AKV252" s="18"/>
      <c r="ALN252">
        <v>0</v>
      </c>
    </row>
    <row r="253" spans="1:1024" s="24" customFormat="1" x14ac:dyDescent="0.2">
      <c r="A253" s="22" t="s">
        <v>772</v>
      </c>
      <c r="B253" s="23">
        <v>42893</v>
      </c>
      <c r="C253" s="24">
        <v>2</v>
      </c>
      <c r="D253" s="25">
        <v>37627</v>
      </c>
      <c r="E253" s="23">
        <v>27194</v>
      </c>
      <c r="F253" s="14">
        <f t="shared" si="62"/>
        <v>42.98151950718686</v>
      </c>
      <c r="G253" s="14">
        <f t="shared" si="63"/>
        <v>14.417522245037645</v>
      </c>
      <c r="H253" s="26" t="s">
        <v>181</v>
      </c>
      <c r="I253" s="21" t="s">
        <v>283</v>
      </c>
      <c r="J253" s="21" t="s">
        <v>183</v>
      </c>
      <c r="K253" s="21">
        <v>4</v>
      </c>
      <c r="L253" s="26">
        <v>80</v>
      </c>
      <c r="M253" s="24">
        <v>1.75</v>
      </c>
      <c r="N253" s="27">
        <f t="shared" si="64"/>
        <v>26.122448979591837</v>
      </c>
      <c r="O253" s="26">
        <v>0</v>
      </c>
      <c r="P253" s="26">
        <v>0</v>
      </c>
      <c r="Q253" s="26">
        <v>0</v>
      </c>
      <c r="R253" s="26">
        <v>0</v>
      </c>
      <c r="S253" s="26">
        <v>0</v>
      </c>
      <c r="T253" s="26">
        <v>0</v>
      </c>
      <c r="U253" s="26">
        <v>0</v>
      </c>
      <c r="V253" s="26">
        <v>0</v>
      </c>
      <c r="W253" s="26"/>
      <c r="X253" s="26"/>
      <c r="Y253" s="26">
        <v>0</v>
      </c>
      <c r="Z253" s="26">
        <v>0</v>
      </c>
      <c r="AA253" s="26">
        <v>0</v>
      </c>
      <c r="AB253" s="26">
        <v>0</v>
      </c>
      <c r="AC253" s="26">
        <v>1</v>
      </c>
      <c r="AD253" s="26">
        <v>10</v>
      </c>
      <c r="AE253" s="26">
        <v>0</v>
      </c>
      <c r="AF253" s="26">
        <v>0</v>
      </c>
      <c r="AG253" s="26">
        <v>0</v>
      </c>
      <c r="AH253" s="26">
        <v>0</v>
      </c>
      <c r="AI253" s="26">
        <v>0</v>
      </c>
      <c r="AJ253" s="26">
        <v>0</v>
      </c>
      <c r="AK253" s="26">
        <v>0</v>
      </c>
      <c r="AL253" s="26">
        <v>0</v>
      </c>
      <c r="AM253" s="26">
        <v>0</v>
      </c>
      <c r="AN253" s="26">
        <v>3</v>
      </c>
      <c r="AO253" s="26">
        <v>0</v>
      </c>
      <c r="AP253" s="26">
        <v>0</v>
      </c>
      <c r="AQ253" s="26">
        <v>0</v>
      </c>
      <c r="AR253" s="26">
        <v>0</v>
      </c>
      <c r="AS253" s="26">
        <v>1</v>
      </c>
      <c r="AT253" s="26">
        <v>0</v>
      </c>
      <c r="AU253" s="26">
        <v>0</v>
      </c>
      <c r="AV253" s="26">
        <v>0</v>
      </c>
      <c r="AW253" s="26">
        <v>0</v>
      </c>
      <c r="AX253" s="26">
        <v>0</v>
      </c>
      <c r="AY253" s="26">
        <v>0</v>
      </c>
      <c r="AZ253" s="26">
        <v>0</v>
      </c>
      <c r="BA253" s="26">
        <v>0</v>
      </c>
      <c r="BB253" s="26">
        <v>1</v>
      </c>
      <c r="BC253" s="26">
        <v>0</v>
      </c>
      <c r="BD253" s="26">
        <v>0</v>
      </c>
      <c r="BE253" s="26">
        <v>0</v>
      </c>
      <c r="BF253" s="26">
        <v>0</v>
      </c>
      <c r="BG253" s="26">
        <v>0</v>
      </c>
      <c r="BH253" s="26">
        <v>0</v>
      </c>
      <c r="BI253" s="26">
        <v>0</v>
      </c>
      <c r="BJ253" s="26">
        <v>1</v>
      </c>
      <c r="BK253" s="26">
        <v>0</v>
      </c>
      <c r="BL253" s="26">
        <v>0</v>
      </c>
      <c r="BM253" s="26">
        <v>0</v>
      </c>
      <c r="BN253" s="26">
        <v>0</v>
      </c>
      <c r="BO253" s="26">
        <v>0</v>
      </c>
      <c r="BP253" s="26">
        <v>0</v>
      </c>
      <c r="BQ253" s="26">
        <v>0</v>
      </c>
      <c r="BR253" s="26"/>
      <c r="BS253" s="26">
        <v>3</v>
      </c>
      <c r="BT253" s="26">
        <v>5</v>
      </c>
      <c r="BU253" s="26">
        <v>5</v>
      </c>
      <c r="BV253" s="26">
        <v>3</v>
      </c>
      <c r="BW253" s="26">
        <v>3</v>
      </c>
      <c r="BX253" s="26">
        <v>3</v>
      </c>
      <c r="BY253" s="26">
        <v>3</v>
      </c>
      <c r="BZ253" s="26">
        <v>3</v>
      </c>
      <c r="CA253" s="26">
        <v>3</v>
      </c>
      <c r="CB253" s="26">
        <v>4</v>
      </c>
      <c r="CC253" s="26">
        <v>5</v>
      </c>
      <c r="CD253" s="26">
        <v>3</v>
      </c>
      <c r="CE253" s="26">
        <v>4</v>
      </c>
      <c r="CF253" s="26">
        <v>5</v>
      </c>
      <c r="CG253" s="26">
        <v>5</v>
      </c>
      <c r="CH253" s="26">
        <v>5</v>
      </c>
      <c r="CI253" s="26">
        <v>5</v>
      </c>
      <c r="CJ253" s="26">
        <v>4</v>
      </c>
      <c r="CK253" s="26">
        <v>9</v>
      </c>
      <c r="CL253" s="24" t="s">
        <v>286</v>
      </c>
      <c r="CM253" s="24">
        <v>95.5</v>
      </c>
      <c r="CN253" s="27">
        <v>99.1</v>
      </c>
      <c r="CO253" s="27">
        <v>80.400000000000006</v>
      </c>
      <c r="CP253" s="27">
        <v>90.4</v>
      </c>
      <c r="CQ253" s="24">
        <v>24.15</v>
      </c>
      <c r="CR253" s="29">
        <v>0</v>
      </c>
      <c r="CS253" s="24">
        <v>31.26</v>
      </c>
      <c r="CT253" s="24">
        <v>44.6</v>
      </c>
      <c r="CU253" s="24">
        <v>0</v>
      </c>
      <c r="CV253" s="24">
        <v>0</v>
      </c>
      <c r="CW253" s="24">
        <v>0</v>
      </c>
      <c r="CX253" s="24">
        <v>0</v>
      </c>
      <c r="CY253" s="24">
        <v>0</v>
      </c>
      <c r="CZ253" s="24">
        <v>0</v>
      </c>
      <c r="DA253" s="24">
        <v>0</v>
      </c>
      <c r="DB253" s="24">
        <v>0</v>
      </c>
      <c r="DC253" s="24">
        <v>0</v>
      </c>
      <c r="DD253" s="24">
        <v>24.75</v>
      </c>
      <c r="DE253" s="24">
        <v>2.4700000000000002</v>
      </c>
      <c r="DF253" s="24">
        <v>0</v>
      </c>
      <c r="DG253" s="24">
        <v>0</v>
      </c>
      <c r="DH253" s="24">
        <v>0</v>
      </c>
      <c r="DU253" s="24">
        <v>0.2</v>
      </c>
      <c r="DV253" s="24">
        <v>1</v>
      </c>
      <c r="DW253" s="24">
        <v>34</v>
      </c>
      <c r="DX253" s="24">
        <v>16</v>
      </c>
      <c r="DY253" s="24">
        <f>6.09+1.07</f>
        <v>7.16</v>
      </c>
      <c r="DZ253" s="24">
        <v>1</v>
      </c>
      <c r="EA253" s="24">
        <v>68</v>
      </c>
      <c r="EB253" s="24">
        <v>1</v>
      </c>
      <c r="EC253" s="24">
        <v>0.13</v>
      </c>
      <c r="ED253" s="24">
        <v>1</v>
      </c>
      <c r="EG253" s="28"/>
      <c r="EY253" s="24">
        <v>0</v>
      </c>
      <c r="GJ253" s="27">
        <v>0.63</v>
      </c>
      <c r="GK253" s="27">
        <v>1</v>
      </c>
      <c r="GL253" s="27">
        <v>1</v>
      </c>
      <c r="GM253" s="27"/>
      <c r="GN253" s="27">
        <v>1.52</v>
      </c>
      <c r="GO253" s="27"/>
      <c r="GP253" s="27"/>
      <c r="GQ253" s="27"/>
      <c r="GR253" s="27"/>
      <c r="GS253" s="27"/>
      <c r="GT253" s="27"/>
      <c r="GU253" s="27">
        <v>0</v>
      </c>
      <c r="GV253" s="27">
        <v>0</v>
      </c>
      <c r="GW253" s="27"/>
      <c r="GX253" s="27"/>
      <c r="GY253" s="27">
        <v>0</v>
      </c>
      <c r="GZ253" s="27">
        <v>0</v>
      </c>
      <c r="HA253" s="27">
        <v>0</v>
      </c>
      <c r="HB253" s="24">
        <v>0</v>
      </c>
      <c r="HC253" s="24" t="s">
        <v>287</v>
      </c>
      <c r="HD253" s="24">
        <v>61.5</v>
      </c>
      <c r="HE253" s="27">
        <v>83.5</v>
      </c>
      <c r="HF253" s="27">
        <v>80.400000000000006</v>
      </c>
      <c r="HG253" s="27">
        <v>56.1</v>
      </c>
      <c r="HH253" s="24">
        <v>51.73</v>
      </c>
      <c r="HI253" s="29">
        <v>0</v>
      </c>
      <c r="HJ253" s="24">
        <v>30.08</v>
      </c>
      <c r="HK253" s="24">
        <v>18.190000000000001</v>
      </c>
      <c r="HL253" s="24">
        <v>0</v>
      </c>
      <c r="HM253" s="24">
        <v>0</v>
      </c>
      <c r="HN253" s="24">
        <v>0</v>
      </c>
      <c r="HO253" s="24">
        <v>0</v>
      </c>
      <c r="HP253" s="24">
        <v>0</v>
      </c>
      <c r="HQ253" s="24">
        <v>0</v>
      </c>
      <c r="HR253" s="24">
        <v>0</v>
      </c>
      <c r="HS253" s="24">
        <v>0</v>
      </c>
      <c r="HT253" s="24">
        <v>0.3</v>
      </c>
      <c r="HU253" s="24">
        <v>27.59</v>
      </c>
      <c r="HV253" s="24">
        <v>0</v>
      </c>
      <c r="HW253" s="24">
        <v>0</v>
      </c>
      <c r="HX253" s="24">
        <v>0</v>
      </c>
      <c r="HY253" s="24">
        <v>0</v>
      </c>
      <c r="IL253" s="24">
        <v>0</v>
      </c>
      <c r="IM253" s="24">
        <v>0</v>
      </c>
      <c r="IX253" s="28"/>
      <c r="JP253" s="24">
        <v>0</v>
      </c>
      <c r="LA253" s="27">
        <v>1.96</v>
      </c>
      <c r="LB253" s="27">
        <v>1</v>
      </c>
      <c r="LC253" s="27">
        <v>1</v>
      </c>
      <c r="LD253" s="27"/>
      <c r="LE253" s="27">
        <f>5.53+3.68+1.71+1.12+0.74</f>
        <v>12.780000000000003</v>
      </c>
      <c r="LF253" s="27"/>
      <c r="LG253" s="27"/>
      <c r="LH253" s="27"/>
      <c r="LI253" s="27"/>
      <c r="LJ253" s="27"/>
      <c r="LK253" s="27"/>
      <c r="LL253" s="27">
        <v>0.94</v>
      </c>
      <c r="LM253" s="27">
        <v>0.94</v>
      </c>
      <c r="LN253" s="27"/>
      <c r="LO253" s="27"/>
      <c r="LP253" s="27">
        <v>0</v>
      </c>
      <c r="LQ253" s="27">
        <v>0</v>
      </c>
      <c r="LR253" s="27">
        <v>0</v>
      </c>
      <c r="LS253" s="24">
        <v>0</v>
      </c>
      <c r="LT253" s="24" t="s">
        <v>289</v>
      </c>
      <c r="LU253" s="24">
        <v>44</v>
      </c>
      <c r="LV253" s="27">
        <v>69.900000000000006</v>
      </c>
      <c r="LW253" s="27">
        <v>80.400000000000006</v>
      </c>
      <c r="LX253" s="27">
        <v>41</v>
      </c>
      <c r="LY253" s="24">
        <v>68.16</v>
      </c>
      <c r="LZ253" s="29">
        <v>0</v>
      </c>
      <c r="MA253" s="24">
        <v>11.52</v>
      </c>
      <c r="MB253" s="24">
        <v>20.32</v>
      </c>
      <c r="MC253" s="24">
        <v>0</v>
      </c>
      <c r="MD253" s="24">
        <v>0</v>
      </c>
      <c r="ME253" s="24">
        <v>0</v>
      </c>
      <c r="MF253" s="24">
        <v>0</v>
      </c>
      <c r="MG253" s="24">
        <v>0</v>
      </c>
      <c r="MH253" s="24">
        <v>0</v>
      </c>
      <c r="MI253" s="24">
        <v>0</v>
      </c>
      <c r="MJ253" s="24">
        <v>0</v>
      </c>
      <c r="MK253" s="24">
        <v>13.13</v>
      </c>
      <c r="ML253" s="24">
        <v>8.66</v>
      </c>
      <c r="MM253" s="24">
        <v>0</v>
      </c>
      <c r="MN253" s="24">
        <v>0</v>
      </c>
      <c r="MO253" s="24">
        <v>0</v>
      </c>
      <c r="MP253" s="24">
        <v>0</v>
      </c>
      <c r="NC253" s="24">
        <v>1.5</v>
      </c>
      <c r="ND253" s="24">
        <v>1</v>
      </c>
      <c r="NE253" s="24">
        <v>47</v>
      </c>
      <c r="NF253" s="24">
        <v>5</v>
      </c>
      <c r="NG253" s="24">
        <f>0.15+0.04</f>
        <v>0.19</v>
      </c>
      <c r="NH253" s="24">
        <v>3</v>
      </c>
      <c r="NI253" s="24">
        <v>25</v>
      </c>
      <c r="NJ253" s="24">
        <v>1</v>
      </c>
      <c r="NK253" s="24">
        <v>0.4</v>
      </c>
      <c r="NL253" s="24">
        <v>1</v>
      </c>
      <c r="NO253" s="28"/>
      <c r="OG253" s="24">
        <v>0</v>
      </c>
      <c r="PR253" s="27">
        <v>0.11</v>
      </c>
      <c r="PS253" s="27">
        <v>1</v>
      </c>
      <c r="PT253" s="27">
        <v>1</v>
      </c>
      <c r="PU253" s="27"/>
      <c r="PV253" s="27">
        <v>0.56000000000000005</v>
      </c>
      <c r="PW253" s="27"/>
      <c r="PX253" s="27"/>
      <c r="PY253" s="27"/>
      <c r="PZ253" s="27"/>
      <c r="QA253" s="27"/>
      <c r="QB253" s="27"/>
      <c r="QC253" s="27">
        <v>0</v>
      </c>
      <c r="QD253" s="27">
        <v>0</v>
      </c>
      <c r="QE253" s="27"/>
      <c r="QF253" s="27"/>
      <c r="QG253" s="27">
        <v>0</v>
      </c>
      <c r="QH253" s="27">
        <v>0</v>
      </c>
      <c r="QI253" s="27">
        <v>0</v>
      </c>
      <c r="QJ253" s="24">
        <v>0</v>
      </c>
      <c r="QK253" s="24">
        <v>56</v>
      </c>
      <c r="QL253" s="24">
        <v>26.5</v>
      </c>
      <c r="QM253" s="27">
        <v>66.099999999999994</v>
      </c>
      <c r="QN253" s="27">
        <v>80.400000000000006</v>
      </c>
      <c r="QO253" s="27">
        <v>15</v>
      </c>
      <c r="QP253" s="24">
        <v>89</v>
      </c>
      <c r="QQ253" s="29">
        <v>0</v>
      </c>
      <c r="QR253" s="24">
        <v>7.09</v>
      </c>
      <c r="QS253" s="24">
        <v>2.12</v>
      </c>
      <c r="QT253" s="24">
        <v>0</v>
      </c>
      <c r="QU253" s="24">
        <v>0</v>
      </c>
      <c r="QV253" s="24">
        <v>0</v>
      </c>
      <c r="QW253" s="24">
        <v>0</v>
      </c>
      <c r="QX253" s="24">
        <v>0</v>
      </c>
      <c r="QY253" s="24">
        <v>0</v>
      </c>
      <c r="QZ253" s="24">
        <v>0</v>
      </c>
      <c r="RA253" s="24">
        <v>0</v>
      </c>
      <c r="RB253" s="24">
        <v>4.26</v>
      </c>
      <c r="RC253" s="24">
        <v>32.68</v>
      </c>
      <c r="RD253" s="24">
        <v>1.91</v>
      </c>
      <c r="RE253" s="24">
        <v>0</v>
      </c>
      <c r="RF253" s="24">
        <v>0</v>
      </c>
      <c r="RG253" s="24">
        <v>0</v>
      </c>
      <c r="RT253" s="24">
        <v>0</v>
      </c>
      <c r="RU253" s="24">
        <v>0</v>
      </c>
      <c r="SF253" s="28"/>
      <c r="SX253" s="24">
        <v>0</v>
      </c>
      <c r="UI253" s="27">
        <v>3.52</v>
      </c>
      <c r="UJ253" s="27">
        <v>1</v>
      </c>
      <c r="UK253" s="27">
        <v>1</v>
      </c>
      <c r="UL253" s="27"/>
      <c r="UM253" s="27">
        <f>3.13+3.17*4</f>
        <v>15.809999999999999</v>
      </c>
      <c r="UN253" s="27">
        <v>2</v>
      </c>
      <c r="UO253" s="27"/>
      <c r="UP253" s="27">
        <v>0.87</v>
      </c>
      <c r="UQ253" s="27"/>
      <c r="UR253" s="27"/>
      <c r="US253" s="27"/>
      <c r="UT253" s="27">
        <v>5.36</v>
      </c>
      <c r="UU253" s="27">
        <v>8.39</v>
      </c>
      <c r="UV253" s="27"/>
      <c r="UW253" s="27"/>
      <c r="UX253" s="27">
        <v>0</v>
      </c>
      <c r="UY253" s="27">
        <v>0</v>
      </c>
      <c r="UZ253" s="27">
        <v>0</v>
      </c>
      <c r="VA253" s="24">
        <v>0</v>
      </c>
      <c r="VB253" s="24" t="s">
        <v>291</v>
      </c>
      <c r="VC253" s="24">
        <v>35.5</v>
      </c>
      <c r="VD253" s="27">
        <v>84</v>
      </c>
      <c r="VE253" s="27">
        <v>80.400000000000006</v>
      </c>
      <c r="VF253" s="27">
        <v>10.5</v>
      </c>
      <c r="VG253" s="24">
        <v>95.42</v>
      </c>
      <c r="VH253" s="29">
        <v>0</v>
      </c>
      <c r="VI253" s="24">
        <v>4.58</v>
      </c>
      <c r="VJ253" s="24">
        <v>0</v>
      </c>
      <c r="VK253" s="24">
        <v>0</v>
      </c>
      <c r="VL253" s="24">
        <v>0</v>
      </c>
      <c r="VM253" s="24">
        <v>0</v>
      </c>
      <c r="VN253" s="24">
        <v>0</v>
      </c>
      <c r="VO253" s="24">
        <v>0</v>
      </c>
      <c r="VP253" s="24">
        <v>0</v>
      </c>
      <c r="VQ253" s="24">
        <v>0</v>
      </c>
      <c r="VR253" s="24">
        <v>0</v>
      </c>
      <c r="VS253" s="24">
        <v>17.829999999999998</v>
      </c>
      <c r="VT253" s="24">
        <v>40.99</v>
      </c>
      <c r="VU253" s="24">
        <v>9.34</v>
      </c>
      <c r="VV253" s="24">
        <v>0</v>
      </c>
      <c r="VW253" s="24">
        <v>0</v>
      </c>
      <c r="VX253" s="24">
        <v>0</v>
      </c>
      <c r="WK253" s="24">
        <v>4.4000000000000004</v>
      </c>
      <c r="WL253" s="24">
        <v>1</v>
      </c>
      <c r="WM253" s="24">
        <v>34</v>
      </c>
      <c r="WN253" s="24">
        <v>10</v>
      </c>
      <c r="WO253" s="24">
        <f>8.56+1.51</f>
        <v>10.07</v>
      </c>
      <c r="WP253" s="24">
        <v>1</v>
      </c>
      <c r="WQ253" s="24">
        <v>68</v>
      </c>
      <c r="WR253" s="24">
        <v>6</v>
      </c>
      <c r="WS253" s="24">
        <f>3.43+0.6</f>
        <v>4.03</v>
      </c>
      <c r="WT253" s="24">
        <v>1</v>
      </c>
      <c r="WW253" s="28"/>
      <c r="XO253" s="24">
        <v>0</v>
      </c>
      <c r="YZ253" s="27">
        <v>1.25</v>
      </c>
      <c r="ZA253" s="27">
        <v>1</v>
      </c>
      <c r="ZB253" s="27">
        <v>1</v>
      </c>
      <c r="ZC253" s="27"/>
      <c r="ZD253" s="27">
        <f>2.09+3.13</f>
        <v>5.22</v>
      </c>
      <c r="ZE253" s="27"/>
      <c r="ZF253" s="27"/>
      <c r="ZG253" s="27"/>
      <c r="ZH253" s="27"/>
      <c r="ZI253" s="27"/>
      <c r="ZJ253" s="27"/>
      <c r="ZK253" s="27">
        <v>15.75</v>
      </c>
      <c r="ZL253" s="27">
        <v>41.8</v>
      </c>
      <c r="ZM253" s="27"/>
      <c r="ZN253" s="27"/>
      <c r="ZO253" s="27">
        <v>0</v>
      </c>
      <c r="ZP253" s="27">
        <v>0</v>
      </c>
      <c r="ZQ253" s="27">
        <v>0</v>
      </c>
      <c r="ZR253" s="24">
        <v>0</v>
      </c>
      <c r="ZS253" s="24" t="s">
        <v>773</v>
      </c>
      <c r="ZT253" s="24">
        <v>36.5</v>
      </c>
      <c r="ZU253" s="27">
        <v>76.3</v>
      </c>
      <c r="ZV253" s="27">
        <v>80.400000000000006</v>
      </c>
      <c r="ZW253" s="27">
        <v>14.5</v>
      </c>
      <c r="ZX253" s="24">
        <v>91.16</v>
      </c>
      <c r="ZY253" s="29">
        <v>0</v>
      </c>
      <c r="ZZ253" s="24">
        <v>6.16</v>
      </c>
      <c r="AAA253" s="24">
        <v>2.69</v>
      </c>
      <c r="AAB253" s="24">
        <v>0</v>
      </c>
      <c r="AAC253" s="24">
        <v>0</v>
      </c>
      <c r="AAD253" s="24">
        <v>0</v>
      </c>
      <c r="AAE253" s="24">
        <v>0</v>
      </c>
      <c r="AAF253" s="24">
        <v>0</v>
      </c>
      <c r="AAG253" s="24">
        <v>0</v>
      </c>
      <c r="AAH253" s="24">
        <v>0</v>
      </c>
      <c r="AAI253" s="24">
        <v>0</v>
      </c>
      <c r="AAJ253" s="24">
        <v>15.05</v>
      </c>
      <c r="AAK253" s="24">
        <v>31.49</v>
      </c>
      <c r="AAL253" s="24">
        <v>9.19</v>
      </c>
      <c r="AAM253" s="24">
        <v>0</v>
      </c>
      <c r="AAN253" s="24">
        <v>0</v>
      </c>
      <c r="AAO253" s="24">
        <v>0</v>
      </c>
      <c r="ABB253" s="24">
        <v>4.4000000000000004</v>
      </c>
      <c r="ABC253" s="24">
        <v>1</v>
      </c>
      <c r="ABD253" s="24">
        <v>34</v>
      </c>
      <c r="ABE253" s="24">
        <v>10</v>
      </c>
      <c r="ABF253" s="24">
        <f>8.56+1.51</f>
        <v>10.07</v>
      </c>
      <c r="ABG253" s="24">
        <v>1</v>
      </c>
      <c r="ABH253" s="24">
        <v>68</v>
      </c>
      <c r="ABI253" s="24">
        <v>6</v>
      </c>
      <c r="ABJ253" s="24">
        <f>3.43+0.6</f>
        <v>4.03</v>
      </c>
      <c r="ABK253" s="24">
        <v>1</v>
      </c>
      <c r="ABN253" s="28"/>
      <c r="ACF253" s="24">
        <v>0</v>
      </c>
      <c r="ADQ253" s="27">
        <v>0</v>
      </c>
      <c r="ADR253" s="27">
        <v>0</v>
      </c>
      <c r="ADS253" s="27"/>
      <c r="ADT253" s="27"/>
      <c r="ADU253" s="27"/>
      <c r="ADV253" s="27"/>
      <c r="ADW253" s="27"/>
      <c r="ADX253" s="27"/>
      <c r="ADY253" s="27"/>
      <c r="ADZ253" s="27"/>
      <c r="AEA253" s="27"/>
      <c r="AEB253" s="27">
        <v>14.52</v>
      </c>
      <c r="AEC253" s="27">
        <v>36.5</v>
      </c>
      <c r="AED253" s="27"/>
      <c r="AEE253" s="27"/>
      <c r="AEF253" s="27">
        <v>0</v>
      </c>
      <c r="AEG253" s="27">
        <v>0</v>
      </c>
      <c r="AEH253" s="27">
        <v>0</v>
      </c>
      <c r="AEI253" s="24">
        <v>0</v>
      </c>
      <c r="AEJ253" s="24" t="s">
        <v>757</v>
      </c>
      <c r="AEK253" s="24">
        <v>36</v>
      </c>
      <c r="AEL253" s="27">
        <v>87.4</v>
      </c>
      <c r="AEM253" s="27">
        <v>80.400000000000006</v>
      </c>
      <c r="AEN253" s="27">
        <v>27.8</v>
      </c>
      <c r="AEO253" s="24">
        <v>71.12</v>
      </c>
      <c r="AEP253" s="29">
        <v>0</v>
      </c>
      <c r="AEQ253" s="24">
        <v>26.39</v>
      </c>
      <c r="AER253" s="24">
        <v>2.4900000000000002</v>
      </c>
      <c r="AES253" s="24">
        <v>0</v>
      </c>
      <c r="AET253" s="24">
        <v>0</v>
      </c>
      <c r="AEU253" s="24">
        <v>0</v>
      </c>
      <c r="AEV253" s="24">
        <v>0</v>
      </c>
      <c r="AEW253" s="24">
        <v>0</v>
      </c>
      <c r="AEX253" s="24">
        <v>0</v>
      </c>
      <c r="AEY253" s="24">
        <v>0</v>
      </c>
      <c r="AEZ253" s="24">
        <v>0</v>
      </c>
      <c r="AFA253" s="24">
        <v>49.1</v>
      </c>
      <c r="AFB253" s="24">
        <v>13.54</v>
      </c>
      <c r="AFC253" s="24">
        <v>0</v>
      </c>
      <c r="AFD253" s="24">
        <v>0</v>
      </c>
      <c r="AFE253" s="24">
        <v>0</v>
      </c>
      <c r="AFF253" s="24">
        <v>0</v>
      </c>
      <c r="AFS253" s="24">
        <v>2.4</v>
      </c>
      <c r="AFT253" s="24">
        <v>0</v>
      </c>
      <c r="AGE253" s="28"/>
      <c r="AGW253" s="24">
        <v>1</v>
      </c>
      <c r="AGX253" s="24">
        <v>70</v>
      </c>
      <c r="AGY253" s="24">
        <v>2</v>
      </c>
      <c r="AGZ253" s="24">
        <f>0.83*2</f>
        <v>1.66</v>
      </c>
      <c r="AHA253" s="24">
        <v>2</v>
      </c>
      <c r="AHB253" s="24">
        <v>90</v>
      </c>
      <c r="AHC253" s="24">
        <v>2</v>
      </c>
      <c r="AHD253" s="24">
        <f>0.41*2</f>
        <v>0.82</v>
      </c>
      <c r="AHE253" s="24">
        <v>1</v>
      </c>
      <c r="AIH253" s="27">
        <v>1.59</v>
      </c>
      <c r="AII253" s="27">
        <v>1</v>
      </c>
      <c r="AIJ253" s="27">
        <v>1</v>
      </c>
      <c r="AIK253" s="27"/>
      <c r="AIL253" s="27">
        <v>12.69</v>
      </c>
      <c r="AIM253" s="27"/>
      <c r="AIN253" s="27"/>
      <c r="AIO253" s="27"/>
      <c r="AIP253" s="27"/>
      <c r="AIQ253" s="27"/>
      <c r="AIR253" s="27"/>
      <c r="AIS253" s="27">
        <v>4.1900000000000004</v>
      </c>
      <c r="AIT253" s="27">
        <v>4.18</v>
      </c>
      <c r="AIU253" s="27"/>
      <c r="AIV253" s="27"/>
      <c r="AIW253" s="27">
        <v>0</v>
      </c>
      <c r="AIX253" s="27">
        <v>0</v>
      </c>
      <c r="AIY253" s="27">
        <v>0</v>
      </c>
      <c r="AIZ253" s="24">
        <v>0</v>
      </c>
      <c r="AJA253" s="21"/>
      <c r="AJB253" s="21"/>
      <c r="AJD253" s="33"/>
      <c r="AJE253" s="33"/>
      <c r="AJH253" s="33"/>
      <c r="AJI253" s="21"/>
      <c r="AJJ253" s="21"/>
      <c r="AJL253" s="33"/>
      <c r="AJM253" s="33"/>
      <c r="AJP253" s="33"/>
      <c r="AJQ253" s="21"/>
      <c r="AJR253" s="21"/>
      <c r="AJT253" s="33"/>
      <c r="AJU253" s="33"/>
      <c r="AJX253" s="33"/>
      <c r="AJY253" s="21"/>
      <c r="AJZ253" s="21"/>
      <c r="AKB253" s="33"/>
      <c r="AKC253" s="33"/>
      <c r="AKF253" s="33"/>
      <c r="AKG253" s="21"/>
      <c r="AKH253" s="21"/>
      <c r="AKJ253" s="33"/>
      <c r="AKK253" s="33"/>
      <c r="AKN253" s="33"/>
      <c r="AKO253" s="21"/>
      <c r="AKP253" s="21"/>
      <c r="AKR253" s="33"/>
      <c r="AKS253" s="33"/>
      <c r="AKV253" s="33"/>
      <c r="AKW253" s="21"/>
      <c r="AKX253" s="21"/>
      <c r="AKZ253" s="33"/>
      <c r="ALA253" s="33"/>
      <c r="ALD253" s="33"/>
      <c r="ALE253" s="21"/>
      <c r="ALF253" s="21"/>
      <c r="ALH253" s="33"/>
      <c r="ALI253" s="33"/>
      <c r="ALL253" s="33"/>
      <c r="ALM253" s="21"/>
      <c r="ALN253" s="21"/>
      <c r="ALP253" s="33"/>
      <c r="ALQ253" s="33"/>
      <c r="ALT253" s="33"/>
      <c r="ALU253" s="21"/>
      <c r="ALV253" s="21"/>
      <c r="ALX253" s="33"/>
      <c r="ALY253" s="33"/>
      <c r="AMB253" s="33"/>
      <c r="AMC253" s="21"/>
      <c r="AMD253" s="21"/>
      <c r="AMF253" s="33"/>
      <c r="AMG253" s="33"/>
      <c r="AMJ253" s="33"/>
    </row>
    <row r="254" spans="1:1024" x14ac:dyDescent="0.2">
      <c r="A254" s="22" t="s">
        <v>774</v>
      </c>
      <c r="B254" s="23">
        <v>42894</v>
      </c>
      <c r="C254" s="24">
        <v>2</v>
      </c>
      <c r="D254" s="25">
        <v>42786</v>
      </c>
      <c r="E254" s="23">
        <v>34380</v>
      </c>
      <c r="F254" s="14">
        <f t="shared" si="62"/>
        <v>23.310061601642712</v>
      </c>
      <c r="G254" s="14">
        <f t="shared" si="63"/>
        <v>0.29568788501026694</v>
      </c>
      <c r="H254" s="26" t="s">
        <v>181</v>
      </c>
      <c r="I254" s="21" t="s">
        <v>283</v>
      </c>
      <c r="J254" s="21" t="s">
        <v>183</v>
      </c>
      <c r="K254" s="21">
        <v>8</v>
      </c>
      <c r="L254" s="26">
        <v>76</v>
      </c>
      <c r="M254" s="24">
        <v>1.8</v>
      </c>
      <c r="N254" s="27">
        <f t="shared" si="64"/>
        <v>23.456790123456788</v>
      </c>
      <c r="O254" s="26">
        <v>0</v>
      </c>
      <c r="P254" s="26">
        <v>0</v>
      </c>
      <c r="Q254" s="26">
        <v>0</v>
      </c>
      <c r="R254" s="26">
        <v>0</v>
      </c>
      <c r="S254" s="26">
        <v>0</v>
      </c>
      <c r="T254" s="26">
        <v>0</v>
      </c>
      <c r="U254" s="26">
        <v>0</v>
      </c>
      <c r="V254" s="26">
        <v>0</v>
      </c>
      <c r="W254" s="26">
        <v>0</v>
      </c>
      <c r="X254" s="26">
        <v>0</v>
      </c>
      <c r="Y254" s="26">
        <v>0</v>
      </c>
      <c r="Z254" s="26">
        <v>0</v>
      </c>
      <c r="AA254" s="26">
        <v>0</v>
      </c>
      <c r="AB254" s="26">
        <v>0</v>
      </c>
      <c r="AC254" s="26">
        <v>0</v>
      </c>
      <c r="AD254" s="26">
        <v>0</v>
      </c>
      <c r="AE254" s="26">
        <v>0</v>
      </c>
      <c r="AF254" s="26">
        <v>0</v>
      </c>
      <c r="AG254" s="26">
        <v>0</v>
      </c>
      <c r="AH254" s="26">
        <v>0</v>
      </c>
      <c r="AI254" s="26">
        <v>0</v>
      </c>
      <c r="AJ254" s="26">
        <v>0</v>
      </c>
      <c r="AK254" s="26">
        <v>0</v>
      </c>
      <c r="AL254" s="26">
        <v>0</v>
      </c>
      <c r="AM254" s="26">
        <v>0</v>
      </c>
      <c r="AN254" s="26">
        <v>0</v>
      </c>
      <c r="AO254" s="26">
        <v>0</v>
      </c>
      <c r="AP254" s="26">
        <v>0</v>
      </c>
      <c r="AQ254" s="26">
        <v>0</v>
      </c>
      <c r="AR254" s="26">
        <v>0</v>
      </c>
      <c r="AS254" s="26">
        <v>0</v>
      </c>
      <c r="AT254" s="26">
        <v>0</v>
      </c>
      <c r="AU254" s="26">
        <v>0</v>
      </c>
      <c r="AV254" s="26">
        <v>0</v>
      </c>
      <c r="AW254" s="26">
        <v>0</v>
      </c>
      <c r="AX254" s="26">
        <v>0</v>
      </c>
      <c r="AY254" s="26">
        <v>0</v>
      </c>
      <c r="AZ254" s="26">
        <v>0</v>
      </c>
      <c r="BA254" s="26">
        <v>0</v>
      </c>
      <c r="BB254" s="26">
        <v>0</v>
      </c>
      <c r="BC254" s="26">
        <v>0</v>
      </c>
      <c r="BD254" s="26">
        <v>0</v>
      </c>
      <c r="BE254" s="26">
        <v>0</v>
      </c>
      <c r="BF254" s="26">
        <v>0</v>
      </c>
      <c r="BG254" s="26">
        <v>0</v>
      </c>
      <c r="BH254" s="26">
        <v>0</v>
      </c>
      <c r="BI254" s="26">
        <v>0</v>
      </c>
      <c r="BJ254" s="26">
        <v>0</v>
      </c>
      <c r="BK254" s="26">
        <v>0</v>
      </c>
      <c r="BL254" s="26">
        <v>0</v>
      </c>
      <c r="BM254" s="26">
        <v>0</v>
      </c>
      <c r="BN254" s="26">
        <v>0</v>
      </c>
      <c r="BO254" s="26">
        <v>0</v>
      </c>
      <c r="BP254" s="26">
        <v>0</v>
      </c>
      <c r="BQ254" s="26">
        <v>0</v>
      </c>
      <c r="BR254" s="26">
        <v>3</v>
      </c>
      <c r="BS254" s="26">
        <v>2</v>
      </c>
      <c r="BT254" s="26">
        <v>2</v>
      </c>
      <c r="BU254" s="26">
        <v>4</v>
      </c>
      <c r="BV254" s="26">
        <v>2</v>
      </c>
      <c r="BW254" s="26">
        <v>1</v>
      </c>
      <c r="BX254" s="26">
        <v>3</v>
      </c>
      <c r="BY254" s="26">
        <v>2</v>
      </c>
      <c r="BZ254" s="26">
        <v>3</v>
      </c>
      <c r="CA254" s="26">
        <v>3</v>
      </c>
      <c r="CB254" s="26">
        <v>3</v>
      </c>
      <c r="CC254" s="26">
        <v>3</v>
      </c>
      <c r="CD254" s="26">
        <v>2</v>
      </c>
      <c r="CE254" s="26">
        <v>4</v>
      </c>
      <c r="CF254" s="26">
        <v>3</v>
      </c>
      <c r="CG254" s="26">
        <v>4</v>
      </c>
      <c r="CH254" s="26">
        <v>3</v>
      </c>
      <c r="CI254" s="26">
        <v>3</v>
      </c>
      <c r="CJ254" s="26">
        <v>4</v>
      </c>
      <c r="CK254" s="26">
        <v>7</v>
      </c>
      <c r="CL254" s="24" t="s">
        <v>286</v>
      </c>
      <c r="CM254" s="24">
        <v>95.5</v>
      </c>
      <c r="CN254" s="27">
        <v>99.1</v>
      </c>
      <c r="CO254" s="27">
        <v>80.400000000000006</v>
      </c>
      <c r="CP254" s="27">
        <v>90.4</v>
      </c>
      <c r="CQ254" s="24">
        <v>24.15</v>
      </c>
      <c r="CR254" s="29">
        <v>0</v>
      </c>
      <c r="CS254" s="24">
        <v>31.26</v>
      </c>
      <c r="CT254" s="24">
        <v>44.6</v>
      </c>
      <c r="CU254" s="24">
        <v>0</v>
      </c>
      <c r="CV254" s="24">
        <v>0</v>
      </c>
      <c r="CW254" s="24">
        <v>0</v>
      </c>
      <c r="CX254" s="24">
        <v>0</v>
      </c>
      <c r="CY254" s="24">
        <v>0</v>
      </c>
      <c r="CZ254" s="24">
        <v>0</v>
      </c>
      <c r="DA254" s="24">
        <v>0</v>
      </c>
      <c r="DB254" s="24">
        <v>0</v>
      </c>
      <c r="DC254" s="24">
        <v>0</v>
      </c>
      <c r="DD254" s="24">
        <v>24.75</v>
      </c>
      <c r="DE254" s="24">
        <v>2.4700000000000002</v>
      </c>
      <c r="DF254" s="24">
        <v>0</v>
      </c>
      <c r="DG254" s="24">
        <v>0</v>
      </c>
      <c r="DH254" s="24">
        <v>0</v>
      </c>
      <c r="DI254" s="24"/>
      <c r="DJ254" s="24"/>
      <c r="DK254" s="24"/>
      <c r="DL254" s="24"/>
      <c r="DM254" s="24"/>
      <c r="DN254" s="24"/>
      <c r="DO254" s="24"/>
      <c r="DP254" s="24"/>
      <c r="DQ254" s="24"/>
      <c r="DR254" s="24"/>
      <c r="DS254" s="24"/>
      <c r="DT254" s="24"/>
      <c r="DU254" s="24">
        <v>0.2</v>
      </c>
      <c r="DV254" s="24">
        <v>1</v>
      </c>
      <c r="DW254" s="24">
        <v>34</v>
      </c>
      <c r="DX254" s="24">
        <v>16</v>
      </c>
      <c r="DY254" s="24">
        <f>6.09+1.07</f>
        <v>7.16</v>
      </c>
      <c r="DZ254" s="24">
        <v>1</v>
      </c>
      <c r="EA254" s="24">
        <v>68</v>
      </c>
      <c r="EB254" s="24">
        <v>1</v>
      </c>
      <c r="EC254" s="24">
        <v>0.13</v>
      </c>
      <c r="ED254" s="24">
        <v>1</v>
      </c>
      <c r="EE254" s="24"/>
      <c r="EF254" s="24"/>
      <c r="EG254" s="28"/>
      <c r="EH254" s="24"/>
      <c r="EI254" s="24"/>
      <c r="EJ254" s="24"/>
      <c r="EK254" s="24"/>
      <c r="EL254" s="24"/>
      <c r="EM254" s="24"/>
      <c r="EN254" s="24"/>
      <c r="EO254" s="24"/>
      <c r="EP254" s="24"/>
      <c r="EQ254" s="24"/>
      <c r="ER254" s="24"/>
      <c r="ES254" s="24"/>
      <c r="ET254" s="24"/>
      <c r="EU254" s="24"/>
      <c r="EV254" s="24"/>
      <c r="EW254" s="24"/>
      <c r="EX254" s="24"/>
      <c r="EY254" s="24">
        <v>0</v>
      </c>
      <c r="EZ254" s="24"/>
      <c r="FA254" s="24"/>
      <c r="FB254" s="24"/>
      <c r="FC254" s="24"/>
      <c r="FD254" s="24"/>
      <c r="FE254" s="24"/>
      <c r="FF254" s="24"/>
      <c r="FG254" s="24"/>
      <c r="FH254" s="24"/>
      <c r="FI254" s="24"/>
      <c r="FJ254" s="24"/>
      <c r="FK254" s="24"/>
      <c r="FL254" s="24"/>
      <c r="FM254" s="24"/>
      <c r="FN254" s="24"/>
      <c r="FO254" s="24"/>
      <c r="FP254" s="24"/>
      <c r="FQ254" s="24"/>
      <c r="FR254" s="24"/>
      <c r="FS254" s="24"/>
      <c r="FT254" s="24"/>
      <c r="FU254" s="24"/>
      <c r="FV254" s="24"/>
      <c r="FW254" s="24"/>
      <c r="FX254" s="24"/>
      <c r="FY254" s="24"/>
      <c r="FZ254" s="24"/>
      <c r="GA254" s="24"/>
      <c r="GB254" s="24"/>
      <c r="GC254" s="24"/>
      <c r="GD254" s="24"/>
      <c r="GE254" s="24"/>
      <c r="GF254" s="24"/>
      <c r="GG254" s="24"/>
      <c r="GH254" s="24"/>
      <c r="GI254" s="24"/>
      <c r="GJ254" s="27">
        <v>0.63</v>
      </c>
      <c r="GK254" s="27">
        <v>1</v>
      </c>
      <c r="GL254" s="27">
        <v>1</v>
      </c>
      <c r="GM254" s="27"/>
      <c r="GN254" s="27">
        <v>1.52</v>
      </c>
      <c r="GO254" s="27"/>
      <c r="GP254" s="27"/>
      <c r="GQ254" s="27"/>
      <c r="GR254" s="27"/>
      <c r="GS254" s="27"/>
      <c r="GT254" s="27"/>
      <c r="GU254" s="27">
        <v>0</v>
      </c>
      <c r="GV254" s="27">
        <v>0</v>
      </c>
      <c r="GW254" s="27"/>
      <c r="GX254" s="27"/>
      <c r="GY254" s="27">
        <v>0</v>
      </c>
      <c r="GZ254" s="27">
        <v>0</v>
      </c>
      <c r="HA254" s="27">
        <v>0</v>
      </c>
      <c r="HB254" s="24">
        <v>0</v>
      </c>
      <c r="HC254" s="24" t="s">
        <v>287</v>
      </c>
      <c r="HD254" s="24">
        <v>61.5</v>
      </c>
      <c r="HE254" s="27">
        <v>83.5</v>
      </c>
      <c r="HF254" s="27">
        <v>80.400000000000006</v>
      </c>
      <c r="HG254" s="27">
        <v>56.1</v>
      </c>
      <c r="HH254" s="24">
        <v>51.73</v>
      </c>
      <c r="HI254" s="29">
        <v>0</v>
      </c>
      <c r="HJ254" s="24">
        <v>30.08</v>
      </c>
      <c r="HK254" s="24">
        <v>18.190000000000001</v>
      </c>
      <c r="HL254" s="24">
        <v>0</v>
      </c>
      <c r="HM254" s="24">
        <v>0</v>
      </c>
      <c r="HN254" s="24">
        <v>0</v>
      </c>
      <c r="HO254" s="24">
        <v>0</v>
      </c>
      <c r="HP254" s="24">
        <v>0</v>
      </c>
      <c r="HQ254" s="24">
        <v>0</v>
      </c>
      <c r="HR254" s="24">
        <v>0</v>
      </c>
      <c r="HS254" s="24">
        <v>0</v>
      </c>
      <c r="HT254" s="24">
        <v>0.3</v>
      </c>
      <c r="HU254" s="24">
        <v>27.59</v>
      </c>
      <c r="HV254" s="24">
        <v>0</v>
      </c>
      <c r="HW254" s="24">
        <v>0</v>
      </c>
      <c r="HX254" s="24">
        <v>0</v>
      </c>
      <c r="HY254" s="24">
        <v>0</v>
      </c>
      <c r="HZ254" s="24"/>
      <c r="IA254" s="24"/>
      <c r="IB254" s="24"/>
      <c r="IC254" s="24"/>
      <c r="ID254" s="24"/>
      <c r="IE254" s="24"/>
      <c r="IF254" s="24"/>
      <c r="IG254" s="24"/>
      <c r="IH254" s="24"/>
      <c r="II254" s="24"/>
      <c r="IJ254" s="24"/>
      <c r="IK254" s="24"/>
      <c r="IL254" s="24">
        <v>0</v>
      </c>
      <c r="IM254" s="24">
        <v>0</v>
      </c>
      <c r="IN254" s="24"/>
      <c r="IO254" s="24"/>
      <c r="IP254" s="24"/>
      <c r="IQ254" s="24"/>
      <c r="IR254" s="24"/>
      <c r="IS254" s="24"/>
      <c r="IT254" s="24"/>
      <c r="IU254" s="24"/>
      <c r="IV254" s="24"/>
      <c r="IW254" s="24"/>
      <c r="IX254" s="28"/>
      <c r="IY254" s="24"/>
      <c r="IZ254" s="24"/>
      <c r="JA254" s="24"/>
      <c r="JB254" s="24"/>
      <c r="JC254" s="24"/>
      <c r="JD254" s="24"/>
      <c r="JE254" s="24"/>
      <c r="JF254" s="24"/>
      <c r="JG254" s="24"/>
      <c r="JH254" s="24"/>
      <c r="JI254" s="24"/>
      <c r="JJ254" s="24"/>
      <c r="JK254" s="24"/>
      <c r="JL254" s="24"/>
      <c r="JM254" s="24"/>
      <c r="JN254" s="24"/>
      <c r="JO254" s="24"/>
      <c r="JP254" s="24">
        <v>0</v>
      </c>
      <c r="JQ254" s="24"/>
      <c r="JR254" s="24"/>
      <c r="JS254" s="24"/>
      <c r="JT254" s="24"/>
      <c r="JU254" s="24"/>
      <c r="JV254" s="24"/>
      <c r="JW254" s="24"/>
      <c r="JX254" s="24"/>
      <c r="JY254" s="24"/>
      <c r="JZ254" s="24"/>
      <c r="KA254" s="24"/>
      <c r="KB254" s="24"/>
      <c r="KC254" s="24"/>
      <c r="KD254" s="24"/>
      <c r="KE254" s="24"/>
      <c r="KF254" s="24"/>
      <c r="KG254" s="24"/>
      <c r="KH254" s="24"/>
      <c r="KI254" s="24"/>
      <c r="KJ254" s="24"/>
      <c r="KK254" s="24"/>
      <c r="KL254" s="24"/>
      <c r="KM254" s="24"/>
      <c r="KN254" s="24"/>
      <c r="KO254" s="24"/>
      <c r="KP254" s="24"/>
      <c r="KQ254" s="24"/>
      <c r="KR254" s="24"/>
      <c r="KS254" s="24"/>
      <c r="KT254" s="24"/>
      <c r="KU254" s="24"/>
      <c r="KV254" s="24"/>
      <c r="KW254" s="24"/>
      <c r="KX254" s="24"/>
      <c r="KY254" s="24"/>
      <c r="KZ254" s="24"/>
      <c r="LA254" s="27">
        <v>1.96</v>
      </c>
      <c r="LB254" s="27">
        <v>1</v>
      </c>
      <c r="LC254" s="27">
        <v>1</v>
      </c>
      <c r="LD254" s="27"/>
      <c r="LE254" s="27">
        <f>5.53+3.68+1.71+1.12+0.74</f>
        <v>12.780000000000003</v>
      </c>
      <c r="LF254" s="27"/>
      <c r="LG254" s="27"/>
      <c r="LH254" s="27"/>
      <c r="LI254" s="27"/>
      <c r="LJ254" s="27"/>
      <c r="LK254" s="27"/>
      <c r="LL254" s="27">
        <v>0.94</v>
      </c>
      <c r="LM254" s="27">
        <v>0.94</v>
      </c>
      <c r="LN254" s="27"/>
      <c r="LO254" s="27"/>
      <c r="LP254" s="27">
        <v>0</v>
      </c>
      <c r="LQ254" s="27">
        <v>0</v>
      </c>
      <c r="LR254" s="27">
        <v>0</v>
      </c>
      <c r="LS254" s="24">
        <v>0</v>
      </c>
      <c r="LT254" s="24" t="s">
        <v>288</v>
      </c>
      <c r="LU254" s="24">
        <v>77.5</v>
      </c>
      <c r="LV254" s="27">
        <v>87.4</v>
      </c>
      <c r="LW254" s="27">
        <v>80.400000000000006</v>
      </c>
      <c r="LX254" s="27">
        <v>53.5</v>
      </c>
      <c r="LY254" s="24">
        <v>51.28</v>
      </c>
      <c r="LZ254" s="29">
        <v>0</v>
      </c>
      <c r="MA254" s="24">
        <v>27.27</v>
      </c>
      <c r="MB254" s="24">
        <v>21.22</v>
      </c>
      <c r="MC254" s="24">
        <v>0</v>
      </c>
      <c r="MD254" s="24">
        <v>0</v>
      </c>
      <c r="ME254" s="24">
        <v>0</v>
      </c>
      <c r="MF254" s="24">
        <v>0</v>
      </c>
      <c r="MG254" s="24">
        <v>0</v>
      </c>
      <c r="MH254" s="24">
        <v>0</v>
      </c>
      <c r="MI254" s="24">
        <v>0</v>
      </c>
      <c r="MJ254" s="24">
        <v>0</v>
      </c>
      <c r="MK254" s="24">
        <v>5.93</v>
      </c>
      <c r="ML254" s="24">
        <v>4.6100000000000003</v>
      </c>
      <c r="MM254" s="24">
        <v>5.38</v>
      </c>
      <c r="MN254" s="24">
        <v>0</v>
      </c>
      <c r="MO254" s="24">
        <v>15.4</v>
      </c>
      <c r="MP254" s="24">
        <v>1</v>
      </c>
      <c r="MQ254" s="24">
        <v>4</v>
      </c>
      <c r="MS254" s="24">
        <v>2</v>
      </c>
      <c r="MW254" s="24">
        <v>4</v>
      </c>
      <c r="MY254" s="24">
        <v>2</v>
      </c>
      <c r="NC254" s="24">
        <v>6.7</v>
      </c>
      <c r="ND254" s="24">
        <v>1</v>
      </c>
      <c r="NE254" s="24">
        <v>35</v>
      </c>
      <c r="NF254" s="24">
        <v>6</v>
      </c>
      <c r="NG254" s="24">
        <v>0.8</v>
      </c>
      <c r="NH254" s="24">
        <v>3</v>
      </c>
      <c r="NI254" s="24">
        <v>47</v>
      </c>
      <c r="NJ254" s="24">
        <v>1</v>
      </c>
      <c r="NK254" s="24">
        <v>0.13</v>
      </c>
      <c r="NL254" s="24">
        <v>3</v>
      </c>
      <c r="NO254" s="28"/>
      <c r="OG254" s="24">
        <v>1</v>
      </c>
      <c r="OH254" s="24">
        <v>60</v>
      </c>
      <c r="OI254" s="24">
        <v>3</v>
      </c>
      <c r="OJ254" s="24">
        <v>1.35</v>
      </c>
      <c r="OK254" s="24">
        <v>2</v>
      </c>
      <c r="PR254" s="27">
        <v>0</v>
      </c>
      <c r="PS254" s="27">
        <v>0</v>
      </c>
      <c r="PT254" s="27"/>
      <c r="PU254" s="27"/>
      <c r="PV254" s="27"/>
      <c r="PW254" s="27"/>
      <c r="PX254" s="27"/>
      <c r="PY254" s="27"/>
      <c r="PZ254" s="27"/>
      <c r="QA254" s="27"/>
      <c r="QB254" s="27"/>
      <c r="QC254" s="27">
        <v>0</v>
      </c>
      <c r="QD254" s="27">
        <v>0</v>
      </c>
      <c r="QE254" s="27"/>
      <c r="QF254" s="27"/>
      <c r="QG254" s="27">
        <v>0</v>
      </c>
      <c r="QH254" s="27">
        <v>0</v>
      </c>
      <c r="QI254" s="27">
        <v>0</v>
      </c>
      <c r="QJ254" s="24">
        <v>0</v>
      </c>
      <c r="QK254" s="24" t="s">
        <v>289</v>
      </c>
      <c r="QL254" s="24">
        <v>44</v>
      </c>
      <c r="QM254" s="27">
        <v>69.900000000000006</v>
      </c>
      <c r="QN254" s="27">
        <v>80.400000000000006</v>
      </c>
      <c r="QO254" s="27">
        <v>41</v>
      </c>
      <c r="QP254" s="24">
        <v>68.16</v>
      </c>
      <c r="QQ254" s="29">
        <v>0</v>
      </c>
      <c r="QR254" s="24">
        <v>11.52</v>
      </c>
      <c r="QS254" s="24">
        <v>20.32</v>
      </c>
      <c r="QT254" s="24">
        <v>0</v>
      </c>
      <c r="QU254" s="24">
        <v>0</v>
      </c>
      <c r="QV254" s="24">
        <v>0</v>
      </c>
      <c r="QW254" s="24">
        <v>0</v>
      </c>
      <c r="QX254" s="24">
        <v>0</v>
      </c>
      <c r="QY254" s="24">
        <v>0</v>
      </c>
      <c r="QZ254" s="24">
        <v>0</v>
      </c>
      <c r="RA254" s="24">
        <v>0</v>
      </c>
      <c r="RB254" s="24">
        <v>13.13</v>
      </c>
      <c r="RC254" s="24">
        <v>8.66</v>
      </c>
      <c r="RD254" s="24">
        <v>0</v>
      </c>
      <c r="RE254" s="24">
        <v>0</v>
      </c>
      <c r="RF254" s="24">
        <v>0</v>
      </c>
      <c r="RG254" s="24">
        <v>0</v>
      </c>
      <c r="RT254" s="24">
        <v>1.5</v>
      </c>
      <c r="RU254" s="24">
        <v>1</v>
      </c>
      <c r="RV254" s="24">
        <v>47</v>
      </c>
      <c r="RW254" s="24">
        <v>5</v>
      </c>
      <c r="RX254" s="24">
        <f>0.15+0.04</f>
        <v>0.19</v>
      </c>
      <c r="RY254" s="24">
        <v>3</v>
      </c>
      <c r="RZ254" s="24">
        <v>25</v>
      </c>
      <c r="SA254" s="24">
        <v>1</v>
      </c>
      <c r="SB254" s="24">
        <v>0.4</v>
      </c>
      <c r="SC254" s="24">
        <v>1</v>
      </c>
      <c r="SF254" s="28"/>
      <c r="SX254" s="24">
        <v>0</v>
      </c>
      <c r="UI254" s="27">
        <v>0.11</v>
      </c>
      <c r="UJ254" s="27">
        <v>1</v>
      </c>
      <c r="UK254" s="27">
        <v>1</v>
      </c>
      <c r="UL254" s="27"/>
      <c r="UM254" s="27">
        <v>0.56000000000000005</v>
      </c>
      <c r="UN254" s="27"/>
      <c r="UO254" s="27"/>
      <c r="UP254" s="27"/>
      <c r="UQ254" s="27"/>
      <c r="UR254" s="27"/>
      <c r="US254" s="27"/>
      <c r="UT254" s="27">
        <v>0</v>
      </c>
      <c r="UU254" s="27">
        <v>0</v>
      </c>
      <c r="UV254" s="27"/>
      <c r="UW254" s="27"/>
      <c r="UX254" s="27">
        <v>0</v>
      </c>
      <c r="UY254" s="27">
        <v>0</v>
      </c>
      <c r="UZ254" s="27">
        <v>0</v>
      </c>
      <c r="VA254" s="24">
        <v>0</v>
      </c>
      <c r="VB254" s="24" t="s">
        <v>290</v>
      </c>
      <c r="VC254" s="24">
        <v>43</v>
      </c>
      <c r="VD254" s="27">
        <v>49.3</v>
      </c>
      <c r="VE254" s="27">
        <v>80.400000000000006</v>
      </c>
      <c r="VF254" s="27">
        <v>32.9</v>
      </c>
      <c r="VG254" s="24">
        <v>73.52</v>
      </c>
      <c r="VH254" s="29">
        <v>0</v>
      </c>
      <c r="VI254" s="24">
        <v>16.84</v>
      </c>
      <c r="VJ254" s="24">
        <v>9.64</v>
      </c>
      <c r="VK254" s="24">
        <v>0</v>
      </c>
      <c r="VL254" s="24">
        <v>0</v>
      </c>
      <c r="VM254" s="24">
        <v>0</v>
      </c>
      <c r="VN254" s="24">
        <v>0</v>
      </c>
      <c r="VO254" s="24">
        <v>0</v>
      </c>
      <c r="VP254" s="24">
        <v>0</v>
      </c>
      <c r="VQ254" s="24">
        <v>0</v>
      </c>
      <c r="VR254" s="24">
        <v>0</v>
      </c>
      <c r="VS254" s="24">
        <v>13.52</v>
      </c>
      <c r="VT254" s="24">
        <v>3.69</v>
      </c>
      <c r="VU254" s="24">
        <v>3.85</v>
      </c>
      <c r="VV254" s="24">
        <v>0</v>
      </c>
      <c r="VW254" s="24">
        <v>0</v>
      </c>
      <c r="VX254" s="24">
        <v>0</v>
      </c>
      <c r="WK254" s="24">
        <v>7.4</v>
      </c>
      <c r="WL254" s="24">
        <v>1</v>
      </c>
      <c r="WM254" s="24">
        <v>47</v>
      </c>
      <c r="WN254" s="24">
        <v>11</v>
      </c>
      <c r="WO254" s="24">
        <f>2.09+0.15+0.04</f>
        <v>2.2799999999999998</v>
      </c>
      <c r="WP254" s="24">
        <v>3</v>
      </c>
      <c r="WW254" s="28"/>
      <c r="XO254" s="24">
        <v>0</v>
      </c>
      <c r="YZ254" s="27">
        <v>0.28000000000000003</v>
      </c>
      <c r="ZA254" s="27">
        <v>1</v>
      </c>
      <c r="ZB254" s="27">
        <v>1</v>
      </c>
      <c r="ZC254" s="27"/>
      <c r="ZD254" s="27">
        <v>0.56000000000000005</v>
      </c>
      <c r="ZE254" s="27"/>
      <c r="ZF254" s="27"/>
      <c r="ZG254" s="27"/>
      <c r="ZH254" s="27"/>
      <c r="ZI254" s="27"/>
      <c r="ZJ254" s="27"/>
      <c r="ZK254" s="27">
        <v>0.99</v>
      </c>
      <c r="ZL254" s="27">
        <v>0.39</v>
      </c>
      <c r="ZM254" s="27"/>
      <c r="ZN254" s="27"/>
      <c r="ZO254" s="27">
        <v>0</v>
      </c>
      <c r="ZP254" s="27">
        <v>0</v>
      </c>
      <c r="ZQ254" s="27">
        <v>0</v>
      </c>
      <c r="ZR254" s="24">
        <v>0</v>
      </c>
      <c r="ZS254" s="24">
        <v>56</v>
      </c>
      <c r="ZT254" s="24">
        <v>26.5</v>
      </c>
      <c r="ZU254" s="27">
        <v>66.099999999999994</v>
      </c>
      <c r="ZV254" s="27">
        <v>80.400000000000006</v>
      </c>
      <c r="ZW254" s="27">
        <v>15</v>
      </c>
      <c r="ZX254" s="24">
        <v>89</v>
      </c>
      <c r="ZY254" s="29">
        <v>0</v>
      </c>
      <c r="ZZ254" s="24">
        <v>7.09</v>
      </c>
      <c r="AAA254" s="24">
        <v>2.12</v>
      </c>
      <c r="AAB254" s="24">
        <v>0</v>
      </c>
      <c r="AAC254" s="24">
        <v>0</v>
      </c>
      <c r="AAD254" s="24">
        <v>0</v>
      </c>
      <c r="AAE254" s="24">
        <v>0</v>
      </c>
      <c r="AAF254" s="24">
        <v>0</v>
      </c>
      <c r="AAG254" s="24">
        <v>0</v>
      </c>
      <c r="AAH254" s="24">
        <v>0</v>
      </c>
      <c r="AAI254" s="24">
        <v>0</v>
      </c>
      <c r="AAJ254" s="24">
        <v>4.26</v>
      </c>
      <c r="AAK254" s="24">
        <v>32.68</v>
      </c>
      <c r="AAL254" s="24">
        <v>1.91</v>
      </c>
      <c r="AAM254" s="24">
        <v>0</v>
      </c>
      <c r="AAN254" s="24">
        <v>0</v>
      </c>
      <c r="AAO254" s="24">
        <v>0</v>
      </c>
      <c r="ABB254" s="24">
        <v>0</v>
      </c>
      <c r="ABC254" s="24">
        <v>0</v>
      </c>
      <c r="ABN254" s="28"/>
      <c r="ACF254" s="24">
        <v>0</v>
      </c>
      <c r="ADQ254" s="27">
        <v>3.52</v>
      </c>
      <c r="ADR254" s="27">
        <v>1</v>
      </c>
      <c r="ADS254" s="27">
        <v>1</v>
      </c>
      <c r="ADT254" s="27"/>
      <c r="ADU254" s="27">
        <f>3.13+3.17*4</f>
        <v>15.809999999999999</v>
      </c>
      <c r="ADV254" s="27">
        <v>2</v>
      </c>
      <c r="ADW254" s="27"/>
      <c r="ADX254" s="27">
        <v>0.87</v>
      </c>
      <c r="ADY254" s="27"/>
      <c r="ADZ254" s="27"/>
      <c r="AEA254" s="27"/>
      <c r="AEB254" s="27">
        <v>5.36</v>
      </c>
      <c r="AEC254" s="27">
        <v>8.39</v>
      </c>
      <c r="AED254" s="27"/>
      <c r="AEE254" s="27"/>
      <c r="AEF254" s="27">
        <v>0</v>
      </c>
      <c r="AEG254" s="27">
        <v>0</v>
      </c>
      <c r="AEH254" s="27">
        <v>0</v>
      </c>
      <c r="AEI254" s="24">
        <v>0</v>
      </c>
      <c r="AEJ254" s="24" t="s">
        <v>773</v>
      </c>
      <c r="AEK254" s="24">
        <v>36.5</v>
      </c>
      <c r="AEL254" s="27">
        <v>76.3</v>
      </c>
      <c r="AEM254" s="27">
        <v>80.400000000000006</v>
      </c>
      <c r="AEN254" s="27">
        <v>14.5</v>
      </c>
      <c r="AEO254" s="24">
        <v>91.16</v>
      </c>
      <c r="AEP254" s="29">
        <v>0</v>
      </c>
      <c r="AEQ254" s="24">
        <v>6.16</v>
      </c>
      <c r="AER254" s="24">
        <v>2.69</v>
      </c>
      <c r="AES254" s="24">
        <v>0</v>
      </c>
      <c r="AET254" s="24">
        <v>0</v>
      </c>
      <c r="AEU254" s="24">
        <v>0</v>
      </c>
      <c r="AEV254" s="24">
        <v>0</v>
      </c>
      <c r="AEW254" s="24">
        <v>0</v>
      </c>
      <c r="AEX254" s="24">
        <v>0</v>
      </c>
      <c r="AEY254" s="24">
        <v>0</v>
      </c>
      <c r="AEZ254" s="24">
        <v>0</v>
      </c>
      <c r="AFA254" s="24">
        <v>15.05</v>
      </c>
      <c r="AFB254" s="24">
        <v>31.49</v>
      </c>
      <c r="AFC254" s="24">
        <v>9.19</v>
      </c>
      <c r="AFD254" s="24">
        <v>0</v>
      </c>
      <c r="AFE254" s="24">
        <v>0</v>
      </c>
      <c r="AFF254" s="24">
        <v>0</v>
      </c>
      <c r="AFS254" s="24">
        <v>4.4000000000000004</v>
      </c>
      <c r="AFT254" s="24">
        <v>1</v>
      </c>
      <c r="AFU254" s="24">
        <v>34</v>
      </c>
      <c r="AFV254" s="24">
        <v>10</v>
      </c>
      <c r="AFW254" s="24">
        <f>8.56+1.51</f>
        <v>10.07</v>
      </c>
      <c r="AFX254" s="24">
        <v>1</v>
      </c>
      <c r="AFY254" s="24">
        <v>68</v>
      </c>
      <c r="AFZ254" s="24">
        <v>6</v>
      </c>
      <c r="AGA254" s="24">
        <f>3.43+0.6</f>
        <v>4.03</v>
      </c>
      <c r="AGB254" s="24">
        <v>1</v>
      </c>
      <c r="AGE254" s="28"/>
      <c r="AGW254" s="24">
        <v>0</v>
      </c>
      <c r="AIH254" s="27">
        <v>0</v>
      </c>
      <c r="AII254" s="27">
        <v>0</v>
      </c>
      <c r="AIJ254" s="27"/>
      <c r="AIK254" s="27"/>
      <c r="AIL254" s="27"/>
      <c r="AIM254" s="27"/>
      <c r="AIN254" s="27"/>
      <c r="AIO254" s="27"/>
      <c r="AIP254" s="27"/>
      <c r="AIQ254" s="27"/>
      <c r="AIR254" s="27"/>
      <c r="AIS254" s="27">
        <v>14.52</v>
      </c>
      <c r="AIT254" s="27">
        <v>36.5</v>
      </c>
      <c r="AIU254" s="27"/>
      <c r="AIV254" s="27"/>
      <c r="AIW254" s="27">
        <v>0</v>
      </c>
      <c r="AIX254" s="27">
        <v>0</v>
      </c>
      <c r="AIY254" s="27">
        <v>0</v>
      </c>
      <c r="AIZ254" s="24">
        <v>0</v>
      </c>
      <c r="AJA254" s="24" t="s">
        <v>775</v>
      </c>
      <c r="AJB254" s="24">
        <v>32.5</v>
      </c>
      <c r="AJC254" s="27">
        <v>88.1</v>
      </c>
      <c r="AJD254" s="27">
        <v>80.400000000000006</v>
      </c>
      <c r="AJE254" s="27">
        <v>21.1</v>
      </c>
      <c r="AJF254" s="24">
        <v>85.64</v>
      </c>
      <c r="AJG254" s="29">
        <v>0</v>
      </c>
      <c r="AJH254" s="24">
        <v>5.22</v>
      </c>
      <c r="AJI254" s="24">
        <v>0</v>
      </c>
      <c r="AJJ254" s="24">
        <v>9.14</v>
      </c>
      <c r="AJK254" s="24">
        <v>0</v>
      </c>
      <c r="AJL254" s="24">
        <v>0</v>
      </c>
      <c r="AJM254" s="24">
        <v>0</v>
      </c>
      <c r="AJN254" s="24">
        <v>0</v>
      </c>
      <c r="AJO254" s="24">
        <v>0</v>
      </c>
      <c r="AJP254" s="24">
        <v>0</v>
      </c>
      <c r="AJQ254" s="24">
        <v>0</v>
      </c>
      <c r="AJR254" s="24">
        <v>34.200000000000003</v>
      </c>
      <c r="AJS254" s="24">
        <v>7.52</v>
      </c>
      <c r="AJT254" s="24">
        <v>31.17</v>
      </c>
      <c r="AJU254" s="24">
        <v>0</v>
      </c>
      <c r="AJV254" s="24">
        <v>0</v>
      </c>
      <c r="AJW254" s="24">
        <v>0</v>
      </c>
      <c r="AKJ254" s="24">
        <v>3.8</v>
      </c>
      <c r="AKK254" s="24">
        <v>1</v>
      </c>
      <c r="AKL254" s="24">
        <v>34</v>
      </c>
      <c r="AKM254" s="24">
        <v>2</v>
      </c>
      <c r="AKN254" s="24">
        <f>0.76+0.13</f>
        <v>0.89</v>
      </c>
      <c r="AKO254" s="24">
        <v>1</v>
      </c>
      <c r="AKP254" s="24">
        <v>23</v>
      </c>
      <c r="AKQ254" s="24">
        <v>3</v>
      </c>
      <c r="AKR254" s="24">
        <v>2.2799999999999998</v>
      </c>
      <c r="AKS254" s="24">
        <v>3</v>
      </c>
      <c r="AKT254" s="24">
        <v>47</v>
      </c>
      <c r="AKU254" s="24">
        <v>1</v>
      </c>
      <c r="AKV254" s="28">
        <v>0.76</v>
      </c>
      <c r="AKW254" s="24">
        <v>3</v>
      </c>
      <c r="ALN254" s="24">
        <v>0</v>
      </c>
    </row>
    <row r="255" spans="1:1024" x14ac:dyDescent="0.2">
      <c r="A255" s="22" t="s">
        <v>776</v>
      </c>
      <c r="B255" s="23">
        <v>42909</v>
      </c>
      <c r="C255" s="24">
        <v>2</v>
      </c>
      <c r="D255" s="25">
        <v>37194</v>
      </c>
      <c r="E255" s="23">
        <v>29293</v>
      </c>
      <c r="F255" s="14">
        <f t="shared" si="62"/>
        <v>37.278576317590691</v>
      </c>
      <c r="G255" s="14">
        <f t="shared" si="63"/>
        <v>15.646817248459959</v>
      </c>
      <c r="H255" s="26" t="s">
        <v>306</v>
      </c>
      <c r="I255" s="21" t="s">
        <v>777</v>
      </c>
      <c r="J255" s="21" t="s">
        <v>183</v>
      </c>
      <c r="K255" s="21">
        <v>8</v>
      </c>
      <c r="L255" s="26">
        <v>107</v>
      </c>
      <c r="M255" s="24">
        <v>1.84</v>
      </c>
      <c r="N255" s="27">
        <f t="shared" si="64"/>
        <v>31.604442344045367</v>
      </c>
      <c r="O255" s="26">
        <v>0</v>
      </c>
      <c r="P255" s="26">
        <v>0</v>
      </c>
      <c r="Q255" s="26">
        <v>0</v>
      </c>
      <c r="R255" s="26">
        <v>0</v>
      </c>
      <c r="S255" s="26">
        <v>0</v>
      </c>
      <c r="T255" s="26">
        <v>0</v>
      </c>
      <c r="U255" s="26">
        <v>1</v>
      </c>
      <c r="V255" s="26">
        <v>20</v>
      </c>
      <c r="W255" s="26">
        <v>1</v>
      </c>
      <c r="X255" s="26">
        <v>1</v>
      </c>
      <c r="Y255" s="26">
        <v>1</v>
      </c>
      <c r="Z255" s="26">
        <v>2</v>
      </c>
      <c r="AA255" s="26">
        <v>60</v>
      </c>
      <c r="AB255" s="26" t="s">
        <v>778</v>
      </c>
      <c r="AC255" s="26">
        <v>0</v>
      </c>
      <c r="AD255" s="26">
        <v>0</v>
      </c>
      <c r="AE255" s="26">
        <v>0</v>
      </c>
      <c r="AF255" s="26">
        <v>0</v>
      </c>
      <c r="AG255" s="26">
        <v>0</v>
      </c>
      <c r="AH255" s="26">
        <v>0</v>
      </c>
      <c r="AI255" s="26">
        <v>3</v>
      </c>
      <c r="AJ255" s="26">
        <v>3</v>
      </c>
      <c r="AK255" s="26">
        <v>3</v>
      </c>
      <c r="AL255" s="26">
        <v>6</v>
      </c>
      <c r="AM255" s="26">
        <v>7</v>
      </c>
      <c r="AN255" s="26">
        <v>3</v>
      </c>
      <c r="AO255" s="26">
        <v>3</v>
      </c>
      <c r="AP255" s="26">
        <v>3</v>
      </c>
      <c r="AQ255" s="26">
        <v>3</v>
      </c>
      <c r="AR255" s="26">
        <v>4</v>
      </c>
      <c r="AS255" s="26">
        <v>3</v>
      </c>
      <c r="AT255" s="26">
        <v>0</v>
      </c>
      <c r="AU255" s="26">
        <v>3</v>
      </c>
      <c r="AV255" s="26">
        <v>8</v>
      </c>
      <c r="AW255" s="26">
        <v>9</v>
      </c>
      <c r="AX255" s="26">
        <v>0</v>
      </c>
      <c r="AY255" s="26">
        <v>0</v>
      </c>
      <c r="AZ255" s="26">
        <v>0</v>
      </c>
      <c r="BA255" s="26">
        <v>0</v>
      </c>
      <c r="BB255" s="26">
        <v>1</v>
      </c>
      <c r="BC255" s="26">
        <v>1</v>
      </c>
      <c r="BD255" s="26">
        <v>0</v>
      </c>
      <c r="BE255" s="26">
        <v>0</v>
      </c>
      <c r="BF255" s="26">
        <v>0</v>
      </c>
      <c r="BG255" s="26">
        <v>0</v>
      </c>
      <c r="BH255" s="26">
        <v>0</v>
      </c>
      <c r="BI255" s="26">
        <v>0</v>
      </c>
      <c r="BJ255" s="26">
        <v>0</v>
      </c>
      <c r="BK255" s="26">
        <v>0</v>
      </c>
      <c r="BL255" s="26">
        <v>0</v>
      </c>
      <c r="BM255" s="26">
        <v>0</v>
      </c>
      <c r="BN255" s="26">
        <v>0</v>
      </c>
      <c r="BO255" s="26">
        <v>0</v>
      </c>
      <c r="BP255" s="26">
        <v>0</v>
      </c>
      <c r="BQ255" s="26">
        <v>0</v>
      </c>
      <c r="BR255" s="26">
        <v>5</v>
      </c>
      <c r="BS255" s="26">
        <v>2</v>
      </c>
      <c r="BT255" s="26">
        <v>5</v>
      </c>
      <c r="BU255" s="26">
        <v>5</v>
      </c>
      <c r="BV255" s="26">
        <v>1</v>
      </c>
      <c r="BW255" s="26">
        <v>5</v>
      </c>
      <c r="BX255" s="26">
        <v>1</v>
      </c>
      <c r="BY255" s="26">
        <v>1</v>
      </c>
      <c r="BZ255" s="26">
        <v>1</v>
      </c>
      <c r="CA255" s="26">
        <v>1</v>
      </c>
      <c r="CB255" s="26">
        <v>1</v>
      </c>
      <c r="CC255" s="26">
        <v>5</v>
      </c>
      <c r="CD255" s="26">
        <v>1</v>
      </c>
      <c r="CE255" s="26">
        <v>1</v>
      </c>
      <c r="CF255" s="26">
        <v>1</v>
      </c>
      <c r="CG255" s="26">
        <v>3</v>
      </c>
      <c r="CH255" s="26">
        <v>1</v>
      </c>
      <c r="CI255" s="26">
        <v>1</v>
      </c>
      <c r="CJ255" s="26">
        <v>1</v>
      </c>
      <c r="CK255" s="26">
        <v>8</v>
      </c>
      <c r="CL255" s="24" t="s">
        <v>779</v>
      </c>
      <c r="CM255" s="24">
        <v>43</v>
      </c>
      <c r="CN255" s="27">
        <v>91.8</v>
      </c>
      <c r="CO255" s="27">
        <v>83.4</v>
      </c>
      <c r="CP255" s="27">
        <v>25.8</v>
      </c>
      <c r="CQ255" s="24">
        <v>68.3</v>
      </c>
      <c r="CR255" s="24">
        <v>0</v>
      </c>
      <c r="CS255" s="24">
        <v>0</v>
      </c>
      <c r="CT255" s="24">
        <v>0</v>
      </c>
      <c r="CU255" s="24">
        <v>31.54</v>
      </c>
      <c r="CV255" s="24">
        <v>0</v>
      </c>
      <c r="CW255" s="24">
        <v>0</v>
      </c>
      <c r="CX255" s="24">
        <v>0</v>
      </c>
      <c r="CY255" s="24">
        <v>0</v>
      </c>
      <c r="CZ255" s="24">
        <v>0</v>
      </c>
      <c r="DA255" s="24">
        <v>0</v>
      </c>
      <c r="DB255" s="24">
        <v>48.27</v>
      </c>
      <c r="DC255" s="24">
        <v>58.3</v>
      </c>
      <c r="DD255" s="24">
        <v>1.34</v>
      </c>
      <c r="DE255" s="24">
        <v>0</v>
      </c>
      <c r="DF255" s="24">
        <v>0.16</v>
      </c>
      <c r="DG255" s="24">
        <v>0</v>
      </c>
      <c r="DH255" s="24">
        <v>0</v>
      </c>
      <c r="DU255" s="24">
        <v>11</v>
      </c>
      <c r="DV255" s="24">
        <v>1</v>
      </c>
      <c r="DW255" s="24">
        <v>30</v>
      </c>
      <c r="DX255" s="24">
        <v>1</v>
      </c>
      <c r="DY255" s="24">
        <v>0.73</v>
      </c>
      <c r="DZ255" s="24">
        <v>1</v>
      </c>
      <c r="EG255" s="28"/>
      <c r="EY255" s="24">
        <v>1</v>
      </c>
      <c r="EZ255" s="24">
        <v>60</v>
      </c>
      <c r="FA255" s="24">
        <v>14</v>
      </c>
      <c r="FB255" s="24">
        <f t="shared" ref="FB255:FB261" si="86">1.25+0.05+0.21+0.21+0.31+0.08</f>
        <v>2.11</v>
      </c>
      <c r="FC255" s="24">
        <v>6</v>
      </c>
      <c r="FD255" s="24">
        <v>50</v>
      </c>
      <c r="FE255" s="24">
        <v>8</v>
      </c>
      <c r="FF255" s="24">
        <f t="shared" ref="FF255:FF261" si="87">2.94*2</f>
        <v>5.88</v>
      </c>
      <c r="FG255" s="24">
        <v>4</v>
      </c>
      <c r="GJ255" s="27">
        <v>2.4500000000000002</v>
      </c>
      <c r="GK255" s="27">
        <v>1</v>
      </c>
      <c r="GL255" s="27">
        <v>1</v>
      </c>
      <c r="GM255" s="27"/>
      <c r="GN255" s="27">
        <f t="shared" ref="GN255:GN261" si="88">0.03*2+0.16+0.46</f>
        <v>0.68</v>
      </c>
      <c r="GO255" s="27">
        <v>2</v>
      </c>
      <c r="GP255" s="27"/>
      <c r="GQ255" s="27">
        <f t="shared" ref="GQ255:GQ261" si="89">6.12+0.54</f>
        <v>6.66</v>
      </c>
      <c r="GR255" s="27"/>
      <c r="GS255" s="27"/>
      <c r="GT255" s="27"/>
      <c r="GU255" s="27">
        <v>3.68</v>
      </c>
      <c r="GV255" s="27">
        <v>1.63</v>
      </c>
      <c r="GW255" s="27"/>
      <c r="GX255" s="27"/>
      <c r="GY255" s="27">
        <v>0</v>
      </c>
      <c r="GZ255" s="27">
        <v>0</v>
      </c>
      <c r="HA255" s="27">
        <v>0</v>
      </c>
      <c r="HB255" s="24">
        <v>0</v>
      </c>
      <c r="HC255" s="24" t="s">
        <v>780</v>
      </c>
      <c r="HD255" s="24">
        <v>46</v>
      </c>
      <c r="HE255" s="27">
        <v>101.6</v>
      </c>
      <c r="HF255" s="27">
        <v>83.4</v>
      </c>
      <c r="HG255" s="27">
        <v>27.8</v>
      </c>
      <c r="HH255" s="24">
        <v>66.040000000000006</v>
      </c>
      <c r="HI255" s="24">
        <v>0</v>
      </c>
      <c r="HJ255" s="24">
        <v>0</v>
      </c>
      <c r="HK255" s="24">
        <v>0</v>
      </c>
      <c r="HL255" s="24">
        <v>35.15</v>
      </c>
      <c r="HM255" s="24">
        <v>0</v>
      </c>
      <c r="HN255" s="24">
        <v>0</v>
      </c>
      <c r="HO255" s="24">
        <v>0</v>
      </c>
      <c r="HP255" s="24">
        <v>0</v>
      </c>
      <c r="HQ255" s="24">
        <v>0</v>
      </c>
      <c r="HR255" s="24">
        <v>0</v>
      </c>
      <c r="HS255" s="24">
        <v>43.27</v>
      </c>
      <c r="HT255" s="24">
        <v>65.02</v>
      </c>
      <c r="HU255" s="24">
        <v>6.59</v>
      </c>
      <c r="HV255" s="24">
        <v>0.88</v>
      </c>
      <c r="HW255" s="24">
        <v>0.16</v>
      </c>
      <c r="HX255" s="24">
        <v>0</v>
      </c>
      <c r="HY255" s="24">
        <v>0</v>
      </c>
      <c r="IL255" s="24">
        <v>14.9</v>
      </c>
      <c r="IM255" s="24">
        <v>1</v>
      </c>
      <c r="IN255" s="24">
        <v>30</v>
      </c>
      <c r="IO255" s="24">
        <v>1</v>
      </c>
      <c r="IP255" s="24">
        <v>0.73</v>
      </c>
      <c r="IQ255" s="24">
        <v>1</v>
      </c>
      <c r="IR255" s="24">
        <v>47</v>
      </c>
      <c r="IS255" s="24">
        <v>1</v>
      </c>
      <c r="IT255" s="24">
        <v>0.11</v>
      </c>
      <c r="IU255" s="24">
        <v>3</v>
      </c>
      <c r="IX255" s="28"/>
      <c r="JP255" s="24">
        <v>1</v>
      </c>
      <c r="JQ255" s="24">
        <v>60</v>
      </c>
      <c r="JR255" s="24">
        <v>4</v>
      </c>
      <c r="JS255" s="24">
        <v>1.68</v>
      </c>
      <c r="JT255" s="24">
        <v>6</v>
      </c>
      <c r="JU255" s="24">
        <v>50</v>
      </c>
      <c r="JV255" s="24">
        <v>8</v>
      </c>
      <c r="JW255" s="24">
        <f t="shared" ref="JW255:JW261" si="90">2.94*2</f>
        <v>5.88</v>
      </c>
      <c r="JX255" s="24">
        <v>4</v>
      </c>
      <c r="JY255" s="24">
        <v>50</v>
      </c>
      <c r="JZ255" s="24">
        <v>4</v>
      </c>
      <c r="KA255" s="24">
        <v>0.76</v>
      </c>
      <c r="KB255" s="24">
        <v>6</v>
      </c>
      <c r="KC255" s="24">
        <v>80</v>
      </c>
      <c r="KD255" s="24">
        <v>8</v>
      </c>
      <c r="KE255" s="24">
        <f t="shared" ref="KE255:KE261" si="91">0.31+0.21</f>
        <v>0.52</v>
      </c>
      <c r="KF255" s="24">
        <v>6</v>
      </c>
      <c r="LA255" s="27">
        <v>2.0499999999999998</v>
      </c>
      <c r="LB255" s="27">
        <v>1</v>
      </c>
      <c r="LC255" s="27">
        <v>1</v>
      </c>
      <c r="LD255" s="27"/>
      <c r="LE255" s="27">
        <f t="shared" ref="LE255:LE261" si="92">6.12+0.54+0.36</f>
        <v>7.0200000000000005</v>
      </c>
      <c r="LF255" s="27">
        <v>2</v>
      </c>
      <c r="LG255" s="27"/>
      <c r="LH255" s="27">
        <v>6.01</v>
      </c>
      <c r="LI255" s="27"/>
      <c r="LJ255" s="27"/>
      <c r="LK255" s="27"/>
      <c r="LL255" s="27">
        <v>0.86</v>
      </c>
      <c r="LM255" s="27">
        <v>0.85</v>
      </c>
      <c r="LN255" s="27"/>
      <c r="LO255" s="27"/>
      <c r="LP255" s="27">
        <v>0</v>
      </c>
      <c r="LQ255" s="27">
        <v>0</v>
      </c>
      <c r="LR255" s="27">
        <v>0</v>
      </c>
      <c r="LS255" s="24">
        <v>0</v>
      </c>
      <c r="LT255" s="24">
        <v>100</v>
      </c>
      <c r="LU255" s="24">
        <v>29.5</v>
      </c>
      <c r="LV255" s="27">
        <v>94.9</v>
      </c>
      <c r="LW255" s="27">
        <v>83.4</v>
      </c>
      <c r="LX255" s="27">
        <v>17.600000000000001</v>
      </c>
      <c r="LY255" s="24">
        <v>85.6</v>
      </c>
      <c r="LZ255" s="24">
        <v>0</v>
      </c>
      <c r="MA255" s="24">
        <v>0</v>
      </c>
      <c r="MB255" s="24">
        <v>0</v>
      </c>
      <c r="MC255" s="24">
        <v>14.4</v>
      </c>
      <c r="MD255" s="24">
        <v>0</v>
      </c>
      <c r="ME255" s="24">
        <v>0</v>
      </c>
      <c r="MF255" s="24">
        <v>0</v>
      </c>
      <c r="MG255" s="24">
        <v>0</v>
      </c>
      <c r="MH255" s="24">
        <v>0</v>
      </c>
      <c r="MI255" s="24">
        <v>0</v>
      </c>
      <c r="MJ255" s="24">
        <v>1.95</v>
      </c>
      <c r="MK255" s="24">
        <v>9.4499999999999993</v>
      </c>
      <c r="ML255" s="24">
        <v>11.24</v>
      </c>
      <c r="MM255" s="24">
        <v>36.94</v>
      </c>
      <c r="MN255" s="24">
        <v>0</v>
      </c>
      <c r="MO255" s="24">
        <v>11.5</v>
      </c>
      <c r="MP255" s="24">
        <v>1</v>
      </c>
      <c r="MQ255" s="24">
        <v>5</v>
      </c>
      <c r="MS255" s="24">
        <v>4</v>
      </c>
      <c r="NC255" s="24">
        <v>0</v>
      </c>
      <c r="ND255" s="24">
        <v>0</v>
      </c>
      <c r="NO255" s="28"/>
      <c r="OG255" s="24">
        <v>0</v>
      </c>
      <c r="PR255" s="27">
        <v>0.2</v>
      </c>
      <c r="PS255" s="27">
        <v>1</v>
      </c>
      <c r="PT255" s="27">
        <v>1</v>
      </c>
      <c r="PU255" s="27"/>
      <c r="PV255" s="27">
        <f t="shared" ref="PV255:PV261" si="93">0.14+0.23+0.07+0.21</f>
        <v>0.65</v>
      </c>
      <c r="PW255" s="27"/>
      <c r="PX255" s="27"/>
      <c r="PY255" s="27"/>
      <c r="PZ255" s="27"/>
      <c r="QA255" s="27"/>
      <c r="QB255" s="27"/>
      <c r="QC255" s="27">
        <v>0.23</v>
      </c>
      <c r="QD255" s="27">
        <v>0.23</v>
      </c>
      <c r="QE255" s="27"/>
      <c r="QF255" s="27"/>
      <c r="QG255" s="27">
        <v>0</v>
      </c>
      <c r="QH255" s="27">
        <v>0</v>
      </c>
      <c r="QI255" s="27">
        <v>0</v>
      </c>
      <c r="QJ255" s="24">
        <v>0</v>
      </c>
      <c r="QK255" s="24" t="s">
        <v>781</v>
      </c>
      <c r="QL255" s="24">
        <v>47.5</v>
      </c>
      <c r="QM255" s="27">
        <v>49.3</v>
      </c>
      <c r="QN255" s="27">
        <v>83.4</v>
      </c>
      <c r="QO255" s="27">
        <v>35.700000000000003</v>
      </c>
      <c r="QP255" s="24">
        <v>66.48</v>
      </c>
      <c r="QQ255" s="24">
        <v>0</v>
      </c>
      <c r="QR255" s="24">
        <v>6.11</v>
      </c>
      <c r="QS255" s="24">
        <v>0</v>
      </c>
      <c r="QT255" s="24">
        <v>9.56</v>
      </c>
      <c r="QU255" s="24">
        <v>0</v>
      </c>
      <c r="QV255" s="24">
        <v>6.1</v>
      </c>
      <c r="QW255" s="24">
        <v>3.05</v>
      </c>
      <c r="QX255" s="24">
        <v>0</v>
      </c>
      <c r="QY255" s="24">
        <v>0</v>
      </c>
      <c r="QZ255" s="24">
        <v>0</v>
      </c>
      <c r="RA255" s="24">
        <v>0</v>
      </c>
      <c r="RB255" s="24">
        <v>17.78</v>
      </c>
      <c r="RC255" s="24">
        <v>9.1300000000000008</v>
      </c>
      <c r="RD255" s="24">
        <v>2.7</v>
      </c>
      <c r="RE255" s="24">
        <v>11.73</v>
      </c>
      <c r="RF255" s="24">
        <v>0</v>
      </c>
      <c r="RG255" s="24">
        <v>0</v>
      </c>
      <c r="RT255" s="24">
        <v>5.7</v>
      </c>
      <c r="RU255" s="24">
        <v>1</v>
      </c>
      <c r="RV255" s="24">
        <v>30</v>
      </c>
      <c r="RW255" s="24">
        <v>10</v>
      </c>
      <c r="RX255" s="24">
        <f t="shared" ref="RX255:RX261" si="94">0.15*2+0.16*8</f>
        <v>1.58</v>
      </c>
      <c r="RY255" s="24">
        <v>3</v>
      </c>
      <c r="SF255" s="28"/>
      <c r="SX255" s="24">
        <v>1</v>
      </c>
      <c r="SY255" s="24">
        <v>40</v>
      </c>
      <c r="SZ255" s="24">
        <v>4</v>
      </c>
      <c r="TA255" s="24">
        <v>0.6</v>
      </c>
      <c r="TB255" s="24">
        <v>2</v>
      </c>
      <c r="UI255" s="27">
        <v>0.53</v>
      </c>
      <c r="UJ255" s="27">
        <v>1</v>
      </c>
      <c r="UK255" s="27">
        <v>1</v>
      </c>
      <c r="UL255" s="27"/>
      <c r="UM255" s="27">
        <f t="shared" ref="UM255:UM261" si="95">0.64*4+0.08</f>
        <v>2.64</v>
      </c>
      <c r="UN255" s="27"/>
      <c r="UO255" s="27"/>
      <c r="UP255" s="27"/>
      <c r="UQ255" s="27"/>
      <c r="UR255" s="27"/>
      <c r="US255" s="27"/>
      <c r="UT255" s="27">
        <v>5.0599999999999996</v>
      </c>
      <c r="UU255" s="27">
        <v>1.58</v>
      </c>
      <c r="UV255" s="27"/>
      <c r="UW255" s="27"/>
      <c r="UX255" s="27">
        <v>0</v>
      </c>
      <c r="UY255" s="27">
        <v>0</v>
      </c>
      <c r="UZ255" s="27">
        <v>0</v>
      </c>
      <c r="VA255" s="24">
        <v>0</v>
      </c>
      <c r="VB255" s="24" t="s">
        <v>782</v>
      </c>
      <c r="VC255" s="24">
        <v>71</v>
      </c>
      <c r="VD255" s="27">
        <v>92</v>
      </c>
      <c r="VE255" s="27">
        <v>166.8</v>
      </c>
      <c r="VF255" s="27">
        <v>65</v>
      </c>
      <c r="VG255" s="24">
        <v>28.78</v>
      </c>
      <c r="VH255" s="24">
        <v>0</v>
      </c>
      <c r="VI255" s="24">
        <v>0</v>
      </c>
      <c r="VJ255" s="24">
        <v>0</v>
      </c>
      <c r="VK255" s="24">
        <v>2.5</v>
      </c>
      <c r="VL255" s="24">
        <v>0</v>
      </c>
      <c r="VM255" s="24">
        <v>8.5399999999999991</v>
      </c>
      <c r="VN255" s="24">
        <v>0</v>
      </c>
      <c r="VO255" s="24">
        <v>0</v>
      </c>
      <c r="VP255" s="24">
        <v>2.76</v>
      </c>
      <c r="VQ255" s="24">
        <v>0</v>
      </c>
      <c r="VR255" s="24">
        <v>9.52</v>
      </c>
      <c r="VS255" s="24">
        <v>36.909999999999997</v>
      </c>
      <c r="VT255" s="24">
        <v>26.15</v>
      </c>
      <c r="VU255" s="24">
        <v>1.97</v>
      </c>
      <c r="VV255" s="24">
        <v>60.18</v>
      </c>
      <c r="VW255" s="24">
        <v>0</v>
      </c>
      <c r="VX255" s="24">
        <v>0</v>
      </c>
      <c r="WK255" s="24">
        <v>0.1</v>
      </c>
      <c r="WL255" s="24">
        <v>0</v>
      </c>
      <c r="WW255" s="28"/>
      <c r="XO255" s="24">
        <v>1</v>
      </c>
      <c r="XP255" s="24">
        <v>50</v>
      </c>
      <c r="XQ255" s="24">
        <v>4</v>
      </c>
      <c r="XR255" s="24">
        <f t="shared" ref="XR255:XR261" si="96">0.37*4</f>
        <v>1.48</v>
      </c>
      <c r="XS255" s="24">
        <v>3</v>
      </c>
      <c r="XT255" s="24">
        <v>40</v>
      </c>
      <c r="XU255" s="24">
        <v>6</v>
      </c>
      <c r="XV255" s="24">
        <v>2.2000000000000002</v>
      </c>
      <c r="XW255" s="24">
        <v>3</v>
      </c>
      <c r="XX255" s="24">
        <v>50</v>
      </c>
      <c r="XY255" s="24">
        <v>1</v>
      </c>
      <c r="XZ255" s="24">
        <v>0.06</v>
      </c>
      <c r="YA255" s="24">
        <v>1</v>
      </c>
      <c r="YB255" s="24">
        <v>60</v>
      </c>
      <c r="YC255" s="24">
        <v>3</v>
      </c>
      <c r="YD255" s="24">
        <v>0.19</v>
      </c>
      <c r="YE255" s="24">
        <v>4</v>
      </c>
      <c r="YZ255" s="27">
        <v>1.1100000000000001</v>
      </c>
      <c r="ZA255" s="27">
        <v>1</v>
      </c>
      <c r="ZB255" s="27">
        <v>1</v>
      </c>
      <c r="ZC255" s="27"/>
      <c r="ZD255" s="27">
        <f t="shared" ref="ZD255:ZD261" si="97">0.51*2+0.09+0.15*2+1.65+0.18+0.72</f>
        <v>3.96</v>
      </c>
      <c r="ZE255" s="27"/>
      <c r="ZF255" s="27"/>
      <c r="ZG255" s="27"/>
      <c r="ZH255" s="27"/>
      <c r="ZI255" s="27"/>
      <c r="ZJ255" s="27"/>
      <c r="ZK255" s="27">
        <v>1.95</v>
      </c>
      <c r="ZL255" s="27">
        <v>1.96</v>
      </c>
      <c r="ZM255" s="27"/>
      <c r="ZN255" s="27"/>
      <c r="ZO255" s="27">
        <v>2.88</v>
      </c>
      <c r="ZP255" s="27">
        <v>0</v>
      </c>
      <c r="ZQ255" s="27">
        <v>0</v>
      </c>
      <c r="ZR255" s="24">
        <v>2</v>
      </c>
      <c r="ZS255" s="24" t="s">
        <v>783</v>
      </c>
      <c r="ZT255" s="24">
        <v>35</v>
      </c>
      <c r="ZU255" s="27">
        <v>89.3</v>
      </c>
      <c r="ZV255" s="27">
        <v>83.4</v>
      </c>
      <c r="ZW255" s="27">
        <v>12.6</v>
      </c>
      <c r="ZX255" s="24">
        <v>87.93</v>
      </c>
      <c r="ZY255" s="24">
        <v>0</v>
      </c>
      <c r="ZZ255" s="24">
        <v>0</v>
      </c>
      <c r="AAA255" s="24">
        <v>1.49</v>
      </c>
      <c r="AAB255" s="24">
        <v>10.58</v>
      </c>
      <c r="AAC255" s="24">
        <v>0</v>
      </c>
      <c r="AAD255" s="24">
        <v>0</v>
      </c>
      <c r="AAE255" s="24">
        <v>0</v>
      </c>
      <c r="AAF255" s="24">
        <v>0</v>
      </c>
      <c r="AAG255" s="24">
        <v>0</v>
      </c>
      <c r="AAH255" s="24">
        <v>0</v>
      </c>
      <c r="AAI255" s="24">
        <v>0.17</v>
      </c>
      <c r="AAJ255" s="24">
        <v>38.78</v>
      </c>
      <c r="AAK255" s="24">
        <v>29.47</v>
      </c>
      <c r="AAL255" s="24">
        <v>0</v>
      </c>
      <c r="AAM255" s="24">
        <v>0</v>
      </c>
      <c r="AAN255" s="24">
        <v>4</v>
      </c>
      <c r="AAO255" s="24">
        <v>1</v>
      </c>
      <c r="AAP255" s="24">
        <v>3</v>
      </c>
      <c r="AAR255" s="24">
        <v>4</v>
      </c>
      <c r="ABB255" s="24">
        <v>9.6999999999999993</v>
      </c>
      <c r="ABC255" s="24">
        <v>1</v>
      </c>
      <c r="ABD255" s="24">
        <v>68</v>
      </c>
      <c r="ABE255" s="24">
        <v>1</v>
      </c>
      <c r="ABF255" s="24">
        <v>0.02</v>
      </c>
      <c r="ABG255" s="24">
        <v>1</v>
      </c>
      <c r="ABH255" s="24">
        <v>35</v>
      </c>
      <c r="ABI255" s="24">
        <v>10</v>
      </c>
      <c r="ABJ255" s="24">
        <f t="shared" ref="ABJ255:ABJ261" si="98">0.22*2+0.43*2+0.65+0.04+0.02+0.08</f>
        <v>2.0900000000000003</v>
      </c>
      <c r="ABK255" s="24">
        <v>3</v>
      </c>
      <c r="ABN255" s="28"/>
      <c r="ACF255" s="24">
        <v>1</v>
      </c>
      <c r="ACG255" s="24">
        <v>50</v>
      </c>
      <c r="ACH255" s="24">
        <f t="shared" ref="ACH255:ACH261" si="99">4*3+3*4</f>
        <v>24</v>
      </c>
      <c r="ACI255" s="24">
        <f t="shared" ref="ACI255:ACI261" si="100">0.07+0.25+0.11+0.65+1.3+15</f>
        <v>17.38</v>
      </c>
      <c r="ACJ255" s="24">
        <v>1</v>
      </c>
      <c r="ACK255" s="24">
        <v>40</v>
      </c>
      <c r="ACL255" s="24">
        <v>18</v>
      </c>
      <c r="ACM255" s="24">
        <f t="shared" ref="ACM255:ACM261" si="101">0.87+0.17+0.08+0.34+1.73+0.43+0.87+0.07</f>
        <v>4.5600000000000005</v>
      </c>
      <c r="ACN255" s="24">
        <v>1</v>
      </c>
      <c r="ACO255" s="24">
        <v>40</v>
      </c>
      <c r="ACP255" s="24">
        <v>2</v>
      </c>
      <c r="ACQ255" s="24">
        <v>0.12</v>
      </c>
      <c r="ACR255" s="24">
        <v>5</v>
      </c>
      <c r="ACS255" s="24">
        <v>50</v>
      </c>
      <c r="ACT255" s="24">
        <v>1</v>
      </c>
      <c r="ACU255" s="24">
        <v>0.22</v>
      </c>
      <c r="ACV255" s="24">
        <v>6</v>
      </c>
      <c r="ACW255" s="24">
        <v>40</v>
      </c>
      <c r="ACX255" s="24">
        <v>3</v>
      </c>
      <c r="ACY255" s="24">
        <v>0.16</v>
      </c>
      <c r="ACZ255" s="24">
        <v>6</v>
      </c>
      <c r="ADQ255" s="27">
        <v>0.68</v>
      </c>
      <c r="ADR255" s="27">
        <v>1</v>
      </c>
      <c r="ADS255" s="27">
        <v>1</v>
      </c>
      <c r="ADT255" s="27"/>
      <c r="ADU255" s="27">
        <f t="shared" ref="ADU255:ADU261" si="102">0.34+0.91+1.8+0.08+0.3</f>
        <v>3.4299999999999997</v>
      </c>
      <c r="ADV255" s="27"/>
      <c r="ADW255" s="27"/>
      <c r="ADX255" s="27"/>
      <c r="ADY255" s="27"/>
      <c r="ADZ255" s="27"/>
      <c r="AEA255" s="27"/>
      <c r="AEB255" s="27">
        <v>7.83</v>
      </c>
      <c r="AEC255" s="27">
        <v>8.68</v>
      </c>
      <c r="AED255" s="27"/>
      <c r="AEE255" s="27"/>
      <c r="AEF255" s="27">
        <v>0</v>
      </c>
      <c r="AEG255" s="27">
        <v>0</v>
      </c>
      <c r="AEH255" s="27">
        <v>0</v>
      </c>
      <c r="AEI255" s="24">
        <v>0</v>
      </c>
      <c r="AEJ255" s="24" t="s">
        <v>784</v>
      </c>
      <c r="AEK255" s="24">
        <v>38</v>
      </c>
      <c r="AEL255" s="27">
        <v>92.6</v>
      </c>
      <c r="AEM255" s="27">
        <v>83.4</v>
      </c>
      <c r="AEN255" s="27">
        <v>16.5</v>
      </c>
      <c r="AEO255" s="24">
        <v>77.87</v>
      </c>
      <c r="AEP255" s="24">
        <v>0</v>
      </c>
      <c r="AEQ255" s="24">
        <v>0</v>
      </c>
      <c r="AER255" s="24">
        <v>0</v>
      </c>
      <c r="AES255" s="24">
        <v>21.87</v>
      </c>
      <c r="AET255" s="24">
        <v>0</v>
      </c>
      <c r="AEU255" s="24">
        <v>0</v>
      </c>
      <c r="AEV255" s="24">
        <v>0</v>
      </c>
      <c r="AEW255" s="24">
        <v>0</v>
      </c>
      <c r="AEX255" s="24">
        <v>0</v>
      </c>
      <c r="AEY255" s="24">
        <v>0</v>
      </c>
      <c r="AEZ255" s="24">
        <v>0.28999999999999998</v>
      </c>
      <c r="AFA255" s="24">
        <v>38.85</v>
      </c>
      <c r="AFB255" s="24">
        <v>37.36</v>
      </c>
      <c r="AFC255" s="24">
        <v>5.57</v>
      </c>
      <c r="AFD255" s="24">
        <v>0</v>
      </c>
      <c r="AFE255" s="24">
        <v>0</v>
      </c>
      <c r="AFF255" s="24">
        <v>0</v>
      </c>
      <c r="AFS255" s="24">
        <v>17.5</v>
      </c>
      <c r="AFT255" s="24">
        <v>0</v>
      </c>
      <c r="AGE255" s="28"/>
      <c r="AGW255" s="24">
        <v>1</v>
      </c>
      <c r="AGX255" s="24">
        <v>70</v>
      </c>
      <c r="AGY255" s="24">
        <f t="shared" ref="AGY255:AGY261" si="103">8*3+3</f>
        <v>27</v>
      </c>
      <c r="AGZ255" s="24">
        <f t="shared" ref="AGZ255:AGZ261" si="104">5.87*3+0.58</f>
        <v>18.189999999999998</v>
      </c>
      <c r="AHA255" s="24">
        <v>1</v>
      </c>
      <c r="AIH255" s="27">
        <v>3.74</v>
      </c>
      <c r="AII255" s="27">
        <v>1</v>
      </c>
      <c r="AIJ255" s="27">
        <v>1</v>
      </c>
      <c r="AIK255" s="27"/>
      <c r="AIL255" s="27">
        <f t="shared" ref="AIL255:AIL261" si="105">1.65+2.04*2+0.36*2+0.54</f>
        <v>6.99</v>
      </c>
      <c r="AIM255" s="27">
        <v>2</v>
      </c>
      <c r="AIN255" s="27"/>
      <c r="AIO255" s="27">
        <v>0.91</v>
      </c>
      <c r="AIP255" s="27"/>
      <c r="AIQ255" s="27"/>
      <c r="AIR255" s="27"/>
      <c r="AIS255" s="27">
        <v>0.19</v>
      </c>
      <c r="AIT255" s="27">
        <v>0.19</v>
      </c>
      <c r="AIU255" s="27"/>
      <c r="AIV255" s="27"/>
      <c r="AIW255" s="27">
        <v>0</v>
      </c>
      <c r="AIX255" s="27">
        <v>0</v>
      </c>
      <c r="AIY255" s="27">
        <v>0</v>
      </c>
      <c r="AIZ255" s="24">
        <v>0</v>
      </c>
      <c r="AJA255" s="24" t="s">
        <v>785</v>
      </c>
      <c r="AJB255" s="24">
        <v>37.5</v>
      </c>
      <c r="AJC255" s="27">
        <v>94.9</v>
      </c>
      <c r="AJD255" s="27">
        <v>83.4</v>
      </c>
      <c r="AJE255" s="27">
        <v>16</v>
      </c>
      <c r="AJF255" s="24">
        <v>79.430000000000007</v>
      </c>
      <c r="AJG255" s="24">
        <v>0</v>
      </c>
      <c r="AJH255" s="24">
        <v>0</v>
      </c>
      <c r="AJI255" s="24">
        <v>0</v>
      </c>
      <c r="AJJ255" s="24">
        <v>20.309999999999999</v>
      </c>
      <c r="AJK255" s="24">
        <v>0</v>
      </c>
      <c r="AJL255" s="24">
        <v>0</v>
      </c>
      <c r="AJM255" s="24">
        <v>0</v>
      </c>
      <c r="AJN255" s="24">
        <v>0</v>
      </c>
      <c r="AJO255" s="24">
        <v>0</v>
      </c>
      <c r="AJP255" s="24">
        <v>0</v>
      </c>
      <c r="AJQ255" s="24">
        <v>0.28999999999999998</v>
      </c>
      <c r="AJR255" s="24">
        <v>37.58</v>
      </c>
      <c r="AJS255" s="24">
        <v>37.76</v>
      </c>
      <c r="AJT255" s="24">
        <v>5.57</v>
      </c>
      <c r="AJU255" s="24">
        <v>0</v>
      </c>
      <c r="AJV255" s="24">
        <v>0</v>
      </c>
      <c r="AJW255" s="24">
        <v>0</v>
      </c>
      <c r="AKJ255" s="24">
        <v>17.5</v>
      </c>
      <c r="AKK255" s="24">
        <v>0</v>
      </c>
      <c r="AKV255" s="28"/>
      <c r="ALN255" s="24">
        <v>1</v>
      </c>
      <c r="ALO255" s="24">
        <v>71</v>
      </c>
      <c r="ALP255" s="24">
        <f>8*3+3</f>
        <v>27</v>
      </c>
      <c r="ALQ255" s="24">
        <f>5.87*3+0.58</f>
        <v>18.189999999999998</v>
      </c>
      <c r="ALR255" s="24">
        <v>2</v>
      </c>
    </row>
    <row r="256" spans="1:1024" x14ac:dyDescent="0.2">
      <c r="A256" s="22" t="s">
        <v>786</v>
      </c>
      <c r="B256" s="23">
        <v>42909</v>
      </c>
      <c r="C256" s="24">
        <v>2</v>
      </c>
      <c r="D256" s="25">
        <v>36259</v>
      </c>
      <c r="E256" s="23">
        <v>28535</v>
      </c>
      <c r="F256" s="14">
        <f t="shared" si="62"/>
        <v>39.353867214236821</v>
      </c>
      <c r="G256" s="14">
        <f t="shared" si="63"/>
        <v>18.206707734428473</v>
      </c>
      <c r="H256" s="26" t="s">
        <v>306</v>
      </c>
      <c r="I256" s="21" t="s">
        <v>777</v>
      </c>
      <c r="J256" s="21" t="s">
        <v>183</v>
      </c>
      <c r="K256" s="21">
        <v>8</v>
      </c>
      <c r="L256" s="26">
        <v>85</v>
      </c>
      <c r="M256" s="24">
        <v>1.87</v>
      </c>
      <c r="N256" s="27">
        <f t="shared" si="64"/>
        <v>24.307243558580453</v>
      </c>
      <c r="O256" s="26">
        <v>0</v>
      </c>
      <c r="P256" s="26">
        <v>0</v>
      </c>
      <c r="Q256" s="26">
        <v>0</v>
      </c>
      <c r="R256" s="26">
        <v>0</v>
      </c>
      <c r="S256" s="26">
        <v>0</v>
      </c>
      <c r="T256" s="26">
        <v>0</v>
      </c>
      <c r="U256" s="19">
        <v>0</v>
      </c>
      <c r="V256" s="19">
        <v>0</v>
      </c>
      <c r="W256" s="26">
        <v>0</v>
      </c>
      <c r="X256" s="26">
        <v>0</v>
      </c>
      <c r="Y256" s="26">
        <v>1</v>
      </c>
      <c r="Z256" s="26">
        <v>1</v>
      </c>
      <c r="AA256" s="26">
        <v>60</v>
      </c>
      <c r="AB256" s="26" t="s">
        <v>284</v>
      </c>
      <c r="AC256" s="26">
        <v>0</v>
      </c>
      <c r="AD256" s="26">
        <v>0</v>
      </c>
      <c r="AE256" s="26">
        <v>0</v>
      </c>
      <c r="AF256" s="26">
        <v>0</v>
      </c>
      <c r="AG256" s="26">
        <v>0</v>
      </c>
      <c r="AH256" s="26">
        <v>0</v>
      </c>
      <c r="AI256" s="26">
        <v>0</v>
      </c>
      <c r="AJ256" s="26">
        <v>0</v>
      </c>
      <c r="AK256" s="26">
        <v>0</v>
      </c>
      <c r="AL256" s="26">
        <v>0</v>
      </c>
      <c r="AM256" s="26">
        <v>0</v>
      </c>
      <c r="AN256" s="26">
        <v>0</v>
      </c>
      <c r="AO256" s="26">
        <v>0</v>
      </c>
      <c r="AP256" s="26">
        <v>0</v>
      </c>
      <c r="AQ256" s="26">
        <v>0</v>
      </c>
      <c r="AR256" s="26">
        <v>0</v>
      </c>
      <c r="AS256" s="26">
        <v>0</v>
      </c>
      <c r="AT256" s="26">
        <v>0</v>
      </c>
      <c r="AU256" s="26">
        <v>0</v>
      </c>
      <c r="AV256" s="26">
        <v>0</v>
      </c>
      <c r="AW256" s="26">
        <v>0</v>
      </c>
      <c r="AX256" s="26">
        <v>0</v>
      </c>
      <c r="AY256" s="26">
        <v>0</v>
      </c>
      <c r="AZ256" s="26">
        <v>0</v>
      </c>
      <c r="BA256" s="26">
        <v>0</v>
      </c>
      <c r="BB256" s="26">
        <v>0</v>
      </c>
      <c r="BC256" s="26">
        <v>0</v>
      </c>
      <c r="BD256" s="26">
        <v>0</v>
      </c>
      <c r="BE256" s="26">
        <v>0</v>
      </c>
      <c r="BF256" s="26">
        <v>0</v>
      </c>
      <c r="BG256" s="26">
        <v>0</v>
      </c>
      <c r="BH256" s="26">
        <v>0</v>
      </c>
      <c r="BI256" s="26">
        <v>0</v>
      </c>
      <c r="BJ256" s="26">
        <v>0</v>
      </c>
      <c r="BK256" s="26">
        <v>0</v>
      </c>
      <c r="BL256" s="26">
        <v>0</v>
      </c>
      <c r="BM256" s="26">
        <v>0</v>
      </c>
      <c r="BN256" s="26">
        <v>0</v>
      </c>
      <c r="BO256" s="26">
        <v>0</v>
      </c>
      <c r="BP256" s="26">
        <v>0</v>
      </c>
      <c r="BQ256" s="26">
        <v>0</v>
      </c>
      <c r="BR256" s="26">
        <v>4</v>
      </c>
      <c r="BS256" s="26">
        <v>3</v>
      </c>
      <c r="BT256" s="26">
        <v>4</v>
      </c>
      <c r="BU256" s="26">
        <v>5</v>
      </c>
      <c r="BV256" s="26">
        <v>2</v>
      </c>
      <c r="BW256" s="26">
        <v>1</v>
      </c>
      <c r="BX256" s="26">
        <v>2</v>
      </c>
      <c r="BY256" s="26">
        <v>3</v>
      </c>
      <c r="BZ256" s="26">
        <v>3</v>
      </c>
      <c r="CA256" s="26">
        <v>3</v>
      </c>
      <c r="CB256" s="26">
        <v>3</v>
      </c>
      <c r="CC256" s="26">
        <v>5</v>
      </c>
      <c r="CD256" s="26">
        <v>5</v>
      </c>
      <c r="CE256" s="26">
        <v>3</v>
      </c>
      <c r="CF256" s="26">
        <v>3</v>
      </c>
      <c r="CG256" s="26">
        <v>5</v>
      </c>
      <c r="CH256" s="26">
        <v>4</v>
      </c>
      <c r="CI256" s="26">
        <v>4</v>
      </c>
      <c r="CJ256" s="26">
        <v>4</v>
      </c>
      <c r="CK256" s="26">
        <v>10</v>
      </c>
      <c r="CL256" s="24" t="s">
        <v>779</v>
      </c>
      <c r="CM256" s="24">
        <v>43</v>
      </c>
      <c r="CN256" s="27">
        <v>91.8</v>
      </c>
      <c r="CO256" s="27">
        <v>83.4</v>
      </c>
      <c r="CP256" s="27">
        <v>25.8</v>
      </c>
      <c r="CQ256" s="24">
        <v>68.3</v>
      </c>
      <c r="CR256" s="24">
        <v>0</v>
      </c>
      <c r="CS256" s="24">
        <v>0</v>
      </c>
      <c r="CT256" s="24">
        <v>0</v>
      </c>
      <c r="CU256" s="24">
        <v>31.54</v>
      </c>
      <c r="CV256" s="24">
        <v>0</v>
      </c>
      <c r="CW256" s="24">
        <v>0</v>
      </c>
      <c r="CX256" s="24">
        <v>0</v>
      </c>
      <c r="CY256" s="24">
        <v>0</v>
      </c>
      <c r="CZ256" s="24">
        <v>0</v>
      </c>
      <c r="DA256" s="24">
        <v>0</v>
      </c>
      <c r="DB256" s="24">
        <v>48.27</v>
      </c>
      <c r="DC256" s="24">
        <v>58.3</v>
      </c>
      <c r="DD256" s="24">
        <v>1.34</v>
      </c>
      <c r="DE256" s="24">
        <v>0</v>
      </c>
      <c r="DF256" s="24">
        <v>0.16</v>
      </c>
      <c r="DG256" s="24">
        <v>0</v>
      </c>
      <c r="DH256" s="24">
        <v>0</v>
      </c>
      <c r="DU256" s="24">
        <v>11</v>
      </c>
      <c r="DV256" s="24">
        <v>1</v>
      </c>
      <c r="DW256" s="24">
        <v>30</v>
      </c>
      <c r="DX256" s="24">
        <v>1</v>
      </c>
      <c r="DY256" s="24">
        <v>0.73</v>
      </c>
      <c r="DZ256" s="24">
        <v>1</v>
      </c>
      <c r="EG256" s="28"/>
      <c r="EY256" s="24">
        <v>1</v>
      </c>
      <c r="EZ256" s="24">
        <v>60</v>
      </c>
      <c r="FA256" s="24">
        <v>14</v>
      </c>
      <c r="FB256" s="24">
        <f t="shared" si="86"/>
        <v>2.11</v>
      </c>
      <c r="FC256" s="24">
        <v>6</v>
      </c>
      <c r="FD256" s="24">
        <v>50</v>
      </c>
      <c r="FE256" s="24">
        <v>8</v>
      </c>
      <c r="FF256" s="24">
        <f t="shared" si="87"/>
        <v>5.88</v>
      </c>
      <c r="FG256" s="24">
        <v>4</v>
      </c>
      <c r="GJ256" s="27">
        <v>2.4500000000000002</v>
      </c>
      <c r="GK256" s="27">
        <v>1</v>
      </c>
      <c r="GL256" s="27">
        <v>1</v>
      </c>
      <c r="GM256" s="27"/>
      <c r="GN256" s="27">
        <f t="shared" si="88"/>
        <v>0.68</v>
      </c>
      <c r="GO256" s="27">
        <v>2</v>
      </c>
      <c r="GP256" s="27"/>
      <c r="GQ256" s="27">
        <f t="shared" si="89"/>
        <v>6.66</v>
      </c>
      <c r="GR256" s="27"/>
      <c r="GS256" s="27"/>
      <c r="GT256" s="27"/>
      <c r="GU256" s="27">
        <v>3.68</v>
      </c>
      <c r="GV256" s="27">
        <v>1.63</v>
      </c>
      <c r="GW256" s="27"/>
      <c r="GX256" s="27"/>
      <c r="GY256" s="27">
        <v>0</v>
      </c>
      <c r="GZ256" s="27">
        <v>0</v>
      </c>
      <c r="HA256" s="27">
        <v>0</v>
      </c>
      <c r="HB256" s="24">
        <v>0</v>
      </c>
      <c r="HC256" s="24" t="s">
        <v>780</v>
      </c>
      <c r="HD256" s="24">
        <v>46</v>
      </c>
      <c r="HE256" s="27">
        <v>101.6</v>
      </c>
      <c r="HF256" s="27">
        <v>83.4</v>
      </c>
      <c r="HG256" s="27">
        <v>27.8</v>
      </c>
      <c r="HH256" s="24">
        <v>66.040000000000006</v>
      </c>
      <c r="HI256" s="24">
        <v>0</v>
      </c>
      <c r="HJ256" s="24">
        <v>0</v>
      </c>
      <c r="HK256" s="24">
        <v>0</v>
      </c>
      <c r="HL256" s="24">
        <v>35.15</v>
      </c>
      <c r="HM256" s="24">
        <v>0</v>
      </c>
      <c r="HN256" s="24">
        <v>0</v>
      </c>
      <c r="HO256" s="24">
        <v>0</v>
      </c>
      <c r="HP256" s="24">
        <v>0</v>
      </c>
      <c r="HQ256" s="24">
        <v>0</v>
      </c>
      <c r="HR256" s="24">
        <v>0</v>
      </c>
      <c r="HS256" s="24">
        <v>43.27</v>
      </c>
      <c r="HT256" s="24">
        <v>65.02</v>
      </c>
      <c r="HU256" s="24">
        <v>6.59</v>
      </c>
      <c r="HV256" s="24">
        <v>0.88</v>
      </c>
      <c r="HW256" s="24">
        <v>0.16</v>
      </c>
      <c r="HX256" s="24">
        <v>0</v>
      </c>
      <c r="HY256" s="24">
        <v>0</v>
      </c>
      <c r="IL256" s="24">
        <v>14.9</v>
      </c>
      <c r="IM256" s="24">
        <v>1</v>
      </c>
      <c r="IN256" s="24">
        <v>30</v>
      </c>
      <c r="IO256" s="24">
        <v>1</v>
      </c>
      <c r="IP256" s="24">
        <v>0.73</v>
      </c>
      <c r="IQ256" s="24">
        <v>1</v>
      </c>
      <c r="IR256" s="24">
        <v>47</v>
      </c>
      <c r="IS256" s="24">
        <v>1</v>
      </c>
      <c r="IT256" s="24">
        <v>0.11</v>
      </c>
      <c r="IU256" s="24">
        <v>3</v>
      </c>
      <c r="IX256" s="28"/>
      <c r="JP256" s="24">
        <v>1</v>
      </c>
      <c r="JQ256" s="24">
        <v>60</v>
      </c>
      <c r="JR256" s="24">
        <v>4</v>
      </c>
      <c r="JS256" s="24">
        <v>1.68</v>
      </c>
      <c r="JT256" s="24">
        <v>6</v>
      </c>
      <c r="JU256" s="24">
        <v>50</v>
      </c>
      <c r="JV256" s="24">
        <v>8</v>
      </c>
      <c r="JW256" s="24">
        <f t="shared" si="90"/>
        <v>5.88</v>
      </c>
      <c r="JX256" s="24">
        <v>4</v>
      </c>
      <c r="JY256" s="24">
        <v>50</v>
      </c>
      <c r="JZ256" s="24">
        <v>4</v>
      </c>
      <c r="KA256" s="24">
        <v>0.76</v>
      </c>
      <c r="KB256" s="24">
        <v>6</v>
      </c>
      <c r="KC256" s="24">
        <v>80</v>
      </c>
      <c r="KD256" s="24">
        <v>8</v>
      </c>
      <c r="KE256" s="24">
        <f t="shared" si="91"/>
        <v>0.52</v>
      </c>
      <c r="KF256" s="24">
        <v>6</v>
      </c>
      <c r="LA256" s="27">
        <v>2.0499999999999998</v>
      </c>
      <c r="LB256" s="27">
        <v>1</v>
      </c>
      <c r="LC256" s="27">
        <v>1</v>
      </c>
      <c r="LD256" s="27"/>
      <c r="LE256" s="27">
        <f t="shared" si="92"/>
        <v>7.0200000000000005</v>
      </c>
      <c r="LF256" s="27">
        <v>2</v>
      </c>
      <c r="LG256" s="27"/>
      <c r="LH256" s="27">
        <v>6.01</v>
      </c>
      <c r="LI256" s="27"/>
      <c r="LJ256" s="27"/>
      <c r="LK256" s="27"/>
      <c r="LL256" s="27">
        <v>0.86</v>
      </c>
      <c r="LM256" s="27">
        <v>0.85</v>
      </c>
      <c r="LN256" s="27"/>
      <c r="LO256" s="27"/>
      <c r="LP256" s="27">
        <v>0</v>
      </c>
      <c r="LQ256" s="27">
        <v>0</v>
      </c>
      <c r="LR256" s="27">
        <v>0</v>
      </c>
      <c r="LS256" s="24">
        <v>0</v>
      </c>
      <c r="LT256" s="24">
        <v>100</v>
      </c>
      <c r="LU256" s="24">
        <v>29.5</v>
      </c>
      <c r="LV256" s="27">
        <v>94.9</v>
      </c>
      <c r="LW256" s="27">
        <v>83.4</v>
      </c>
      <c r="LX256" s="27">
        <v>17.600000000000001</v>
      </c>
      <c r="LY256" s="24">
        <v>85.6</v>
      </c>
      <c r="LZ256" s="24">
        <v>0</v>
      </c>
      <c r="MA256" s="24">
        <v>0</v>
      </c>
      <c r="MB256" s="24">
        <v>0</v>
      </c>
      <c r="MC256" s="24">
        <v>14.4</v>
      </c>
      <c r="MD256" s="24">
        <v>0</v>
      </c>
      <c r="ME256" s="24">
        <v>0</v>
      </c>
      <c r="MF256" s="24">
        <v>0</v>
      </c>
      <c r="MG256" s="24">
        <v>0</v>
      </c>
      <c r="MH256" s="24">
        <v>0</v>
      </c>
      <c r="MI256" s="24">
        <v>0</v>
      </c>
      <c r="MJ256" s="24">
        <v>1.95</v>
      </c>
      <c r="MK256" s="24">
        <v>9.4499999999999993</v>
      </c>
      <c r="ML256" s="24">
        <v>11.24</v>
      </c>
      <c r="MM256" s="24">
        <v>36.94</v>
      </c>
      <c r="MN256" s="24">
        <v>0</v>
      </c>
      <c r="MO256" s="24">
        <v>11.5</v>
      </c>
      <c r="MP256" s="24">
        <v>1</v>
      </c>
      <c r="MQ256" s="24">
        <v>5</v>
      </c>
      <c r="MS256" s="24">
        <v>4</v>
      </c>
      <c r="NC256" s="24">
        <v>0</v>
      </c>
      <c r="ND256" s="24">
        <v>0</v>
      </c>
      <c r="NO256" s="28"/>
      <c r="OG256" s="24">
        <v>0</v>
      </c>
      <c r="PR256" s="27">
        <v>0.2</v>
      </c>
      <c r="PS256" s="27">
        <v>1</v>
      </c>
      <c r="PT256" s="27">
        <v>1</v>
      </c>
      <c r="PU256" s="27"/>
      <c r="PV256" s="27">
        <f t="shared" si="93"/>
        <v>0.65</v>
      </c>
      <c r="PW256" s="27"/>
      <c r="PX256" s="27"/>
      <c r="PY256" s="27"/>
      <c r="PZ256" s="27"/>
      <c r="QA256" s="27"/>
      <c r="QB256" s="27"/>
      <c r="QC256" s="27">
        <v>0.23</v>
      </c>
      <c r="QD256" s="27">
        <v>0.23</v>
      </c>
      <c r="QE256" s="27"/>
      <c r="QF256" s="27"/>
      <c r="QG256" s="27">
        <v>0</v>
      </c>
      <c r="QH256" s="27">
        <v>0</v>
      </c>
      <c r="QI256" s="27">
        <v>0</v>
      </c>
      <c r="QJ256" s="24">
        <v>0</v>
      </c>
      <c r="QK256" s="24" t="s">
        <v>781</v>
      </c>
      <c r="QL256" s="24">
        <v>47.5</v>
      </c>
      <c r="QM256" s="27">
        <v>49.3</v>
      </c>
      <c r="QN256" s="27">
        <v>83.4</v>
      </c>
      <c r="QO256" s="27">
        <v>35.700000000000003</v>
      </c>
      <c r="QP256" s="24">
        <v>66.48</v>
      </c>
      <c r="QQ256" s="24">
        <v>0</v>
      </c>
      <c r="QR256" s="24">
        <v>6.11</v>
      </c>
      <c r="QS256" s="24">
        <v>0</v>
      </c>
      <c r="QT256" s="24">
        <v>9.56</v>
      </c>
      <c r="QU256" s="24">
        <v>0</v>
      </c>
      <c r="QV256" s="24">
        <v>6.1</v>
      </c>
      <c r="QW256" s="24">
        <v>3.05</v>
      </c>
      <c r="QX256" s="24">
        <v>0</v>
      </c>
      <c r="QY256" s="24">
        <v>0</v>
      </c>
      <c r="QZ256" s="24">
        <v>0</v>
      </c>
      <c r="RA256" s="24">
        <v>0</v>
      </c>
      <c r="RB256" s="24">
        <v>17.78</v>
      </c>
      <c r="RC256" s="24">
        <v>9.1300000000000008</v>
      </c>
      <c r="RD256" s="24">
        <v>2.7</v>
      </c>
      <c r="RE256" s="24">
        <v>11.73</v>
      </c>
      <c r="RF256" s="24">
        <v>0</v>
      </c>
      <c r="RG256" s="24">
        <v>0</v>
      </c>
      <c r="RT256" s="24">
        <v>5.7</v>
      </c>
      <c r="RU256" s="24">
        <v>1</v>
      </c>
      <c r="RV256" s="24">
        <v>30</v>
      </c>
      <c r="RW256" s="24">
        <v>10</v>
      </c>
      <c r="RX256" s="24">
        <f t="shared" si="94"/>
        <v>1.58</v>
      </c>
      <c r="RY256" s="24">
        <v>3</v>
      </c>
      <c r="SF256" s="28"/>
      <c r="SX256" s="24">
        <v>1</v>
      </c>
      <c r="SY256" s="24">
        <v>40</v>
      </c>
      <c r="SZ256" s="24">
        <v>4</v>
      </c>
      <c r="TA256" s="24">
        <v>0.6</v>
      </c>
      <c r="TB256" s="24">
        <v>2</v>
      </c>
      <c r="UI256" s="27">
        <v>0.53</v>
      </c>
      <c r="UJ256" s="27">
        <v>1</v>
      </c>
      <c r="UK256" s="27">
        <v>1</v>
      </c>
      <c r="UL256" s="27"/>
      <c r="UM256" s="27">
        <f t="shared" si="95"/>
        <v>2.64</v>
      </c>
      <c r="UN256" s="27"/>
      <c r="UO256" s="27"/>
      <c r="UP256" s="27"/>
      <c r="UQ256" s="27"/>
      <c r="UR256" s="27"/>
      <c r="US256" s="27"/>
      <c r="UT256" s="27">
        <v>5.0599999999999996</v>
      </c>
      <c r="UU256" s="27">
        <v>1.58</v>
      </c>
      <c r="UV256" s="27"/>
      <c r="UW256" s="27"/>
      <c r="UX256" s="27">
        <v>0</v>
      </c>
      <c r="UY256" s="27">
        <v>0</v>
      </c>
      <c r="UZ256" s="27">
        <v>0</v>
      </c>
      <c r="VA256" s="24">
        <v>0</v>
      </c>
      <c r="VB256" s="24" t="s">
        <v>782</v>
      </c>
      <c r="VC256" s="24">
        <v>71</v>
      </c>
      <c r="VD256" s="27">
        <v>92</v>
      </c>
      <c r="VE256" s="27">
        <v>166.8</v>
      </c>
      <c r="VF256" s="27">
        <v>65</v>
      </c>
      <c r="VG256" s="24">
        <v>28.78</v>
      </c>
      <c r="VH256" s="24">
        <v>0</v>
      </c>
      <c r="VI256" s="24">
        <v>0</v>
      </c>
      <c r="VJ256" s="24">
        <v>0</v>
      </c>
      <c r="VK256" s="24">
        <v>2.5</v>
      </c>
      <c r="VL256" s="24">
        <v>0</v>
      </c>
      <c r="VM256" s="24">
        <v>8.5399999999999991</v>
      </c>
      <c r="VN256" s="24">
        <v>0</v>
      </c>
      <c r="VO256" s="24">
        <v>0</v>
      </c>
      <c r="VP256" s="24">
        <v>2.76</v>
      </c>
      <c r="VQ256" s="24">
        <v>0</v>
      </c>
      <c r="VR256" s="24">
        <v>9.52</v>
      </c>
      <c r="VS256" s="24">
        <v>36.909999999999997</v>
      </c>
      <c r="VT256" s="24">
        <v>26.15</v>
      </c>
      <c r="VU256" s="24">
        <v>1.97</v>
      </c>
      <c r="VV256" s="24">
        <v>60.18</v>
      </c>
      <c r="VW256" s="24">
        <v>0</v>
      </c>
      <c r="VX256" s="24">
        <v>0</v>
      </c>
      <c r="WK256" s="24">
        <v>0.1</v>
      </c>
      <c r="WL256" s="24">
        <v>0</v>
      </c>
      <c r="WW256" s="28"/>
      <c r="XO256" s="24">
        <v>1</v>
      </c>
      <c r="XP256" s="24">
        <v>50</v>
      </c>
      <c r="XQ256" s="24">
        <v>4</v>
      </c>
      <c r="XR256" s="24">
        <f t="shared" si="96"/>
        <v>1.48</v>
      </c>
      <c r="XS256" s="24">
        <v>3</v>
      </c>
      <c r="XT256" s="24">
        <v>40</v>
      </c>
      <c r="XU256" s="24">
        <v>6</v>
      </c>
      <c r="XV256" s="24">
        <v>2.2000000000000002</v>
      </c>
      <c r="XW256" s="24">
        <v>3</v>
      </c>
      <c r="XX256" s="24">
        <v>50</v>
      </c>
      <c r="XY256" s="24">
        <v>1</v>
      </c>
      <c r="XZ256" s="24">
        <v>0.06</v>
      </c>
      <c r="YA256" s="24">
        <v>1</v>
      </c>
      <c r="YB256" s="24">
        <v>60</v>
      </c>
      <c r="YC256" s="24">
        <v>3</v>
      </c>
      <c r="YD256" s="24">
        <v>0.19</v>
      </c>
      <c r="YE256" s="24">
        <v>4</v>
      </c>
      <c r="YZ256" s="27">
        <v>1.1100000000000001</v>
      </c>
      <c r="ZA256" s="27">
        <v>1</v>
      </c>
      <c r="ZB256" s="27">
        <v>1</v>
      </c>
      <c r="ZC256" s="27"/>
      <c r="ZD256" s="27">
        <f t="shared" si="97"/>
        <v>3.96</v>
      </c>
      <c r="ZE256" s="27"/>
      <c r="ZF256" s="27"/>
      <c r="ZG256" s="27"/>
      <c r="ZH256" s="27"/>
      <c r="ZI256" s="27"/>
      <c r="ZJ256" s="27"/>
      <c r="ZK256" s="27">
        <v>1.95</v>
      </c>
      <c r="ZL256" s="27">
        <v>1.96</v>
      </c>
      <c r="ZM256" s="27"/>
      <c r="ZN256" s="27"/>
      <c r="ZO256" s="27">
        <v>2.88</v>
      </c>
      <c r="ZP256" s="27">
        <v>0</v>
      </c>
      <c r="ZQ256" s="27">
        <v>0</v>
      </c>
      <c r="ZR256" s="24">
        <v>2</v>
      </c>
      <c r="ZS256" s="24" t="s">
        <v>783</v>
      </c>
      <c r="ZT256" s="24">
        <v>35</v>
      </c>
      <c r="ZU256" s="27">
        <v>89.3</v>
      </c>
      <c r="ZV256" s="27">
        <v>83.4</v>
      </c>
      <c r="ZW256" s="27">
        <v>12.6</v>
      </c>
      <c r="ZX256" s="24">
        <v>87.93</v>
      </c>
      <c r="ZY256" s="24">
        <v>0</v>
      </c>
      <c r="ZZ256" s="24">
        <v>0</v>
      </c>
      <c r="AAA256" s="24">
        <v>1.49</v>
      </c>
      <c r="AAB256" s="24">
        <v>10.58</v>
      </c>
      <c r="AAC256" s="24">
        <v>0</v>
      </c>
      <c r="AAD256" s="24">
        <v>0</v>
      </c>
      <c r="AAE256" s="24">
        <v>0</v>
      </c>
      <c r="AAF256" s="24">
        <v>0</v>
      </c>
      <c r="AAG256" s="24">
        <v>0</v>
      </c>
      <c r="AAH256" s="24">
        <v>0</v>
      </c>
      <c r="AAI256" s="24">
        <v>0.17</v>
      </c>
      <c r="AAJ256" s="24">
        <v>38.78</v>
      </c>
      <c r="AAK256" s="24">
        <v>29.47</v>
      </c>
      <c r="AAL256" s="24">
        <v>0</v>
      </c>
      <c r="AAM256" s="24">
        <v>0</v>
      </c>
      <c r="AAN256" s="24">
        <v>4</v>
      </c>
      <c r="AAO256" s="24">
        <v>1</v>
      </c>
      <c r="AAP256" s="24">
        <v>3</v>
      </c>
      <c r="AAR256" s="24">
        <v>4</v>
      </c>
      <c r="ABB256" s="24">
        <v>9.6999999999999993</v>
      </c>
      <c r="ABC256" s="24">
        <v>1</v>
      </c>
      <c r="ABD256" s="24">
        <v>68</v>
      </c>
      <c r="ABE256" s="24">
        <v>1</v>
      </c>
      <c r="ABF256" s="24">
        <v>0.02</v>
      </c>
      <c r="ABG256" s="24">
        <v>1</v>
      </c>
      <c r="ABH256" s="24">
        <v>35</v>
      </c>
      <c r="ABI256" s="24">
        <v>10</v>
      </c>
      <c r="ABJ256" s="24">
        <f t="shared" si="98"/>
        <v>2.0900000000000003</v>
      </c>
      <c r="ABK256" s="24">
        <v>3</v>
      </c>
      <c r="ABN256" s="28"/>
      <c r="ACF256" s="24">
        <v>1</v>
      </c>
      <c r="ACG256" s="24">
        <v>50</v>
      </c>
      <c r="ACH256" s="24">
        <f t="shared" si="99"/>
        <v>24</v>
      </c>
      <c r="ACI256" s="24">
        <f t="shared" si="100"/>
        <v>17.38</v>
      </c>
      <c r="ACJ256" s="24">
        <v>1</v>
      </c>
      <c r="ACK256" s="24">
        <v>40</v>
      </c>
      <c r="ACL256" s="24">
        <v>18</v>
      </c>
      <c r="ACM256" s="24">
        <f t="shared" si="101"/>
        <v>4.5600000000000005</v>
      </c>
      <c r="ACN256" s="24">
        <v>1</v>
      </c>
      <c r="ACO256" s="24">
        <v>40</v>
      </c>
      <c r="ACP256" s="24">
        <v>2</v>
      </c>
      <c r="ACQ256" s="24">
        <v>0.12</v>
      </c>
      <c r="ACR256" s="24">
        <v>5</v>
      </c>
      <c r="ACS256" s="24">
        <v>50</v>
      </c>
      <c r="ACT256" s="24">
        <v>1</v>
      </c>
      <c r="ACU256" s="24">
        <v>0.22</v>
      </c>
      <c r="ACV256" s="24">
        <v>6</v>
      </c>
      <c r="ACW256" s="24">
        <v>40</v>
      </c>
      <c r="ACX256" s="24">
        <v>3</v>
      </c>
      <c r="ACY256" s="24">
        <v>0.16</v>
      </c>
      <c r="ACZ256" s="24">
        <v>6</v>
      </c>
      <c r="ADQ256" s="27">
        <v>0.68</v>
      </c>
      <c r="ADR256" s="27">
        <v>1</v>
      </c>
      <c r="ADS256" s="27">
        <v>1</v>
      </c>
      <c r="ADT256" s="27"/>
      <c r="ADU256" s="27">
        <f t="shared" si="102"/>
        <v>3.4299999999999997</v>
      </c>
      <c r="ADV256" s="27"/>
      <c r="ADW256" s="27"/>
      <c r="ADX256" s="27"/>
      <c r="ADY256" s="27"/>
      <c r="ADZ256" s="27"/>
      <c r="AEA256" s="27"/>
      <c r="AEB256" s="27">
        <v>7.83</v>
      </c>
      <c r="AEC256" s="27">
        <v>8.68</v>
      </c>
      <c r="AED256" s="27"/>
      <c r="AEE256" s="27"/>
      <c r="AEF256" s="27">
        <v>0</v>
      </c>
      <c r="AEG256" s="27">
        <v>0</v>
      </c>
      <c r="AEH256" s="27">
        <v>0</v>
      </c>
      <c r="AEI256" s="24">
        <v>0</v>
      </c>
      <c r="AEJ256" s="24" t="s">
        <v>784</v>
      </c>
      <c r="AEK256" s="24">
        <v>38</v>
      </c>
      <c r="AEL256" s="27">
        <v>92.6</v>
      </c>
      <c r="AEM256" s="27">
        <v>83.4</v>
      </c>
      <c r="AEN256" s="27">
        <v>16.5</v>
      </c>
      <c r="AEO256" s="24">
        <v>77.87</v>
      </c>
      <c r="AEP256" s="24">
        <v>0</v>
      </c>
      <c r="AEQ256" s="24">
        <v>0</v>
      </c>
      <c r="AER256" s="24">
        <v>0</v>
      </c>
      <c r="AES256" s="24">
        <v>21.87</v>
      </c>
      <c r="AET256" s="24">
        <v>0</v>
      </c>
      <c r="AEU256" s="24">
        <v>0</v>
      </c>
      <c r="AEV256" s="24">
        <v>0</v>
      </c>
      <c r="AEW256" s="24">
        <v>0</v>
      </c>
      <c r="AEX256" s="24">
        <v>0</v>
      </c>
      <c r="AEY256" s="24">
        <v>0</v>
      </c>
      <c r="AEZ256" s="24">
        <v>0.28999999999999998</v>
      </c>
      <c r="AFA256" s="24">
        <v>38.85</v>
      </c>
      <c r="AFB256" s="24">
        <v>37.36</v>
      </c>
      <c r="AFC256" s="24">
        <v>5.57</v>
      </c>
      <c r="AFD256" s="24">
        <v>0</v>
      </c>
      <c r="AFE256" s="24">
        <v>0</v>
      </c>
      <c r="AFF256" s="24">
        <v>0</v>
      </c>
      <c r="AFS256" s="24">
        <v>17.5</v>
      </c>
      <c r="AFT256" s="24">
        <v>0</v>
      </c>
      <c r="AGE256" s="28"/>
      <c r="AGW256" s="24">
        <v>1</v>
      </c>
      <c r="AGX256" s="24">
        <v>70</v>
      </c>
      <c r="AGY256" s="24">
        <f t="shared" si="103"/>
        <v>27</v>
      </c>
      <c r="AGZ256" s="24">
        <f t="shared" si="104"/>
        <v>18.189999999999998</v>
      </c>
      <c r="AHA256" s="24">
        <v>1</v>
      </c>
      <c r="AIH256" s="27">
        <v>3.74</v>
      </c>
      <c r="AII256" s="27">
        <v>1</v>
      </c>
      <c r="AIJ256" s="27">
        <v>1</v>
      </c>
      <c r="AIK256" s="27"/>
      <c r="AIL256" s="27">
        <f t="shared" si="105"/>
        <v>6.99</v>
      </c>
      <c r="AIM256" s="27">
        <v>2</v>
      </c>
      <c r="AIN256" s="27"/>
      <c r="AIO256" s="27">
        <v>0.91</v>
      </c>
      <c r="AIP256" s="27"/>
      <c r="AIQ256" s="27"/>
      <c r="AIR256" s="27"/>
      <c r="AIS256" s="27">
        <v>0.19</v>
      </c>
      <c r="AIT256" s="27">
        <v>0.19</v>
      </c>
      <c r="AIU256" s="27"/>
      <c r="AIV256" s="27"/>
      <c r="AIW256" s="27">
        <v>0</v>
      </c>
      <c r="AIX256" s="27">
        <v>0</v>
      </c>
      <c r="AIY256" s="27">
        <v>0</v>
      </c>
      <c r="AIZ256" s="24">
        <v>0</v>
      </c>
      <c r="AJA256" s="24" t="s">
        <v>785</v>
      </c>
      <c r="AJB256" s="24">
        <v>37.5</v>
      </c>
      <c r="AJC256" s="27">
        <v>94.9</v>
      </c>
      <c r="AJD256" s="27">
        <v>83.4</v>
      </c>
      <c r="AJE256" s="27">
        <v>16</v>
      </c>
      <c r="AJF256" s="24">
        <v>79.430000000000007</v>
      </c>
      <c r="AJG256" s="24">
        <v>0</v>
      </c>
      <c r="AJH256" s="24">
        <v>0</v>
      </c>
      <c r="AJI256" s="24">
        <v>0</v>
      </c>
      <c r="AJJ256" s="24">
        <v>20.309999999999999</v>
      </c>
      <c r="AJK256" s="24">
        <v>0</v>
      </c>
      <c r="AJL256" s="24">
        <v>0</v>
      </c>
      <c r="AJM256" s="24">
        <v>0</v>
      </c>
      <c r="AJN256" s="24">
        <v>0</v>
      </c>
      <c r="AJO256" s="24">
        <v>0</v>
      </c>
      <c r="AJP256" s="24">
        <v>0</v>
      </c>
      <c r="AJQ256" s="24">
        <v>0.28999999999999998</v>
      </c>
      <c r="AJR256" s="24">
        <v>37.58</v>
      </c>
      <c r="AJS256" s="24">
        <v>37.76</v>
      </c>
      <c r="AJT256" s="24">
        <v>5.57</v>
      </c>
      <c r="AJU256" s="24">
        <v>0</v>
      </c>
      <c r="AJV256" s="24">
        <v>0</v>
      </c>
      <c r="AJW256" s="24">
        <v>0</v>
      </c>
      <c r="AKJ256" s="24">
        <v>17.5</v>
      </c>
      <c r="AKK256" s="24">
        <v>0</v>
      </c>
      <c r="AKV256" s="28"/>
      <c r="ALN256" s="24">
        <v>1</v>
      </c>
      <c r="ALO256" s="24">
        <v>71</v>
      </c>
      <c r="ALP256" s="24">
        <f>8*3+3</f>
        <v>27</v>
      </c>
      <c r="ALQ256" s="24">
        <f>5.87*3+0.58</f>
        <v>18.189999999999998</v>
      </c>
      <c r="ALR256" s="24">
        <v>2</v>
      </c>
    </row>
    <row r="257" spans="1:1024" x14ac:dyDescent="0.2">
      <c r="A257" s="22" t="s">
        <v>787</v>
      </c>
      <c r="B257" s="23">
        <v>42909</v>
      </c>
      <c r="C257" s="24">
        <v>2</v>
      </c>
      <c r="D257" s="25">
        <v>40728</v>
      </c>
      <c r="E257" s="23">
        <v>42824</v>
      </c>
      <c r="F257" s="14">
        <f t="shared" si="62"/>
        <v>0.2327173169062286</v>
      </c>
      <c r="G257" s="14">
        <f t="shared" si="63"/>
        <v>5.9712525667351128</v>
      </c>
      <c r="H257" s="26" t="s">
        <v>306</v>
      </c>
      <c r="I257" s="21" t="s">
        <v>777</v>
      </c>
      <c r="J257" s="21" t="s">
        <v>183</v>
      </c>
      <c r="K257" s="21">
        <v>8</v>
      </c>
      <c r="L257" s="26">
        <v>67</v>
      </c>
      <c r="M257" s="24">
        <v>1.72</v>
      </c>
      <c r="N257" s="27">
        <f t="shared" si="64"/>
        <v>22.647376960519203</v>
      </c>
      <c r="O257" s="26">
        <v>0</v>
      </c>
      <c r="P257" s="26">
        <v>0</v>
      </c>
      <c r="Q257" s="26">
        <v>0</v>
      </c>
      <c r="R257" s="26">
        <v>0</v>
      </c>
      <c r="S257" s="26">
        <v>0</v>
      </c>
      <c r="T257" s="26">
        <v>0</v>
      </c>
      <c r="U257" s="19">
        <v>0</v>
      </c>
      <c r="V257" s="19">
        <v>0</v>
      </c>
      <c r="W257" s="26">
        <v>0</v>
      </c>
      <c r="X257" s="26">
        <v>0</v>
      </c>
      <c r="Y257" s="26">
        <v>1</v>
      </c>
      <c r="Z257" s="26">
        <v>2</v>
      </c>
      <c r="AA257" s="26">
        <v>120</v>
      </c>
      <c r="AB257" s="26" t="s">
        <v>747</v>
      </c>
      <c r="AC257" s="26">
        <v>0</v>
      </c>
      <c r="AD257" s="26">
        <v>0</v>
      </c>
      <c r="AE257" s="26">
        <v>0</v>
      </c>
      <c r="AF257" s="26">
        <v>0</v>
      </c>
      <c r="AG257" s="26">
        <v>0</v>
      </c>
      <c r="AH257" s="26">
        <v>0</v>
      </c>
      <c r="AI257" s="26">
        <v>0</v>
      </c>
      <c r="AJ257" s="26">
        <v>0</v>
      </c>
      <c r="AK257" s="26">
        <v>0</v>
      </c>
      <c r="AL257" s="26">
        <v>0</v>
      </c>
      <c r="AM257" s="26">
        <v>0</v>
      </c>
      <c r="AN257" s="26">
        <v>0</v>
      </c>
      <c r="AO257" s="26">
        <v>0</v>
      </c>
      <c r="AP257" s="26">
        <v>0</v>
      </c>
      <c r="AQ257" s="26">
        <v>0</v>
      </c>
      <c r="AR257" s="26">
        <v>0</v>
      </c>
      <c r="AS257" s="26">
        <v>3</v>
      </c>
      <c r="AT257" s="26">
        <v>0</v>
      </c>
      <c r="AU257" s="26">
        <v>3</v>
      </c>
      <c r="AV257" s="26">
        <v>6</v>
      </c>
      <c r="AW257" s="26">
        <v>4</v>
      </c>
      <c r="AX257" s="26">
        <v>0</v>
      </c>
      <c r="AY257" s="26">
        <v>0</v>
      </c>
      <c r="AZ257" s="26">
        <v>0</v>
      </c>
      <c r="BA257" s="26">
        <v>0</v>
      </c>
      <c r="BB257" s="26">
        <v>0</v>
      </c>
      <c r="BC257" s="26">
        <v>0</v>
      </c>
      <c r="BD257" s="26">
        <v>0</v>
      </c>
      <c r="BE257" s="26">
        <v>0</v>
      </c>
      <c r="BF257" s="26">
        <v>0</v>
      </c>
      <c r="BG257" s="26">
        <v>0</v>
      </c>
      <c r="BH257" s="26">
        <v>0</v>
      </c>
      <c r="BI257" s="26">
        <v>0</v>
      </c>
      <c r="BJ257" s="26">
        <v>1</v>
      </c>
      <c r="BK257" s="26">
        <v>0</v>
      </c>
      <c r="BL257" s="26">
        <v>1</v>
      </c>
      <c r="BM257" s="26">
        <v>6</v>
      </c>
      <c r="BN257" s="26">
        <v>0</v>
      </c>
      <c r="BO257" s="26">
        <v>0</v>
      </c>
      <c r="BP257" s="26">
        <v>0</v>
      </c>
      <c r="BQ257" s="26">
        <v>0</v>
      </c>
      <c r="BR257" s="26">
        <v>3</v>
      </c>
      <c r="BS257" s="26">
        <v>3</v>
      </c>
      <c r="BT257" s="26">
        <v>4</v>
      </c>
      <c r="BU257" s="26">
        <v>4</v>
      </c>
      <c r="BV257" s="26">
        <v>3</v>
      </c>
      <c r="BW257" s="26">
        <v>3</v>
      </c>
      <c r="BX257" s="26">
        <v>4</v>
      </c>
      <c r="BY257" s="26">
        <v>4</v>
      </c>
      <c r="BZ257" s="26">
        <v>5</v>
      </c>
      <c r="CA257" s="26">
        <v>5</v>
      </c>
      <c r="CB257" s="26">
        <v>5</v>
      </c>
      <c r="CC257" s="26">
        <v>5</v>
      </c>
      <c r="CD257" s="26">
        <v>3</v>
      </c>
      <c r="CE257" s="26">
        <v>4</v>
      </c>
      <c r="CF257" s="26">
        <v>4</v>
      </c>
      <c r="CG257" s="26">
        <v>4</v>
      </c>
      <c r="CH257" s="26">
        <v>4</v>
      </c>
      <c r="CI257" s="26">
        <v>4</v>
      </c>
      <c r="CJ257" s="26">
        <v>5</v>
      </c>
      <c r="CK257" s="26">
        <v>8</v>
      </c>
      <c r="CL257" s="24" t="s">
        <v>779</v>
      </c>
      <c r="CM257" s="24">
        <v>43</v>
      </c>
      <c r="CN257" s="27">
        <v>91.8</v>
      </c>
      <c r="CO257" s="27">
        <v>83.4</v>
      </c>
      <c r="CP257" s="27">
        <v>25.8</v>
      </c>
      <c r="CQ257" s="24">
        <v>68.3</v>
      </c>
      <c r="CR257" s="24">
        <v>0</v>
      </c>
      <c r="CS257" s="24">
        <v>0</v>
      </c>
      <c r="CT257" s="24">
        <v>0</v>
      </c>
      <c r="CU257" s="24">
        <v>31.54</v>
      </c>
      <c r="CV257" s="24">
        <v>0</v>
      </c>
      <c r="CW257" s="24">
        <v>0</v>
      </c>
      <c r="CX257" s="24">
        <v>0</v>
      </c>
      <c r="CY257" s="24">
        <v>0</v>
      </c>
      <c r="CZ257" s="24">
        <v>0</v>
      </c>
      <c r="DA257" s="24">
        <v>0</v>
      </c>
      <c r="DB257" s="24">
        <v>48.27</v>
      </c>
      <c r="DC257" s="24">
        <v>58.3</v>
      </c>
      <c r="DD257" s="24">
        <v>1.34</v>
      </c>
      <c r="DE257" s="24">
        <v>0</v>
      </c>
      <c r="DF257" s="24">
        <v>0.16</v>
      </c>
      <c r="DG257" s="24">
        <v>0</v>
      </c>
      <c r="DH257" s="24">
        <v>0</v>
      </c>
      <c r="DU257" s="24">
        <v>11</v>
      </c>
      <c r="DV257" s="24">
        <v>1</v>
      </c>
      <c r="DW257" s="24">
        <v>30</v>
      </c>
      <c r="DX257" s="24">
        <v>1</v>
      </c>
      <c r="DY257" s="24">
        <v>0.73</v>
      </c>
      <c r="DZ257" s="24">
        <v>1</v>
      </c>
      <c r="EG257" s="28"/>
      <c r="EY257" s="24">
        <v>1</v>
      </c>
      <c r="EZ257" s="24">
        <v>60</v>
      </c>
      <c r="FA257" s="24">
        <v>14</v>
      </c>
      <c r="FB257" s="24">
        <f t="shared" si="86"/>
        <v>2.11</v>
      </c>
      <c r="FC257" s="24">
        <v>6</v>
      </c>
      <c r="FD257" s="24">
        <v>50</v>
      </c>
      <c r="FE257" s="24">
        <v>8</v>
      </c>
      <c r="FF257" s="24">
        <f t="shared" si="87"/>
        <v>5.88</v>
      </c>
      <c r="FG257" s="24">
        <v>4</v>
      </c>
      <c r="GJ257" s="27">
        <v>2.4500000000000002</v>
      </c>
      <c r="GK257" s="27">
        <v>1</v>
      </c>
      <c r="GL257" s="27">
        <v>1</v>
      </c>
      <c r="GM257" s="27"/>
      <c r="GN257" s="27">
        <f t="shared" si="88"/>
        <v>0.68</v>
      </c>
      <c r="GO257" s="27">
        <v>2</v>
      </c>
      <c r="GP257" s="27"/>
      <c r="GQ257" s="27">
        <f t="shared" si="89"/>
        <v>6.66</v>
      </c>
      <c r="GR257" s="27"/>
      <c r="GS257" s="27"/>
      <c r="GT257" s="27"/>
      <c r="GU257" s="27">
        <v>3.68</v>
      </c>
      <c r="GV257" s="27">
        <v>1.63</v>
      </c>
      <c r="GW257" s="27"/>
      <c r="GX257" s="27"/>
      <c r="GY257" s="27">
        <v>0</v>
      </c>
      <c r="GZ257" s="27">
        <v>0</v>
      </c>
      <c r="HA257" s="27">
        <v>0</v>
      </c>
      <c r="HB257" s="24">
        <v>0</v>
      </c>
      <c r="HC257" s="24" t="s">
        <v>780</v>
      </c>
      <c r="HD257" s="24">
        <v>46</v>
      </c>
      <c r="HE257" s="27">
        <v>101.6</v>
      </c>
      <c r="HF257" s="27">
        <v>83.4</v>
      </c>
      <c r="HG257" s="27">
        <v>27.8</v>
      </c>
      <c r="HH257" s="24">
        <v>66.040000000000006</v>
      </c>
      <c r="HI257" s="24">
        <v>0</v>
      </c>
      <c r="HJ257" s="24">
        <v>0</v>
      </c>
      <c r="HK257" s="24">
        <v>0</v>
      </c>
      <c r="HL257" s="24">
        <v>35.15</v>
      </c>
      <c r="HM257" s="24">
        <v>0</v>
      </c>
      <c r="HN257" s="24">
        <v>0</v>
      </c>
      <c r="HO257" s="24">
        <v>0</v>
      </c>
      <c r="HP257" s="24">
        <v>0</v>
      </c>
      <c r="HQ257" s="24">
        <v>0</v>
      </c>
      <c r="HR257" s="24">
        <v>0</v>
      </c>
      <c r="HS257" s="24">
        <v>43.27</v>
      </c>
      <c r="HT257" s="24">
        <v>65.02</v>
      </c>
      <c r="HU257" s="24">
        <v>6.59</v>
      </c>
      <c r="HV257" s="24">
        <v>0.88</v>
      </c>
      <c r="HW257" s="24">
        <v>0.16</v>
      </c>
      <c r="HX257" s="24">
        <v>0</v>
      </c>
      <c r="HY257" s="24">
        <v>0</v>
      </c>
      <c r="IL257" s="24">
        <v>14.9</v>
      </c>
      <c r="IM257" s="24">
        <v>1</v>
      </c>
      <c r="IN257" s="24">
        <v>30</v>
      </c>
      <c r="IO257" s="24">
        <v>1</v>
      </c>
      <c r="IP257" s="24">
        <v>0.73</v>
      </c>
      <c r="IQ257" s="24">
        <v>1</v>
      </c>
      <c r="IR257" s="24">
        <v>47</v>
      </c>
      <c r="IS257" s="24">
        <v>1</v>
      </c>
      <c r="IT257" s="24">
        <v>0.11</v>
      </c>
      <c r="IU257" s="24">
        <v>3</v>
      </c>
      <c r="IX257" s="28"/>
      <c r="JP257" s="24">
        <v>1</v>
      </c>
      <c r="JQ257" s="24">
        <v>60</v>
      </c>
      <c r="JR257" s="24">
        <v>4</v>
      </c>
      <c r="JS257" s="24">
        <v>1.68</v>
      </c>
      <c r="JT257" s="24">
        <v>6</v>
      </c>
      <c r="JU257" s="24">
        <v>50</v>
      </c>
      <c r="JV257" s="24">
        <v>8</v>
      </c>
      <c r="JW257" s="24">
        <f t="shared" si="90"/>
        <v>5.88</v>
      </c>
      <c r="JX257" s="24">
        <v>4</v>
      </c>
      <c r="JY257" s="24">
        <v>50</v>
      </c>
      <c r="JZ257" s="24">
        <v>4</v>
      </c>
      <c r="KA257" s="24">
        <v>0.76</v>
      </c>
      <c r="KB257" s="24">
        <v>6</v>
      </c>
      <c r="KC257" s="24">
        <v>80</v>
      </c>
      <c r="KD257" s="24">
        <v>8</v>
      </c>
      <c r="KE257" s="24">
        <f t="shared" si="91"/>
        <v>0.52</v>
      </c>
      <c r="KF257" s="24">
        <v>6</v>
      </c>
      <c r="LA257" s="27">
        <v>2.0499999999999998</v>
      </c>
      <c r="LB257" s="27">
        <v>1</v>
      </c>
      <c r="LC257" s="27">
        <v>1</v>
      </c>
      <c r="LD257" s="27"/>
      <c r="LE257" s="27">
        <f t="shared" si="92"/>
        <v>7.0200000000000005</v>
      </c>
      <c r="LF257" s="27">
        <v>2</v>
      </c>
      <c r="LG257" s="27"/>
      <c r="LH257" s="27">
        <v>6.01</v>
      </c>
      <c r="LI257" s="27"/>
      <c r="LJ257" s="27"/>
      <c r="LK257" s="27"/>
      <c r="LL257" s="27">
        <v>0.86</v>
      </c>
      <c r="LM257" s="27">
        <v>0.85</v>
      </c>
      <c r="LN257" s="27"/>
      <c r="LO257" s="27"/>
      <c r="LP257" s="27">
        <v>0</v>
      </c>
      <c r="LQ257" s="27">
        <v>0</v>
      </c>
      <c r="LR257" s="27">
        <v>0</v>
      </c>
      <c r="LS257" s="24">
        <v>0</v>
      </c>
      <c r="LT257" s="24">
        <v>100</v>
      </c>
      <c r="LU257" s="24">
        <v>29.5</v>
      </c>
      <c r="LV257" s="27">
        <v>94.9</v>
      </c>
      <c r="LW257" s="27">
        <v>83.4</v>
      </c>
      <c r="LX257" s="27">
        <v>17.600000000000001</v>
      </c>
      <c r="LY257" s="24">
        <v>85.6</v>
      </c>
      <c r="LZ257" s="24">
        <v>0</v>
      </c>
      <c r="MA257" s="24">
        <v>0</v>
      </c>
      <c r="MB257" s="24">
        <v>0</v>
      </c>
      <c r="MC257" s="24">
        <v>14.4</v>
      </c>
      <c r="MD257" s="24">
        <v>0</v>
      </c>
      <c r="ME257" s="24">
        <v>0</v>
      </c>
      <c r="MF257" s="24">
        <v>0</v>
      </c>
      <c r="MG257" s="24">
        <v>0</v>
      </c>
      <c r="MH257" s="24">
        <v>0</v>
      </c>
      <c r="MI257" s="24">
        <v>0</v>
      </c>
      <c r="MJ257" s="24">
        <v>1.95</v>
      </c>
      <c r="MK257" s="24">
        <v>9.4499999999999993</v>
      </c>
      <c r="ML257" s="24">
        <v>11.24</v>
      </c>
      <c r="MM257" s="24">
        <v>36.94</v>
      </c>
      <c r="MN257" s="24">
        <v>0</v>
      </c>
      <c r="MO257" s="24">
        <v>11.5</v>
      </c>
      <c r="MP257" s="24">
        <v>1</v>
      </c>
      <c r="MQ257" s="24">
        <v>5</v>
      </c>
      <c r="MS257" s="24">
        <v>4</v>
      </c>
      <c r="NC257" s="24">
        <v>0</v>
      </c>
      <c r="ND257" s="24">
        <v>0</v>
      </c>
      <c r="NO257" s="28"/>
      <c r="OG257" s="24">
        <v>0</v>
      </c>
      <c r="PR257" s="27">
        <v>0.2</v>
      </c>
      <c r="PS257" s="27">
        <v>1</v>
      </c>
      <c r="PT257" s="27">
        <v>1</v>
      </c>
      <c r="PU257" s="27"/>
      <c r="PV257" s="27">
        <f t="shared" si="93"/>
        <v>0.65</v>
      </c>
      <c r="PW257" s="27"/>
      <c r="PX257" s="27"/>
      <c r="PY257" s="27"/>
      <c r="PZ257" s="27"/>
      <c r="QA257" s="27"/>
      <c r="QB257" s="27"/>
      <c r="QC257" s="27">
        <v>0.23</v>
      </c>
      <c r="QD257" s="27">
        <v>0.23</v>
      </c>
      <c r="QE257" s="27"/>
      <c r="QF257" s="27"/>
      <c r="QG257" s="27">
        <v>0</v>
      </c>
      <c r="QH257" s="27">
        <v>0</v>
      </c>
      <c r="QI257" s="27">
        <v>0</v>
      </c>
      <c r="QJ257" s="24">
        <v>0</v>
      </c>
      <c r="QK257" s="24" t="s">
        <v>781</v>
      </c>
      <c r="QL257" s="24">
        <v>47.5</v>
      </c>
      <c r="QM257" s="27">
        <v>49.3</v>
      </c>
      <c r="QN257" s="27">
        <v>83.4</v>
      </c>
      <c r="QO257" s="27">
        <v>35.700000000000003</v>
      </c>
      <c r="QP257" s="24">
        <v>66.48</v>
      </c>
      <c r="QQ257" s="24">
        <v>0</v>
      </c>
      <c r="QR257" s="24">
        <v>6.11</v>
      </c>
      <c r="QS257" s="24">
        <v>0</v>
      </c>
      <c r="QT257" s="24">
        <v>9.56</v>
      </c>
      <c r="QU257" s="24">
        <v>0</v>
      </c>
      <c r="QV257" s="24">
        <v>6.1</v>
      </c>
      <c r="QW257" s="24">
        <v>3.05</v>
      </c>
      <c r="QX257" s="24">
        <v>0</v>
      </c>
      <c r="QY257" s="24">
        <v>0</v>
      </c>
      <c r="QZ257" s="24">
        <v>0</v>
      </c>
      <c r="RA257" s="24">
        <v>0</v>
      </c>
      <c r="RB257" s="24">
        <v>17.78</v>
      </c>
      <c r="RC257" s="24">
        <v>9.1300000000000008</v>
      </c>
      <c r="RD257" s="24">
        <v>2.7</v>
      </c>
      <c r="RE257" s="24">
        <v>11.73</v>
      </c>
      <c r="RF257" s="24">
        <v>0</v>
      </c>
      <c r="RG257" s="24">
        <v>0</v>
      </c>
      <c r="RT257" s="24">
        <v>5.7</v>
      </c>
      <c r="RU257" s="24">
        <v>1</v>
      </c>
      <c r="RV257" s="24">
        <v>30</v>
      </c>
      <c r="RW257" s="24">
        <v>10</v>
      </c>
      <c r="RX257" s="24">
        <f t="shared" si="94"/>
        <v>1.58</v>
      </c>
      <c r="RY257" s="24">
        <v>3</v>
      </c>
      <c r="SF257" s="28"/>
      <c r="SX257" s="24">
        <v>1</v>
      </c>
      <c r="SY257" s="24">
        <v>40</v>
      </c>
      <c r="SZ257" s="24">
        <v>4</v>
      </c>
      <c r="TA257" s="24">
        <v>0.6</v>
      </c>
      <c r="TB257" s="24">
        <v>2</v>
      </c>
      <c r="UI257" s="27">
        <v>0.53</v>
      </c>
      <c r="UJ257" s="27">
        <v>1</v>
      </c>
      <c r="UK257" s="27">
        <v>1</v>
      </c>
      <c r="UL257" s="27"/>
      <c r="UM257" s="27">
        <f t="shared" si="95"/>
        <v>2.64</v>
      </c>
      <c r="UN257" s="27"/>
      <c r="UO257" s="27"/>
      <c r="UP257" s="27"/>
      <c r="UQ257" s="27"/>
      <c r="UR257" s="27"/>
      <c r="US257" s="27"/>
      <c r="UT257" s="27">
        <v>5.0599999999999996</v>
      </c>
      <c r="UU257" s="27">
        <v>1.58</v>
      </c>
      <c r="UV257" s="27"/>
      <c r="UW257" s="27"/>
      <c r="UX257" s="27">
        <v>0</v>
      </c>
      <c r="UY257" s="27">
        <v>0</v>
      </c>
      <c r="UZ257" s="27">
        <v>0</v>
      </c>
      <c r="VA257" s="24">
        <v>0</v>
      </c>
      <c r="VB257" s="24" t="s">
        <v>782</v>
      </c>
      <c r="VC257" s="24">
        <v>71</v>
      </c>
      <c r="VD257" s="27">
        <v>92</v>
      </c>
      <c r="VE257" s="27">
        <v>166.8</v>
      </c>
      <c r="VF257" s="27">
        <v>65</v>
      </c>
      <c r="VG257" s="24">
        <v>28.78</v>
      </c>
      <c r="VH257" s="24">
        <v>0</v>
      </c>
      <c r="VI257" s="24">
        <v>0</v>
      </c>
      <c r="VJ257" s="24">
        <v>0</v>
      </c>
      <c r="VK257" s="24">
        <v>2.5</v>
      </c>
      <c r="VL257" s="24">
        <v>0</v>
      </c>
      <c r="VM257" s="24">
        <v>8.5399999999999991</v>
      </c>
      <c r="VN257" s="24">
        <v>0</v>
      </c>
      <c r="VO257" s="24">
        <v>0</v>
      </c>
      <c r="VP257" s="24">
        <v>2.76</v>
      </c>
      <c r="VQ257" s="24">
        <v>0</v>
      </c>
      <c r="VR257" s="24">
        <v>9.52</v>
      </c>
      <c r="VS257" s="24">
        <v>36.909999999999997</v>
      </c>
      <c r="VT257" s="24">
        <v>26.15</v>
      </c>
      <c r="VU257" s="24">
        <v>1.97</v>
      </c>
      <c r="VV257" s="24">
        <v>60.18</v>
      </c>
      <c r="VW257" s="24">
        <v>0</v>
      </c>
      <c r="VX257" s="24">
        <v>0</v>
      </c>
      <c r="WK257" s="24">
        <v>0.1</v>
      </c>
      <c r="WL257" s="24">
        <v>0</v>
      </c>
      <c r="WW257" s="28"/>
      <c r="XO257" s="24">
        <v>1</v>
      </c>
      <c r="XP257" s="24">
        <v>50</v>
      </c>
      <c r="XQ257" s="24">
        <v>4</v>
      </c>
      <c r="XR257" s="24">
        <f t="shared" si="96"/>
        <v>1.48</v>
      </c>
      <c r="XS257" s="24">
        <v>3</v>
      </c>
      <c r="XT257" s="24">
        <v>40</v>
      </c>
      <c r="XU257" s="24">
        <v>6</v>
      </c>
      <c r="XV257" s="24">
        <v>2.2000000000000002</v>
      </c>
      <c r="XW257" s="24">
        <v>3</v>
      </c>
      <c r="XX257" s="24">
        <v>50</v>
      </c>
      <c r="XY257" s="24">
        <v>1</v>
      </c>
      <c r="XZ257" s="24">
        <v>0.06</v>
      </c>
      <c r="YA257" s="24">
        <v>1</v>
      </c>
      <c r="YB257" s="24">
        <v>60</v>
      </c>
      <c r="YC257" s="24">
        <v>3</v>
      </c>
      <c r="YD257" s="24">
        <v>0.19</v>
      </c>
      <c r="YE257" s="24">
        <v>4</v>
      </c>
      <c r="YZ257" s="27">
        <v>1.1100000000000001</v>
      </c>
      <c r="ZA257" s="27">
        <v>1</v>
      </c>
      <c r="ZB257" s="27">
        <v>1</v>
      </c>
      <c r="ZC257" s="27"/>
      <c r="ZD257" s="27">
        <f t="shared" si="97"/>
        <v>3.96</v>
      </c>
      <c r="ZE257" s="27"/>
      <c r="ZF257" s="27"/>
      <c r="ZG257" s="27"/>
      <c r="ZH257" s="27"/>
      <c r="ZI257" s="27"/>
      <c r="ZJ257" s="27"/>
      <c r="ZK257" s="27">
        <v>1.95</v>
      </c>
      <c r="ZL257" s="27">
        <v>1.96</v>
      </c>
      <c r="ZM257" s="27"/>
      <c r="ZN257" s="27"/>
      <c r="ZO257" s="27">
        <v>2.88</v>
      </c>
      <c r="ZP257" s="27">
        <v>0</v>
      </c>
      <c r="ZQ257" s="27">
        <v>0</v>
      </c>
      <c r="ZR257" s="24">
        <v>2</v>
      </c>
      <c r="ZS257" s="24" t="s">
        <v>783</v>
      </c>
      <c r="ZT257" s="24">
        <v>35</v>
      </c>
      <c r="ZU257" s="27">
        <v>89.3</v>
      </c>
      <c r="ZV257" s="27">
        <v>83.4</v>
      </c>
      <c r="ZW257" s="27">
        <v>12.6</v>
      </c>
      <c r="ZX257" s="24">
        <v>87.93</v>
      </c>
      <c r="ZY257" s="24">
        <v>0</v>
      </c>
      <c r="ZZ257" s="24">
        <v>0</v>
      </c>
      <c r="AAA257" s="24">
        <v>1.49</v>
      </c>
      <c r="AAB257" s="24">
        <v>10.58</v>
      </c>
      <c r="AAC257" s="24">
        <v>0</v>
      </c>
      <c r="AAD257" s="24">
        <v>0</v>
      </c>
      <c r="AAE257" s="24">
        <v>0</v>
      </c>
      <c r="AAF257" s="24">
        <v>0</v>
      </c>
      <c r="AAG257" s="24">
        <v>0</v>
      </c>
      <c r="AAH257" s="24">
        <v>0</v>
      </c>
      <c r="AAI257" s="24">
        <v>0.17</v>
      </c>
      <c r="AAJ257" s="24">
        <v>38.78</v>
      </c>
      <c r="AAK257" s="24">
        <v>29.47</v>
      </c>
      <c r="AAL257" s="24">
        <v>0</v>
      </c>
      <c r="AAM257" s="24">
        <v>0</v>
      </c>
      <c r="AAN257" s="24">
        <v>4</v>
      </c>
      <c r="AAO257" s="24">
        <v>1</v>
      </c>
      <c r="AAP257" s="24">
        <v>3</v>
      </c>
      <c r="AAR257" s="24">
        <v>4</v>
      </c>
      <c r="ABB257" s="24">
        <v>9.6999999999999993</v>
      </c>
      <c r="ABC257" s="24">
        <v>1</v>
      </c>
      <c r="ABD257" s="24">
        <v>68</v>
      </c>
      <c r="ABE257" s="24">
        <v>1</v>
      </c>
      <c r="ABF257" s="24">
        <v>0.02</v>
      </c>
      <c r="ABG257" s="24">
        <v>1</v>
      </c>
      <c r="ABH257" s="24">
        <v>35</v>
      </c>
      <c r="ABI257" s="24">
        <v>10</v>
      </c>
      <c r="ABJ257" s="24">
        <f t="shared" si="98"/>
        <v>2.0900000000000003</v>
      </c>
      <c r="ABK257" s="24">
        <v>3</v>
      </c>
      <c r="ABN257" s="28"/>
      <c r="ACF257" s="24">
        <v>1</v>
      </c>
      <c r="ACG257" s="24">
        <v>50</v>
      </c>
      <c r="ACH257" s="24">
        <f t="shared" si="99"/>
        <v>24</v>
      </c>
      <c r="ACI257" s="24">
        <f t="shared" si="100"/>
        <v>17.38</v>
      </c>
      <c r="ACJ257" s="24">
        <v>1</v>
      </c>
      <c r="ACK257" s="24">
        <v>40</v>
      </c>
      <c r="ACL257" s="24">
        <v>18</v>
      </c>
      <c r="ACM257" s="24">
        <f t="shared" si="101"/>
        <v>4.5600000000000005</v>
      </c>
      <c r="ACN257" s="24">
        <v>1</v>
      </c>
      <c r="ACO257" s="24">
        <v>40</v>
      </c>
      <c r="ACP257" s="24">
        <v>2</v>
      </c>
      <c r="ACQ257" s="24">
        <v>0.12</v>
      </c>
      <c r="ACR257" s="24">
        <v>5</v>
      </c>
      <c r="ACS257" s="24">
        <v>50</v>
      </c>
      <c r="ACT257" s="24">
        <v>1</v>
      </c>
      <c r="ACU257" s="24">
        <v>0.22</v>
      </c>
      <c r="ACV257" s="24">
        <v>6</v>
      </c>
      <c r="ACW257" s="24">
        <v>40</v>
      </c>
      <c r="ACX257" s="24">
        <v>3</v>
      </c>
      <c r="ACY257" s="24">
        <v>0.16</v>
      </c>
      <c r="ACZ257" s="24">
        <v>6</v>
      </c>
      <c r="ADQ257" s="27">
        <v>0.68</v>
      </c>
      <c r="ADR257" s="27">
        <v>1</v>
      </c>
      <c r="ADS257" s="27">
        <v>1</v>
      </c>
      <c r="ADT257" s="27"/>
      <c r="ADU257" s="27">
        <f t="shared" si="102"/>
        <v>3.4299999999999997</v>
      </c>
      <c r="ADV257" s="27"/>
      <c r="ADW257" s="27"/>
      <c r="ADX257" s="27"/>
      <c r="ADY257" s="27"/>
      <c r="ADZ257" s="27"/>
      <c r="AEA257" s="27"/>
      <c r="AEB257" s="27">
        <v>7.83</v>
      </c>
      <c r="AEC257" s="27">
        <v>8.68</v>
      </c>
      <c r="AED257" s="27"/>
      <c r="AEE257" s="27"/>
      <c r="AEF257" s="27">
        <v>0</v>
      </c>
      <c r="AEG257" s="27">
        <v>0</v>
      </c>
      <c r="AEH257" s="27">
        <v>0</v>
      </c>
      <c r="AEI257" s="24">
        <v>0</v>
      </c>
      <c r="AEJ257" s="24" t="s">
        <v>784</v>
      </c>
      <c r="AEK257" s="24">
        <v>38</v>
      </c>
      <c r="AEL257" s="27">
        <v>92.6</v>
      </c>
      <c r="AEM257" s="27">
        <v>83.4</v>
      </c>
      <c r="AEN257" s="27">
        <v>16.5</v>
      </c>
      <c r="AEO257" s="24">
        <v>77.87</v>
      </c>
      <c r="AEP257" s="24">
        <v>0</v>
      </c>
      <c r="AEQ257" s="24">
        <v>0</v>
      </c>
      <c r="AER257" s="24">
        <v>0</v>
      </c>
      <c r="AES257" s="24">
        <v>21.87</v>
      </c>
      <c r="AET257" s="24">
        <v>0</v>
      </c>
      <c r="AEU257" s="24">
        <v>0</v>
      </c>
      <c r="AEV257" s="24">
        <v>0</v>
      </c>
      <c r="AEW257" s="24">
        <v>0</v>
      </c>
      <c r="AEX257" s="24">
        <v>0</v>
      </c>
      <c r="AEY257" s="24">
        <v>0</v>
      </c>
      <c r="AEZ257" s="24">
        <v>0.28999999999999998</v>
      </c>
      <c r="AFA257" s="24">
        <v>38.85</v>
      </c>
      <c r="AFB257" s="24">
        <v>37.36</v>
      </c>
      <c r="AFC257" s="24">
        <v>5.57</v>
      </c>
      <c r="AFD257" s="24">
        <v>0</v>
      </c>
      <c r="AFE257" s="24">
        <v>0</v>
      </c>
      <c r="AFF257" s="24">
        <v>0</v>
      </c>
      <c r="AFS257" s="24">
        <v>17.5</v>
      </c>
      <c r="AFT257" s="24">
        <v>0</v>
      </c>
      <c r="AGE257" s="28"/>
      <c r="AGW257" s="24">
        <v>1</v>
      </c>
      <c r="AGX257" s="24">
        <v>70</v>
      </c>
      <c r="AGY257" s="24">
        <f t="shared" si="103"/>
        <v>27</v>
      </c>
      <c r="AGZ257" s="24">
        <f t="shared" si="104"/>
        <v>18.189999999999998</v>
      </c>
      <c r="AHA257" s="24">
        <v>1</v>
      </c>
      <c r="AIH257" s="27">
        <v>3.74</v>
      </c>
      <c r="AII257" s="27">
        <v>1</v>
      </c>
      <c r="AIJ257" s="27">
        <v>1</v>
      </c>
      <c r="AIK257" s="27"/>
      <c r="AIL257" s="27">
        <f t="shared" si="105"/>
        <v>6.99</v>
      </c>
      <c r="AIM257" s="27">
        <v>2</v>
      </c>
      <c r="AIN257" s="27"/>
      <c r="AIO257" s="27">
        <v>0.91</v>
      </c>
      <c r="AIP257" s="27"/>
      <c r="AIQ257" s="27"/>
      <c r="AIR257" s="27"/>
      <c r="AIS257" s="27">
        <v>0.19</v>
      </c>
      <c r="AIT257" s="27">
        <v>0.19</v>
      </c>
      <c r="AIU257" s="27"/>
      <c r="AIV257" s="27"/>
      <c r="AIW257" s="27">
        <v>0</v>
      </c>
      <c r="AIX257" s="27">
        <v>0</v>
      </c>
      <c r="AIY257" s="27">
        <v>0</v>
      </c>
      <c r="AIZ257" s="24">
        <v>0</v>
      </c>
      <c r="AJA257" s="24" t="s">
        <v>785</v>
      </c>
      <c r="AJB257" s="24">
        <v>37.5</v>
      </c>
      <c r="AJC257" s="27">
        <v>94.9</v>
      </c>
      <c r="AJD257" s="27">
        <v>83.4</v>
      </c>
      <c r="AJE257" s="27">
        <v>16</v>
      </c>
      <c r="AJF257" s="24">
        <v>79.430000000000007</v>
      </c>
      <c r="AJG257" s="24">
        <v>0</v>
      </c>
      <c r="AJH257" s="24">
        <v>0</v>
      </c>
      <c r="AJI257" s="24">
        <v>0</v>
      </c>
      <c r="AJJ257" s="24">
        <v>20.309999999999999</v>
      </c>
      <c r="AJK257" s="24">
        <v>0</v>
      </c>
      <c r="AJL257" s="24">
        <v>0</v>
      </c>
      <c r="AJM257" s="24">
        <v>0</v>
      </c>
      <c r="AJN257" s="24">
        <v>0</v>
      </c>
      <c r="AJO257" s="24">
        <v>0</v>
      </c>
      <c r="AJP257" s="24">
        <v>0</v>
      </c>
      <c r="AJQ257" s="24">
        <v>0.28999999999999998</v>
      </c>
      <c r="AJR257" s="24">
        <v>37.58</v>
      </c>
      <c r="AJS257" s="24">
        <v>37.76</v>
      </c>
      <c r="AJT257" s="24">
        <v>5.57</v>
      </c>
      <c r="AJU257" s="24">
        <v>0</v>
      </c>
      <c r="AJV257" s="24">
        <v>0</v>
      </c>
      <c r="AJW257" s="24">
        <v>0</v>
      </c>
      <c r="AKJ257" s="24">
        <v>17.5</v>
      </c>
      <c r="AKK257" s="24">
        <v>0</v>
      </c>
      <c r="AKV257" s="28"/>
      <c r="ALN257" s="24">
        <v>1</v>
      </c>
      <c r="ALO257" s="24">
        <v>71</v>
      </c>
      <c r="ALP257" s="24">
        <f>8*3+3</f>
        <v>27</v>
      </c>
      <c r="ALQ257" s="24">
        <f>5.87*3+0.58</f>
        <v>18.189999999999998</v>
      </c>
      <c r="ALR257" s="24">
        <v>2</v>
      </c>
    </row>
    <row r="258" spans="1:1024" x14ac:dyDescent="0.2">
      <c r="A258" s="22" t="s">
        <v>788</v>
      </c>
      <c r="B258" s="23">
        <v>42909</v>
      </c>
      <c r="C258" s="24">
        <v>2</v>
      </c>
      <c r="D258" s="25">
        <v>40693</v>
      </c>
      <c r="E258" s="23">
        <v>32132</v>
      </c>
      <c r="F258" s="14">
        <f t="shared" ref="F258:F321" si="106">(B258-E258)/365.25</f>
        <v>29.505817932922657</v>
      </c>
      <c r="G258" s="14">
        <f t="shared" ref="G258:G321" si="107">(B258-D258)/365.25</f>
        <v>6.0670773442847361</v>
      </c>
      <c r="H258" s="26" t="s">
        <v>306</v>
      </c>
      <c r="I258" s="21" t="s">
        <v>777</v>
      </c>
      <c r="J258" s="21" t="s">
        <v>183</v>
      </c>
      <c r="K258" s="21">
        <v>8</v>
      </c>
      <c r="L258" s="26">
        <v>90</v>
      </c>
      <c r="M258" s="24">
        <v>1.67</v>
      </c>
      <c r="N258" s="27">
        <f t="shared" ref="N258:N321" si="108">L258/(M258*M258)</f>
        <v>32.270787765785798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19">
        <v>0</v>
      </c>
      <c r="V258" s="19">
        <v>0</v>
      </c>
      <c r="W258" s="26">
        <v>1</v>
      </c>
      <c r="X258" s="26">
        <v>1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1</v>
      </c>
      <c r="AF258" s="26">
        <v>0</v>
      </c>
      <c r="AG258" s="26">
        <v>0</v>
      </c>
      <c r="AH258" s="26">
        <v>0</v>
      </c>
      <c r="AI258" s="26">
        <v>3</v>
      </c>
      <c r="AJ258" s="26">
        <v>3</v>
      </c>
      <c r="AK258" s="26">
        <v>3</v>
      </c>
      <c r="AL258" s="26">
        <v>6</v>
      </c>
      <c r="AM258" s="26">
        <v>6</v>
      </c>
      <c r="AN258" s="26">
        <v>3</v>
      </c>
      <c r="AO258" s="26">
        <v>3</v>
      </c>
      <c r="AP258" s="26">
        <v>3</v>
      </c>
      <c r="AQ258" s="26">
        <v>6</v>
      </c>
      <c r="AR258" s="26">
        <v>6</v>
      </c>
      <c r="AS258" s="26">
        <v>3</v>
      </c>
      <c r="AT258" s="26">
        <v>3</v>
      </c>
      <c r="AU258" s="26">
        <v>3</v>
      </c>
      <c r="AV258" s="26">
        <v>6</v>
      </c>
      <c r="AW258" s="26">
        <v>6</v>
      </c>
      <c r="AX258" s="26">
        <v>1</v>
      </c>
      <c r="AY258" s="26">
        <v>1</v>
      </c>
      <c r="AZ258" s="26">
        <v>1</v>
      </c>
      <c r="BA258" s="26">
        <v>6</v>
      </c>
      <c r="BB258" s="26">
        <v>1</v>
      </c>
      <c r="BC258" s="26">
        <v>1</v>
      </c>
      <c r="BD258" s="26">
        <v>1</v>
      </c>
      <c r="BE258" s="26">
        <v>6</v>
      </c>
      <c r="BF258" s="26">
        <v>1</v>
      </c>
      <c r="BG258" s="26">
        <v>1</v>
      </c>
      <c r="BH258" s="26">
        <v>1</v>
      </c>
      <c r="BI258" s="26">
        <v>6</v>
      </c>
      <c r="BJ258" s="26">
        <v>1</v>
      </c>
      <c r="BK258" s="26">
        <v>1</v>
      </c>
      <c r="BL258" s="26">
        <v>1</v>
      </c>
      <c r="BM258" s="26">
        <v>6</v>
      </c>
      <c r="BN258" s="26">
        <v>1</v>
      </c>
      <c r="BO258" s="26">
        <v>1</v>
      </c>
      <c r="BP258" s="26">
        <v>1</v>
      </c>
      <c r="BQ258" s="26">
        <v>6</v>
      </c>
      <c r="BR258" s="26">
        <v>1</v>
      </c>
      <c r="BS258" s="26">
        <v>2</v>
      </c>
      <c r="BT258" s="26">
        <v>4</v>
      </c>
      <c r="BU258" s="26">
        <v>5</v>
      </c>
      <c r="BV258" s="26">
        <v>4</v>
      </c>
      <c r="BW258" s="26">
        <v>4</v>
      </c>
      <c r="BX258" s="26">
        <v>5</v>
      </c>
      <c r="BY258" s="26">
        <v>5</v>
      </c>
      <c r="BZ258" s="26">
        <v>5</v>
      </c>
      <c r="CA258" s="26">
        <v>3</v>
      </c>
      <c r="CB258" s="26">
        <v>3</v>
      </c>
      <c r="CC258" s="26">
        <v>5</v>
      </c>
      <c r="CD258" s="26">
        <v>5</v>
      </c>
      <c r="CE258" s="26">
        <v>3</v>
      </c>
      <c r="CF258" s="26">
        <v>4</v>
      </c>
      <c r="CG258" s="26">
        <v>4</v>
      </c>
      <c r="CH258" s="26">
        <v>3</v>
      </c>
      <c r="CI258" s="26">
        <v>3</v>
      </c>
      <c r="CJ258" s="26">
        <v>4</v>
      </c>
      <c r="CK258" s="26">
        <v>10</v>
      </c>
      <c r="CL258" s="24" t="s">
        <v>779</v>
      </c>
      <c r="CM258" s="24">
        <v>43</v>
      </c>
      <c r="CN258" s="27">
        <v>91.8</v>
      </c>
      <c r="CO258" s="27">
        <v>83.4</v>
      </c>
      <c r="CP258" s="27">
        <v>25.8</v>
      </c>
      <c r="CQ258" s="24">
        <v>68.3</v>
      </c>
      <c r="CR258" s="24">
        <v>0</v>
      </c>
      <c r="CS258" s="24">
        <v>0</v>
      </c>
      <c r="CT258" s="24">
        <v>0</v>
      </c>
      <c r="CU258" s="24">
        <v>31.54</v>
      </c>
      <c r="CV258" s="24">
        <v>0</v>
      </c>
      <c r="CW258" s="24">
        <v>0</v>
      </c>
      <c r="CX258" s="24">
        <v>0</v>
      </c>
      <c r="CY258" s="24">
        <v>0</v>
      </c>
      <c r="CZ258" s="24">
        <v>0</v>
      </c>
      <c r="DA258" s="24">
        <v>0</v>
      </c>
      <c r="DB258" s="24">
        <v>48.27</v>
      </c>
      <c r="DC258" s="24">
        <v>58.3</v>
      </c>
      <c r="DD258" s="24">
        <v>1.34</v>
      </c>
      <c r="DE258" s="24">
        <v>0</v>
      </c>
      <c r="DF258" s="24">
        <v>0.16</v>
      </c>
      <c r="DG258" s="24">
        <v>0</v>
      </c>
      <c r="DH258" s="24">
        <v>0</v>
      </c>
      <c r="DU258" s="24">
        <v>11</v>
      </c>
      <c r="DV258" s="24">
        <v>1</v>
      </c>
      <c r="DW258" s="24">
        <v>30</v>
      </c>
      <c r="DX258" s="24">
        <v>1</v>
      </c>
      <c r="DY258" s="24">
        <v>0.73</v>
      </c>
      <c r="DZ258" s="24">
        <v>1</v>
      </c>
      <c r="EG258" s="28"/>
      <c r="EY258" s="24">
        <v>1</v>
      </c>
      <c r="EZ258" s="24">
        <v>60</v>
      </c>
      <c r="FA258" s="24">
        <v>14</v>
      </c>
      <c r="FB258" s="24">
        <f t="shared" si="86"/>
        <v>2.11</v>
      </c>
      <c r="FC258" s="24">
        <v>6</v>
      </c>
      <c r="FD258" s="24">
        <v>50</v>
      </c>
      <c r="FE258" s="24">
        <v>8</v>
      </c>
      <c r="FF258" s="24">
        <f t="shared" si="87"/>
        <v>5.88</v>
      </c>
      <c r="FG258" s="24">
        <v>4</v>
      </c>
      <c r="GJ258" s="27">
        <v>2.4500000000000002</v>
      </c>
      <c r="GK258" s="27">
        <v>1</v>
      </c>
      <c r="GL258" s="27">
        <v>1</v>
      </c>
      <c r="GM258" s="27"/>
      <c r="GN258" s="27">
        <f t="shared" si="88"/>
        <v>0.68</v>
      </c>
      <c r="GO258" s="27">
        <v>2</v>
      </c>
      <c r="GP258" s="27"/>
      <c r="GQ258" s="27">
        <f t="shared" si="89"/>
        <v>6.66</v>
      </c>
      <c r="GR258" s="27"/>
      <c r="GS258" s="27"/>
      <c r="GT258" s="27"/>
      <c r="GU258" s="27">
        <v>3.68</v>
      </c>
      <c r="GV258" s="27">
        <v>1.63</v>
      </c>
      <c r="GW258" s="27"/>
      <c r="GX258" s="27"/>
      <c r="GY258" s="27">
        <v>0</v>
      </c>
      <c r="GZ258" s="27">
        <v>0</v>
      </c>
      <c r="HA258" s="27">
        <v>0</v>
      </c>
      <c r="HB258" s="24">
        <v>0</v>
      </c>
      <c r="HC258" s="24" t="s">
        <v>780</v>
      </c>
      <c r="HD258" s="24">
        <v>46</v>
      </c>
      <c r="HE258" s="27">
        <v>101.6</v>
      </c>
      <c r="HF258" s="27">
        <v>83.4</v>
      </c>
      <c r="HG258" s="27">
        <v>27.8</v>
      </c>
      <c r="HH258" s="24">
        <v>66.040000000000006</v>
      </c>
      <c r="HI258" s="24">
        <v>0</v>
      </c>
      <c r="HJ258" s="24">
        <v>0</v>
      </c>
      <c r="HK258" s="24">
        <v>0</v>
      </c>
      <c r="HL258" s="24">
        <v>35.15</v>
      </c>
      <c r="HM258" s="24">
        <v>0</v>
      </c>
      <c r="HN258" s="24">
        <v>0</v>
      </c>
      <c r="HO258" s="24">
        <v>0</v>
      </c>
      <c r="HP258" s="24">
        <v>0</v>
      </c>
      <c r="HQ258" s="24">
        <v>0</v>
      </c>
      <c r="HR258" s="24">
        <v>0</v>
      </c>
      <c r="HS258" s="24">
        <v>43.27</v>
      </c>
      <c r="HT258" s="24">
        <v>65.02</v>
      </c>
      <c r="HU258" s="24">
        <v>6.59</v>
      </c>
      <c r="HV258" s="24">
        <v>0.88</v>
      </c>
      <c r="HW258" s="24">
        <v>0.16</v>
      </c>
      <c r="HX258" s="24">
        <v>0</v>
      </c>
      <c r="HY258" s="24">
        <v>0</v>
      </c>
      <c r="IL258" s="24">
        <v>14.9</v>
      </c>
      <c r="IM258" s="24">
        <v>1</v>
      </c>
      <c r="IN258" s="24">
        <v>30</v>
      </c>
      <c r="IO258" s="24">
        <v>1</v>
      </c>
      <c r="IP258" s="24">
        <v>0.73</v>
      </c>
      <c r="IQ258" s="24">
        <v>1</v>
      </c>
      <c r="IR258" s="24">
        <v>47</v>
      </c>
      <c r="IS258" s="24">
        <v>1</v>
      </c>
      <c r="IT258" s="24">
        <v>0.11</v>
      </c>
      <c r="IU258" s="24">
        <v>3</v>
      </c>
      <c r="IX258" s="28"/>
      <c r="JP258" s="24">
        <v>1</v>
      </c>
      <c r="JQ258" s="24">
        <v>60</v>
      </c>
      <c r="JR258" s="24">
        <v>4</v>
      </c>
      <c r="JS258" s="24">
        <v>1.68</v>
      </c>
      <c r="JT258" s="24">
        <v>6</v>
      </c>
      <c r="JU258" s="24">
        <v>50</v>
      </c>
      <c r="JV258" s="24">
        <v>8</v>
      </c>
      <c r="JW258" s="24">
        <f t="shared" si="90"/>
        <v>5.88</v>
      </c>
      <c r="JX258" s="24">
        <v>4</v>
      </c>
      <c r="JY258" s="24">
        <v>50</v>
      </c>
      <c r="JZ258" s="24">
        <v>4</v>
      </c>
      <c r="KA258" s="24">
        <v>0.76</v>
      </c>
      <c r="KB258" s="24">
        <v>6</v>
      </c>
      <c r="KC258" s="24">
        <v>80</v>
      </c>
      <c r="KD258" s="24">
        <v>8</v>
      </c>
      <c r="KE258" s="24">
        <f t="shared" si="91"/>
        <v>0.52</v>
      </c>
      <c r="KF258" s="24">
        <v>6</v>
      </c>
      <c r="LA258" s="27">
        <v>2.0499999999999998</v>
      </c>
      <c r="LB258" s="27">
        <v>1</v>
      </c>
      <c r="LC258" s="27">
        <v>1</v>
      </c>
      <c r="LD258" s="27"/>
      <c r="LE258" s="27">
        <f t="shared" si="92"/>
        <v>7.0200000000000005</v>
      </c>
      <c r="LF258" s="27">
        <v>2</v>
      </c>
      <c r="LG258" s="27"/>
      <c r="LH258" s="27">
        <v>6.01</v>
      </c>
      <c r="LI258" s="27"/>
      <c r="LJ258" s="27"/>
      <c r="LK258" s="27"/>
      <c r="LL258" s="27">
        <v>0.86</v>
      </c>
      <c r="LM258" s="27">
        <v>0.85</v>
      </c>
      <c r="LN258" s="27"/>
      <c r="LO258" s="27"/>
      <c r="LP258" s="27">
        <v>0</v>
      </c>
      <c r="LQ258" s="27">
        <v>0</v>
      </c>
      <c r="LR258" s="27">
        <v>0</v>
      </c>
      <c r="LS258" s="24">
        <v>0</v>
      </c>
      <c r="LT258" s="24">
        <v>100</v>
      </c>
      <c r="LU258" s="24">
        <v>29.5</v>
      </c>
      <c r="LV258" s="27">
        <v>94.9</v>
      </c>
      <c r="LW258" s="27">
        <v>83.4</v>
      </c>
      <c r="LX258" s="27">
        <v>17.600000000000001</v>
      </c>
      <c r="LY258" s="24">
        <v>85.6</v>
      </c>
      <c r="LZ258" s="24">
        <v>0</v>
      </c>
      <c r="MA258" s="24">
        <v>0</v>
      </c>
      <c r="MB258" s="24">
        <v>0</v>
      </c>
      <c r="MC258" s="24">
        <v>14.4</v>
      </c>
      <c r="MD258" s="24">
        <v>0</v>
      </c>
      <c r="ME258" s="24">
        <v>0</v>
      </c>
      <c r="MF258" s="24">
        <v>0</v>
      </c>
      <c r="MG258" s="24">
        <v>0</v>
      </c>
      <c r="MH258" s="24">
        <v>0</v>
      </c>
      <c r="MI258" s="24">
        <v>0</v>
      </c>
      <c r="MJ258" s="24">
        <v>1.95</v>
      </c>
      <c r="MK258" s="24">
        <v>9.4499999999999993</v>
      </c>
      <c r="ML258" s="24">
        <v>11.24</v>
      </c>
      <c r="MM258" s="24">
        <v>36.94</v>
      </c>
      <c r="MN258" s="24">
        <v>0</v>
      </c>
      <c r="MO258" s="24">
        <v>11.5</v>
      </c>
      <c r="MP258" s="24">
        <v>1</v>
      </c>
      <c r="MQ258" s="24">
        <v>5</v>
      </c>
      <c r="MS258" s="24">
        <v>4</v>
      </c>
      <c r="NC258" s="24">
        <v>0</v>
      </c>
      <c r="ND258" s="24">
        <v>0</v>
      </c>
      <c r="NO258" s="28"/>
      <c r="OG258" s="24">
        <v>0</v>
      </c>
      <c r="PR258" s="27">
        <v>0.2</v>
      </c>
      <c r="PS258" s="27">
        <v>1</v>
      </c>
      <c r="PT258" s="27">
        <v>1</v>
      </c>
      <c r="PU258" s="27"/>
      <c r="PV258" s="27">
        <f t="shared" si="93"/>
        <v>0.65</v>
      </c>
      <c r="PW258" s="27"/>
      <c r="PX258" s="27"/>
      <c r="PY258" s="27"/>
      <c r="PZ258" s="27"/>
      <c r="QA258" s="27"/>
      <c r="QB258" s="27"/>
      <c r="QC258" s="27">
        <v>0.23</v>
      </c>
      <c r="QD258" s="27">
        <v>0.23</v>
      </c>
      <c r="QE258" s="27"/>
      <c r="QF258" s="27"/>
      <c r="QG258" s="27">
        <v>0</v>
      </c>
      <c r="QH258" s="27">
        <v>0</v>
      </c>
      <c r="QI258" s="27">
        <v>0</v>
      </c>
      <c r="QJ258" s="24">
        <v>0</v>
      </c>
      <c r="QK258" s="24" t="s">
        <v>781</v>
      </c>
      <c r="QL258" s="24">
        <v>47.5</v>
      </c>
      <c r="QM258" s="27">
        <v>49.3</v>
      </c>
      <c r="QN258" s="27">
        <v>83.4</v>
      </c>
      <c r="QO258" s="27">
        <v>35.700000000000003</v>
      </c>
      <c r="QP258" s="24">
        <v>66.48</v>
      </c>
      <c r="QQ258" s="24">
        <v>0</v>
      </c>
      <c r="QR258" s="24">
        <v>6.11</v>
      </c>
      <c r="QS258" s="24">
        <v>0</v>
      </c>
      <c r="QT258" s="24">
        <v>9.56</v>
      </c>
      <c r="QU258" s="24">
        <v>0</v>
      </c>
      <c r="QV258" s="24">
        <v>6.1</v>
      </c>
      <c r="QW258" s="24">
        <v>3.05</v>
      </c>
      <c r="QX258" s="24">
        <v>0</v>
      </c>
      <c r="QY258" s="24">
        <v>0</v>
      </c>
      <c r="QZ258" s="24">
        <v>0</v>
      </c>
      <c r="RA258" s="24">
        <v>0</v>
      </c>
      <c r="RB258" s="24">
        <v>17.78</v>
      </c>
      <c r="RC258" s="24">
        <v>9.1300000000000008</v>
      </c>
      <c r="RD258" s="24">
        <v>2.7</v>
      </c>
      <c r="RE258" s="24">
        <v>11.73</v>
      </c>
      <c r="RF258" s="24">
        <v>0</v>
      </c>
      <c r="RG258" s="24">
        <v>0</v>
      </c>
      <c r="RT258" s="24">
        <v>5.7</v>
      </c>
      <c r="RU258" s="24">
        <v>1</v>
      </c>
      <c r="RV258" s="24">
        <v>30</v>
      </c>
      <c r="RW258" s="24">
        <v>10</v>
      </c>
      <c r="RX258" s="24">
        <f t="shared" si="94"/>
        <v>1.58</v>
      </c>
      <c r="RY258" s="24">
        <v>3</v>
      </c>
      <c r="SF258" s="28"/>
      <c r="SX258" s="24">
        <v>1</v>
      </c>
      <c r="SY258" s="24">
        <v>40</v>
      </c>
      <c r="SZ258" s="24">
        <v>4</v>
      </c>
      <c r="TA258" s="24">
        <v>0.6</v>
      </c>
      <c r="TB258" s="24">
        <v>2</v>
      </c>
      <c r="UI258" s="27">
        <v>0.53</v>
      </c>
      <c r="UJ258" s="27">
        <v>1</v>
      </c>
      <c r="UK258" s="27">
        <v>1</v>
      </c>
      <c r="UL258" s="27"/>
      <c r="UM258" s="27">
        <f t="shared" si="95"/>
        <v>2.64</v>
      </c>
      <c r="UN258" s="27"/>
      <c r="UO258" s="27"/>
      <c r="UP258" s="27"/>
      <c r="UQ258" s="27"/>
      <c r="UR258" s="27"/>
      <c r="US258" s="27"/>
      <c r="UT258" s="27">
        <v>5.0599999999999996</v>
      </c>
      <c r="UU258" s="27">
        <v>1.58</v>
      </c>
      <c r="UV258" s="27"/>
      <c r="UW258" s="27"/>
      <c r="UX258" s="27">
        <v>0</v>
      </c>
      <c r="UY258" s="27">
        <v>0</v>
      </c>
      <c r="UZ258" s="27">
        <v>0</v>
      </c>
      <c r="VA258" s="24">
        <v>0</v>
      </c>
      <c r="VB258" s="24" t="s">
        <v>782</v>
      </c>
      <c r="VC258" s="24">
        <v>71</v>
      </c>
      <c r="VD258" s="27">
        <v>92</v>
      </c>
      <c r="VE258" s="27">
        <v>166.8</v>
      </c>
      <c r="VF258" s="27">
        <v>65</v>
      </c>
      <c r="VG258" s="24">
        <v>28.78</v>
      </c>
      <c r="VH258" s="24">
        <v>0</v>
      </c>
      <c r="VI258" s="24">
        <v>0</v>
      </c>
      <c r="VJ258" s="24">
        <v>0</v>
      </c>
      <c r="VK258" s="24">
        <v>2.5</v>
      </c>
      <c r="VL258" s="24">
        <v>0</v>
      </c>
      <c r="VM258" s="24">
        <v>8.5399999999999991</v>
      </c>
      <c r="VN258" s="24">
        <v>0</v>
      </c>
      <c r="VO258" s="24">
        <v>0</v>
      </c>
      <c r="VP258" s="24">
        <v>2.76</v>
      </c>
      <c r="VQ258" s="24">
        <v>0</v>
      </c>
      <c r="VR258" s="24">
        <v>9.52</v>
      </c>
      <c r="VS258" s="24">
        <v>36.909999999999997</v>
      </c>
      <c r="VT258" s="24">
        <v>26.15</v>
      </c>
      <c r="VU258" s="24">
        <v>1.97</v>
      </c>
      <c r="VV258" s="24">
        <v>60.18</v>
      </c>
      <c r="VW258" s="24">
        <v>0</v>
      </c>
      <c r="VX258" s="24">
        <v>0</v>
      </c>
      <c r="WK258" s="24">
        <v>0.1</v>
      </c>
      <c r="WL258" s="24">
        <v>0</v>
      </c>
      <c r="WW258" s="28"/>
      <c r="XO258" s="24">
        <v>1</v>
      </c>
      <c r="XP258" s="24">
        <v>50</v>
      </c>
      <c r="XQ258" s="24">
        <v>4</v>
      </c>
      <c r="XR258" s="24">
        <f t="shared" si="96"/>
        <v>1.48</v>
      </c>
      <c r="XS258" s="24">
        <v>3</v>
      </c>
      <c r="XT258" s="24">
        <v>40</v>
      </c>
      <c r="XU258" s="24">
        <v>6</v>
      </c>
      <c r="XV258" s="24">
        <v>2.2000000000000002</v>
      </c>
      <c r="XW258" s="24">
        <v>3</v>
      </c>
      <c r="XX258" s="24">
        <v>50</v>
      </c>
      <c r="XY258" s="24">
        <v>1</v>
      </c>
      <c r="XZ258" s="24">
        <v>0.06</v>
      </c>
      <c r="YA258" s="24">
        <v>1</v>
      </c>
      <c r="YB258" s="24">
        <v>60</v>
      </c>
      <c r="YC258" s="24">
        <v>3</v>
      </c>
      <c r="YD258" s="24">
        <v>0.19</v>
      </c>
      <c r="YE258" s="24">
        <v>4</v>
      </c>
      <c r="YZ258" s="27">
        <v>1.1100000000000001</v>
      </c>
      <c r="ZA258" s="27">
        <v>1</v>
      </c>
      <c r="ZB258" s="27">
        <v>1</v>
      </c>
      <c r="ZC258" s="27"/>
      <c r="ZD258" s="27">
        <f t="shared" si="97"/>
        <v>3.96</v>
      </c>
      <c r="ZE258" s="27"/>
      <c r="ZF258" s="27"/>
      <c r="ZG258" s="27"/>
      <c r="ZH258" s="27"/>
      <c r="ZI258" s="27"/>
      <c r="ZJ258" s="27"/>
      <c r="ZK258" s="27">
        <v>1.95</v>
      </c>
      <c r="ZL258" s="27">
        <v>1.96</v>
      </c>
      <c r="ZM258" s="27"/>
      <c r="ZN258" s="27"/>
      <c r="ZO258" s="27">
        <v>2.88</v>
      </c>
      <c r="ZP258" s="27">
        <v>0</v>
      </c>
      <c r="ZQ258" s="27">
        <v>0</v>
      </c>
      <c r="ZR258" s="24">
        <v>2</v>
      </c>
      <c r="ZS258" s="24" t="s">
        <v>783</v>
      </c>
      <c r="ZT258" s="24">
        <v>35</v>
      </c>
      <c r="ZU258" s="27">
        <v>89.3</v>
      </c>
      <c r="ZV258" s="27">
        <v>83.4</v>
      </c>
      <c r="ZW258" s="27">
        <v>12.6</v>
      </c>
      <c r="ZX258" s="24">
        <v>87.93</v>
      </c>
      <c r="ZY258" s="24">
        <v>0</v>
      </c>
      <c r="ZZ258" s="24">
        <v>0</v>
      </c>
      <c r="AAA258" s="24">
        <v>1.49</v>
      </c>
      <c r="AAB258" s="24">
        <v>10.58</v>
      </c>
      <c r="AAC258" s="24">
        <v>0</v>
      </c>
      <c r="AAD258" s="24">
        <v>0</v>
      </c>
      <c r="AAE258" s="24">
        <v>0</v>
      </c>
      <c r="AAF258" s="24">
        <v>0</v>
      </c>
      <c r="AAG258" s="24">
        <v>0</v>
      </c>
      <c r="AAH258" s="24">
        <v>0</v>
      </c>
      <c r="AAI258" s="24">
        <v>0.17</v>
      </c>
      <c r="AAJ258" s="24">
        <v>38.78</v>
      </c>
      <c r="AAK258" s="24">
        <v>29.47</v>
      </c>
      <c r="AAL258" s="24">
        <v>0</v>
      </c>
      <c r="AAM258" s="24">
        <v>0</v>
      </c>
      <c r="AAN258" s="24">
        <v>4</v>
      </c>
      <c r="AAO258" s="24">
        <v>1</v>
      </c>
      <c r="AAP258" s="24">
        <v>3</v>
      </c>
      <c r="AAR258" s="24">
        <v>4</v>
      </c>
      <c r="ABB258" s="24">
        <v>9.6999999999999993</v>
      </c>
      <c r="ABC258" s="24">
        <v>1</v>
      </c>
      <c r="ABD258" s="24">
        <v>68</v>
      </c>
      <c r="ABE258" s="24">
        <v>1</v>
      </c>
      <c r="ABF258" s="24">
        <v>0.02</v>
      </c>
      <c r="ABG258" s="24">
        <v>1</v>
      </c>
      <c r="ABH258" s="24">
        <v>35</v>
      </c>
      <c r="ABI258" s="24">
        <v>10</v>
      </c>
      <c r="ABJ258" s="24">
        <f t="shared" si="98"/>
        <v>2.0900000000000003</v>
      </c>
      <c r="ABK258" s="24">
        <v>3</v>
      </c>
      <c r="ABN258" s="28"/>
      <c r="ACF258" s="24">
        <v>1</v>
      </c>
      <c r="ACG258" s="24">
        <v>50</v>
      </c>
      <c r="ACH258" s="24">
        <f t="shared" si="99"/>
        <v>24</v>
      </c>
      <c r="ACI258" s="24">
        <f t="shared" si="100"/>
        <v>17.38</v>
      </c>
      <c r="ACJ258" s="24">
        <v>1</v>
      </c>
      <c r="ACK258" s="24">
        <v>40</v>
      </c>
      <c r="ACL258" s="24">
        <v>18</v>
      </c>
      <c r="ACM258" s="24">
        <f t="shared" si="101"/>
        <v>4.5600000000000005</v>
      </c>
      <c r="ACN258" s="24">
        <v>1</v>
      </c>
      <c r="ACO258" s="24">
        <v>40</v>
      </c>
      <c r="ACP258" s="24">
        <v>2</v>
      </c>
      <c r="ACQ258" s="24">
        <v>0.12</v>
      </c>
      <c r="ACR258" s="24">
        <v>5</v>
      </c>
      <c r="ACS258" s="24">
        <v>50</v>
      </c>
      <c r="ACT258" s="24">
        <v>1</v>
      </c>
      <c r="ACU258" s="24">
        <v>0.22</v>
      </c>
      <c r="ACV258" s="24">
        <v>6</v>
      </c>
      <c r="ACW258" s="24">
        <v>40</v>
      </c>
      <c r="ACX258" s="24">
        <v>3</v>
      </c>
      <c r="ACY258" s="24">
        <v>0.16</v>
      </c>
      <c r="ACZ258" s="24">
        <v>6</v>
      </c>
      <c r="ADQ258" s="27">
        <v>0.68</v>
      </c>
      <c r="ADR258" s="27">
        <v>1</v>
      </c>
      <c r="ADS258" s="27">
        <v>1</v>
      </c>
      <c r="ADT258" s="27"/>
      <c r="ADU258" s="27">
        <f t="shared" si="102"/>
        <v>3.4299999999999997</v>
      </c>
      <c r="ADV258" s="27"/>
      <c r="ADW258" s="27"/>
      <c r="ADX258" s="27"/>
      <c r="ADY258" s="27"/>
      <c r="ADZ258" s="27"/>
      <c r="AEA258" s="27"/>
      <c r="AEB258" s="27">
        <v>7.83</v>
      </c>
      <c r="AEC258" s="27">
        <v>8.68</v>
      </c>
      <c r="AED258" s="27"/>
      <c r="AEE258" s="27"/>
      <c r="AEF258" s="27">
        <v>0</v>
      </c>
      <c r="AEG258" s="27">
        <v>0</v>
      </c>
      <c r="AEH258" s="27">
        <v>0</v>
      </c>
      <c r="AEI258" s="24">
        <v>0</v>
      </c>
      <c r="AEJ258" s="24" t="s">
        <v>784</v>
      </c>
      <c r="AEK258" s="24">
        <v>38</v>
      </c>
      <c r="AEL258" s="27">
        <v>92.6</v>
      </c>
      <c r="AEM258" s="27">
        <v>83.4</v>
      </c>
      <c r="AEN258" s="27">
        <v>16.5</v>
      </c>
      <c r="AEO258" s="24">
        <v>77.87</v>
      </c>
      <c r="AEP258" s="24">
        <v>0</v>
      </c>
      <c r="AEQ258" s="24">
        <v>0</v>
      </c>
      <c r="AER258" s="24">
        <v>0</v>
      </c>
      <c r="AES258" s="24">
        <v>21.87</v>
      </c>
      <c r="AET258" s="24">
        <v>0</v>
      </c>
      <c r="AEU258" s="24">
        <v>0</v>
      </c>
      <c r="AEV258" s="24">
        <v>0</v>
      </c>
      <c r="AEW258" s="24">
        <v>0</v>
      </c>
      <c r="AEX258" s="24">
        <v>0</v>
      </c>
      <c r="AEY258" s="24">
        <v>0</v>
      </c>
      <c r="AEZ258" s="24">
        <v>0.28999999999999998</v>
      </c>
      <c r="AFA258" s="24">
        <v>38.85</v>
      </c>
      <c r="AFB258" s="24">
        <v>37.36</v>
      </c>
      <c r="AFC258" s="24">
        <v>5.57</v>
      </c>
      <c r="AFD258" s="24">
        <v>0</v>
      </c>
      <c r="AFE258" s="24">
        <v>0</v>
      </c>
      <c r="AFF258" s="24">
        <v>0</v>
      </c>
      <c r="AFS258" s="24">
        <v>17.5</v>
      </c>
      <c r="AFT258" s="24">
        <v>0</v>
      </c>
      <c r="AGE258" s="28"/>
      <c r="AGW258" s="24">
        <v>1</v>
      </c>
      <c r="AGX258" s="24">
        <v>70</v>
      </c>
      <c r="AGY258" s="24">
        <f t="shared" si="103"/>
        <v>27</v>
      </c>
      <c r="AGZ258" s="24">
        <f t="shared" si="104"/>
        <v>18.189999999999998</v>
      </c>
      <c r="AHA258" s="24">
        <v>1</v>
      </c>
      <c r="AIH258" s="27">
        <v>3.74</v>
      </c>
      <c r="AII258" s="27">
        <v>1</v>
      </c>
      <c r="AIJ258" s="27">
        <v>1</v>
      </c>
      <c r="AIK258" s="27"/>
      <c r="AIL258" s="27">
        <f t="shared" si="105"/>
        <v>6.99</v>
      </c>
      <c r="AIM258" s="27">
        <v>2</v>
      </c>
      <c r="AIN258" s="27"/>
      <c r="AIO258" s="27">
        <v>0.91</v>
      </c>
      <c r="AIP258" s="27"/>
      <c r="AIQ258" s="27"/>
      <c r="AIR258" s="27"/>
      <c r="AIS258" s="27">
        <v>0.19</v>
      </c>
      <c r="AIT258" s="27">
        <v>0.19</v>
      </c>
      <c r="AIU258" s="27"/>
      <c r="AIV258" s="27"/>
      <c r="AIW258" s="27">
        <v>0</v>
      </c>
      <c r="AIX258" s="27">
        <v>0</v>
      </c>
      <c r="AIY258" s="27">
        <v>0</v>
      </c>
      <c r="AIZ258" s="24">
        <v>0</v>
      </c>
      <c r="AJA258" s="21"/>
      <c r="AJB258" s="21"/>
      <c r="AJD258" s="33"/>
      <c r="AJE258" s="33"/>
      <c r="AJH258" s="33"/>
      <c r="AJI258" s="21"/>
      <c r="AJJ258" s="21"/>
      <c r="AJL258" s="33"/>
      <c r="AJM258" s="33"/>
      <c r="AJP258" s="33"/>
      <c r="AJQ258" s="21"/>
      <c r="AJR258" s="21"/>
      <c r="AJT258" s="33"/>
      <c r="AJU258" s="33"/>
      <c r="AJX258" s="33"/>
      <c r="AJY258" s="21"/>
      <c r="AJZ258" s="21"/>
      <c r="AKB258" s="33"/>
      <c r="AKC258" s="33"/>
      <c r="AKF258" s="33"/>
      <c r="AKG258" s="21"/>
      <c r="AKH258" s="21"/>
      <c r="AKJ258" s="33"/>
      <c r="AKK258" s="33"/>
      <c r="AKN258" s="33"/>
      <c r="AKO258" s="21"/>
      <c r="AKP258" s="21"/>
      <c r="AKR258" s="33"/>
      <c r="AKS258" s="33"/>
      <c r="AKV258" s="33"/>
      <c r="AKW258" s="21"/>
      <c r="AKX258" s="21"/>
      <c r="AKZ258" s="33"/>
      <c r="ALA258" s="33"/>
      <c r="ALD258" s="33"/>
      <c r="ALE258" s="21"/>
      <c r="ALF258" s="21"/>
      <c r="ALH258" s="33"/>
      <c r="ALI258" s="33"/>
      <c r="ALL258" s="33"/>
      <c r="ALM258" s="21"/>
      <c r="ALN258" s="21"/>
      <c r="ALP258" s="33"/>
      <c r="ALQ258" s="33"/>
      <c r="ALT258" s="33"/>
      <c r="ALU258" s="21"/>
      <c r="ALV258" s="21"/>
      <c r="ALX258" s="33"/>
      <c r="ALY258" s="33"/>
      <c r="AMB258" s="33"/>
      <c r="AMC258" s="21"/>
      <c r="AMD258" s="21"/>
      <c r="AMF258" s="33"/>
      <c r="AMG258" s="33"/>
      <c r="AMJ258" s="33"/>
    </row>
    <row r="259" spans="1:1024" x14ac:dyDescent="0.2">
      <c r="A259" s="22" t="s">
        <v>789</v>
      </c>
      <c r="B259" s="23">
        <v>42909</v>
      </c>
      <c r="C259" s="24">
        <v>2</v>
      </c>
      <c r="D259" s="25">
        <v>42790</v>
      </c>
      <c r="E259" s="23">
        <v>36070</v>
      </c>
      <c r="F259" s="14">
        <f t="shared" si="106"/>
        <v>18.72416153319644</v>
      </c>
      <c r="G259" s="14">
        <f t="shared" si="107"/>
        <v>0.32580424366872007</v>
      </c>
      <c r="H259" s="26" t="s">
        <v>306</v>
      </c>
      <c r="I259" s="21" t="s">
        <v>777</v>
      </c>
      <c r="J259" s="21" t="s">
        <v>183</v>
      </c>
      <c r="K259" s="21">
        <v>8</v>
      </c>
      <c r="L259" s="26">
        <v>65</v>
      </c>
      <c r="M259" s="24">
        <v>1.72</v>
      </c>
      <c r="N259" s="27">
        <f t="shared" si="108"/>
        <v>21.971335857220122</v>
      </c>
      <c r="O259" s="26">
        <v>0</v>
      </c>
      <c r="P259" s="26">
        <v>0</v>
      </c>
      <c r="Q259" s="26">
        <v>0</v>
      </c>
      <c r="R259" s="26">
        <v>0</v>
      </c>
      <c r="S259" s="26">
        <v>0</v>
      </c>
      <c r="T259" s="26">
        <v>0</v>
      </c>
      <c r="U259" s="19">
        <v>0</v>
      </c>
      <c r="V259" s="19">
        <v>0</v>
      </c>
      <c r="W259" s="26">
        <v>1</v>
      </c>
      <c r="X259" s="26">
        <v>0</v>
      </c>
      <c r="Y259" s="26">
        <v>0</v>
      </c>
      <c r="Z259" s="26">
        <v>0</v>
      </c>
      <c r="AA259" s="26">
        <v>0</v>
      </c>
      <c r="AB259" s="26">
        <v>0</v>
      </c>
      <c r="AC259" s="26">
        <v>1</v>
      </c>
      <c r="AD259" s="26">
        <v>10</v>
      </c>
      <c r="AE259" s="26">
        <v>1</v>
      </c>
      <c r="AF259" s="26">
        <v>1</v>
      </c>
      <c r="AG259" s="26">
        <v>0</v>
      </c>
      <c r="AH259" s="26">
        <v>0</v>
      </c>
      <c r="AI259" s="26">
        <v>1</v>
      </c>
      <c r="AJ259" s="26"/>
      <c r="AK259" s="26"/>
      <c r="AL259" s="26"/>
      <c r="AM259" s="26"/>
      <c r="AN259" s="26">
        <v>0</v>
      </c>
      <c r="AO259" s="26">
        <v>0</v>
      </c>
      <c r="AP259" s="26">
        <v>0</v>
      </c>
      <c r="AQ259" s="26">
        <v>0</v>
      </c>
      <c r="AR259" s="26">
        <v>0</v>
      </c>
      <c r="AS259" s="26">
        <v>3</v>
      </c>
      <c r="AT259" s="26">
        <v>3</v>
      </c>
      <c r="AU259" s="26">
        <v>0</v>
      </c>
      <c r="AV259" s="26">
        <v>0</v>
      </c>
      <c r="AW259" s="26">
        <v>0</v>
      </c>
      <c r="AX259" s="26">
        <v>0</v>
      </c>
      <c r="AY259" s="26">
        <v>0</v>
      </c>
      <c r="AZ259" s="26">
        <v>0</v>
      </c>
      <c r="BA259" s="26">
        <v>0</v>
      </c>
      <c r="BB259" s="26">
        <v>1</v>
      </c>
      <c r="BC259" s="26">
        <v>1</v>
      </c>
      <c r="BD259" s="26">
        <v>0</v>
      </c>
      <c r="BE259" s="26">
        <v>0</v>
      </c>
      <c r="BF259" s="26">
        <v>0</v>
      </c>
      <c r="BG259" s="26">
        <v>0</v>
      </c>
      <c r="BH259" s="26">
        <v>0</v>
      </c>
      <c r="BI259" s="26">
        <v>0</v>
      </c>
      <c r="BJ259" s="26">
        <v>1</v>
      </c>
      <c r="BK259" s="26">
        <v>1</v>
      </c>
      <c r="BL259" s="26">
        <v>0</v>
      </c>
      <c r="BM259" s="26">
        <v>0</v>
      </c>
      <c r="BN259" s="26">
        <v>0</v>
      </c>
      <c r="BO259" s="26">
        <v>0</v>
      </c>
      <c r="BP259" s="26">
        <v>0</v>
      </c>
      <c r="BQ259" s="26">
        <v>0</v>
      </c>
      <c r="BR259" s="26">
        <v>2</v>
      </c>
      <c r="BS259" s="26">
        <v>2</v>
      </c>
      <c r="BT259" s="26">
        <v>3</v>
      </c>
      <c r="BU259" s="26">
        <v>3</v>
      </c>
      <c r="BV259" s="26">
        <v>2</v>
      </c>
      <c r="BW259" s="26">
        <v>1</v>
      </c>
      <c r="BX259" s="26">
        <v>3</v>
      </c>
      <c r="BY259" s="26">
        <v>3</v>
      </c>
      <c r="BZ259" s="26">
        <v>4</v>
      </c>
      <c r="CA259" s="26">
        <v>3</v>
      </c>
      <c r="CB259" s="26">
        <v>4</v>
      </c>
      <c r="CC259" s="26">
        <v>5</v>
      </c>
      <c r="CD259" s="26">
        <v>2</v>
      </c>
      <c r="CE259" s="26">
        <v>2</v>
      </c>
      <c r="CF259" s="26">
        <v>2</v>
      </c>
      <c r="CG259" s="26">
        <v>4</v>
      </c>
      <c r="CH259" s="26">
        <v>3</v>
      </c>
      <c r="CI259" s="26">
        <v>2</v>
      </c>
      <c r="CJ259" s="26">
        <v>3</v>
      </c>
      <c r="CK259" s="26">
        <v>6</v>
      </c>
      <c r="CL259" s="24" t="s">
        <v>779</v>
      </c>
      <c r="CM259" s="24">
        <v>43</v>
      </c>
      <c r="CN259" s="27">
        <v>91.8</v>
      </c>
      <c r="CO259" s="27">
        <v>83.4</v>
      </c>
      <c r="CP259" s="27">
        <v>25.8</v>
      </c>
      <c r="CQ259" s="24">
        <v>68.3</v>
      </c>
      <c r="CR259" s="24">
        <v>0</v>
      </c>
      <c r="CS259" s="24">
        <v>0</v>
      </c>
      <c r="CT259" s="24">
        <v>0</v>
      </c>
      <c r="CU259" s="24">
        <v>31.54</v>
      </c>
      <c r="CV259" s="24">
        <v>0</v>
      </c>
      <c r="CW259" s="24">
        <v>0</v>
      </c>
      <c r="CX259" s="24">
        <v>0</v>
      </c>
      <c r="CY259" s="24">
        <v>0</v>
      </c>
      <c r="CZ259" s="24">
        <v>0</v>
      </c>
      <c r="DA259" s="24">
        <v>0</v>
      </c>
      <c r="DB259" s="24">
        <v>48.27</v>
      </c>
      <c r="DC259" s="24">
        <v>58.3</v>
      </c>
      <c r="DD259" s="24">
        <v>1.34</v>
      </c>
      <c r="DE259" s="24">
        <v>0</v>
      </c>
      <c r="DF259" s="24">
        <v>0.16</v>
      </c>
      <c r="DG259" s="24">
        <v>0</v>
      </c>
      <c r="DH259" s="24">
        <v>0</v>
      </c>
      <c r="DU259" s="24">
        <v>11</v>
      </c>
      <c r="DV259" s="24">
        <v>1</v>
      </c>
      <c r="DW259" s="24">
        <v>30</v>
      </c>
      <c r="DX259" s="24">
        <v>1</v>
      </c>
      <c r="DY259" s="24">
        <v>0.73</v>
      </c>
      <c r="DZ259" s="24">
        <v>1</v>
      </c>
      <c r="EG259" s="28"/>
      <c r="EY259" s="24">
        <v>1</v>
      </c>
      <c r="EZ259" s="24">
        <v>60</v>
      </c>
      <c r="FA259" s="24">
        <v>14</v>
      </c>
      <c r="FB259" s="24">
        <f t="shared" si="86"/>
        <v>2.11</v>
      </c>
      <c r="FC259" s="24">
        <v>6</v>
      </c>
      <c r="FD259" s="24">
        <v>50</v>
      </c>
      <c r="FE259" s="24">
        <v>8</v>
      </c>
      <c r="FF259" s="24">
        <f t="shared" si="87"/>
        <v>5.88</v>
      </c>
      <c r="FG259" s="24">
        <v>4</v>
      </c>
      <c r="GJ259" s="27">
        <v>2.4500000000000002</v>
      </c>
      <c r="GK259" s="27">
        <v>1</v>
      </c>
      <c r="GL259" s="27">
        <v>1</v>
      </c>
      <c r="GM259" s="27"/>
      <c r="GN259" s="27">
        <f t="shared" si="88"/>
        <v>0.68</v>
      </c>
      <c r="GO259" s="27">
        <v>2</v>
      </c>
      <c r="GP259" s="27"/>
      <c r="GQ259" s="27">
        <f t="shared" si="89"/>
        <v>6.66</v>
      </c>
      <c r="GR259" s="27"/>
      <c r="GS259" s="27"/>
      <c r="GT259" s="27"/>
      <c r="GU259" s="27">
        <v>3.68</v>
      </c>
      <c r="GV259" s="27">
        <v>1.63</v>
      </c>
      <c r="GW259" s="27"/>
      <c r="GX259" s="27"/>
      <c r="GY259" s="27">
        <v>0</v>
      </c>
      <c r="GZ259" s="27">
        <v>0</v>
      </c>
      <c r="HA259" s="27">
        <v>0</v>
      </c>
      <c r="HB259" s="24">
        <v>0</v>
      </c>
      <c r="HC259" s="24" t="s">
        <v>780</v>
      </c>
      <c r="HD259" s="24">
        <v>46</v>
      </c>
      <c r="HE259" s="27">
        <v>101.6</v>
      </c>
      <c r="HF259" s="27">
        <v>83.4</v>
      </c>
      <c r="HG259" s="27">
        <v>27.8</v>
      </c>
      <c r="HH259" s="24">
        <v>66.040000000000006</v>
      </c>
      <c r="HI259" s="24">
        <v>0</v>
      </c>
      <c r="HJ259" s="24">
        <v>0</v>
      </c>
      <c r="HK259" s="24">
        <v>0</v>
      </c>
      <c r="HL259" s="24">
        <v>35.15</v>
      </c>
      <c r="HM259" s="24">
        <v>0</v>
      </c>
      <c r="HN259" s="24">
        <v>0</v>
      </c>
      <c r="HO259" s="24">
        <v>0</v>
      </c>
      <c r="HP259" s="24">
        <v>0</v>
      </c>
      <c r="HQ259" s="24">
        <v>0</v>
      </c>
      <c r="HR259" s="24">
        <v>0</v>
      </c>
      <c r="HS259" s="24">
        <v>43.27</v>
      </c>
      <c r="HT259" s="24">
        <v>65.02</v>
      </c>
      <c r="HU259" s="24">
        <v>6.59</v>
      </c>
      <c r="HV259" s="24">
        <v>0.88</v>
      </c>
      <c r="HW259" s="24">
        <v>0.16</v>
      </c>
      <c r="HX259" s="24">
        <v>0</v>
      </c>
      <c r="HY259" s="24">
        <v>0</v>
      </c>
      <c r="IL259" s="24">
        <v>14.9</v>
      </c>
      <c r="IM259" s="24">
        <v>1</v>
      </c>
      <c r="IN259" s="24">
        <v>30</v>
      </c>
      <c r="IO259" s="24">
        <v>1</v>
      </c>
      <c r="IP259" s="24">
        <v>0.73</v>
      </c>
      <c r="IQ259" s="24">
        <v>1</v>
      </c>
      <c r="IR259" s="24">
        <v>47</v>
      </c>
      <c r="IS259" s="24">
        <v>1</v>
      </c>
      <c r="IT259" s="24">
        <v>0.11</v>
      </c>
      <c r="IU259" s="24">
        <v>3</v>
      </c>
      <c r="IX259" s="28"/>
      <c r="JP259" s="24">
        <v>1</v>
      </c>
      <c r="JQ259" s="24">
        <v>60</v>
      </c>
      <c r="JR259" s="24">
        <v>4</v>
      </c>
      <c r="JS259" s="24">
        <v>1.68</v>
      </c>
      <c r="JT259" s="24">
        <v>6</v>
      </c>
      <c r="JU259" s="24">
        <v>50</v>
      </c>
      <c r="JV259" s="24">
        <v>8</v>
      </c>
      <c r="JW259" s="24">
        <f t="shared" si="90"/>
        <v>5.88</v>
      </c>
      <c r="JX259" s="24">
        <v>4</v>
      </c>
      <c r="JY259" s="24">
        <v>50</v>
      </c>
      <c r="JZ259" s="24">
        <v>4</v>
      </c>
      <c r="KA259" s="24">
        <v>0.76</v>
      </c>
      <c r="KB259" s="24">
        <v>6</v>
      </c>
      <c r="KC259" s="24">
        <v>80</v>
      </c>
      <c r="KD259" s="24">
        <v>8</v>
      </c>
      <c r="KE259" s="24">
        <f t="shared" si="91"/>
        <v>0.52</v>
      </c>
      <c r="KF259" s="24">
        <v>6</v>
      </c>
      <c r="LA259" s="27">
        <v>2.0499999999999998</v>
      </c>
      <c r="LB259" s="27">
        <v>1</v>
      </c>
      <c r="LC259" s="27">
        <v>1</v>
      </c>
      <c r="LD259" s="27"/>
      <c r="LE259" s="27">
        <f t="shared" si="92"/>
        <v>7.0200000000000005</v>
      </c>
      <c r="LF259" s="27">
        <v>2</v>
      </c>
      <c r="LG259" s="27"/>
      <c r="LH259" s="27">
        <v>6.01</v>
      </c>
      <c r="LI259" s="27"/>
      <c r="LJ259" s="27"/>
      <c r="LK259" s="27"/>
      <c r="LL259" s="27">
        <v>0.86</v>
      </c>
      <c r="LM259" s="27">
        <v>0.85</v>
      </c>
      <c r="LN259" s="27"/>
      <c r="LO259" s="27"/>
      <c r="LP259" s="27">
        <v>0</v>
      </c>
      <c r="LQ259" s="27">
        <v>0</v>
      </c>
      <c r="LR259" s="27">
        <v>0</v>
      </c>
      <c r="LS259" s="24">
        <v>0</v>
      </c>
      <c r="LT259" s="24">
        <v>100</v>
      </c>
      <c r="LU259" s="24">
        <v>29.5</v>
      </c>
      <c r="LV259" s="27">
        <v>94.9</v>
      </c>
      <c r="LW259" s="27">
        <v>83.4</v>
      </c>
      <c r="LX259" s="27">
        <v>17.600000000000001</v>
      </c>
      <c r="LY259" s="24">
        <v>85.6</v>
      </c>
      <c r="LZ259" s="24">
        <v>0</v>
      </c>
      <c r="MA259" s="24">
        <v>0</v>
      </c>
      <c r="MB259" s="24">
        <v>0</v>
      </c>
      <c r="MC259" s="24">
        <v>14.4</v>
      </c>
      <c r="MD259" s="24">
        <v>0</v>
      </c>
      <c r="ME259" s="24">
        <v>0</v>
      </c>
      <c r="MF259" s="24">
        <v>0</v>
      </c>
      <c r="MG259" s="24">
        <v>0</v>
      </c>
      <c r="MH259" s="24">
        <v>0</v>
      </c>
      <c r="MI259" s="24">
        <v>0</v>
      </c>
      <c r="MJ259" s="24">
        <v>1.95</v>
      </c>
      <c r="MK259" s="24">
        <v>9.4499999999999993</v>
      </c>
      <c r="ML259" s="24">
        <v>11.24</v>
      </c>
      <c r="MM259" s="24">
        <v>36.94</v>
      </c>
      <c r="MN259" s="24">
        <v>0</v>
      </c>
      <c r="MO259" s="24">
        <v>11.5</v>
      </c>
      <c r="MP259" s="24">
        <v>1</v>
      </c>
      <c r="MQ259" s="24">
        <v>5</v>
      </c>
      <c r="MS259" s="24">
        <v>4</v>
      </c>
      <c r="NC259" s="24">
        <v>0</v>
      </c>
      <c r="ND259" s="24">
        <v>0</v>
      </c>
      <c r="NO259" s="28"/>
      <c r="OG259" s="24">
        <v>0</v>
      </c>
      <c r="PR259" s="27">
        <v>0.2</v>
      </c>
      <c r="PS259" s="27">
        <v>1</v>
      </c>
      <c r="PT259" s="27">
        <v>1</v>
      </c>
      <c r="PU259" s="27"/>
      <c r="PV259" s="27">
        <f t="shared" si="93"/>
        <v>0.65</v>
      </c>
      <c r="PW259" s="27"/>
      <c r="PX259" s="27"/>
      <c r="PY259" s="27"/>
      <c r="PZ259" s="27"/>
      <c r="QA259" s="27"/>
      <c r="QB259" s="27"/>
      <c r="QC259" s="27">
        <v>0.23</v>
      </c>
      <c r="QD259" s="27">
        <v>0.23</v>
      </c>
      <c r="QE259" s="27"/>
      <c r="QF259" s="27"/>
      <c r="QG259" s="27">
        <v>0</v>
      </c>
      <c r="QH259" s="27">
        <v>0</v>
      </c>
      <c r="QI259" s="27">
        <v>0</v>
      </c>
      <c r="QJ259" s="24">
        <v>0</v>
      </c>
      <c r="QK259" s="24" t="s">
        <v>781</v>
      </c>
      <c r="QL259" s="24">
        <v>47.5</v>
      </c>
      <c r="QM259" s="27">
        <v>49.3</v>
      </c>
      <c r="QN259" s="27">
        <v>83.4</v>
      </c>
      <c r="QO259" s="27">
        <v>35.700000000000003</v>
      </c>
      <c r="QP259" s="24">
        <v>66.48</v>
      </c>
      <c r="QQ259" s="24">
        <v>0</v>
      </c>
      <c r="QR259" s="24">
        <v>6.11</v>
      </c>
      <c r="QS259" s="24">
        <v>0</v>
      </c>
      <c r="QT259" s="24">
        <v>9.56</v>
      </c>
      <c r="QU259" s="24">
        <v>0</v>
      </c>
      <c r="QV259" s="24">
        <v>6.1</v>
      </c>
      <c r="QW259" s="24">
        <v>3.05</v>
      </c>
      <c r="QX259" s="24">
        <v>0</v>
      </c>
      <c r="QY259" s="24">
        <v>0</v>
      </c>
      <c r="QZ259" s="24">
        <v>0</v>
      </c>
      <c r="RA259" s="24">
        <v>0</v>
      </c>
      <c r="RB259" s="24">
        <v>17.78</v>
      </c>
      <c r="RC259" s="24">
        <v>9.1300000000000008</v>
      </c>
      <c r="RD259" s="24">
        <v>2.7</v>
      </c>
      <c r="RE259" s="24">
        <v>11.73</v>
      </c>
      <c r="RF259" s="24">
        <v>0</v>
      </c>
      <c r="RG259" s="24">
        <v>0</v>
      </c>
      <c r="RT259" s="24">
        <v>5.7</v>
      </c>
      <c r="RU259" s="24">
        <v>1</v>
      </c>
      <c r="RV259" s="24">
        <v>30</v>
      </c>
      <c r="RW259" s="24">
        <v>10</v>
      </c>
      <c r="RX259" s="24">
        <f t="shared" si="94"/>
        <v>1.58</v>
      </c>
      <c r="RY259" s="24">
        <v>3</v>
      </c>
      <c r="SF259" s="28"/>
      <c r="SX259" s="24">
        <v>1</v>
      </c>
      <c r="SY259" s="24">
        <v>40</v>
      </c>
      <c r="SZ259" s="24">
        <v>4</v>
      </c>
      <c r="TA259" s="24">
        <v>0.6</v>
      </c>
      <c r="TB259" s="24">
        <v>2</v>
      </c>
      <c r="UI259" s="27">
        <v>0.53</v>
      </c>
      <c r="UJ259" s="27">
        <v>1</v>
      </c>
      <c r="UK259" s="27">
        <v>1</v>
      </c>
      <c r="UL259" s="27"/>
      <c r="UM259" s="27">
        <f t="shared" si="95"/>
        <v>2.64</v>
      </c>
      <c r="UN259" s="27"/>
      <c r="UO259" s="27"/>
      <c r="UP259" s="27"/>
      <c r="UQ259" s="27"/>
      <c r="UR259" s="27"/>
      <c r="US259" s="27"/>
      <c r="UT259" s="27">
        <v>5.0599999999999996</v>
      </c>
      <c r="UU259" s="27">
        <v>1.58</v>
      </c>
      <c r="UV259" s="27"/>
      <c r="UW259" s="27"/>
      <c r="UX259" s="27">
        <v>0</v>
      </c>
      <c r="UY259" s="27">
        <v>0</v>
      </c>
      <c r="UZ259" s="27">
        <v>0</v>
      </c>
      <c r="VA259" s="24">
        <v>0</v>
      </c>
      <c r="VB259" s="24" t="s">
        <v>782</v>
      </c>
      <c r="VC259" s="24">
        <v>71</v>
      </c>
      <c r="VD259" s="27">
        <v>92</v>
      </c>
      <c r="VE259" s="27">
        <v>166.8</v>
      </c>
      <c r="VF259" s="27">
        <v>65</v>
      </c>
      <c r="VG259" s="24">
        <v>28.78</v>
      </c>
      <c r="VH259" s="24">
        <v>0</v>
      </c>
      <c r="VI259" s="24">
        <v>0</v>
      </c>
      <c r="VJ259" s="24">
        <v>0</v>
      </c>
      <c r="VK259" s="24">
        <v>2.5</v>
      </c>
      <c r="VL259" s="24">
        <v>0</v>
      </c>
      <c r="VM259" s="24">
        <v>8.5399999999999991</v>
      </c>
      <c r="VN259" s="24">
        <v>0</v>
      </c>
      <c r="VO259" s="24">
        <v>0</v>
      </c>
      <c r="VP259" s="24">
        <v>2.76</v>
      </c>
      <c r="VQ259" s="24">
        <v>0</v>
      </c>
      <c r="VR259" s="24">
        <v>9.52</v>
      </c>
      <c r="VS259" s="24">
        <v>36.909999999999997</v>
      </c>
      <c r="VT259" s="24">
        <v>26.15</v>
      </c>
      <c r="VU259" s="24">
        <v>1.97</v>
      </c>
      <c r="VV259" s="24">
        <v>60.18</v>
      </c>
      <c r="VW259" s="24">
        <v>0</v>
      </c>
      <c r="VX259" s="24">
        <v>0</v>
      </c>
      <c r="WK259" s="24">
        <v>0.1</v>
      </c>
      <c r="WL259" s="24">
        <v>0</v>
      </c>
      <c r="WW259" s="28"/>
      <c r="XO259" s="24">
        <v>1</v>
      </c>
      <c r="XP259" s="24">
        <v>50</v>
      </c>
      <c r="XQ259" s="24">
        <v>4</v>
      </c>
      <c r="XR259" s="24">
        <f t="shared" si="96"/>
        <v>1.48</v>
      </c>
      <c r="XS259" s="24">
        <v>3</v>
      </c>
      <c r="XT259" s="24">
        <v>40</v>
      </c>
      <c r="XU259" s="24">
        <v>6</v>
      </c>
      <c r="XV259" s="24">
        <v>2.2000000000000002</v>
      </c>
      <c r="XW259" s="24">
        <v>3</v>
      </c>
      <c r="XX259" s="24">
        <v>50</v>
      </c>
      <c r="XY259" s="24">
        <v>1</v>
      </c>
      <c r="XZ259" s="24">
        <v>0.06</v>
      </c>
      <c r="YA259" s="24">
        <v>1</v>
      </c>
      <c r="YB259" s="24">
        <v>60</v>
      </c>
      <c r="YC259" s="24">
        <v>3</v>
      </c>
      <c r="YD259" s="24">
        <v>0.19</v>
      </c>
      <c r="YE259" s="24">
        <v>4</v>
      </c>
      <c r="YZ259" s="27">
        <v>1.1100000000000001</v>
      </c>
      <c r="ZA259" s="27">
        <v>1</v>
      </c>
      <c r="ZB259" s="27">
        <v>1</v>
      </c>
      <c r="ZC259" s="27"/>
      <c r="ZD259" s="27">
        <f t="shared" si="97"/>
        <v>3.96</v>
      </c>
      <c r="ZE259" s="27"/>
      <c r="ZF259" s="27"/>
      <c r="ZG259" s="27"/>
      <c r="ZH259" s="27"/>
      <c r="ZI259" s="27"/>
      <c r="ZJ259" s="27"/>
      <c r="ZK259" s="27">
        <v>1.95</v>
      </c>
      <c r="ZL259" s="27">
        <v>1.96</v>
      </c>
      <c r="ZM259" s="27"/>
      <c r="ZN259" s="27"/>
      <c r="ZO259" s="27">
        <v>2.88</v>
      </c>
      <c r="ZP259" s="27">
        <v>0</v>
      </c>
      <c r="ZQ259" s="27">
        <v>0</v>
      </c>
      <c r="ZR259" s="24">
        <v>2</v>
      </c>
      <c r="ZS259" s="24" t="s">
        <v>783</v>
      </c>
      <c r="ZT259" s="24">
        <v>35</v>
      </c>
      <c r="ZU259" s="27">
        <v>89.3</v>
      </c>
      <c r="ZV259" s="27">
        <v>83.4</v>
      </c>
      <c r="ZW259" s="27">
        <v>12.6</v>
      </c>
      <c r="ZX259" s="24">
        <v>87.93</v>
      </c>
      <c r="ZY259" s="24">
        <v>0</v>
      </c>
      <c r="ZZ259" s="24">
        <v>0</v>
      </c>
      <c r="AAA259" s="24">
        <v>1.49</v>
      </c>
      <c r="AAB259" s="24">
        <v>10.58</v>
      </c>
      <c r="AAC259" s="24">
        <v>0</v>
      </c>
      <c r="AAD259" s="24">
        <v>0</v>
      </c>
      <c r="AAE259" s="24">
        <v>0</v>
      </c>
      <c r="AAF259" s="24">
        <v>0</v>
      </c>
      <c r="AAG259" s="24">
        <v>0</v>
      </c>
      <c r="AAH259" s="24">
        <v>0</v>
      </c>
      <c r="AAI259" s="24">
        <v>0.17</v>
      </c>
      <c r="AAJ259" s="24">
        <v>38.78</v>
      </c>
      <c r="AAK259" s="24">
        <v>29.47</v>
      </c>
      <c r="AAL259" s="24">
        <v>0</v>
      </c>
      <c r="AAM259" s="24">
        <v>0</v>
      </c>
      <c r="AAN259" s="24">
        <v>4</v>
      </c>
      <c r="AAO259" s="24">
        <v>1</v>
      </c>
      <c r="AAP259" s="24">
        <v>3</v>
      </c>
      <c r="AAR259" s="24">
        <v>4</v>
      </c>
      <c r="ABB259" s="24">
        <v>9.6999999999999993</v>
      </c>
      <c r="ABC259" s="24">
        <v>1</v>
      </c>
      <c r="ABD259" s="24">
        <v>68</v>
      </c>
      <c r="ABE259" s="24">
        <v>1</v>
      </c>
      <c r="ABF259" s="24">
        <v>0.02</v>
      </c>
      <c r="ABG259" s="24">
        <v>1</v>
      </c>
      <c r="ABH259" s="24">
        <v>35</v>
      </c>
      <c r="ABI259" s="24">
        <v>10</v>
      </c>
      <c r="ABJ259" s="24">
        <f t="shared" si="98"/>
        <v>2.0900000000000003</v>
      </c>
      <c r="ABK259" s="24">
        <v>3</v>
      </c>
      <c r="ABN259" s="28"/>
      <c r="ACF259" s="24">
        <v>1</v>
      </c>
      <c r="ACG259" s="24">
        <v>50</v>
      </c>
      <c r="ACH259" s="24">
        <f t="shared" si="99"/>
        <v>24</v>
      </c>
      <c r="ACI259" s="24">
        <f t="shared" si="100"/>
        <v>17.38</v>
      </c>
      <c r="ACJ259" s="24">
        <v>1</v>
      </c>
      <c r="ACK259" s="24">
        <v>40</v>
      </c>
      <c r="ACL259" s="24">
        <v>18</v>
      </c>
      <c r="ACM259" s="24">
        <f t="shared" si="101"/>
        <v>4.5600000000000005</v>
      </c>
      <c r="ACN259" s="24">
        <v>1</v>
      </c>
      <c r="ACO259" s="24">
        <v>40</v>
      </c>
      <c r="ACP259" s="24">
        <v>2</v>
      </c>
      <c r="ACQ259" s="24">
        <v>0.12</v>
      </c>
      <c r="ACR259" s="24">
        <v>5</v>
      </c>
      <c r="ACS259" s="24">
        <v>50</v>
      </c>
      <c r="ACT259" s="24">
        <v>1</v>
      </c>
      <c r="ACU259" s="24">
        <v>0.22</v>
      </c>
      <c r="ACV259" s="24">
        <v>6</v>
      </c>
      <c r="ACW259" s="24">
        <v>40</v>
      </c>
      <c r="ACX259" s="24">
        <v>3</v>
      </c>
      <c r="ACY259" s="24">
        <v>0.16</v>
      </c>
      <c r="ACZ259" s="24">
        <v>6</v>
      </c>
      <c r="ADQ259" s="27">
        <v>0.68</v>
      </c>
      <c r="ADR259" s="27">
        <v>1</v>
      </c>
      <c r="ADS259" s="27">
        <v>1</v>
      </c>
      <c r="ADT259" s="27"/>
      <c r="ADU259" s="27">
        <f t="shared" si="102"/>
        <v>3.4299999999999997</v>
      </c>
      <c r="ADV259" s="27"/>
      <c r="ADW259" s="27"/>
      <c r="ADX259" s="27"/>
      <c r="ADY259" s="27"/>
      <c r="ADZ259" s="27"/>
      <c r="AEA259" s="27"/>
      <c r="AEB259" s="27">
        <v>7.83</v>
      </c>
      <c r="AEC259" s="27">
        <v>8.68</v>
      </c>
      <c r="AED259" s="27"/>
      <c r="AEE259" s="27"/>
      <c r="AEF259" s="27">
        <v>0</v>
      </c>
      <c r="AEG259" s="27">
        <v>0</v>
      </c>
      <c r="AEH259" s="27">
        <v>0</v>
      </c>
      <c r="AEI259" s="24">
        <v>0</v>
      </c>
      <c r="AEJ259" s="24" t="s">
        <v>785</v>
      </c>
      <c r="AEK259" s="24">
        <v>37.5</v>
      </c>
      <c r="AEL259" s="27">
        <v>94.9</v>
      </c>
      <c r="AEM259" s="27">
        <v>83.4</v>
      </c>
      <c r="AEN259" s="27">
        <v>16</v>
      </c>
      <c r="AEO259" s="24">
        <v>79.430000000000007</v>
      </c>
      <c r="AEP259" s="24">
        <v>0</v>
      </c>
      <c r="AEQ259" s="24">
        <v>0</v>
      </c>
      <c r="AER259" s="24">
        <v>0</v>
      </c>
      <c r="AES259" s="24">
        <v>20.309999999999999</v>
      </c>
      <c r="AET259" s="24">
        <v>0</v>
      </c>
      <c r="AEU259" s="24">
        <v>0</v>
      </c>
      <c r="AEV259" s="24">
        <v>0</v>
      </c>
      <c r="AEW259" s="24">
        <v>0</v>
      </c>
      <c r="AEX259" s="24">
        <v>0</v>
      </c>
      <c r="AEY259" s="24">
        <v>0</v>
      </c>
      <c r="AEZ259" s="24">
        <v>0.28999999999999998</v>
      </c>
      <c r="AFA259" s="24">
        <v>37.58</v>
      </c>
      <c r="AFB259" s="24">
        <v>37.76</v>
      </c>
      <c r="AFC259" s="24">
        <v>5.57</v>
      </c>
      <c r="AFD259" s="24">
        <v>0</v>
      </c>
      <c r="AFE259" s="24">
        <v>0</v>
      </c>
      <c r="AFF259" s="24">
        <v>0</v>
      </c>
      <c r="AFS259" s="24">
        <v>17.5</v>
      </c>
      <c r="AFT259" s="24">
        <v>0</v>
      </c>
      <c r="AGE259" s="28"/>
      <c r="AGW259" s="24">
        <v>1</v>
      </c>
      <c r="AGX259" s="24">
        <v>71</v>
      </c>
      <c r="AGY259" s="24">
        <f t="shared" si="103"/>
        <v>27</v>
      </c>
      <c r="AGZ259" s="24">
        <f t="shared" si="104"/>
        <v>18.189999999999998</v>
      </c>
      <c r="AHA259" s="24">
        <v>2</v>
      </c>
      <c r="AIH259" s="27">
        <v>3.74</v>
      </c>
      <c r="AII259" s="27">
        <v>1</v>
      </c>
      <c r="AIJ259" s="27">
        <v>1</v>
      </c>
      <c r="AIK259" s="27"/>
      <c r="AIL259" s="27">
        <f t="shared" si="105"/>
        <v>6.99</v>
      </c>
      <c r="AIM259" s="27">
        <v>2</v>
      </c>
      <c r="AIN259" s="27"/>
      <c r="AIO259" s="27">
        <v>0.91</v>
      </c>
      <c r="AIP259" s="27">
        <v>1</v>
      </c>
      <c r="AIQ259" s="27">
        <v>1</v>
      </c>
      <c r="AIR259" s="27"/>
      <c r="AIS259" s="27">
        <v>0.19</v>
      </c>
      <c r="AIT259" s="27">
        <v>0.19</v>
      </c>
      <c r="AIU259" s="27"/>
      <c r="AIV259" s="27"/>
      <c r="AIW259" s="27">
        <v>0</v>
      </c>
      <c r="AIX259" s="27">
        <v>0</v>
      </c>
      <c r="AIY259" s="27">
        <v>0</v>
      </c>
      <c r="AIZ259" s="24">
        <v>0</v>
      </c>
      <c r="AJA259" s="21"/>
      <c r="AJB259" s="21"/>
      <c r="AJD259" s="33"/>
      <c r="AJE259" s="33"/>
      <c r="AJH259" s="33"/>
      <c r="AJI259" s="21"/>
      <c r="AJJ259" s="21"/>
      <c r="AJL259" s="33"/>
      <c r="AJM259" s="33"/>
      <c r="AJP259" s="33"/>
      <c r="AJQ259" s="21"/>
      <c r="AJR259" s="21"/>
      <c r="AJT259" s="33"/>
      <c r="AJU259" s="33"/>
      <c r="AJX259" s="33"/>
      <c r="AJY259" s="21"/>
      <c r="AJZ259" s="21"/>
      <c r="AKB259" s="33"/>
      <c r="AKC259" s="33"/>
      <c r="AKF259" s="33"/>
      <c r="AKG259" s="21"/>
      <c r="AKH259" s="21"/>
      <c r="AKJ259" s="33"/>
      <c r="AKK259" s="33"/>
      <c r="AKN259" s="33"/>
      <c r="AKO259" s="21"/>
      <c r="AKP259" s="21"/>
      <c r="AKR259" s="33"/>
      <c r="AKS259" s="33"/>
      <c r="AKV259" s="33"/>
      <c r="AKW259" s="21"/>
      <c r="AKX259" s="21"/>
      <c r="AKZ259" s="33"/>
      <c r="ALA259" s="33"/>
      <c r="ALD259" s="33"/>
      <c r="ALE259" s="21"/>
      <c r="ALF259" s="21"/>
      <c r="ALH259" s="33"/>
      <c r="ALI259" s="33"/>
      <c r="ALL259" s="33"/>
      <c r="ALM259" s="21"/>
      <c r="ALN259" s="21"/>
      <c r="ALP259" s="33"/>
      <c r="ALQ259" s="33"/>
      <c r="ALT259" s="33"/>
      <c r="ALU259" s="21"/>
      <c r="ALV259" s="21"/>
      <c r="ALX259" s="33"/>
      <c r="ALY259" s="33"/>
      <c r="AMB259" s="33"/>
      <c r="AMC259" s="21"/>
      <c r="AMD259" s="21"/>
      <c r="AMF259" s="33"/>
      <c r="AMG259" s="33"/>
      <c r="AMJ259" s="33"/>
    </row>
    <row r="260" spans="1:1024" x14ac:dyDescent="0.2">
      <c r="A260" s="22" t="s">
        <v>790</v>
      </c>
      <c r="B260" s="23">
        <v>42909</v>
      </c>
      <c r="C260" s="24">
        <v>2</v>
      </c>
      <c r="D260" s="25">
        <v>42814</v>
      </c>
      <c r="E260" s="23">
        <v>32674</v>
      </c>
      <c r="F260" s="14">
        <f t="shared" si="106"/>
        <v>28.021902806297057</v>
      </c>
      <c r="G260" s="14">
        <f t="shared" si="107"/>
        <v>0.26009582477754961</v>
      </c>
      <c r="H260" s="26" t="s">
        <v>306</v>
      </c>
      <c r="I260" s="21" t="s">
        <v>777</v>
      </c>
      <c r="J260" s="21" t="s">
        <v>183</v>
      </c>
      <c r="K260" s="21">
        <v>8</v>
      </c>
      <c r="L260" s="26">
        <v>65</v>
      </c>
      <c r="M260" s="24">
        <v>1.75</v>
      </c>
      <c r="N260" s="27">
        <f t="shared" si="108"/>
        <v>21.224489795918366</v>
      </c>
      <c r="O260" s="26">
        <v>0</v>
      </c>
      <c r="P260" s="26">
        <v>0</v>
      </c>
      <c r="Q260" s="26">
        <v>0</v>
      </c>
      <c r="R260" s="26">
        <v>0</v>
      </c>
      <c r="S260" s="26">
        <v>0</v>
      </c>
      <c r="T260" s="26">
        <v>0</v>
      </c>
      <c r="U260" s="19">
        <v>0</v>
      </c>
      <c r="V260" s="19">
        <v>0</v>
      </c>
      <c r="W260" s="26">
        <v>0</v>
      </c>
      <c r="X260" s="26">
        <v>0</v>
      </c>
      <c r="Y260" s="26">
        <v>0</v>
      </c>
      <c r="Z260" s="26">
        <v>0</v>
      </c>
      <c r="AA260" s="26">
        <v>0</v>
      </c>
      <c r="AB260" s="26">
        <v>0</v>
      </c>
      <c r="AC260" s="26">
        <v>1</v>
      </c>
      <c r="AD260" s="26">
        <v>12</v>
      </c>
      <c r="AE260" s="26">
        <v>0</v>
      </c>
      <c r="AF260" s="26">
        <v>0</v>
      </c>
      <c r="AG260" s="26">
        <v>0</v>
      </c>
      <c r="AH260" s="26">
        <v>0</v>
      </c>
      <c r="AI260" s="26">
        <v>0</v>
      </c>
      <c r="AJ260" s="26">
        <v>0</v>
      </c>
      <c r="AK260" s="26">
        <v>0</v>
      </c>
      <c r="AL260" s="26">
        <v>0</v>
      </c>
      <c r="AM260" s="19">
        <v>0</v>
      </c>
      <c r="AN260" s="26">
        <v>0</v>
      </c>
      <c r="AO260" s="26">
        <v>0</v>
      </c>
      <c r="AP260" s="26">
        <v>0</v>
      </c>
      <c r="AQ260" s="26">
        <v>0</v>
      </c>
      <c r="AR260" s="26">
        <v>0</v>
      </c>
      <c r="AS260" s="26">
        <v>0</v>
      </c>
      <c r="AT260" s="26">
        <v>0</v>
      </c>
      <c r="AU260" s="26">
        <v>0</v>
      </c>
      <c r="AV260" s="26">
        <v>0</v>
      </c>
      <c r="AW260" s="26">
        <v>0</v>
      </c>
      <c r="AX260" s="26">
        <v>0</v>
      </c>
      <c r="AY260" s="26">
        <v>0</v>
      </c>
      <c r="AZ260" s="26">
        <v>0</v>
      </c>
      <c r="BA260" s="26">
        <v>0</v>
      </c>
      <c r="BB260" s="26">
        <v>0</v>
      </c>
      <c r="BC260" s="26">
        <v>0</v>
      </c>
      <c r="BD260" s="26">
        <v>0</v>
      </c>
      <c r="BE260" s="26">
        <v>0</v>
      </c>
      <c r="BF260" s="26">
        <v>0</v>
      </c>
      <c r="BG260" s="26">
        <v>0</v>
      </c>
      <c r="BH260" s="26">
        <v>0</v>
      </c>
      <c r="BI260" s="26">
        <v>0</v>
      </c>
      <c r="BJ260" s="26">
        <v>1</v>
      </c>
      <c r="BK260" s="26">
        <v>0</v>
      </c>
      <c r="BL260" s="26">
        <v>1</v>
      </c>
      <c r="BM260" s="26">
        <v>2</v>
      </c>
      <c r="BN260" s="26">
        <v>0</v>
      </c>
      <c r="BO260" s="26">
        <v>0</v>
      </c>
      <c r="BP260" s="26">
        <v>0</v>
      </c>
      <c r="BQ260" s="26">
        <v>0</v>
      </c>
      <c r="BR260" s="26">
        <v>1</v>
      </c>
      <c r="BS260" s="26">
        <v>1</v>
      </c>
      <c r="BT260" s="26">
        <v>2</v>
      </c>
      <c r="BU260" s="26">
        <v>5</v>
      </c>
      <c r="BV260" s="26">
        <v>3</v>
      </c>
      <c r="BW260" s="26">
        <v>1</v>
      </c>
      <c r="BX260" s="26">
        <v>4</v>
      </c>
      <c r="BY260" s="26">
        <v>5</v>
      </c>
      <c r="BZ260" s="26">
        <v>5</v>
      </c>
      <c r="CA260" s="26">
        <v>2</v>
      </c>
      <c r="CB260" s="26">
        <v>5</v>
      </c>
      <c r="CC260" s="26">
        <v>5</v>
      </c>
      <c r="CD260" s="26">
        <v>5</v>
      </c>
      <c r="CE260" s="26">
        <v>5</v>
      </c>
      <c r="CF260" s="26">
        <v>5</v>
      </c>
      <c r="CG260" s="26">
        <v>5</v>
      </c>
      <c r="CH260" s="26">
        <v>4</v>
      </c>
      <c r="CI260" s="26">
        <v>4</v>
      </c>
      <c r="CJ260" s="26">
        <v>4</v>
      </c>
      <c r="CK260" s="26">
        <v>10</v>
      </c>
      <c r="CL260" s="24" t="s">
        <v>779</v>
      </c>
      <c r="CM260" s="24">
        <v>43</v>
      </c>
      <c r="CN260" s="27">
        <v>91.8</v>
      </c>
      <c r="CO260" s="27">
        <v>83.4</v>
      </c>
      <c r="CP260" s="27">
        <v>25.8</v>
      </c>
      <c r="CQ260" s="24">
        <v>68.3</v>
      </c>
      <c r="CR260" s="24">
        <v>0</v>
      </c>
      <c r="CS260" s="24">
        <v>0</v>
      </c>
      <c r="CT260" s="24">
        <v>0</v>
      </c>
      <c r="CU260" s="24">
        <v>31.54</v>
      </c>
      <c r="CV260" s="24">
        <v>0</v>
      </c>
      <c r="CW260" s="24">
        <v>0</v>
      </c>
      <c r="CX260" s="24">
        <v>0</v>
      </c>
      <c r="CY260" s="24">
        <v>0</v>
      </c>
      <c r="CZ260" s="24">
        <v>0</v>
      </c>
      <c r="DA260" s="24">
        <v>0</v>
      </c>
      <c r="DB260" s="24">
        <v>48.27</v>
      </c>
      <c r="DC260" s="24">
        <v>58.3</v>
      </c>
      <c r="DD260" s="24">
        <v>1.34</v>
      </c>
      <c r="DE260" s="24">
        <v>0</v>
      </c>
      <c r="DF260" s="24">
        <v>0.16</v>
      </c>
      <c r="DG260" s="24">
        <v>0</v>
      </c>
      <c r="DH260" s="24">
        <v>0</v>
      </c>
      <c r="DU260" s="24">
        <v>11</v>
      </c>
      <c r="DV260" s="24">
        <v>1</v>
      </c>
      <c r="DW260" s="24">
        <v>30</v>
      </c>
      <c r="DX260" s="24">
        <v>1</v>
      </c>
      <c r="DY260" s="24">
        <v>0.73</v>
      </c>
      <c r="DZ260" s="24">
        <v>1</v>
      </c>
      <c r="EG260" s="28"/>
      <c r="EY260" s="24">
        <v>1</v>
      </c>
      <c r="EZ260" s="24">
        <v>60</v>
      </c>
      <c r="FA260" s="24">
        <v>14</v>
      </c>
      <c r="FB260" s="24">
        <f t="shared" si="86"/>
        <v>2.11</v>
      </c>
      <c r="FC260" s="24">
        <v>6</v>
      </c>
      <c r="FD260" s="24">
        <v>50</v>
      </c>
      <c r="FE260" s="24">
        <v>8</v>
      </c>
      <c r="FF260" s="24">
        <f t="shared" si="87"/>
        <v>5.88</v>
      </c>
      <c r="FG260" s="24">
        <v>4</v>
      </c>
      <c r="GJ260" s="27">
        <v>2.4500000000000002</v>
      </c>
      <c r="GK260" s="27">
        <v>1</v>
      </c>
      <c r="GL260" s="27">
        <v>1</v>
      </c>
      <c r="GM260" s="27"/>
      <c r="GN260" s="27">
        <f t="shared" si="88"/>
        <v>0.68</v>
      </c>
      <c r="GO260" s="27">
        <v>2</v>
      </c>
      <c r="GP260" s="27"/>
      <c r="GQ260" s="27">
        <f t="shared" si="89"/>
        <v>6.66</v>
      </c>
      <c r="GR260" s="27"/>
      <c r="GS260" s="27"/>
      <c r="GT260" s="27"/>
      <c r="GU260" s="27">
        <v>3.68</v>
      </c>
      <c r="GV260" s="27">
        <v>1.63</v>
      </c>
      <c r="GW260" s="27"/>
      <c r="GX260" s="27"/>
      <c r="GY260" s="27">
        <v>0</v>
      </c>
      <c r="GZ260" s="27">
        <v>0</v>
      </c>
      <c r="HA260" s="27">
        <v>0</v>
      </c>
      <c r="HB260" s="24">
        <v>0</v>
      </c>
      <c r="HC260" s="24" t="s">
        <v>780</v>
      </c>
      <c r="HD260" s="24">
        <v>46</v>
      </c>
      <c r="HE260" s="27">
        <v>101.6</v>
      </c>
      <c r="HF260" s="27">
        <v>83.4</v>
      </c>
      <c r="HG260" s="27">
        <v>27.8</v>
      </c>
      <c r="HH260" s="24">
        <v>66.040000000000006</v>
      </c>
      <c r="HI260" s="24">
        <v>0</v>
      </c>
      <c r="HJ260" s="24">
        <v>0</v>
      </c>
      <c r="HK260" s="24">
        <v>0</v>
      </c>
      <c r="HL260" s="24">
        <v>35.15</v>
      </c>
      <c r="HM260" s="24">
        <v>0</v>
      </c>
      <c r="HN260" s="24">
        <v>0</v>
      </c>
      <c r="HO260" s="24">
        <v>0</v>
      </c>
      <c r="HP260" s="24">
        <v>0</v>
      </c>
      <c r="HQ260" s="24">
        <v>0</v>
      </c>
      <c r="HR260" s="24">
        <v>0</v>
      </c>
      <c r="HS260" s="24">
        <v>43.27</v>
      </c>
      <c r="HT260" s="24">
        <v>65.02</v>
      </c>
      <c r="HU260" s="24">
        <v>6.59</v>
      </c>
      <c r="HV260" s="24">
        <v>0.88</v>
      </c>
      <c r="HW260" s="24">
        <v>0.16</v>
      </c>
      <c r="HX260" s="24">
        <v>0</v>
      </c>
      <c r="HY260" s="24">
        <v>0</v>
      </c>
      <c r="IL260" s="24">
        <v>14.9</v>
      </c>
      <c r="IM260" s="24">
        <v>1</v>
      </c>
      <c r="IN260" s="24">
        <v>30</v>
      </c>
      <c r="IO260" s="24">
        <v>1</v>
      </c>
      <c r="IP260" s="24">
        <v>0.73</v>
      </c>
      <c r="IQ260" s="24">
        <v>1</v>
      </c>
      <c r="IR260" s="24">
        <v>47</v>
      </c>
      <c r="IS260" s="24">
        <v>1</v>
      </c>
      <c r="IT260" s="24">
        <v>0.11</v>
      </c>
      <c r="IU260" s="24">
        <v>3</v>
      </c>
      <c r="IX260" s="28"/>
      <c r="JP260" s="24">
        <v>1</v>
      </c>
      <c r="JQ260" s="24">
        <v>60</v>
      </c>
      <c r="JR260" s="24">
        <v>4</v>
      </c>
      <c r="JS260" s="24">
        <v>1.68</v>
      </c>
      <c r="JT260" s="24">
        <v>6</v>
      </c>
      <c r="JU260" s="24">
        <v>50</v>
      </c>
      <c r="JV260" s="24">
        <v>8</v>
      </c>
      <c r="JW260" s="24">
        <f t="shared" si="90"/>
        <v>5.88</v>
      </c>
      <c r="JX260" s="24">
        <v>4</v>
      </c>
      <c r="JY260" s="24">
        <v>50</v>
      </c>
      <c r="JZ260" s="24">
        <v>4</v>
      </c>
      <c r="KA260" s="24">
        <v>0.76</v>
      </c>
      <c r="KB260" s="24">
        <v>6</v>
      </c>
      <c r="KC260" s="24">
        <v>80</v>
      </c>
      <c r="KD260" s="24">
        <v>8</v>
      </c>
      <c r="KE260" s="24">
        <f t="shared" si="91"/>
        <v>0.52</v>
      </c>
      <c r="KF260" s="24">
        <v>6</v>
      </c>
      <c r="LA260" s="27">
        <v>2.0499999999999998</v>
      </c>
      <c r="LB260" s="27">
        <v>1</v>
      </c>
      <c r="LC260" s="27">
        <v>1</v>
      </c>
      <c r="LD260" s="27"/>
      <c r="LE260" s="27">
        <f t="shared" si="92"/>
        <v>7.0200000000000005</v>
      </c>
      <c r="LF260" s="27">
        <v>2</v>
      </c>
      <c r="LG260" s="27"/>
      <c r="LH260" s="27">
        <v>6.01</v>
      </c>
      <c r="LI260" s="27"/>
      <c r="LJ260" s="27"/>
      <c r="LK260" s="27"/>
      <c r="LL260" s="27">
        <v>0.86</v>
      </c>
      <c r="LM260" s="27">
        <v>0.85</v>
      </c>
      <c r="LN260" s="27"/>
      <c r="LO260" s="27"/>
      <c r="LP260" s="27">
        <v>0</v>
      </c>
      <c r="LQ260" s="27">
        <v>0</v>
      </c>
      <c r="LR260" s="27">
        <v>0</v>
      </c>
      <c r="LS260" s="24">
        <v>0</v>
      </c>
      <c r="LT260" s="24">
        <v>100</v>
      </c>
      <c r="LU260" s="24">
        <v>29.5</v>
      </c>
      <c r="LV260" s="27">
        <v>94.9</v>
      </c>
      <c r="LW260" s="27">
        <v>83.4</v>
      </c>
      <c r="LX260" s="27">
        <v>17.600000000000001</v>
      </c>
      <c r="LY260" s="24">
        <v>85.6</v>
      </c>
      <c r="LZ260" s="24">
        <v>0</v>
      </c>
      <c r="MA260" s="24">
        <v>0</v>
      </c>
      <c r="MB260" s="24">
        <v>0</v>
      </c>
      <c r="MC260" s="24">
        <v>14.4</v>
      </c>
      <c r="MD260" s="24">
        <v>0</v>
      </c>
      <c r="ME260" s="24">
        <v>0</v>
      </c>
      <c r="MF260" s="24">
        <v>0</v>
      </c>
      <c r="MG260" s="24">
        <v>0</v>
      </c>
      <c r="MH260" s="24">
        <v>0</v>
      </c>
      <c r="MI260" s="24">
        <v>0</v>
      </c>
      <c r="MJ260" s="24">
        <v>1.95</v>
      </c>
      <c r="MK260" s="24">
        <v>9.4499999999999993</v>
      </c>
      <c r="ML260" s="24">
        <v>11.24</v>
      </c>
      <c r="MM260" s="24">
        <v>36.94</v>
      </c>
      <c r="MN260" s="24">
        <v>0</v>
      </c>
      <c r="MO260" s="24">
        <v>11.5</v>
      </c>
      <c r="MP260" s="24">
        <v>1</v>
      </c>
      <c r="MQ260" s="24">
        <v>5</v>
      </c>
      <c r="MS260" s="24">
        <v>4</v>
      </c>
      <c r="NC260" s="24">
        <v>0</v>
      </c>
      <c r="ND260" s="24">
        <v>0</v>
      </c>
      <c r="NO260" s="28"/>
      <c r="OG260" s="24">
        <v>0</v>
      </c>
      <c r="PR260" s="27">
        <v>0.2</v>
      </c>
      <c r="PS260" s="27">
        <v>1</v>
      </c>
      <c r="PT260" s="27">
        <v>1</v>
      </c>
      <c r="PU260" s="27"/>
      <c r="PV260" s="27">
        <f t="shared" si="93"/>
        <v>0.65</v>
      </c>
      <c r="PW260" s="27"/>
      <c r="PX260" s="27"/>
      <c r="PY260" s="27"/>
      <c r="PZ260" s="27"/>
      <c r="QA260" s="27"/>
      <c r="QB260" s="27"/>
      <c r="QC260" s="27">
        <v>0.23</v>
      </c>
      <c r="QD260" s="27">
        <v>0.23</v>
      </c>
      <c r="QE260" s="27"/>
      <c r="QF260" s="27"/>
      <c r="QG260" s="27">
        <v>0</v>
      </c>
      <c r="QH260" s="27">
        <v>0</v>
      </c>
      <c r="QI260" s="27">
        <v>0</v>
      </c>
      <c r="QJ260" s="24">
        <v>0</v>
      </c>
      <c r="QK260" s="24" t="s">
        <v>781</v>
      </c>
      <c r="QL260" s="24">
        <v>47.5</v>
      </c>
      <c r="QM260" s="27">
        <v>49.3</v>
      </c>
      <c r="QN260" s="27">
        <v>83.4</v>
      </c>
      <c r="QO260" s="27">
        <v>35.700000000000003</v>
      </c>
      <c r="QP260" s="24">
        <v>66.48</v>
      </c>
      <c r="QQ260" s="24">
        <v>0</v>
      </c>
      <c r="QR260" s="24">
        <v>6.11</v>
      </c>
      <c r="QS260" s="24">
        <v>0</v>
      </c>
      <c r="QT260" s="24">
        <v>9.56</v>
      </c>
      <c r="QU260" s="24">
        <v>0</v>
      </c>
      <c r="QV260" s="24">
        <v>6.1</v>
      </c>
      <c r="QW260" s="24">
        <v>3.05</v>
      </c>
      <c r="QX260" s="24">
        <v>0</v>
      </c>
      <c r="QY260" s="24">
        <v>0</v>
      </c>
      <c r="QZ260" s="24">
        <v>0</v>
      </c>
      <c r="RA260" s="24">
        <v>0</v>
      </c>
      <c r="RB260" s="24">
        <v>17.78</v>
      </c>
      <c r="RC260" s="24">
        <v>9.1300000000000008</v>
      </c>
      <c r="RD260" s="24">
        <v>2.7</v>
      </c>
      <c r="RE260" s="24">
        <v>11.73</v>
      </c>
      <c r="RF260" s="24">
        <v>0</v>
      </c>
      <c r="RG260" s="24">
        <v>0</v>
      </c>
      <c r="RT260" s="24">
        <v>5.7</v>
      </c>
      <c r="RU260" s="24">
        <v>1</v>
      </c>
      <c r="RV260" s="24">
        <v>30</v>
      </c>
      <c r="RW260" s="24">
        <v>10</v>
      </c>
      <c r="RX260" s="24">
        <f t="shared" si="94"/>
        <v>1.58</v>
      </c>
      <c r="RY260" s="24">
        <v>3</v>
      </c>
      <c r="SF260" s="28"/>
      <c r="SX260" s="24">
        <v>1</v>
      </c>
      <c r="SY260" s="24">
        <v>40</v>
      </c>
      <c r="SZ260" s="24">
        <v>4</v>
      </c>
      <c r="TA260" s="24">
        <v>0.6</v>
      </c>
      <c r="TB260" s="24">
        <v>2</v>
      </c>
      <c r="UI260" s="27">
        <v>0.53</v>
      </c>
      <c r="UJ260" s="27">
        <v>1</v>
      </c>
      <c r="UK260" s="27">
        <v>1</v>
      </c>
      <c r="UL260" s="27"/>
      <c r="UM260" s="27">
        <f t="shared" si="95"/>
        <v>2.64</v>
      </c>
      <c r="UN260" s="27"/>
      <c r="UO260" s="27"/>
      <c r="UP260" s="27"/>
      <c r="UQ260" s="27"/>
      <c r="UR260" s="27"/>
      <c r="US260" s="27"/>
      <c r="UT260" s="27">
        <v>5.0599999999999996</v>
      </c>
      <c r="UU260" s="27">
        <v>1.58</v>
      </c>
      <c r="UV260" s="27"/>
      <c r="UW260" s="27"/>
      <c r="UX260" s="27">
        <v>0</v>
      </c>
      <c r="UY260" s="27">
        <v>0</v>
      </c>
      <c r="UZ260" s="27">
        <v>0</v>
      </c>
      <c r="VA260" s="24">
        <v>0</v>
      </c>
      <c r="VB260" s="24" t="s">
        <v>782</v>
      </c>
      <c r="VC260" s="24">
        <v>71</v>
      </c>
      <c r="VD260" s="27">
        <v>92</v>
      </c>
      <c r="VE260" s="27">
        <v>166.8</v>
      </c>
      <c r="VF260" s="27">
        <v>65</v>
      </c>
      <c r="VG260" s="24">
        <v>28.78</v>
      </c>
      <c r="VH260" s="24">
        <v>0</v>
      </c>
      <c r="VI260" s="24">
        <v>0</v>
      </c>
      <c r="VJ260" s="24">
        <v>0</v>
      </c>
      <c r="VK260" s="24">
        <v>2.5</v>
      </c>
      <c r="VL260" s="24">
        <v>0</v>
      </c>
      <c r="VM260" s="24">
        <v>8.5399999999999991</v>
      </c>
      <c r="VN260" s="24">
        <v>0</v>
      </c>
      <c r="VO260" s="24">
        <v>0</v>
      </c>
      <c r="VP260" s="24">
        <v>2.76</v>
      </c>
      <c r="VQ260" s="24">
        <v>0</v>
      </c>
      <c r="VR260" s="24">
        <v>9.52</v>
      </c>
      <c r="VS260" s="24">
        <v>36.909999999999997</v>
      </c>
      <c r="VT260" s="24">
        <v>26.15</v>
      </c>
      <c r="VU260" s="24">
        <v>1.97</v>
      </c>
      <c r="VV260" s="24">
        <v>60.18</v>
      </c>
      <c r="VW260" s="24">
        <v>0</v>
      </c>
      <c r="VX260" s="24">
        <v>0</v>
      </c>
      <c r="WK260" s="24">
        <v>0.1</v>
      </c>
      <c r="WL260" s="24">
        <v>0</v>
      </c>
      <c r="WW260" s="28"/>
      <c r="XO260" s="24">
        <v>1</v>
      </c>
      <c r="XP260" s="24">
        <v>50</v>
      </c>
      <c r="XQ260" s="24">
        <v>4</v>
      </c>
      <c r="XR260" s="24">
        <f t="shared" si="96"/>
        <v>1.48</v>
      </c>
      <c r="XS260" s="24">
        <v>3</v>
      </c>
      <c r="XT260" s="24">
        <v>40</v>
      </c>
      <c r="XU260" s="24">
        <v>6</v>
      </c>
      <c r="XV260" s="24">
        <v>2.2000000000000002</v>
      </c>
      <c r="XW260" s="24">
        <v>3</v>
      </c>
      <c r="XX260" s="24">
        <v>50</v>
      </c>
      <c r="XY260" s="24">
        <v>1</v>
      </c>
      <c r="XZ260" s="24">
        <v>0.06</v>
      </c>
      <c r="YA260" s="24">
        <v>1</v>
      </c>
      <c r="YB260" s="24">
        <v>60</v>
      </c>
      <c r="YC260" s="24">
        <v>3</v>
      </c>
      <c r="YD260" s="24">
        <v>0.19</v>
      </c>
      <c r="YE260" s="24">
        <v>4</v>
      </c>
      <c r="YZ260" s="27">
        <v>1.1100000000000001</v>
      </c>
      <c r="ZA260" s="27">
        <v>1</v>
      </c>
      <c r="ZB260" s="27">
        <v>1</v>
      </c>
      <c r="ZC260" s="27"/>
      <c r="ZD260" s="27">
        <f t="shared" si="97"/>
        <v>3.96</v>
      </c>
      <c r="ZE260" s="27"/>
      <c r="ZF260" s="27"/>
      <c r="ZG260" s="27"/>
      <c r="ZH260" s="27"/>
      <c r="ZI260" s="27"/>
      <c r="ZJ260" s="27"/>
      <c r="ZK260" s="27">
        <v>1.95</v>
      </c>
      <c r="ZL260" s="27">
        <v>1.96</v>
      </c>
      <c r="ZM260" s="27"/>
      <c r="ZN260" s="27"/>
      <c r="ZO260" s="27">
        <v>2.88</v>
      </c>
      <c r="ZP260" s="27">
        <v>0</v>
      </c>
      <c r="ZQ260" s="27">
        <v>0</v>
      </c>
      <c r="ZR260" s="24">
        <v>2</v>
      </c>
      <c r="ZS260" s="24" t="s">
        <v>783</v>
      </c>
      <c r="ZT260" s="24">
        <v>35</v>
      </c>
      <c r="ZU260" s="27">
        <v>89.3</v>
      </c>
      <c r="ZV260" s="27">
        <v>83.4</v>
      </c>
      <c r="ZW260" s="27">
        <v>12.6</v>
      </c>
      <c r="ZX260" s="24">
        <v>87.93</v>
      </c>
      <c r="ZY260" s="24">
        <v>0</v>
      </c>
      <c r="ZZ260" s="24">
        <v>0</v>
      </c>
      <c r="AAA260" s="24">
        <v>1.49</v>
      </c>
      <c r="AAB260" s="24">
        <v>10.58</v>
      </c>
      <c r="AAC260" s="24">
        <v>0</v>
      </c>
      <c r="AAD260" s="24">
        <v>0</v>
      </c>
      <c r="AAE260" s="24">
        <v>0</v>
      </c>
      <c r="AAF260" s="24">
        <v>0</v>
      </c>
      <c r="AAG260" s="24">
        <v>0</v>
      </c>
      <c r="AAH260" s="24">
        <v>0</v>
      </c>
      <c r="AAI260" s="24">
        <v>0.17</v>
      </c>
      <c r="AAJ260" s="24">
        <v>38.78</v>
      </c>
      <c r="AAK260" s="24">
        <v>29.47</v>
      </c>
      <c r="AAL260" s="24">
        <v>0</v>
      </c>
      <c r="AAM260" s="24">
        <v>0</v>
      </c>
      <c r="AAN260" s="24">
        <v>4</v>
      </c>
      <c r="AAO260" s="24">
        <v>1</v>
      </c>
      <c r="AAP260" s="24">
        <v>3</v>
      </c>
      <c r="AAR260" s="24">
        <v>4</v>
      </c>
      <c r="ABB260" s="24">
        <v>9.6999999999999993</v>
      </c>
      <c r="ABC260" s="24">
        <v>1</v>
      </c>
      <c r="ABD260" s="24">
        <v>68</v>
      </c>
      <c r="ABE260" s="24">
        <v>1</v>
      </c>
      <c r="ABF260" s="24">
        <v>0.02</v>
      </c>
      <c r="ABG260" s="24">
        <v>1</v>
      </c>
      <c r="ABH260" s="24">
        <v>35</v>
      </c>
      <c r="ABI260" s="24">
        <v>10</v>
      </c>
      <c r="ABJ260" s="24">
        <f t="shared" si="98"/>
        <v>2.0900000000000003</v>
      </c>
      <c r="ABK260" s="24">
        <v>3</v>
      </c>
      <c r="ABN260" s="28"/>
      <c r="ACF260" s="24">
        <v>1</v>
      </c>
      <c r="ACG260" s="24">
        <v>50</v>
      </c>
      <c r="ACH260" s="24">
        <f t="shared" si="99"/>
        <v>24</v>
      </c>
      <c r="ACI260" s="24">
        <f t="shared" si="100"/>
        <v>17.38</v>
      </c>
      <c r="ACJ260" s="24">
        <v>1</v>
      </c>
      <c r="ACK260" s="24">
        <v>40</v>
      </c>
      <c r="ACL260" s="24">
        <v>18</v>
      </c>
      <c r="ACM260" s="24">
        <f t="shared" si="101"/>
        <v>4.5600000000000005</v>
      </c>
      <c r="ACN260" s="24">
        <v>1</v>
      </c>
      <c r="ACO260" s="24">
        <v>40</v>
      </c>
      <c r="ACP260" s="24">
        <v>2</v>
      </c>
      <c r="ACQ260" s="24">
        <v>0.12</v>
      </c>
      <c r="ACR260" s="24">
        <v>5</v>
      </c>
      <c r="ACS260" s="24">
        <v>50</v>
      </c>
      <c r="ACT260" s="24">
        <v>1</v>
      </c>
      <c r="ACU260" s="24">
        <v>0.22</v>
      </c>
      <c r="ACV260" s="24">
        <v>6</v>
      </c>
      <c r="ACW260" s="24">
        <v>40</v>
      </c>
      <c r="ACX260" s="24">
        <v>3</v>
      </c>
      <c r="ACY260" s="24">
        <v>0.16</v>
      </c>
      <c r="ACZ260" s="24">
        <v>6</v>
      </c>
      <c r="ADQ260" s="27">
        <v>0.68</v>
      </c>
      <c r="ADR260" s="27">
        <v>1</v>
      </c>
      <c r="ADS260" s="27">
        <v>1</v>
      </c>
      <c r="ADT260" s="27"/>
      <c r="ADU260" s="27">
        <f t="shared" si="102"/>
        <v>3.4299999999999997</v>
      </c>
      <c r="ADV260" s="27"/>
      <c r="ADW260" s="27"/>
      <c r="ADX260" s="27"/>
      <c r="ADY260" s="27"/>
      <c r="ADZ260" s="27"/>
      <c r="AEA260" s="27"/>
      <c r="AEB260" s="27">
        <v>7.83</v>
      </c>
      <c r="AEC260" s="27">
        <v>8.68</v>
      </c>
      <c r="AED260" s="27"/>
      <c r="AEE260" s="27"/>
      <c r="AEF260" s="27">
        <v>0</v>
      </c>
      <c r="AEG260" s="27">
        <v>0</v>
      </c>
      <c r="AEH260" s="27">
        <v>0</v>
      </c>
      <c r="AEI260" s="24">
        <v>0</v>
      </c>
      <c r="AEJ260" s="24" t="s">
        <v>784</v>
      </c>
      <c r="AEK260" s="24">
        <v>38</v>
      </c>
      <c r="AEL260" s="27">
        <v>92.6</v>
      </c>
      <c r="AEM260" s="27">
        <v>83.4</v>
      </c>
      <c r="AEN260" s="27">
        <v>16.5</v>
      </c>
      <c r="AEO260" s="24">
        <v>77.87</v>
      </c>
      <c r="AEP260" s="24">
        <v>0</v>
      </c>
      <c r="AEQ260" s="24">
        <v>0</v>
      </c>
      <c r="AER260" s="24">
        <v>0</v>
      </c>
      <c r="AES260" s="24">
        <v>21.87</v>
      </c>
      <c r="AET260" s="24">
        <v>0</v>
      </c>
      <c r="AEU260" s="24">
        <v>0</v>
      </c>
      <c r="AEV260" s="24">
        <v>0</v>
      </c>
      <c r="AEW260" s="24">
        <v>0</v>
      </c>
      <c r="AEX260" s="24">
        <v>0</v>
      </c>
      <c r="AEY260" s="24">
        <v>0</v>
      </c>
      <c r="AEZ260" s="24">
        <v>0.28999999999999998</v>
      </c>
      <c r="AFA260" s="24">
        <v>38.85</v>
      </c>
      <c r="AFB260" s="24">
        <v>37.36</v>
      </c>
      <c r="AFC260" s="24">
        <v>5.57</v>
      </c>
      <c r="AFD260" s="24">
        <v>0</v>
      </c>
      <c r="AFE260" s="24">
        <v>0</v>
      </c>
      <c r="AFF260" s="24">
        <v>0</v>
      </c>
      <c r="AFS260" s="24">
        <v>17.5</v>
      </c>
      <c r="AFT260" s="24">
        <v>0</v>
      </c>
      <c r="AGE260" s="28"/>
      <c r="AGW260" s="24">
        <v>1</v>
      </c>
      <c r="AGX260" s="24">
        <v>70</v>
      </c>
      <c r="AGY260" s="24">
        <f t="shared" si="103"/>
        <v>27</v>
      </c>
      <c r="AGZ260" s="24">
        <f t="shared" si="104"/>
        <v>18.189999999999998</v>
      </c>
      <c r="AHA260" s="24">
        <v>1</v>
      </c>
      <c r="AIH260" s="27">
        <v>3.74</v>
      </c>
      <c r="AII260" s="27">
        <v>1</v>
      </c>
      <c r="AIJ260" s="27">
        <v>1</v>
      </c>
      <c r="AIK260" s="27"/>
      <c r="AIL260" s="27">
        <f t="shared" si="105"/>
        <v>6.99</v>
      </c>
      <c r="AIM260" s="27">
        <v>2</v>
      </c>
      <c r="AIN260" s="27"/>
      <c r="AIO260" s="27">
        <v>0.91</v>
      </c>
      <c r="AIP260" s="27"/>
      <c r="AIQ260" s="27"/>
      <c r="AIR260" s="27"/>
      <c r="AIS260" s="27">
        <v>0.19</v>
      </c>
      <c r="AIT260" s="27">
        <v>0.19</v>
      </c>
      <c r="AIU260" s="27"/>
      <c r="AIV260" s="27"/>
      <c r="AIW260" s="27">
        <v>0</v>
      </c>
      <c r="AIX260" s="27">
        <v>0</v>
      </c>
      <c r="AIY260" s="27">
        <v>0</v>
      </c>
      <c r="AIZ260" s="24">
        <v>0</v>
      </c>
      <c r="AJA260" s="21"/>
      <c r="AJB260" s="21"/>
      <c r="AJD260" s="33"/>
      <c r="AJE260" s="33"/>
      <c r="AJH260" s="33"/>
      <c r="AJI260" s="21"/>
      <c r="AJJ260" s="21"/>
      <c r="AJL260" s="33"/>
      <c r="AJM260" s="33"/>
      <c r="AJP260" s="33"/>
      <c r="AJQ260" s="21"/>
      <c r="AJR260" s="21"/>
      <c r="AJT260" s="33"/>
      <c r="AJU260" s="33"/>
      <c r="AJX260" s="33"/>
      <c r="AJY260" s="21"/>
      <c r="AJZ260" s="21"/>
      <c r="AKB260" s="33"/>
      <c r="AKC260" s="33"/>
      <c r="AKF260" s="33"/>
      <c r="AKG260" s="21"/>
      <c r="AKH260" s="21"/>
      <c r="AKJ260" s="33"/>
      <c r="AKK260" s="33"/>
      <c r="AKN260" s="33"/>
      <c r="AKO260" s="21"/>
      <c r="AKP260" s="21"/>
      <c r="AKR260" s="33"/>
      <c r="AKS260" s="33"/>
      <c r="AKV260" s="33"/>
      <c r="AKW260" s="21"/>
      <c r="AKX260" s="21"/>
      <c r="AKZ260" s="33"/>
      <c r="ALA260" s="33"/>
      <c r="ALD260" s="33"/>
      <c r="ALE260" s="21"/>
      <c r="ALF260" s="21"/>
      <c r="ALH260" s="33"/>
      <c r="ALI260" s="33"/>
      <c r="ALL260" s="33"/>
      <c r="ALM260" s="21"/>
      <c r="ALN260" s="21"/>
      <c r="ALP260" s="33"/>
      <c r="ALQ260" s="33"/>
      <c r="ALT260" s="33"/>
      <c r="ALU260" s="21"/>
      <c r="ALV260" s="21"/>
      <c r="ALX260" s="33"/>
      <c r="ALY260" s="33"/>
      <c r="AMB260" s="33"/>
      <c r="AMC260" s="21"/>
      <c r="AMD260" s="21"/>
      <c r="AMF260" s="33"/>
      <c r="AMG260" s="33"/>
      <c r="AMJ260" s="33"/>
    </row>
    <row r="261" spans="1:1024" x14ac:dyDescent="0.2">
      <c r="A261" s="22" t="s">
        <v>791</v>
      </c>
      <c r="B261" s="23">
        <v>42909</v>
      </c>
      <c r="C261" s="24">
        <v>2</v>
      </c>
      <c r="D261" s="25">
        <v>42790</v>
      </c>
      <c r="E261" s="23">
        <v>32651</v>
      </c>
      <c r="F261" s="14">
        <f t="shared" si="106"/>
        <v>28.084873374401095</v>
      </c>
      <c r="G261" s="14">
        <f t="shared" si="107"/>
        <v>0.32580424366872007</v>
      </c>
      <c r="H261" s="26" t="s">
        <v>306</v>
      </c>
      <c r="I261" s="21" t="s">
        <v>777</v>
      </c>
      <c r="J261" s="21" t="s">
        <v>183</v>
      </c>
      <c r="K261" s="21">
        <v>8</v>
      </c>
      <c r="L261" s="26">
        <v>90</v>
      </c>
      <c r="M261" s="24">
        <v>1.86</v>
      </c>
      <c r="N261" s="27">
        <f t="shared" si="108"/>
        <v>26.014568158168572</v>
      </c>
      <c r="O261" s="26">
        <v>0</v>
      </c>
      <c r="P261" s="26">
        <v>0</v>
      </c>
      <c r="Q261" s="26">
        <v>0</v>
      </c>
      <c r="R261" s="26">
        <v>0</v>
      </c>
      <c r="S261" s="26">
        <v>0</v>
      </c>
      <c r="T261" s="26">
        <v>0</v>
      </c>
      <c r="U261" s="19">
        <v>0</v>
      </c>
      <c r="V261" s="19">
        <v>0</v>
      </c>
      <c r="W261" s="26">
        <v>0</v>
      </c>
      <c r="X261" s="26">
        <v>0</v>
      </c>
      <c r="Y261" s="26">
        <v>1</v>
      </c>
      <c r="Z261" s="26">
        <v>1</v>
      </c>
      <c r="AA261" s="26">
        <v>60</v>
      </c>
      <c r="AB261" s="26" t="s">
        <v>537</v>
      </c>
      <c r="AC261" s="26">
        <v>0</v>
      </c>
      <c r="AD261" s="26">
        <v>0</v>
      </c>
      <c r="AE261" s="26">
        <v>0</v>
      </c>
      <c r="AF261" s="26">
        <v>0</v>
      </c>
      <c r="AG261" s="26">
        <v>0</v>
      </c>
      <c r="AH261" s="26">
        <v>0</v>
      </c>
      <c r="AI261" s="26">
        <v>0</v>
      </c>
      <c r="AJ261" s="26">
        <v>0</v>
      </c>
      <c r="AK261" s="26">
        <v>0</v>
      </c>
      <c r="AL261" s="26">
        <v>0</v>
      </c>
      <c r="AM261" s="19">
        <v>0</v>
      </c>
      <c r="AN261" s="26">
        <v>0</v>
      </c>
      <c r="AO261" s="26">
        <v>0</v>
      </c>
      <c r="AP261" s="26">
        <v>0</v>
      </c>
      <c r="AQ261" s="26">
        <v>0</v>
      </c>
      <c r="AR261" s="26">
        <v>0</v>
      </c>
      <c r="AS261" s="26">
        <v>0</v>
      </c>
      <c r="AT261" s="26">
        <v>0</v>
      </c>
      <c r="AU261" s="26">
        <v>0</v>
      </c>
      <c r="AV261" s="26">
        <v>0</v>
      </c>
      <c r="AW261" s="26">
        <v>0</v>
      </c>
      <c r="AX261" s="26">
        <v>0</v>
      </c>
      <c r="AY261" s="26">
        <v>0</v>
      </c>
      <c r="AZ261" s="26">
        <v>0</v>
      </c>
      <c r="BA261" s="26">
        <v>0</v>
      </c>
      <c r="BB261" s="26">
        <v>0</v>
      </c>
      <c r="BC261" s="26">
        <v>0</v>
      </c>
      <c r="BD261" s="26">
        <v>0</v>
      </c>
      <c r="BE261" s="26">
        <v>0</v>
      </c>
      <c r="BF261" s="26">
        <v>0</v>
      </c>
      <c r="BG261" s="26">
        <v>0</v>
      </c>
      <c r="BH261" s="26">
        <v>0</v>
      </c>
      <c r="BI261" s="26">
        <v>0</v>
      </c>
      <c r="BJ261" s="26">
        <v>1</v>
      </c>
      <c r="BK261" s="26">
        <v>0</v>
      </c>
      <c r="BL261" s="26">
        <v>0</v>
      </c>
      <c r="BM261" s="26">
        <v>0</v>
      </c>
      <c r="BN261" s="26">
        <v>0</v>
      </c>
      <c r="BO261" s="26">
        <v>0</v>
      </c>
      <c r="BP261" s="26">
        <v>0</v>
      </c>
      <c r="BQ261" s="26">
        <v>0</v>
      </c>
      <c r="BR261" s="26">
        <v>1</v>
      </c>
      <c r="BS261" s="26">
        <v>1</v>
      </c>
      <c r="BT261" s="26">
        <v>2</v>
      </c>
      <c r="BU261" s="26">
        <v>5</v>
      </c>
      <c r="BV261" s="26">
        <v>1</v>
      </c>
      <c r="BW261" s="26">
        <v>1</v>
      </c>
      <c r="BX261" s="26">
        <v>4</v>
      </c>
      <c r="BY261" s="26">
        <v>3</v>
      </c>
      <c r="BZ261" s="26">
        <v>4</v>
      </c>
      <c r="CA261" s="26">
        <v>5</v>
      </c>
      <c r="CB261" s="26">
        <v>5</v>
      </c>
      <c r="CC261" s="26">
        <v>5</v>
      </c>
      <c r="CD261" s="26">
        <v>5</v>
      </c>
      <c r="CE261" s="26">
        <v>5</v>
      </c>
      <c r="CF261" s="26">
        <v>5</v>
      </c>
      <c r="CG261" s="26">
        <v>5</v>
      </c>
      <c r="CH261" s="26">
        <v>5</v>
      </c>
      <c r="CI261" s="26">
        <v>5</v>
      </c>
      <c r="CJ261" s="26">
        <v>5</v>
      </c>
      <c r="CK261" s="26">
        <v>10</v>
      </c>
      <c r="CL261" s="24" t="s">
        <v>779</v>
      </c>
      <c r="CM261" s="24">
        <v>43</v>
      </c>
      <c r="CN261" s="27">
        <v>91.8</v>
      </c>
      <c r="CO261" s="27">
        <v>83.4</v>
      </c>
      <c r="CP261" s="27">
        <v>25.8</v>
      </c>
      <c r="CQ261" s="24">
        <v>68.3</v>
      </c>
      <c r="CR261" s="24">
        <v>0</v>
      </c>
      <c r="CS261" s="24">
        <v>0</v>
      </c>
      <c r="CT261" s="24">
        <v>0</v>
      </c>
      <c r="CU261" s="24">
        <v>31.54</v>
      </c>
      <c r="CV261" s="24">
        <v>0</v>
      </c>
      <c r="CW261" s="24">
        <v>0</v>
      </c>
      <c r="CX261" s="24">
        <v>0</v>
      </c>
      <c r="CY261" s="24">
        <v>0</v>
      </c>
      <c r="CZ261" s="24">
        <v>0</v>
      </c>
      <c r="DA261" s="24">
        <v>0</v>
      </c>
      <c r="DB261" s="24">
        <v>48.27</v>
      </c>
      <c r="DC261" s="24">
        <v>58.3</v>
      </c>
      <c r="DD261" s="24">
        <v>1.34</v>
      </c>
      <c r="DE261" s="24">
        <v>0</v>
      </c>
      <c r="DF261" s="24">
        <v>0.16</v>
      </c>
      <c r="DG261" s="24">
        <v>0</v>
      </c>
      <c r="DH261" s="24">
        <v>0</v>
      </c>
      <c r="DU261" s="24">
        <v>11</v>
      </c>
      <c r="DV261" s="24">
        <v>1</v>
      </c>
      <c r="DW261" s="24">
        <v>30</v>
      </c>
      <c r="DX261" s="24">
        <v>1</v>
      </c>
      <c r="DY261" s="24">
        <v>0.73</v>
      </c>
      <c r="DZ261" s="24">
        <v>1</v>
      </c>
      <c r="EG261" s="28"/>
      <c r="EY261" s="24">
        <v>1</v>
      </c>
      <c r="EZ261" s="24">
        <v>60</v>
      </c>
      <c r="FA261" s="24">
        <v>14</v>
      </c>
      <c r="FB261" s="24">
        <f t="shared" si="86"/>
        <v>2.11</v>
      </c>
      <c r="FC261" s="24">
        <v>6</v>
      </c>
      <c r="FD261" s="24">
        <v>50</v>
      </c>
      <c r="FE261" s="24">
        <v>8</v>
      </c>
      <c r="FF261" s="24">
        <f t="shared" si="87"/>
        <v>5.88</v>
      </c>
      <c r="FG261" s="24">
        <v>4</v>
      </c>
      <c r="GJ261" s="27">
        <v>2.4500000000000002</v>
      </c>
      <c r="GK261" s="27">
        <v>1</v>
      </c>
      <c r="GL261" s="27">
        <v>1</v>
      </c>
      <c r="GM261" s="27"/>
      <c r="GN261" s="27">
        <f t="shared" si="88"/>
        <v>0.68</v>
      </c>
      <c r="GO261" s="27">
        <v>2</v>
      </c>
      <c r="GP261" s="27"/>
      <c r="GQ261" s="27">
        <f t="shared" si="89"/>
        <v>6.66</v>
      </c>
      <c r="GR261" s="27"/>
      <c r="GS261" s="27"/>
      <c r="GT261" s="27"/>
      <c r="GU261" s="27">
        <v>3.68</v>
      </c>
      <c r="GV261" s="27">
        <v>1.63</v>
      </c>
      <c r="GW261" s="27"/>
      <c r="GX261" s="27"/>
      <c r="GY261" s="27">
        <v>0</v>
      </c>
      <c r="GZ261" s="27">
        <v>0</v>
      </c>
      <c r="HA261" s="27">
        <v>0</v>
      </c>
      <c r="HB261" s="24">
        <v>0</v>
      </c>
      <c r="HC261" s="24" t="s">
        <v>780</v>
      </c>
      <c r="HD261" s="24">
        <v>46</v>
      </c>
      <c r="HE261" s="27">
        <v>101.6</v>
      </c>
      <c r="HF261" s="27">
        <v>83.4</v>
      </c>
      <c r="HG261" s="27">
        <v>27.8</v>
      </c>
      <c r="HH261" s="24">
        <v>66.040000000000006</v>
      </c>
      <c r="HI261" s="24">
        <v>0</v>
      </c>
      <c r="HJ261" s="24">
        <v>0</v>
      </c>
      <c r="HK261" s="24">
        <v>0</v>
      </c>
      <c r="HL261" s="24">
        <v>35.15</v>
      </c>
      <c r="HM261" s="24">
        <v>0</v>
      </c>
      <c r="HN261" s="24">
        <v>0</v>
      </c>
      <c r="HO261" s="24">
        <v>0</v>
      </c>
      <c r="HP261" s="24">
        <v>0</v>
      </c>
      <c r="HQ261" s="24">
        <v>0</v>
      </c>
      <c r="HR261" s="24">
        <v>0</v>
      </c>
      <c r="HS261" s="24">
        <v>43.27</v>
      </c>
      <c r="HT261" s="24">
        <v>65.02</v>
      </c>
      <c r="HU261" s="24">
        <v>6.59</v>
      </c>
      <c r="HV261" s="24">
        <v>0.88</v>
      </c>
      <c r="HW261" s="24">
        <v>0.16</v>
      </c>
      <c r="HX261" s="24">
        <v>0</v>
      </c>
      <c r="HY261" s="24">
        <v>0</v>
      </c>
      <c r="IL261" s="24">
        <v>14.9</v>
      </c>
      <c r="IM261" s="24">
        <v>1</v>
      </c>
      <c r="IN261" s="24">
        <v>30</v>
      </c>
      <c r="IO261" s="24">
        <v>1</v>
      </c>
      <c r="IP261" s="24">
        <v>0.73</v>
      </c>
      <c r="IQ261" s="24">
        <v>1</v>
      </c>
      <c r="IR261" s="24">
        <v>47</v>
      </c>
      <c r="IS261" s="24">
        <v>1</v>
      </c>
      <c r="IT261" s="24">
        <v>0.11</v>
      </c>
      <c r="IU261" s="24">
        <v>3</v>
      </c>
      <c r="IX261" s="28"/>
      <c r="JP261" s="24">
        <v>1</v>
      </c>
      <c r="JQ261" s="24">
        <v>60</v>
      </c>
      <c r="JR261" s="24">
        <v>4</v>
      </c>
      <c r="JS261" s="24">
        <v>1.68</v>
      </c>
      <c r="JT261" s="24">
        <v>6</v>
      </c>
      <c r="JU261" s="24">
        <v>50</v>
      </c>
      <c r="JV261" s="24">
        <v>8</v>
      </c>
      <c r="JW261" s="24">
        <f t="shared" si="90"/>
        <v>5.88</v>
      </c>
      <c r="JX261" s="24">
        <v>4</v>
      </c>
      <c r="JY261" s="24">
        <v>50</v>
      </c>
      <c r="JZ261" s="24">
        <v>4</v>
      </c>
      <c r="KA261" s="24">
        <v>0.76</v>
      </c>
      <c r="KB261" s="24">
        <v>6</v>
      </c>
      <c r="KC261" s="24">
        <v>80</v>
      </c>
      <c r="KD261" s="24">
        <v>8</v>
      </c>
      <c r="KE261" s="24">
        <f t="shared" si="91"/>
        <v>0.52</v>
      </c>
      <c r="KF261" s="24">
        <v>6</v>
      </c>
      <c r="LA261" s="27">
        <v>2.0499999999999998</v>
      </c>
      <c r="LB261" s="27">
        <v>1</v>
      </c>
      <c r="LC261" s="27">
        <v>1</v>
      </c>
      <c r="LD261" s="27"/>
      <c r="LE261" s="27">
        <f t="shared" si="92"/>
        <v>7.0200000000000005</v>
      </c>
      <c r="LF261" s="27">
        <v>2</v>
      </c>
      <c r="LG261" s="27"/>
      <c r="LH261" s="27">
        <v>6.01</v>
      </c>
      <c r="LI261" s="27"/>
      <c r="LJ261" s="27"/>
      <c r="LK261" s="27"/>
      <c r="LL261" s="27">
        <v>0.86</v>
      </c>
      <c r="LM261" s="27">
        <v>0.85</v>
      </c>
      <c r="LN261" s="27"/>
      <c r="LO261" s="27"/>
      <c r="LP261" s="27">
        <v>0</v>
      </c>
      <c r="LQ261" s="27">
        <v>0</v>
      </c>
      <c r="LR261" s="27">
        <v>0</v>
      </c>
      <c r="LS261" s="24">
        <v>0</v>
      </c>
      <c r="LT261" s="24">
        <v>100</v>
      </c>
      <c r="LU261" s="24">
        <v>29.5</v>
      </c>
      <c r="LV261" s="27">
        <v>94.9</v>
      </c>
      <c r="LW261" s="27">
        <v>83.4</v>
      </c>
      <c r="LX261" s="27">
        <v>17.600000000000001</v>
      </c>
      <c r="LY261" s="24">
        <v>85.6</v>
      </c>
      <c r="LZ261" s="24">
        <v>0</v>
      </c>
      <c r="MA261" s="24">
        <v>0</v>
      </c>
      <c r="MB261" s="24">
        <v>0</v>
      </c>
      <c r="MC261" s="24">
        <v>14.4</v>
      </c>
      <c r="MD261" s="24">
        <v>0</v>
      </c>
      <c r="ME261" s="24">
        <v>0</v>
      </c>
      <c r="MF261" s="24">
        <v>0</v>
      </c>
      <c r="MG261" s="24">
        <v>0</v>
      </c>
      <c r="MH261" s="24">
        <v>0</v>
      </c>
      <c r="MI261" s="24">
        <v>0</v>
      </c>
      <c r="MJ261" s="24">
        <v>1.95</v>
      </c>
      <c r="MK261" s="24">
        <v>9.4499999999999993</v>
      </c>
      <c r="ML261" s="24">
        <v>11.24</v>
      </c>
      <c r="MM261" s="24">
        <v>36.94</v>
      </c>
      <c r="MN261" s="24">
        <v>0</v>
      </c>
      <c r="MO261" s="24">
        <v>11.5</v>
      </c>
      <c r="MP261" s="24">
        <v>1</v>
      </c>
      <c r="MQ261" s="24">
        <v>5</v>
      </c>
      <c r="MS261" s="24">
        <v>4</v>
      </c>
      <c r="NC261" s="24">
        <v>0</v>
      </c>
      <c r="ND261" s="24">
        <v>0</v>
      </c>
      <c r="NO261" s="28"/>
      <c r="OG261" s="24">
        <v>0</v>
      </c>
      <c r="PR261" s="27">
        <v>0.2</v>
      </c>
      <c r="PS261" s="27">
        <v>1</v>
      </c>
      <c r="PT261" s="27">
        <v>1</v>
      </c>
      <c r="PU261" s="27"/>
      <c r="PV261" s="27">
        <f t="shared" si="93"/>
        <v>0.65</v>
      </c>
      <c r="PW261" s="27"/>
      <c r="PX261" s="27"/>
      <c r="PY261" s="27"/>
      <c r="PZ261" s="27"/>
      <c r="QA261" s="27"/>
      <c r="QB261" s="27"/>
      <c r="QC261" s="27">
        <v>0.23</v>
      </c>
      <c r="QD261" s="27">
        <v>0.23</v>
      </c>
      <c r="QE261" s="27"/>
      <c r="QF261" s="27"/>
      <c r="QG261" s="27">
        <v>0</v>
      </c>
      <c r="QH261" s="27">
        <v>0</v>
      </c>
      <c r="QI261" s="27">
        <v>0</v>
      </c>
      <c r="QJ261" s="24">
        <v>0</v>
      </c>
      <c r="QK261" s="24" t="s">
        <v>781</v>
      </c>
      <c r="QL261" s="24">
        <v>47.5</v>
      </c>
      <c r="QM261" s="27">
        <v>49.3</v>
      </c>
      <c r="QN261" s="27">
        <v>83.4</v>
      </c>
      <c r="QO261" s="27">
        <v>35.700000000000003</v>
      </c>
      <c r="QP261" s="24">
        <v>66.48</v>
      </c>
      <c r="QQ261" s="24">
        <v>0</v>
      </c>
      <c r="QR261" s="24">
        <v>6.11</v>
      </c>
      <c r="QS261" s="24">
        <v>0</v>
      </c>
      <c r="QT261" s="24">
        <v>9.56</v>
      </c>
      <c r="QU261" s="24">
        <v>0</v>
      </c>
      <c r="QV261" s="24">
        <v>6.1</v>
      </c>
      <c r="QW261" s="24">
        <v>3.05</v>
      </c>
      <c r="QX261" s="24">
        <v>0</v>
      </c>
      <c r="QY261" s="24">
        <v>0</v>
      </c>
      <c r="QZ261" s="24">
        <v>0</v>
      </c>
      <c r="RA261" s="24">
        <v>0</v>
      </c>
      <c r="RB261" s="24">
        <v>17.78</v>
      </c>
      <c r="RC261" s="24">
        <v>9.1300000000000008</v>
      </c>
      <c r="RD261" s="24">
        <v>2.7</v>
      </c>
      <c r="RE261" s="24">
        <v>11.73</v>
      </c>
      <c r="RF261" s="24">
        <v>0</v>
      </c>
      <c r="RG261" s="24">
        <v>0</v>
      </c>
      <c r="RT261" s="24">
        <v>5.7</v>
      </c>
      <c r="RU261" s="24">
        <v>1</v>
      </c>
      <c r="RV261" s="24">
        <v>30</v>
      </c>
      <c r="RW261" s="24">
        <v>10</v>
      </c>
      <c r="RX261" s="24">
        <f t="shared" si="94"/>
        <v>1.58</v>
      </c>
      <c r="RY261" s="24">
        <v>3</v>
      </c>
      <c r="SF261" s="28"/>
      <c r="SX261" s="24">
        <v>1</v>
      </c>
      <c r="SY261" s="24">
        <v>40</v>
      </c>
      <c r="SZ261" s="24">
        <v>4</v>
      </c>
      <c r="TA261" s="24">
        <v>0.6</v>
      </c>
      <c r="TB261" s="24">
        <v>2</v>
      </c>
      <c r="UI261" s="27">
        <v>0.53</v>
      </c>
      <c r="UJ261" s="27">
        <v>1</v>
      </c>
      <c r="UK261" s="27">
        <v>1</v>
      </c>
      <c r="UL261" s="27"/>
      <c r="UM261" s="27">
        <f t="shared" si="95"/>
        <v>2.64</v>
      </c>
      <c r="UN261" s="27"/>
      <c r="UO261" s="27"/>
      <c r="UP261" s="27"/>
      <c r="UQ261" s="27"/>
      <c r="UR261" s="27"/>
      <c r="US261" s="27"/>
      <c r="UT261" s="27">
        <v>5.0599999999999996</v>
      </c>
      <c r="UU261" s="27">
        <v>1.58</v>
      </c>
      <c r="UV261" s="27"/>
      <c r="UW261" s="27"/>
      <c r="UX261" s="27">
        <v>0</v>
      </c>
      <c r="UY261" s="27">
        <v>0</v>
      </c>
      <c r="UZ261" s="27">
        <v>0</v>
      </c>
      <c r="VA261" s="24">
        <v>0</v>
      </c>
      <c r="VB261" s="24" t="s">
        <v>782</v>
      </c>
      <c r="VC261" s="24">
        <v>71</v>
      </c>
      <c r="VD261" s="27">
        <v>92</v>
      </c>
      <c r="VE261" s="27">
        <v>166.8</v>
      </c>
      <c r="VF261" s="27">
        <v>65</v>
      </c>
      <c r="VG261" s="24">
        <v>28.78</v>
      </c>
      <c r="VH261" s="24">
        <v>0</v>
      </c>
      <c r="VI261" s="24">
        <v>0</v>
      </c>
      <c r="VJ261" s="24">
        <v>0</v>
      </c>
      <c r="VK261" s="24">
        <v>2.5</v>
      </c>
      <c r="VL261" s="24">
        <v>0</v>
      </c>
      <c r="VM261" s="24">
        <v>8.5399999999999991</v>
      </c>
      <c r="VN261" s="24">
        <v>0</v>
      </c>
      <c r="VO261" s="24">
        <v>0</v>
      </c>
      <c r="VP261" s="24">
        <v>2.76</v>
      </c>
      <c r="VQ261" s="24">
        <v>0</v>
      </c>
      <c r="VR261" s="24">
        <v>9.52</v>
      </c>
      <c r="VS261" s="24">
        <v>36.909999999999997</v>
      </c>
      <c r="VT261" s="24">
        <v>26.15</v>
      </c>
      <c r="VU261" s="24">
        <v>1.97</v>
      </c>
      <c r="VV261" s="24">
        <v>60.18</v>
      </c>
      <c r="VW261" s="24">
        <v>0</v>
      </c>
      <c r="VX261" s="24">
        <v>0</v>
      </c>
      <c r="WK261" s="24">
        <v>0.1</v>
      </c>
      <c r="WL261" s="24">
        <v>0</v>
      </c>
      <c r="WW261" s="28"/>
      <c r="XO261" s="24">
        <v>1</v>
      </c>
      <c r="XP261" s="24">
        <v>50</v>
      </c>
      <c r="XQ261" s="24">
        <v>4</v>
      </c>
      <c r="XR261" s="24">
        <f t="shared" si="96"/>
        <v>1.48</v>
      </c>
      <c r="XS261" s="24">
        <v>3</v>
      </c>
      <c r="XT261" s="24">
        <v>40</v>
      </c>
      <c r="XU261" s="24">
        <v>6</v>
      </c>
      <c r="XV261" s="24">
        <v>2.2000000000000002</v>
      </c>
      <c r="XW261" s="24">
        <v>3</v>
      </c>
      <c r="XX261" s="24">
        <v>50</v>
      </c>
      <c r="XY261" s="24">
        <v>1</v>
      </c>
      <c r="XZ261" s="24">
        <v>0.06</v>
      </c>
      <c r="YA261" s="24">
        <v>1</v>
      </c>
      <c r="YB261" s="24">
        <v>60</v>
      </c>
      <c r="YC261" s="24">
        <v>3</v>
      </c>
      <c r="YD261" s="24">
        <v>0.19</v>
      </c>
      <c r="YE261" s="24">
        <v>4</v>
      </c>
      <c r="YZ261" s="27">
        <v>1.1100000000000001</v>
      </c>
      <c r="ZA261" s="27">
        <v>1</v>
      </c>
      <c r="ZB261" s="27">
        <v>1</v>
      </c>
      <c r="ZC261" s="27"/>
      <c r="ZD261" s="27">
        <f t="shared" si="97"/>
        <v>3.96</v>
      </c>
      <c r="ZE261" s="27"/>
      <c r="ZF261" s="27"/>
      <c r="ZG261" s="27"/>
      <c r="ZH261" s="27"/>
      <c r="ZI261" s="27"/>
      <c r="ZJ261" s="27"/>
      <c r="ZK261" s="27">
        <v>1.95</v>
      </c>
      <c r="ZL261" s="27">
        <v>1.96</v>
      </c>
      <c r="ZM261" s="27"/>
      <c r="ZN261" s="27"/>
      <c r="ZO261" s="27">
        <v>2.88</v>
      </c>
      <c r="ZP261" s="27">
        <v>0</v>
      </c>
      <c r="ZQ261" s="27">
        <v>0</v>
      </c>
      <c r="ZR261" s="24">
        <v>2</v>
      </c>
      <c r="ZS261" s="24" t="s">
        <v>783</v>
      </c>
      <c r="ZT261" s="24">
        <v>35</v>
      </c>
      <c r="ZU261" s="27">
        <v>89.3</v>
      </c>
      <c r="ZV261" s="27">
        <v>83.4</v>
      </c>
      <c r="ZW261" s="27">
        <v>12.6</v>
      </c>
      <c r="ZX261" s="24">
        <v>87.93</v>
      </c>
      <c r="ZY261" s="24">
        <v>0</v>
      </c>
      <c r="ZZ261" s="24">
        <v>0</v>
      </c>
      <c r="AAA261" s="24">
        <v>1.49</v>
      </c>
      <c r="AAB261" s="24">
        <v>10.58</v>
      </c>
      <c r="AAC261" s="24">
        <v>0</v>
      </c>
      <c r="AAD261" s="24">
        <v>0</v>
      </c>
      <c r="AAE261" s="24">
        <v>0</v>
      </c>
      <c r="AAF261" s="24">
        <v>0</v>
      </c>
      <c r="AAG261" s="24">
        <v>0</v>
      </c>
      <c r="AAH261" s="24">
        <v>0</v>
      </c>
      <c r="AAI261" s="24">
        <v>0.17</v>
      </c>
      <c r="AAJ261" s="24">
        <v>38.78</v>
      </c>
      <c r="AAK261" s="24">
        <v>29.47</v>
      </c>
      <c r="AAL261" s="24">
        <v>0</v>
      </c>
      <c r="AAM261" s="24">
        <v>0</v>
      </c>
      <c r="AAN261" s="24">
        <v>4</v>
      </c>
      <c r="AAO261" s="24">
        <v>1</v>
      </c>
      <c r="AAP261" s="24">
        <v>3</v>
      </c>
      <c r="AAR261" s="24">
        <v>4</v>
      </c>
      <c r="ABB261" s="24">
        <v>9.6999999999999993</v>
      </c>
      <c r="ABC261" s="24">
        <v>1</v>
      </c>
      <c r="ABD261" s="24">
        <v>68</v>
      </c>
      <c r="ABE261" s="24">
        <v>1</v>
      </c>
      <c r="ABF261" s="24">
        <v>0.02</v>
      </c>
      <c r="ABG261" s="24">
        <v>1</v>
      </c>
      <c r="ABH261" s="24">
        <v>35</v>
      </c>
      <c r="ABI261" s="24">
        <v>10</v>
      </c>
      <c r="ABJ261" s="24">
        <f t="shared" si="98"/>
        <v>2.0900000000000003</v>
      </c>
      <c r="ABK261" s="24">
        <v>3</v>
      </c>
      <c r="ABN261" s="28"/>
      <c r="ACF261" s="24">
        <v>1</v>
      </c>
      <c r="ACG261" s="24">
        <v>50</v>
      </c>
      <c r="ACH261" s="24">
        <f t="shared" si="99"/>
        <v>24</v>
      </c>
      <c r="ACI261" s="24">
        <f t="shared" si="100"/>
        <v>17.38</v>
      </c>
      <c r="ACJ261" s="24">
        <v>1</v>
      </c>
      <c r="ACK261" s="24">
        <v>40</v>
      </c>
      <c r="ACL261" s="24">
        <v>18</v>
      </c>
      <c r="ACM261" s="24">
        <f t="shared" si="101"/>
        <v>4.5600000000000005</v>
      </c>
      <c r="ACN261" s="24">
        <v>1</v>
      </c>
      <c r="ACO261" s="24">
        <v>40</v>
      </c>
      <c r="ACP261" s="24">
        <v>2</v>
      </c>
      <c r="ACQ261" s="24">
        <v>0.12</v>
      </c>
      <c r="ACR261" s="24">
        <v>5</v>
      </c>
      <c r="ACS261" s="24">
        <v>50</v>
      </c>
      <c r="ACT261" s="24">
        <v>1</v>
      </c>
      <c r="ACU261" s="24">
        <v>0.22</v>
      </c>
      <c r="ACV261" s="24">
        <v>6</v>
      </c>
      <c r="ACW261" s="24">
        <v>40</v>
      </c>
      <c r="ACX261" s="24">
        <v>3</v>
      </c>
      <c r="ACY261" s="24">
        <v>0.16</v>
      </c>
      <c r="ACZ261" s="24">
        <v>6</v>
      </c>
      <c r="ADQ261" s="27">
        <v>0.68</v>
      </c>
      <c r="ADR261" s="27">
        <v>1</v>
      </c>
      <c r="ADS261" s="27">
        <v>1</v>
      </c>
      <c r="ADT261" s="27"/>
      <c r="ADU261" s="27">
        <f t="shared" si="102"/>
        <v>3.4299999999999997</v>
      </c>
      <c r="ADV261" s="27"/>
      <c r="ADW261" s="27"/>
      <c r="ADX261" s="27"/>
      <c r="ADY261" s="27"/>
      <c r="ADZ261" s="27"/>
      <c r="AEA261" s="27"/>
      <c r="AEB261" s="27">
        <v>7.83</v>
      </c>
      <c r="AEC261" s="27">
        <v>8.68</v>
      </c>
      <c r="AED261" s="27"/>
      <c r="AEE261" s="27"/>
      <c r="AEF261" s="27">
        <v>0</v>
      </c>
      <c r="AEG261" s="27">
        <v>0</v>
      </c>
      <c r="AEH261" s="27">
        <v>0</v>
      </c>
      <c r="AEI261" s="24">
        <v>0</v>
      </c>
      <c r="AEJ261" s="24" t="s">
        <v>785</v>
      </c>
      <c r="AEK261" s="24">
        <v>37.5</v>
      </c>
      <c r="AEL261" s="27">
        <v>94.9</v>
      </c>
      <c r="AEM261" s="27">
        <v>83.4</v>
      </c>
      <c r="AEN261" s="27">
        <v>16</v>
      </c>
      <c r="AEO261" s="24">
        <v>79.430000000000007</v>
      </c>
      <c r="AEP261" s="24">
        <v>0</v>
      </c>
      <c r="AEQ261" s="24">
        <v>0</v>
      </c>
      <c r="AER261" s="24">
        <v>0</v>
      </c>
      <c r="AES261" s="24">
        <v>20.309999999999999</v>
      </c>
      <c r="AET261" s="24">
        <v>0</v>
      </c>
      <c r="AEU261" s="24">
        <v>0</v>
      </c>
      <c r="AEV261" s="24">
        <v>0</v>
      </c>
      <c r="AEW261" s="24">
        <v>0</v>
      </c>
      <c r="AEX261" s="24">
        <v>0</v>
      </c>
      <c r="AEY261" s="24">
        <v>0</v>
      </c>
      <c r="AEZ261" s="24">
        <v>0.28999999999999998</v>
      </c>
      <c r="AFA261" s="24">
        <v>37.58</v>
      </c>
      <c r="AFB261" s="24">
        <v>37.76</v>
      </c>
      <c r="AFC261" s="24">
        <v>5.57</v>
      </c>
      <c r="AFD261" s="24">
        <v>0</v>
      </c>
      <c r="AFE261" s="24">
        <v>0</v>
      </c>
      <c r="AFF261" s="24">
        <v>0</v>
      </c>
      <c r="AFS261" s="24">
        <v>17.5</v>
      </c>
      <c r="AFT261" s="24">
        <v>0</v>
      </c>
      <c r="AGE261" s="28"/>
      <c r="AGW261" s="24">
        <v>1</v>
      </c>
      <c r="AGX261" s="24">
        <v>71</v>
      </c>
      <c r="AGY261" s="24">
        <f t="shared" si="103"/>
        <v>27</v>
      </c>
      <c r="AGZ261" s="24">
        <f t="shared" si="104"/>
        <v>18.189999999999998</v>
      </c>
      <c r="AHA261" s="24">
        <v>2</v>
      </c>
      <c r="AIH261" s="27">
        <v>3.74</v>
      </c>
      <c r="AII261" s="27">
        <v>1</v>
      </c>
      <c r="AIJ261" s="27">
        <v>1</v>
      </c>
      <c r="AIK261" s="27"/>
      <c r="AIL261" s="27">
        <f t="shared" si="105"/>
        <v>6.99</v>
      </c>
      <c r="AIM261" s="27">
        <v>2</v>
      </c>
      <c r="AIN261" s="27"/>
      <c r="AIO261" s="27">
        <v>0.91</v>
      </c>
      <c r="AIP261" s="27">
        <v>1</v>
      </c>
      <c r="AIQ261" s="27">
        <v>1</v>
      </c>
      <c r="AIR261" s="27"/>
      <c r="AIS261" s="27">
        <v>0.19</v>
      </c>
      <c r="AIT261" s="27">
        <v>0.19</v>
      </c>
      <c r="AIU261" s="27"/>
      <c r="AIV261" s="27"/>
      <c r="AIW261" s="27">
        <v>0</v>
      </c>
      <c r="AIX261" s="27">
        <v>0</v>
      </c>
      <c r="AIY261" s="27">
        <v>0</v>
      </c>
      <c r="AIZ261" s="24">
        <v>0</v>
      </c>
      <c r="AJA261" s="21"/>
      <c r="AJB261" s="21"/>
      <c r="AJD261" s="33"/>
      <c r="AJE261" s="33"/>
      <c r="AJH261" s="33"/>
      <c r="AJI261" s="21"/>
      <c r="AJJ261" s="21"/>
      <c r="AJL261" s="33"/>
      <c r="AJM261" s="33"/>
      <c r="AJP261" s="33"/>
      <c r="AJQ261" s="21"/>
      <c r="AJR261" s="21"/>
      <c r="AJT261" s="33"/>
      <c r="AJU261" s="33"/>
      <c r="AJX261" s="33"/>
      <c r="AJY261" s="21"/>
      <c r="AJZ261" s="21"/>
      <c r="AKB261" s="33"/>
      <c r="AKC261" s="33"/>
      <c r="AKF261" s="33"/>
      <c r="AKG261" s="21"/>
      <c r="AKH261" s="21"/>
      <c r="AKJ261" s="33"/>
      <c r="AKK261" s="33"/>
      <c r="AKN261" s="33"/>
      <c r="AKO261" s="21"/>
      <c r="AKP261" s="21"/>
      <c r="AKR261" s="33"/>
      <c r="AKS261" s="33"/>
      <c r="AKV261" s="33"/>
      <c r="AKW261" s="21"/>
      <c r="AKX261" s="21"/>
      <c r="AKZ261" s="33"/>
      <c r="ALA261" s="33"/>
      <c r="ALD261" s="33"/>
      <c r="ALE261" s="21"/>
      <c r="ALF261" s="21"/>
      <c r="ALH261" s="33"/>
      <c r="ALI261" s="33"/>
      <c r="ALL261" s="33"/>
      <c r="ALM261" s="21"/>
      <c r="ALN261" s="21"/>
      <c r="ALP261" s="33"/>
      <c r="ALQ261" s="33"/>
      <c r="ALT261" s="33"/>
      <c r="ALU261" s="21"/>
      <c r="ALV261" s="21"/>
      <c r="ALX261" s="33"/>
      <c r="ALY261" s="33"/>
      <c r="AMB261" s="33"/>
      <c r="AMC261" s="21"/>
      <c r="AMD261" s="21"/>
      <c r="AMF261" s="33"/>
      <c r="AMG261" s="33"/>
      <c r="AMJ261" s="33"/>
    </row>
    <row r="262" spans="1:1024" x14ac:dyDescent="0.2">
      <c r="A262" s="1" t="s">
        <v>792</v>
      </c>
      <c r="B262" s="12">
        <v>42909</v>
      </c>
      <c r="C262">
        <v>2</v>
      </c>
      <c r="D262" s="13">
        <v>42870</v>
      </c>
      <c r="E262" s="12">
        <v>29432</v>
      </c>
      <c r="F262" s="14">
        <f t="shared" si="106"/>
        <v>36.898015058179332</v>
      </c>
      <c r="G262" s="14">
        <f t="shared" si="107"/>
        <v>0.10677618069815195</v>
      </c>
      <c r="H262" s="19" t="s">
        <v>306</v>
      </c>
      <c r="I262" s="15" t="s">
        <v>793</v>
      </c>
      <c r="J262" s="15" t="s">
        <v>183</v>
      </c>
      <c r="K262" s="15">
        <v>8</v>
      </c>
      <c r="L262" s="19">
        <v>75</v>
      </c>
      <c r="M262">
        <v>1.74</v>
      </c>
      <c r="N262" s="16">
        <f t="shared" si="108"/>
        <v>24.772096710265558</v>
      </c>
      <c r="O262" s="19">
        <v>0</v>
      </c>
      <c r="P262" s="19">
        <v>0</v>
      </c>
      <c r="Q262" s="19">
        <v>0</v>
      </c>
      <c r="R262" s="26">
        <v>0</v>
      </c>
      <c r="S262" s="26">
        <v>0</v>
      </c>
      <c r="T262" s="26">
        <v>0</v>
      </c>
      <c r="U262" s="19">
        <v>0</v>
      </c>
      <c r="V262" s="19">
        <v>0</v>
      </c>
      <c r="W262" s="19">
        <v>0</v>
      </c>
      <c r="X262" s="19">
        <v>0</v>
      </c>
      <c r="Y262" s="19">
        <v>1</v>
      </c>
      <c r="Z262" s="19">
        <v>2</v>
      </c>
      <c r="AA262" s="19">
        <v>60</v>
      </c>
      <c r="AB262" s="19" t="s">
        <v>308</v>
      </c>
      <c r="AC262" s="19">
        <v>0</v>
      </c>
      <c r="AD262" s="19">
        <v>0</v>
      </c>
      <c r="AE262" s="19">
        <v>1</v>
      </c>
      <c r="AF262" s="19">
        <v>0</v>
      </c>
      <c r="AG262" s="19">
        <v>0</v>
      </c>
      <c r="AH262" s="19">
        <v>0</v>
      </c>
      <c r="AI262" s="19">
        <v>0</v>
      </c>
      <c r="AJ262" s="19">
        <v>0</v>
      </c>
      <c r="AK262" s="19">
        <v>0</v>
      </c>
      <c r="AL262" s="19">
        <v>0</v>
      </c>
      <c r="AM262" s="19">
        <v>0</v>
      </c>
      <c r="AN262" s="19">
        <v>0</v>
      </c>
      <c r="AO262" s="19">
        <v>0</v>
      </c>
      <c r="AP262" s="19">
        <v>0</v>
      </c>
      <c r="AQ262" s="19">
        <v>0</v>
      </c>
      <c r="AR262" s="19">
        <v>0</v>
      </c>
      <c r="AS262" s="19">
        <v>3</v>
      </c>
      <c r="AT262" s="19">
        <v>0</v>
      </c>
      <c r="AU262" s="19">
        <v>0</v>
      </c>
      <c r="AV262" s="19">
        <v>0</v>
      </c>
      <c r="AW262" s="19">
        <v>0</v>
      </c>
      <c r="AX262" s="19">
        <v>0</v>
      </c>
      <c r="AY262" s="19">
        <v>0</v>
      </c>
      <c r="AZ262" s="19">
        <v>0</v>
      </c>
      <c r="BA262" s="19">
        <v>0</v>
      </c>
      <c r="BB262" s="19">
        <v>0</v>
      </c>
      <c r="BC262" s="19">
        <v>0</v>
      </c>
      <c r="BD262" s="19">
        <v>0</v>
      </c>
      <c r="BE262" s="19">
        <v>0</v>
      </c>
      <c r="BF262" s="19">
        <v>0</v>
      </c>
      <c r="BG262" s="19">
        <v>0</v>
      </c>
      <c r="BH262" s="19">
        <v>0</v>
      </c>
      <c r="BI262" s="19">
        <v>0</v>
      </c>
      <c r="BJ262" s="19">
        <v>0</v>
      </c>
      <c r="BK262" s="19">
        <v>0</v>
      </c>
      <c r="BL262" s="19">
        <v>0</v>
      </c>
      <c r="BM262" s="19">
        <v>0</v>
      </c>
      <c r="BN262" s="19">
        <v>0</v>
      </c>
      <c r="BO262" s="19">
        <v>0</v>
      </c>
      <c r="BP262" s="19">
        <v>0</v>
      </c>
      <c r="BQ262" s="19">
        <v>0</v>
      </c>
      <c r="BR262" s="19">
        <v>2</v>
      </c>
      <c r="BS262" s="19">
        <v>3</v>
      </c>
      <c r="BT262" s="19">
        <v>4</v>
      </c>
      <c r="BU262" s="19">
        <v>4</v>
      </c>
      <c r="BV262" s="19">
        <v>2</v>
      </c>
      <c r="BW262" s="19">
        <v>1</v>
      </c>
      <c r="BX262" s="19">
        <v>3</v>
      </c>
      <c r="BY262" s="19">
        <v>3</v>
      </c>
      <c r="BZ262" s="19">
        <v>3</v>
      </c>
      <c r="CA262" s="19">
        <v>4</v>
      </c>
      <c r="CB262" s="19">
        <v>4</v>
      </c>
      <c r="CC262" s="19">
        <v>4</v>
      </c>
      <c r="CD262" s="19">
        <v>3</v>
      </c>
      <c r="CE262" s="19">
        <v>4</v>
      </c>
      <c r="CF262" s="19">
        <v>3</v>
      </c>
      <c r="CG262" s="19">
        <v>4</v>
      </c>
      <c r="CH262" s="19">
        <v>4</v>
      </c>
      <c r="CI262" s="19">
        <v>4</v>
      </c>
      <c r="CJ262" s="19">
        <v>4</v>
      </c>
      <c r="CK262" s="19">
        <v>9</v>
      </c>
      <c r="CL262" t="s">
        <v>794</v>
      </c>
      <c r="CM262">
        <v>41.5</v>
      </c>
      <c r="CN262" s="16">
        <v>70</v>
      </c>
      <c r="CO262" s="16">
        <v>83.4</v>
      </c>
      <c r="CP262" s="16">
        <v>33.4</v>
      </c>
      <c r="CQ262">
        <v>67.05</v>
      </c>
      <c r="CR262">
        <v>0</v>
      </c>
      <c r="CS262">
        <v>5.87</v>
      </c>
      <c r="CT262">
        <v>12.48</v>
      </c>
      <c r="CU262">
        <v>14.6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18.75</v>
      </c>
      <c r="DD262">
        <v>14.73</v>
      </c>
      <c r="DE262">
        <v>5.87</v>
      </c>
      <c r="DF262">
        <v>0</v>
      </c>
      <c r="DG262">
        <v>0</v>
      </c>
      <c r="DH262">
        <v>0</v>
      </c>
      <c r="DU262">
        <v>0</v>
      </c>
      <c r="DV262">
        <v>1</v>
      </c>
      <c r="DW262">
        <v>23</v>
      </c>
      <c r="DX262">
        <v>3</v>
      </c>
      <c r="DY262">
        <f t="shared" ref="DY262:DY267" si="109">1.47+0.73</f>
        <v>2.2000000000000002</v>
      </c>
      <c r="DZ262">
        <v>3</v>
      </c>
      <c r="EG262" s="18"/>
      <c r="EY262">
        <v>1</v>
      </c>
      <c r="EZ262">
        <v>30</v>
      </c>
      <c r="FA262">
        <v>2</v>
      </c>
      <c r="FB262">
        <v>2.94</v>
      </c>
      <c r="FC262">
        <v>3</v>
      </c>
      <c r="GJ262" s="16">
        <v>1.6</v>
      </c>
      <c r="GK262" s="16">
        <v>1</v>
      </c>
      <c r="GL262" s="16">
        <v>1</v>
      </c>
      <c r="GM262" s="16"/>
      <c r="GN262" s="16">
        <f t="shared" ref="GN262:GN267" si="110">4.08+3.06+0.18+0.72</f>
        <v>8.0400000000000009</v>
      </c>
      <c r="GO262" s="16"/>
      <c r="GP262" s="16"/>
      <c r="GQ262" s="16"/>
      <c r="GR262" s="16"/>
      <c r="GS262" s="16"/>
      <c r="GT262" s="16"/>
      <c r="GU262" s="16">
        <v>6.47</v>
      </c>
      <c r="GV262" s="16">
        <v>6.24</v>
      </c>
      <c r="GW262" s="16"/>
      <c r="GX262" s="16"/>
      <c r="GY262" s="16">
        <v>0</v>
      </c>
      <c r="GZ262" s="16">
        <v>0</v>
      </c>
      <c r="HA262" s="16">
        <v>0</v>
      </c>
      <c r="HB262">
        <v>0</v>
      </c>
      <c r="HC262" t="s">
        <v>795</v>
      </c>
      <c r="HD262">
        <v>58</v>
      </c>
      <c r="HE262" s="16">
        <v>94.2</v>
      </c>
      <c r="HF262" s="16">
        <v>83.4</v>
      </c>
      <c r="HG262" s="16">
        <v>45.8</v>
      </c>
      <c r="HH262">
        <v>51.88</v>
      </c>
      <c r="HI262">
        <v>0</v>
      </c>
      <c r="HJ262">
        <v>42.28</v>
      </c>
      <c r="HK262">
        <v>0</v>
      </c>
      <c r="HL262">
        <v>1.81</v>
      </c>
      <c r="HM262">
        <v>0</v>
      </c>
      <c r="HN262">
        <v>4.03</v>
      </c>
      <c r="HO262">
        <v>0</v>
      </c>
      <c r="HP262">
        <v>3.02</v>
      </c>
      <c r="HQ262">
        <v>0</v>
      </c>
      <c r="HR262">
        <v>0</v>
      </c>
      <c r="HS262">
        <v>2.06</v>
      </c>
      <c r="HT262">
        <v>7.41</v>
      </c>
      <c r="HU262">
        <v>41.45</v>
      </c>
      <c r="HV262">
        <v>4.5</v>
      </c>
      <c r="HW262">
        <v>0</v>
      </c>
      <c r="HX262">
        <v>5.3</v>
      </c>
      <c r="HY262">
        <v>1</v>
      </c>
      <c r="HZ262">
        <v>5</v>
      </c>
      <c r="IB262">
        <v>1</v>
      </c>
      <c r="IL262">
        <v>3.9</v>
      </c>
      <c r="IM262">
        <v>0</v>
      </c>
      <c r="IX262" s="18"/>
      <c r="JP262">
        <v>1</v>
      </c>
      <c r="JQ262">
        <v>60</v>
      </c>
      <c r="JR262">
        <v>4</v>
      </c>
      <c r="JS262">
        <f t="shared" ref="JS262:JS267" si="111">1.47*2</f>
        <v>2.94</v>
      </c>
      <c r="JT262">
        <v>2</v>
      </c>
      <c r="JU262">
        <v>50</v>
      </c>
      <c r="JV262">
        <v>9</v>
      </c>
      <c r="JW262">
        <f t="shared" ref="JW262:JW267" si="112">0.9+0.12</f>
        <v>1.02</v>
      </c>
      <c r="JX262">
        <v>2</v>
      </c>
      <c r="JY262">
        <v>70</v>
      </c>
      <c r="JZ262">
        <v>4</v>
      </c>
      <c r="KA262">
        <v>0.4</v>
      </c>
      <c r="KB262">
        <v>2</v>
      </c>
      <c r="LA262" s="16">
        <v>0</v>
      </c>
      <c r="LB262" s="16">
        <v>0</v>
      </c>
      <c r="LC262" s="16"/>
      <c r="LD262" s="16"/>
      <c r="LE262" s="16"/>
      <c r="LF262" s="16"/>
      <c r="LG262" s="16"/>
      <c r="LH262" s="16"/>
      <c r="LI262" s="16"/>
      <c r="LJ262" s="16"/>
      <c r="LK262" s="16"/>
      <c r="LL262" s="16">
        <v>2.7</v>
      </c>
      <c r="LM262" s="16">
        <v>0.9</v>
      </c>
      <c r="LN262" s="16"/>
      <c r="LO262" s="16"/>
      <c r="LP262" s="16">
        <v>0</v>
      </c>
      <c r="LQ262" s="16">
        <v>0</v>
      </c>
      <c r="LR262" s="16">
        <v>0</v>
      </c>
      <c r="LS262">
        <v>0</v>
      </c>
      <c r="LT262" t="s">
        <v>796</v>
      </c>
      <c r="LU262">
        <v>50.5</v>
      </c>
      <c r="LV262" s="16">
        <v>78.7</v>
      </c>
      <c r="LW262" s="16">
        <v>83.4</v>
      </c>
      <c r="LX262" s="16">
        <v>45.1</v>
      </c>
      <c r="LY262">
        <v>50.98</v>
      </c>
      <c r="LZ262">
        <v>1.99</v>
      </c>
      <c r="MA262">
        <v>41.43</v>
      </c>
      <c r="MB262">
        <v>0</v>
      </c>
      <c r="MC262">
        <v>1.81</v>
      </c>
      <c r="MD262">
        <v>0</v>
      </c>
      <c r="ME262">
        <v>3.78</v>
      </c>
      <c r="MF262">
        <v>0</v>
      </c>
      <c r="MG262">
        <v>3.02</v>
      </c>
      <c r="MH262">
        <v>0</v>
      </c>
      <c r="MI262">
        <v>0</v>
      </c>
      <c r="MJ262">
        <v>1.81</v>
      </c>
      <c r="MK262">
        <v>12.52</v>
      </c>
      <c r="ML262">
        <v>41.44</v>
      </c>
      <c r="MM262">
        <v>3.05</v>
      </c>
      <c r="MN262">
        <v>0</v>
      </c>
      <c r="MO262">
        <v>0</v>
      </c>
      <c r="MP262">
        <v>0</v>
      </c>
      <c r="NC262">
        <v>3</v>
      </c>
      <c r="ND262">
        <v>0</v>
      </c>
      <c r="NO262" s="18"/>
      <c r="OG262">
        <v>1</v>
      </c>
      <c r="OH262">
        <v>60</v>
      </c>
      <c r="OI262">
        <v>4</v>
      </c>
      <c r="OJ262">
        <f t="shared" ref="OJ262:OJ267" si="113">1.47*2</f>
        <v>2.94</v>
      </c>
      <c r="OK262">
        <v>2</v>
      </c>
      <c r="OL262">
        <v>50</v>
      </c>
      <c r="OM262">
        <v>9</v>
      </c>
      <c r="ON262">
        <f t="shared" ref="ON262:ON267" si="114">0.9+0.12</f>
        <v>1.02</v>
      </c>
      <c r="OO262">
        <v>2</v>
      </c>
      <c r="OP262">
        <v>70</v>
      </c>
      <c r="OQ262">
        <v>4</v>
      </c>
      <c r="OR262">
        <v>0.4</v>
      </c>
      <c r="OS262">
        <v>2</v>
      </c>
      <c r="PR262" s="16">
        <v>0</v>
      </c>
      <c r="PS262" s="16">
        <v>0</v>
      </c>
      <c r="PT262" s="16"/>
      <c r="PU262" s="16"/>
      <c r="PV262" s="16"/>
      <c r="PW262" s="16"/>
      <c r="PX262" s="16"/>
      <c r="PY262" s="16"/>
      <c r="PZ262" s="16"/>
      <c r="QA262" s="16"/>
      <c r="QB262" s="16"/>
      <c r="QC262" s="16">
        <v>2.14</v>
      </c>
      <c r="QD262" s="16">
        <v>2.14</v>
      </c>
      <c r="QE262" s="16"/>
      <c r="QF262" s="16"/>
      <c r="QG262" s="16">
        <v>0</v>
      </c>
      <c r="QH262" s="16">
        <v>0</v>
      </c>
      <c r="QI262" s="16">
        <v>0</v>
      </c>
      <c r="QJ262">
        <v>0</v>
      </c>
      <c r="QK262" t="s">
        <v>797</v>
      </c>
      <c r="QL262">
        <v>52.5</v>
      </c>
      <c r="QM262" s="16">
        <v>84.4</v>
      </c>
      <c r="QN262" s="16">
        <v>83.4</v>
      </c>
      <c r="QO262" s="16">
        <v>45.2</v>
      </c>
      <c r="QP262">
        <v>36.520000000000003</v>
      </c>
      <c r="QQ262">
        <v>0</v>
      </c>
      <c r="QR262">
        <v>24.46</v>
      </c>
      <c r="QS262">
        <v>5.81</v>
      </c>
      <c r="QT262">
        <v>9.5399999999999991</v>
      </c>
      <c r="QU262">
        <v>0</v>
      </c>
      <c r="QV262">
        <v>22.12</v>
      </c>
      <c r="QW262">
        <v>2.71</v>
      </c>
      <c r="QX262">
        <v>5.34</v>
      </c>
      <c r="QY262">
        <v>3.86</v>
      </c>
      <c r="QZ262">
        <v>0</v>
      </c>
      <c r="RA262">
        <v>0</v>
      </c>
      <c r="RB262">
        <v>4.3</v>
      </c>
      <c r="RC262">
        <v>3.92</v>
      </c>
      <c r="RD262">
        <v>7.14</v>
      </c>
      <c r="RE262">
        <v>0.77</v>
      </c>
      <c r="RF262">
        <v>0</v>
      </c>
      <c r="RG262">
        <v>0</v>
      </c>
      <c r="RT262">
        <v>1.4</v>
      </c>
      <c r="RU262">
        <v>1</v>
      </c>
      <c r="RV262">
        <v>55</v>
      </c>
      <c r="RW262">
        <v>1</v>
      </c>
      <c r="RX262">
        <v>0.77</v>
      </c>
      <c r="RY262">
        <v>2</v>
      </c>
      <c r="RZ262">
        <v>35</v>
      </c>
      <c r="SA262">
        <v>1</v>
      </c>
      <c r="SB262">
        <v>0.13</v>
      </c>
      <c r="SC262">
        <v>3</v>
      </c>
      <c r="SF262" s="18"/>
      <c r="SX262">
        <v>1</v>
      </c>
      <c r="SY262">
        <v>50</v>
      </c>
      <c r="SZ262">
        <v>1</v>
      </c>
      <c r="TA262">
        <v>0.36</v>
      </c>
      <c r="TB262">
        <v>1</v>
      </c>
      <c r="UI262" s="16">
        <v>7.0000000000000007E-2</v>
      </c>
      <c r="UJ262" s="16">
        <v>1</v>
      </c>
      <c r="UK262" s="16">
        <v>1</v>
      </c>
      <c r="UL262" s="16"/>
      <c r="UM262" s="16">
        <f>0.07*2+0.05*3</f>
        <v>0.29000000000000004</v>
      </c>
      <c r="UN262" s="16"/>
      <c r="UO262" s="16"/>
      <c r="UP262" s="16"/>
      <c r="UQ262" s="16"/>
      <c r="UR262" s="16"/>
      <c r="US262" s="16"/>
      <c r="UT262" s="16">
        <v>0.05</v>
      </c>
      <c r="UU262" s="16">
        <v>0.05</v>
      </c>
      <c r="UV262" s="16"/>
      <c r="UW262" s="16"/>
      <c r="UX262" s="16">
        <v>5.76</v>
      </c>
      <c r="UY262" s="16">
        <v>0</v>
      </c>
      <c r="UZ262" s="16">
        <v>0</v>
      </c>
      <c r="VA262">
        <v>1</v>
      </c>
      <c r="VB262" t="s">
        <v>798</v>
      </c>
      <c r="VC262">
        <v>47.5</v>
      </c>
      <c r="VD262" s="16">
        <v>97.8</v>
      </c>
      <c r="VE262" s="16">
        <v>83.4</v>
      </c>
      <c r="VF262" s="16">
        <v>26.3</v>
      </c>
      <c r="VG262">
        <v>54.22</v>
      </c>
      <c r="VH262">
        <v>0</v>
      </c>
      <c r="VI262">
        <v>0</v>
      </c>
      <c r="VJ262">
        <v>0</v>
      </c>
      <c r="VK262">
        <v>32.130000000000003</v>
      </c>
      <c r="VL262">
        <v>0</v>
      </c>
      <c r="VM262">
        <v>13.65</v>
      </c>
      <c r="VN262">
        <v>0</v>
      </c>
      <c r="VO262">
        <v>0</v>
      </c>
      <c r="VP262">
        <v>0</v>
      </c>
      <c r="VQ262">
        <v>0</v>
      </c>
      <c r="VR262">
        <v>25.5</v>
      </c>
      <c r="VS262">
        <v>61.05</v>
      </c>
      <c r="VT262">
        <v>6.61</v>
      </c>
      <c r="VU262">
        <v>3.67</v>
      </c>
      <c r="VV262">
        <v>0</v>
      </c>
      <c r="VW262">
        <v>10.5</v>
      </c>
      <c r="VX262">
        <v>1</v>
      </c>
      <c r="VY262">
        <v>3</v>
      </c>
      <c r="WA262">
        <v>1</v>
      </c>
      <c r="WK262">
        <v>7.1</v>
      </c>
      <c r="WL262">
        <v>0</v>
      </c>
      <c r="WW262" s="18"/>
      <c r="XO262">
        <v>1</v>
      </c>
      <c r="XP262">
        <v>60</v>
      </c>
      <c r="XQ262">
        <v>10</v>
      </c>
      <c r="XR262">
        <f>3.67*2</f>
        <v>7.34</v>
      </c>
      <c r="XS262">
        <v>3</v>
      </c>
      <c r="YZ262" s="16">
        <v>3.22</v>
      </c>
      <c r="ZA262" s="16">
        <v>1</v>
      </c>
      <c r="ZB262" s="16">
        <v>1</v>
      </c>
      <c r="ZC262" s="16"/>
      <c r="ZD262" s="16">
        <f>1.65*3+4.08+0.54+0.52</f>
        <v>10.09</v>
      </c>
      <c r="ZE262" s="16"/>
      <c r="ZF262" s="16"/>
      <c r="ZG262" s="16"/>
      <c r="ZH262" s="16"/>
      <c r="ZI262" s="16"/>
      <c r="ZJ262" s="16"/>
      <c r="ZK262" s="16">
        <v>0</v>
      </c>
      <c r="ZL262" s="16">
        <v>0</v>
      </c>
      <c r="ZM262" s="16"/>
      <c r="ZN262" s="16"/>
      <c r="ZO262" s="16">
        <v>0</v>
      </c>
      <c r="ZP262" s="16">
        <v>0</v>
      </c>
      <c r="ZQ262" s="16">
        <v>0</v>
      </c>
      <c r="ZR262">
        <v>0</v>
      </c>
      <c r="ZS262" t="s">
        <v>799</v>
      </c>
      <c r="ZT262">
        <v>44</v>
      </c>
      <c r="ZU262" s="16">
        <v>88.5</v>
      </c>
      <c r="ZV262" s="16">
        <v>83.4</v>
      </c>
      <c r="ZW262" s="16">
        <v>21.4</v>
      </c>
      <c r="ZX262">
        <v>59.53</v>
      </c>
      <c r="ZY262">
        <v>0</v>
      </c>
      <c r="ZZ262">
        <v>0</v>
      </c>
      <c r="AAA262">
        <v>0</v>
      </c>
      <c r="AAB262">
        <v>27.73</v>
      </c>
      <c r="AAC262">
        <v>0</v>
      </c>
      <c r="AAD262">
        <v>12.75</v>
      </c>
      <c r="AAE262">
        <v>0</v>
      </c>
      <c r="AAF262">
        <v>0</v>
      </c>
      <c r="AAG262">
        <v>0</v>
      </c>
      <c r="AAH262">
        <v>0</v>
      </c>
      <c r="AAI262">
        <v>18.64</v>
      </c>
      <c r="AAJ262">
        <v>50.48</v>
      </c>
      <c r="AAK262">
        <v>6.61</v>
      </c>
      <c r="AAL262">
        <v>3.67</v>
      </c>
      <c r="AAM262">
        <v>0</v>
      </c>
      <c r="AAN262">
        <v>10.5</v>
      </c>
      <c r="AAO262">
        <v>1</v>
      </c>
      <c r="AAP262">
        <v>3</v>
      </c>
      <c r="AAQ262">
        <v>1</v>
      </c>
      <c r="ABB262">
        <v>7.1</v>
      </c>
      <c r="ABC262">
        <v>0</v>
      </c>
      <c r="ABN262" s="18"/>
      <c r="ACF262">
        <v>1</v>
      </c>
      <c r="ACG262">
        <v>60</v>
      </c>
      <c r="ACH262">
        <v>10</v>
      </c>
      <c r="ACI262">
        <f>3.67*2</f>
        <v>7.34</v>
      </c>
      <c r="ACJ262">
        <v>4</v>
      </c>
      <c r="ADQ262" s="16">
        <v>2.37</v>
      </c>
      <c r="ADR262" s="16">
        <v>1</v>
      </c>
      <c r="ADS262" s="16">
        <v>1</v>
      </c>
      <c r="ADT262" s="16"/>
      <c r="ADU262" s="16">
        <f>1.65+4.08+0.54+3.77</f>
        <v>10.040000000000001</v>
      </c>
      <c r="ADV262" s="16"/>
      <c r="ADW262" s="16"/>
      <c r="ADX262" s="16"/>
      <c r="ADY262" s="16"/>
      <c r="ADZ262" s="16"/>
      <c r="AEA262" s="16"/>
      <c r="AEB262" s="16">
        <v>0.25</v>
      </c>
      <c r="AEC262" s="16">
        <v>0.25</v>
      </c>
      <c r="AED262" s="16"/>
      <c r="AEE262" s="16"/>
      <c r="AEF262" s="16">
        <v>0</v>
      </c>
      <c r="AEG262" s="16">
        <v>0</v>
      </c>
      <c r="AEH262" s="16">
        <v>3</v>
      </c>
      <c r="AEI262">
        <v>0</v>
      </c>
      <c r="AEJ262" t="s">
        <v>800</v>
      </c>
      <c r="AEK262">
        <v>27.5</v>
      </c>
      <c r="AEL262" s="16">
        <v>44</v>
      </c>
      <c r="AEM262" s="16">
        <v>83.4</v>
      </c>
      <c r="AEN262" s="16">
        <v>26.1</v>
      </c>
      <c r="AEO262">
        <v>15.93</v>
      </c>
      <c r="AEP262">
        <v>0</v>
      </c>
      <c r="AEQ262">
        <v>0</v>
      </c>
      <c r="AER262">
        <v>1.1000000000000001</v>
      </c>
      <c r="AES262">
        <v>2.91</v>
      </c>
      <c r="AET262">
        <v>0</v>
      </c>
      <c r="AEU262">
        <v>79.319999999999993</v>
      </c>
      <c r="AEV262">
        <v>5.87</v>
      </c>
      <c r="AEW262">
        <v>17.05</v>
      </c>
      <c r="AEX262">
        <v>0</v>
      </c>
      <c r="AEY262">
        <v>0</v>
      </c>
      <c r="AEZ262">
        <v>4.43</v>
      </c>
      <c r="AFA262">
        <v>3.08</v>
      </c>
      <c r="AFB262">
        <v>0.78</v>
      </c>
      <c r="AFC262">
        <v>0.73</v>
      </c>
      <c r="AFD262">
        <v>0</v>
      </c>
      <c r="AFE262">
        <v>0</v>
      </c>
      <c r="AFF262">
        <v>0</v>
      </c>
      <c r="AFS262">
        <v>0</v>
      </c>
      <c r="AFT262">
        <v>0</v>
      </c>
      <c r="AGE262" s="18"/>
      <c r="AGW262">
        <v>1</v>
      </c>
      <c r="AGX262">
        <v>50</v>
      </c>
      <c r="AGY262">
        <v>1</v>
      </c>
      <c r="AGZ262">
        <v>0.73</v>
      </c>
      <c r="AHA262">
        <v>3</v>
      </c>
      <c r="AIH262" s="16">
        <v>0.28999999999999998</v>
      </c>
      <c r="AII262" s="16">
        <v>1</v>
      </c>
      <c r="AIJ262" s="16">
        <v>1</v>
      </c>
      <c r="AIK262" s="16"/>
      <c r="AIL262" s="16">
        <f>0.08*8+0.2*4</f>
        <v>1.44</v>
      </c>
      <c r="AIM262" s="16"/>
      <c r="AIN262" s="16"/>
      <c r="AIO262" s="16"/>
      <c r="AIP262" s="16"/>
      <c r="AIQ262" s="16"/>
      <c r="AIR262" s="16"/>
      <c r="AIS262" s="16">
        <v>0.79</v>
      </c>
      <c r="AIT262" s="16">
        <v>0.8</v>
      </c>
      <c r="AIU262" s="16"/>
      <c r="AIV262" s="16"/>
      <c r="AIW262" s="16">
        <v>0</v>
      </c>
      <c r="AIX262" s="16">
        <v>0</v>
      </c>
      <c r="AIY262" s="16">
        <v>0</v>
      </c>
      <c r="AIZ262">
        <v>0</v>
      </c>
      <c r="AJA262" t="s">
        <v>322</v>
      </c>
      <c r="AJB262">
        <v>29</v>
      </c>
      <c r="AJC262" s="16">
        <v>79.099999999999994</v>
      </c>
      <c r="AJD262" s="16">
        <v>83.4</v>
      </c>
      <c r="AJE262" s="16">
        <v>18.7</v>
      </c>
      <c r="AJF262">
        <v>83.49</v>
      </c>
      <c r="AJG262">
        <v>0</v>
      </c>
      <c r="AJH262">
        <v>16.510000000000002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45.32</v>
      </c>
      <c r="AJS262">
        <v>18.71</v>
      </c>
      <c r="AJT262">
        <v>0</v>
      </c>
      <c r="AJU262">
        <v>0</v>
      </c>
      <c r="AJV262">
        <v>0</v>
      </c>
      <c r="AJW262">
        <v>0</v>
      </c>
      <c r="AKJ262">
        <v>0</v>
      </c>
      <c r="AKK262">
        <v>0</v>
      </c>
      <c r="AKV262" s="18"/>
      <c r="ALN262">
        <v>0</v>
      </c>
    </row>
    <row r="263" spans="1:1024" x14ac:dyDescent="0.2">
      <c r="A263" s="1" t="s">
        <v>801</v>
      </c>
      <c r="B263" s="12">
        <v>42911</v>
      </c>
      <c r="C263">
        <v>2</v>
      </c>
      <c r="D263" s="13">
        <v>42793</v>
      </c>
      <c r="E263" s="12">
        <v>33409</v>
      </c>
      <c r="F263" s="14">
        <f t="shared" si="106"/>
        <v>26.015058179329227</v>
      </c>
      <c r="G263" s="14">
        <f t="shared" si="107"/>
        <v>0.32306639288158795</v>
      </c>
      <c r="H263" s="19" t="s">
        <v>306</v>
      </c>
      <c r="I263" s="15" t="s">
        <v>793</v>
      </c>
      <c r="J263" s="15" t="s">
        <v>183</v>
      </c>
      <c r="K263" s="15">
        <v>8</v>
      </c>
      <c r="L263" s="19">
        <v>88</v>
      </c>
      <c r="M263">
        <v>1.82</v>
      </c>
      <c r="N263" s="16">
        <f t="shared" si="108"/>
        <v>26.566839753652939</v>
      </c>
      <c r="O263" s="19">
        <v>0</v>
      </c>
      <c r="P263" s="19">
        <v>0</v>
      </c>
      <c r="Q263" s="19">
        <v>0</v>
      </c>
      <c r="R263" s="26">
        <v>0</v>
      </c>
      <c r="S263" s="26">
        <v>0</v>
      </c>
      <c r="T263" s="26">
        <v>0</v>
      </c>
      <c r="U263" s="19">
        <v>0</v>
      </c>
      <c r="V263" s="19">
        <v>0</v>
      </c>
      <c r="W263" s="19">
        <v>0</v>
      </c>
      <c r="X263" s="19">
        <v>0</v>
      </c>
      <c r="Y263" s="19">
        <v>0</v>
      </c>
      <c r="Z263" s="19">
        <v>0</v>
      </c>
      <c r="AA263" s="19">
        <v>0</v>
      </c>
      <c r="AB263" s="19">
        <v>0</v>
      </c>
      <c r="AC263" s="19">
        <v>0</v>
      </c>
      <c r="AD263" s="19">
        <v>0</v>
      </c>
      <c r="AE263" s="19">
        <v>0</v>
      </c>
      <c r="AF263" s="19">
        <v>0</v>
      </c>
      <c r="AG263" s="19">
        <v>0</v>
      </c>
      <c r="AH263" s="19">
        <v>0</v>
      </c>
      <c r="AI263" s="19">
        <v>0</v>
      </c>
      <c r="AJ263" s="19">
        <v>0</v>
      </c>
      <c r="AK263" s="19">
        <v>0</v>
      </c>
      <c r="AL263" s="19">
        <v>0</v>
      </c>
      <c r="AM263" s="19">
        <v>0</v>
      </c>
      <c r="AN263" s="19">
        <v>0</v>
      </c>
      <c r="AO263" s="19">
        <v>0</v>
      </c>
      <c r="AP263" s="19">
        <v>0</v>
      </c>
      <c r="AQ263" s="19">
        <v>0</v>
      </c>
      <c r="AR263" s="19">
        <v>0</v>
      </c>
      <c r="AS263" s="19">
        <v>0</v>
      </c>
      <c r="AT263" s="19">
        <v>0</v>
      </c>
      <c r="AU263" s="19">
        <v>0</v>
      </c>
      <c r="AV263" s="19">
        <v>0</v>
      </c>
      <c r="AW263" s="19">
        <v>0</v>
      </c>
      <c r="AX263" s="19">
        <v>0</v>
      </c>
      <c r="AY263" s="19">
        <v>0</v>
      </c>
      <c r="AZ263" s="19">
        <v>0</v>
      </c>
      <c r="BA263" s="19">
        <v>0</v>
      </c>
      <c r="BB263" s="19">
        <v>0</v>
      </c>
      <c r="BC263" s="19">
        <v>0</v>
      </c>
      <c r="BD263" s="19">
        <v>0</v>
      </c>
      <c r="BE263" s="19">
        <v>0</v>
      </c>
      <c r="BF263" s="19">
        <v>0</v>
      </c>
      <c r="BG263" s="19">
        <v>0</v>
      </c>
      <c r="BH263" s="19">
        <v>0</v>
      </c>
      <c r="BI263" s="19">
        <v>0</v>
      </c>
      <c r="BJ263" s="19">
        <v>0</v>
      </c>
      <c r="BK263" s="19">
        <v>0</v>
      </c>
      <c r="BL263" s="19">
        <v>0</v>
      </c>
      <c r="BM263" s="19">
        <v>0</v>
      </c>
      <c r="BN263" s="19">
        <v>0</v>
      </c>
      <c r="BO263" s="19">
        <v>0</v>
      </c>
      <c r="BP263" s="19">
        <v>0</v>
      </c>
      <c r="BQ263" s="19">
        <v>0</v>
      </c>
      <c r="BR263" s="19">
        <v>1</v>
      </c>
      <c r="BS263" s="19">
        <v>2</v>
      </c>
      <c r="BT263" s="19">
        <v>2</v>
      </c>
      <c r="BU263" s="19">
        <v>5</v>
      </c>
      <c r="BV263" s="19">
        <v>3</v>
      </c>
      <c r="BW263" s="19">
        <v>4</v>
      </c>
      <c r="BX263" s="19">
        <v>3</v>
      </c>
      <c r="BY263" s="19">
        <v>5</v>
      </c>
      <c r="BZ263" s="19">
        <v>5</v>
      </c>
      <c r="CA263" s="19">
        <v>4</v>
      </c>
      <c r="CB263" s="19">
        <v>4</v>
      </c>
      <c r="CC263" s="19">
        <v>4</v>
      </c>
      <c r="CD263" s="19">
        <v>4</v>
      </c>
      <c r="CE263" s="19">
        <v>4</v>
      </c>
      <c r="CF263" s="19">
        <v>4</v>
      </c>
      <c r="CG263" s="19">
        <v>5</v>
      </c>
      <c r="CH263" s="19">
        <v>4</v>
      </c>
      <c r="CI263" s="19">
        <v>4</v>
      </c>
      <c r="CJ263" s="19">
        <v>4</v>
      </c>
      <c r="CK263" s="19">
        <v>7</v>
      </c>
      <c r="CL263" t="s">
        <v>794</v>
      </c>
      <c r="CM263">
        <v>41.5</v>
      </c>
      <c r="CN263" s="16">
        <v>70</v>
      </c>
      <c r="CO263" s="16">
        <v>83.4</v>
      </c>
      <c r="CP263" s="16">
        <v>33.4</v>
      </c>
      <c r="CQ263">
        <v>67.05</v>
      </c>
      <c r="CR263">
        <v>0</v>
      </c>
      <c r="CS263">
        <v>5.87</v>
      </c>
      <c r="CT263">
        <v>12.48</v>
      </c>
      <c r="CU263">
        <v>14.6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18.75</v>
      </c>
      <c r="DD263">
        <v>14.73</v>
      </c>
      <c r="DE263">
        <v>5.87</v>
      </c>
      <c r="DF263">
        <v>0</v>
      </c>
      <c r="DG263">
        <v>0</v>
      </c>
      <c r="DH263">
        <v>0</v>
      </c>
      <c r="DU263">
        <v>0</v>
      </c>
      <c r="DV263">
        <v>1</v>
      </c>
      <c r="DW263">
        <v>23</v>
      </c>
      <c r="DX263">
        <v>3</v>
      </c>
      <c r="DY263">
        <f t="shared" si="109"/>
        <v>2.2000000000000002</v>
      </c>
      <c r="DZ263">
        <v>3</v>
      </c>
      <c r="EG263" s="18"/>
      <c r="EY263">
        <v>1</v>
      </c>
      <c r="EZ263">
        <v>30</v>
      </c>
      <c r="FA263">
        <v>2</v>
      </c>
      <c r="FB263">
        <v>2.94</v>
      </c>
      <c r="FC263">
        <v>3</v>
      </c>
      <c r="GJ263" s="16">
        <v>1.6</v>
      </c>
      <c r="GK263" s="16">
        <v>1</v>
      </c>
      <c r="GL263" s="16">
        <v>1</v>
      </c>
      <c r="GM263" s="16"/>
      <c r="GN263" s="16">
        <f t="shared" si="110"/>
        <v>8.0400000000000009</v>
      </c>
      <c r="GO263" s="16"/>
      <c r="GP263" s="16"/>
      <c r="GQ263" s="16"/>
      <c r="GR263" s="16"/>
      <c r="GS263" s="16"/>
      <c r="GT263" s="16"/>
      <c r="GU263" s="16">
        <v>6.47</v>
      </c>
      <c r="GV263" s="16">
        <v>6.24</v>
      </c>
      <c r="GW263" s="16"/>
      <c r="GX263" s="16"/>
      <c r="GY263" s="16">
        <v>0</v>
      </c>
      <c r="GZ263" s="16">
        <v>0</v>
      </c>
      <c r="HA263" s="16">
        <v>0</v>
      </c>
      <c r="HB263">
        <v>0</v>
      </c>
      <c r="HC263" t="s">
        <v>795</v>
      </c>
      <c r="HD263">
        <v>58</v>
      </c>
      <c r="HE263" s="16">
        <v>94.2</v>
      </c>
      <c r="HF263" s="16">
        <v>83.4</v>
      </c>
      <c r="HG263" s="16">
        <v>45.8</v>
      </c>
      <c r="HH263">
        <v>51.88</v>
      </c>
      <c r="HI263">
        <v>0</v>
      </c>
      <c r="HJ263">
        <v>42.28</v>
      </c>
      <c r="HK263">
        <v>0</v>
      </c>
      <c r="HL263">
        <v>1.81</v>
      </c>
      <c r="HM263">
        <v>0</v>
      </c>
      <c r="HN263">
        <v>4.03</v>
      </c>
      <c r="HO263">
        <v>0</v>
      </c>
      <c r="HP263">
        <v>3.02</v>
      </c>
      <c r="HQ263">
        <v>0</v>
      </c>
      <c r="HR263">
        <v>0</v>
      </c>
      <c r="HS263">
        <v>2.06</v>
      </c>
      <c r="HT263">
        <v>7.41</v>
      </c>
      <c r="HU263">
        <v>41.45</v>
      </c>
      <c r="HV263">
        <v>4.5</v>
      </c>
      <c r="HW263">
        <v>0</v>
      </c>
      <c r="HX263">
        <v>5.3</v>
      </c>
      <c r="HY263">
        <v>1</v>
      </c>
      <c r="HZ263">
        <v>5</v>
      </c>
      <c r="IB263">
        <v>1</v>
      </c>
      <c r="IL263">
        <v>3.9</v>
      </c>
      <c r="IM263">
        <v>0</v>
      </c>
      <c r="IX263" s="18"/>
      <c r="JP263">
        <v>1</v>
      </c>
      <c r="JQ263">
        <v>60</v>
      </c>
      <c r="JR263">
        <v>4</v>
      </c>
      <c r="JS263">
        <f t="shared" si="111"/>
        <v>2.94</v>
      </c>
      <c r="JT263">
        <v>2</v>
      </c>
      <c r="JU263">
        <v>50</v>
      </c>
      <c r="JV263">
        <v>9</v>
      </c>
      <c r="JW263">
        <f t="shared" si="112"/>
        <v>1.02</v>
      </c>
      <c r="JX263">
        <v>2</v>
      </c>
      <c r="JY263">
        <v>70</v>
      </c>
      <c r="JZ263">
        <v>4</v>
      </c>
      <c r="KA263">
        <v>0.4</v>
      </c>
      <c r="KB263">
        <v>2</v>
      </c>
      <c r="LA263" s="16">
        <v>0</v>
      </c>
      <c r="LB263" s="16">
        <v>0</v>
      </c>
      <c r="LC263" s="16"/>
      <c r="LD263" s="16"/>
      <c r="LE263" s="16"/>
      <c r="LF263" s="16"/>
      <c r="LG263" s="16"/>
      <c r="LH263" s="16"/>
      <c r="LI263" s="16"/>
      <c r="LJ263" s="16"/>
      <c r="LK263" s="16"/>
      <c r="LL263" s="16">
        <v>2.7</v>
      </c>
      <c r="LM263" s="16">
        <v>0.9</v>
      </c>
      <c r="LN263" s="16"/>
      <c r="LO263" s="16"/>
      <c r="LP263" s="16">
        <v>0</v>
      </c>
      <c r="LQ263" s="16">
        <v>0</v>
      </c>
      <c r="LR263" s="16">
        <v>0</v>
      </c>
      <c r="LS263">
        <v>0</v>
      </c>
      <c r="LT263" t="s">
        <v>796</v>
      </c>
      <c r="LU263">
        <v>50.5</v>
      </c>
      <c r="LV263" s="16">
        <v>78.7</v>
      </c>
      <c r="LW263" s="16">
        <v>83.4</v>
      </c>
      <c r="LX263" s="16">
        <v>45.1</v>
      </c>
      <c r="LY263">
        <v>50.98</v>
      </c>
      <c r="LZ263">
        <v>1.99</v>
      </c>
      <c r="MA263">
        <v>41.43</v>
      </c>
      <c r="MB263">
        <v>0</v>
      </c>
      <c r="MC263">
        <v>1.81</v>
      </c>
      <c r="MD263">
        <v>0</v>
      </c>
      <c r="ME263">
        <v>3.78</v>
      </c>
      <c r="MF263">
        <v>0</v>
      </c>
      <c r="MG263">
        <v>3.02</v>
      </c>
      <c r="MH263">
        <v>0</v>
      </c>
      <c r="MI263">
        <v>0</v>
      </c>
      <c r="MJ263">
        <v>1.81</v>
      </c>
      <c r="MK263">
        <v>12.52</v>
      </c>
      <c r="ML263">
        <v>41.44</v>
      </c>
      <c r="MM263">
        <v>3.05</v>
      </c>
      <c r="MN263">
        <v>0</v>
      </c>
      <c r="MO263">
        <v>0</v>
      </c>
      <c r="MP263">
        <v>0</v>
      </c>
      <c r="NC263">
        <v>3</v>
      </c>
      <c r="ND263">
        <v>0</v>
      </c>
      <c r="NO263" s="18"/>
      <c r="OG263">
        <v>1</v>
      </c>
      <c r="OH263">
        <v>60</v>
      </c>
      <c r="OI263">
        <v>4</v>
      </c>
      <c r="OJ263">
        <f t="shared" si="113"/>
        <v>2.94</v>
      </c>
      <c r="OK263">
        <v>2</v>
      </c>
      <c r="OL263">
        <v>50</v>
      </c>
      <c r="OM263">
        <v>9</v>
      </c>
      <c r="ON263">
        <f t="shared" si="114"/>
        <v>1.02</v>
      </c>
      <c r="OO263">
        <v>2</v>
      </c>
      <c r="OP263">
        <v>70</v>
      </c>
      <c r="OQ263">
        <v>4</v>
      </c>
      <c r="OR263">
        <v>0.4</v>
      </c>
      <c r="OS263">
        <v>2</v>
      </c>
      <c r="PR263" s="16">
        <v>0</v>
      </c>
      <c r="PS263" s="16">
        <v>0</v>
      </c>
      <c r="PT263" s="16"/>
      <c r="PU263" s="16"/>
      <c r="PV263" s="16"/>
      <c r="PW263" s="16"/>
      <c r="PX263" s="16"/>
      <c r="PY263" s="16"/>
      <c r="PZ263" s="16"/>
      <c r="QA263" s="16"/>
      <c r="QB263" s="16"/>
      <c r="QC263" s="16">
        <v>2.14</v>
      </c>
      <c r="QD263" s="16">
        <v>2.14</v>
      </c>
      <c r="QE263" s="16"/>
      <c r="QF263" s="16"/>
      <c r="QG263" s="16">
        <v>0</v>
      </c>
      <c r="QH263" s="16">
        <v>0</v>
      </c>
      <c r="QI263" s="16">
        <v>0</v>
      </c>
      <c r="QJ263">
        <v>0</v>
      </c>
      <c r="QK263" t="s">
        <v>797</v>
      </c>
      <c r="QL263">
        <v>52.5</v>
      </c>
      <c r="QM263" s="16">
        <v>84.4</v>
      </c>
      <c r="QN263" s="16">
        <v>83.4</v>
      </c>
      <c r="QO263" s="16">
        <v>45.2</v>
      </c>
      <c r="QP263">
        <v>36.520000000000003</v>
      </c>
      <c r="QQ263">
        <v>0</v>
      </c>
      <c r="QR263">
        <v>24.46</v>
      </c>
      <c r="QS263">
        <v>5.81</v>
      </c>
      <c r="QT263">
        <v>9.5399999999999991</v>
      </c>
      <c r="QU263">
        <v>0</v>
      </c>
      <c r="QV263">
        <v>22.12</v>
      </c>
      <c r="QW263">
        <v>2.71</v>
      </c>
      <c r="QX263">
        <v>5.34</v>
      </c>
      <c r="QY263">
        <v>3.86</v>
      </c>
      <c r="QZ263">
        <v>0</v>
      </c>
      <c r="RA263">
        <v>0</v>
      </c>
      <c r="RB263">
        <v>4.3</v>
      </c>
      <c r="RC263">
        <v>3.92</v>
      </c>
      <c r="RD263">
        <v>7.14</v>
      </c>
      <c r="RE263">
        <v>0.77</v>
      </c>
      <c r="RF263">
        <v>0</v>
      </c>
      <c r="RG263">
        <v>0</v>
      </c>
      <c r="RT263">
        <v>1.4</v>
      </c>
      <c r="RU263">
        <v>1</v>
      </c>
      <c r="RV263">
        <v>55</v>
      </c>
      <c r="RW263">
        <v>1</v>
      </c>
      <c r="RX263">
        <v>0.77</v>
      </c>
      <c r="RY263">
        <v>2</v>
      </c>
      <c r="RZ263">
        <v>35</v>
      </c>
      <c r="SA263">
        <v>1</v>
      </c>
      <c r="SB263">
        <v>0.13</v>
      </c>
      <c r="SC263">
        <v>3</v>
      </c>
      <c r="SF263" s="18"/>
      <c r="SX263">
        <v>1</v>
      </c>
      <c r="SY263">
        <v>50</v>
      </c>
      <c r="SZ263">
        <v>1</v>
      </c>
      <c r="TA263">
        <v>0.36</v>
      </c>
      <c r="TB263">
        <v>1</v>
      </c>
      <c r="UI263" s="16">
        <v>7.0000000000000007E-2</v>
      </c>
      <c r="UJ263" s="16">
        <v>1</v>
      </c>
      <c r="UK263" s="16">
        <v>1</v>
      </c>
      <c r="UL263" s="16"/>
      <c r="UM263" s="16">
        <f>0.07*2+0.05*3</f>
        <v>0.29000000000000004</v>
      </c>
      <c r="UN263" s="16"/>
      <c r="UO263" s="16"/>
      <c r="UP263" s="16"/>
      <c r="UQ263" s="16"/>
      <c r="UR263" s="16"/>
      <c r="US263" s="16"/>
      <c r="UT263" s="16">
        <v>0.05</v>
      </c>
      <c r="UU263" s="16">
        <v>0.05</v>
      </c>
      <c r="UV263" s="16"/>
      <c r="UW263" s="16"/>
      <c r="UX263" s="16">
        <v>5.76</v>
      </c>
      <c r="UY263" s="16">
        <v>0</v>
      </c>
      <c r="UZ263" s="16">
        <v>0</v>
      </c>
      <c r="VA263">
        <v>1</v>
      </c>
      <c r="VB263" t="s">
        <v>798</v>
      </c>
      <c r="VC263">
        <v>47.5</v>
      </c>
      <c r="VD263" s="16">
        <v>97.8</v>
      </c>
      <c r="VE263" s="16">
        <v>83.4</v>
      </c>
      <c r="VF263" s="16">
        <v>26.3</v>
      </c>
      <c r="VG263">
        <v>54.22</v>
      </c>
      <c r="VH263">
        <v>0</v>
      </c>
      <c r="VI263">
        <v>0</v>
      </c>
      <c r="VJ263">
        <v>0</v>
      </c>
      <c r="VK263">
        <v>32.130000000000003</v>
      </c>
      <c r="VL263">
        <v>0</v>
      </c>
      <c r="VM263">
        <v>13.65</v>
      </c>
      <c r="VN263">
        <v>0</v>
      </c>
      <c r="VO263">
        <v>0</v>
      </c>
      <c r="VP263">
        <v>0</v>
      </c>
      <c r="VQ263">
        <v>0</v>
      </c>
      <c r="VR263">
        <v>25.5</v>
      </c>
      <c r="VS263">
        <v>61.05</v>
      </c>
      <c r="VT263">
        <v>6.61</v>
      </c>
      <c r="VU263">
        <v>3.67</v>
      </c>
      <c r="VV263">
        <v>0</v>
      </c>
      <c r="VW263">
        <v>10.5</v>
      </c>
      <c r="VX263">
        <v>1</v>
      </c>
      <c r="VY263">
        <v>3</v>
      </c>
      <c r="WA263">
        <v>1</v>
      </c>
      <c r="WK263">
        <v>7.1</v>
      </c>
      <c r="WL263">
        <v>0</v>
      </c>
      <c r="WW263" s="18"/>
      <c r="XO263">
        <v>1</v>
      </c>
      <c r="XP263">
        <v>60</v>
      </c>
      <c r="XQ263">
        <v>10</v>
      </c>
      <c r="XR263">
        <f>3.67*2</f>
        <v>7.34</v>
      </c>
      <c r="XS263">
        <v>3</v>
      </c>
      <c r="YZ263" s="16">
        <v>3.22</v>
      </c>
      <c r="ZA263" s="16">
        <v>1</v>
      </c>
      <c r="ZB263" s="16">
        <v>1</v>
      </c>
      <c r="ZC263" s="16"/>
      <c r="ZD263" s="16">
        <f>1.65*3+4.08+0.54+0.52</f>
        <v>10.09</v>
      </c>
      <c r="ZE263" s="16"/>
      <c r="ZF263" s="16"/>
      <c r="ZG263" s="16"/>
      <c r="ZH263" s="16"/>
      <c r="ZI263" s="16"/>
      <c r="ZJ263" s="16"/>
      <c r="ZK263" s="16">
        <v>0</v>
      </c>
      <c r="ZL263" s="16">
        <v>0</v>
      </c>
      <c r="ZM263" s="16"/>
      <c r="ZN263" s="16"/>
      <c r="ZO263" s="16">
        <v>0</v>
      </c>
      <c r="ZP263" s="16">
        <v>0</v>
      </c>
      <c r="ZQ263" s="16">
        <v>0</v>
      </c>
      <c r="ZR263">
        <v>0</v>
      </c>
      <c r="ZS263" t="s">
        <v>799</v>
      </c>
      <c r="ZT263">
        <v>44</v>
      </c>
      <c r="ZU263" s="16">
        <v>88.5</v>
      </c>
      <c r="ZV263" s="16">
        <v>83.4</v>
      </c>
      <c r="ZW263" s="16">
        <v>21.4</v>
      </c>
      <c r="ZX263">
        <v>59.53</v>
      </c>
      <c r="ZY263">
        <v>0</v>
      </c>
      <c r="ZZ263">
        <v>0</v>
      </c>
      <c r="AAA263">
        <v>0</v>
      </c>
      <c r="AAB263">
        <v>27.73</v>
      </c>
      <c r="AAC263">
        <v>0</v>
      </c>
      <c r="AAD263">
        <v>12.75</v>
      </c>
      <c r="AAE263">
        <v>0</v>
      </c>
      <c r="AAF263">
        <v>0</v>
      </c>
      <c r="AAG263">
        <v>0</v>
      </c>
      <c r="AAH263">
        <v>0</v>
      </c>
      <c r="AAI263">
        <v>18.64</v>
      </c>
      <c r="AAJ263">
        <v>50.48</v>
      </c>
      <c r="AAK263">
        <v>6.61</v>
      </c>
      <c r="AAL263">
        <v>3.67</v>
      </c>
      <c r="AAM263">
        <v>0</v>
      </c>
      <c r="AAN263">
        <v>10.5</v>
      </c>
      <c r="AAO263">
        <v>1</v>
      </c>
      <c r="AAP263">
        <v>3</v>
      </c>
      <c r="AAQ263">
        <v>1</v>
      </c>
      <c r="ABB263">
        <v>7.1</v>
      </c>
      <c r="ABC263">
        <v>0</v>
      </c>
      <c r="ABN263" s="18"/>
      <c r="ACF263">
        <v>1</v>
      </c>
      <c r="ACG263">
        <v>60</v>
      </c>
      <c r="ACH263">
        <v>10</v>
      </c>
      <c r="ACI263">
        <f>3.67*2</f>
        <v>7.34</v>
      </c>
      <c r="ACJ263">
        <v>4</v>
      </c>
      <c r="ADQ263" s="16">
        <v>2.37</v>
      </c>
      <c r="ADR263" s="16">
        <v>1</v>
      </c>
      <c r="ADS263" s="16">
        <v>1</v>
      </c>
      <c r="ADT263" s="16"/>
      <c r="ADU263" s="16">
        <f>1.65+4.08+0.54+3.77</f>
        <v>10.040000000000001</v>
      </c>
      <c r="ADV263" s="16"/>
      <c r="ADW263" s="16"/>
      <c r="ADX263" s="16"/>
      <c r="ADY263" s="16"/>
      <c r="ADZ263" s="16"/>
      <c r="AEA263" s="16"/>
      <c r="AEB263" s="16">
        <v>0.25</v>
      </c>
      <c r="AEC263" s="16">
        <v>0.25</v>
      </c>
      <c r="AED263" s="16"/>
      <c r="AEE263" s="16"/>
      <c r="AEF263" s="16">
        <v>0</v>
      </c>
      <c r="AEG263" s="16">
        <v>0</v>
      </c>
      <c r="AEH263" s="16">
        <v>3</v>
      </c>
      <c r="AEI263">
        <v>0</v>
      </c>
      <c r="AEJ263" t="s">
        <v>800</v>
      </c>
      <c r="AEK263">
        <v>27.5</v>
      </c>
      <c r="AEL263" s="16">
        <v>44</v>
      </c>
      <c r="AEM263" s="16">
        <v>83.4</v>
      </c>
      <c r="AEN263" s="16">
        <v>26.1</v>
      </c>
      <c r="AEO263">
        <v>15.93</v>
      </c>
      <c r="AEP263">
        <v>0</v>
      </c>
      <c r="AEQ263">
        <v>0</v>
      </c>
      <c r="AER263">
        <v>1.1000000000000001</v>
      </c>
      <c r="AES263">
        <v>2.91</v>
      </c>
      <c r="AET263">
        <v>0</v>
      </c>
      <c r="AEU263">
        <v>79.319999999999993</v>
      </c>
      <c r="AEV263">
        <v>5.87</v>
      </c>
      <c r="AEW263">
        <v>17.05</v>
      </c>
      <c r="AEX263">
        <v>0</v>
      </c>
      <c r="AEY263">
        <v>0</v>
      </c>
      <c r="AEZ263">
        <v>4.43</v>
      </c>
      <c r="AFA263">
        <v>3.08</v>
      </c>
      <c r="AFB263">
        <v>0.78</v>
      </c>
      <c r="AFC263">
        <v>0.73</v>
      </c>
      <c r="AFD263">
        <v>0</v>
      </c>
      <c r="AFE263">
        <v>0</v>
      </c>
      <c r="AFF263">
        <v>0</v>
      </c>
      <c r="AFS263">
        <v>0</v>
      </c>
      <c r="AFT263">
        <v>0</v>
      </c>
      <c r="AGE263" s="18"/>
      <c r="AGW263">
        <v>1</v>
      </c>
      <c r="AGX263">
        <v>50</v>
      </c>
      <c r="AGY263">
        <v>1</v>
      </c>
      <c r="AGZ263">
        <v>0.73</v>
      </c>
      <c r="AHA263">
        <v>3</v>
      </c>
      <c r="AIH263" s="16">
        <v>0.28999999999999998</v>
      </c>
      <c r="AII263" s="16">
        <v>1</v>
      </c>
      <c r="AIJ263" s="16">
        <v>1</v>
      </c>
      <c r="AIK263" s="16"/>
      <c r="AIL263" s="16">
        <f>0.08*8+0.2*4</f>
        <v>1.44</v>
      </c>
      <c r="AIM263" s="16"/>
      <c r="AIN263" s="16"/>
      <c r="AIO263" s="16"/>
      <c r="AIP263" s="16"/>
      <c r="AIQ263" s="16"/>
      <c r="AIR263" s="16"/>
      <c r="AIS263" s="16">
        <v>0.79</v>
      </c>
      <c r="AIT263" s="16">
        <v>0.8</v>
      </c>
      <c r="AIU263" s="16"/>
      <c r="AIV263" s="16"/>
      <c r="AIW263" s="16">
        <v>0</v>
      </c>
      <c r="AIX263" s="16">
        <v>0</v>
      </c>
      <c r="AIY263" s="16">
        <v>0</v>
      </c>
      <c r="AIZ263">
        <v>0</v>
      </c>
      <c r="AJA263" t="s">
        <v>322</v>
      </c>
      <c r="AJB263">
        <v>29</v>
      </c>
      <c r="AJC263" s="16">
        <v>79.099999999999994</v>
      </c>
      <c r="AJD263" s="16">
        <v>83.4</v>
      </c>
      <c r="AJE263" s="16">
        <v>18.7</v>
      </c>
      <c r="AJF263">
        <v>83.49</v>
      </c>
      <c r="AJG263">
        <v>0</v>
      </c>
      <c r="AJH263">
        <v>16.510000000000002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45.32</v>
      </c>
      <c r="AJS263">
        <v>18.71</v>
      </c>
      <c r="AJT263">
        <v>0</v>
      </c>
      <c r="AJU263">
        <v>0</v>
      </c>
      <c r="AJV263">
        <v>0</v>
      </c>
      <c r="AJW263">
        <v>0</v>
      </c>
      <c r="AKJ263">
        <v>0</v>
      </c>
      <c r="AKK263">
        <v>0</v>
      </c>
      <c r="AKV263" s="18"/>
      <c r="ALN263">
        <v>0</v>
      </c>
    </row>
    <row r="264" spans="1:1024" x14ac:dyDescent="0.2">
      <c r="A264" s="1" t="s">
        <v>802</v>
      </c>
      <c r="B264" s="12">
        <v>42908</v>
      </c>
      <c r="C264">
        <v>2</v>
      </c>
      <c r="D264" s="13">
        <v>42793</v>
      </c>
      <c r="E264" s="12">
        <v>29482</v>
      </c>
      <c r="F264" s="14">
        <f t="shared" si="106"/>
        <v>36.758384668035589</v>
      </c>
      <c r="G264" s="14">
        <f t="shared" si="107"/>
        <v>0.31485284052019163</v>
      </c>
      <c r="H264" s="19" t="s">
        <v>306</v>
      </c>
      <c r="I264" s="15" t="s">
        <v>793</v>
      </c>
      <c r="J264" s="15" t="s">
        <v>183</v>
      </c>
      <c r="K264" s="15">
        <v>8</v>
      </c>
      <c r="L264" s="19">
        <v>89</v>
      </c>
      <c r="M264">
        <v>1.84</v>
      </c>
      <c r="N264" s="16">
        <f t="shared" si="108"/>
        <v>26.287807183364837</v>
      </c>
      <c r="O264" s="19">
        <v>0</v>
      </c>
      <c r="P264" s="19">
        <v>0</v>
      </c>
      <c r="Q264" s="19">
        <v>0</v>
      </c>
      <c r="R264" s="26">
        <v>0</v>
      </c>
      <c r="S264" s="26">
        <v>0</v>
      </c>
      <c r="T264" s="26">
        <v>0</v>
      </c>
      <c r="U264" s="19">
        <v>0</v>
      </c>
      <c r="V264" s="19">
        <v>0</v>
      </c>
      <c r="W264" s="19">
        <v>0</v>
      </c>
      <c r="X264" s="19">
        <v>0</v>
      </c>
      <c r="Y264" s="19">
        <v>1</v>
      </c>
      <c r="Z264" s="19">
        <v>3</v>
      </c>
      <c r="AA264" s="19">
        <v>60</v>
      </c>
      <c r="AB264" s="19" t="s">
        <v>308</v>
      </c>
      <c r="AC264" s="19">
        <v>0</v>
      </c>
      <c r="AD264" s="19">
        <v>0</v>
      </c>
      <c r="AE264" s="19">
        <v>0</v>
      </c>
      <c r="AF264" s="19">
        <v>0</v>
      </c>
      <c r="AG264" s="19">
        <v>0</v>
      </c>
      <c r="AH264" s="19">
        <v>0</v>
      </c>
      <c r="AI264" s="19">
        <v>0</v>
      </c>
      <c r="AJ264" s="19">
        <v>0</v>
      </c>
      <c r="AK264" s="19">
        <v>0</v>
      </c>
      <c r="AL264" s="19">
        <v>0</v>
      </c>
      <c r="AM264" s="19">
        <v>0</v>
      </c>
      <c r="AN264" s="19">
        <v>0</v>
      </c>
      <c r="AO264" s="19">
        <v>0</v>
      </c>
      <c r="AP264" s="19">
        <v>0</v>
      </c>
      <c r="AQ264" s="19">
        <v>0</v>
      </c>
      <c r="AR264" s="19">
        <v>0</v>
      </c>
      <c r="AS264" s="19">
        <v>0</v>
      </c>
      <c r="AT264" s="19">
        <v>0</v>
      </c>
      <c r="AU264" s="19">
        <v>0</v>
      </c>
      <c r="AV264" s="19">
        <v>0</v>
      </c>
      <c r="AW264" s="19">
        <v>0</v>
      </c>
      <c r="AX264" s="19">
        <v>0</v>
      </c>
      <c r="AY264" s="19">
        <v>0</v>
      </c>
      <c r="AZ264" s="19">
        <v>0</v>
      </c>
      <c r="BA264" s="19">
        <v>0</v>
      </c>
      <c r="BB264" s="19">
        <v>0</v>
      </c>
      <c r="BC264" s="19">
        <v>0</v>
      </c>
      <c r="BD264" s="19">
        <v>0</v>
      </c>
      <c r="BE264" s="19">
        <v>0</v>
      </c>
      <c r="BF264" s="19">
        <v>0</v>
      </c>
      <c r="BG264" s="19">
        <v>0</v>
      </c>
      <c r="BH264" s="19">
        <v>0</v>
      </c>
      <c r="BI264" s="19">
        <v>0</v>
      </c>
      <c r="BJ264" s="19">
        <v>0</v>
      </c>
      <c r="BK264" s="19">
        <v>0</v>
      </c>
      <c r="BL264" s="19">
        <v>0</v>
      </c>
      <c r="BM264" s="19">
        <v>0</v>
      </c>
      <c r="BN264" s="19">
        <v>0</v>
      </c>
      <c r="BO264" s="19">
        <v>0</v>
      </c>
      <c r="BP264" s="19">
        <v>0</v>
      </c>
      <c r="BQ264" s="19">
        <v>0</v>
      </c>
      <c r="BR264" s="19">
        <v>2</v>
      </c>
      <c r="BS264" s="19">
        <v>2</v>
      </c>
      <c r="BT264" s="19">
        <v>3</v>
      </c>
      <c r="BU264" s="19">
        <v>5</v>
      </c>
      <c r="BV264" s="19">
        <v>3</v>
      </c>
      <c r="BW264" s="19">
        <v>1</v>
      </c>
      <c r="BX264" s="19">
        <v>1</v>
      </c>
      <c r="BY264" s="19">
        <v>4</v>
      </c>
      <c r="BZ264" s="19">
        <v>4</v>
      </c>
      <c r="CA264" s="19">
        <v>2</v>
      </c>
      <c r="CB264" s="19">
        <v>4</v>
      </c>
      <c r="CC264" s="19">
        <v>4</v>
      </c>
      <c r="CD264" s="19">
        <v>2</v>
      </c>
      <c r="CE264" s="19">
        <v>4</v>
      </c>
      <c r="CF264" s="19">
        <v>4</v>
      </c>
      <c r="CG264" s="19">
        <v>5</v>
      </c>
      <c r="CH264" s="19">
        <v>3</v>
      </c>
      <c r="CI264" s="19">
        <v>3</v>
      </c>
      <c r="CJ264" s="19">
        <v>4</v>
      </c>
      <c r="CK264" s="19">
        <v>9</v>
      </c>
      <c r="CL264" t="s">
        <v>794</v>
      </c>
      <c r="CM264">
        <v>41.5</v>
      </c>
      <c r="CN264" s="16">
        <v>70</v>
      </c>
      <c r="CO264" s="16">
        <v>83.4</v>
      </c>
      <c r="CP264" s="16">
        <v>33.4</v>
      </c>
      <c r="CQ264">
        <v>67.05</v>
      </c>
      <c r="CR264">
        <v>0</v>
      </c>
      <c r="CS264">
        <v>5.87</v>
      </c>
      <c r="CT264">
        <v>12.48</v>
      </c>
      <c r="CU264">
        <v>14.6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18.75</v>
      </c>
      <c r="DD264">
        <v>14.73</v>
      </c>
      <c r="DE264">
        <v>5.87</v>
      </c>
      <c r="DF264">
        <v>0</v>
      </c>
      <c r="DG264">
        <v>0</v>
      </c>
      <c r="DH264">
        <v>0</v>
      </c>
      <c r="DU264">
        <v>0</v>
      </c>
      <c r="DV264">
        <v>1</v>
      </c>
      <c r="DW264">
        <v>23</v>
      </c>
      <c r="DX264">
        <v>3</v>
      </c>
      <c r="DY264">
        <f t="shared" si="109"/>
        <v>2.2000000000000002</v>
      </c>
      <c r="DZ264">
        <v>3</v>
      </c>
      <c r="EG264" s="18"/>
      <c r="EY264">
        <v>1</v>
      </c>
      <c r="EZ264">
        <v>30</v>
      </c>
      <c r="FA264">
        <v>2</v>
      </c>
      <c r="FB264">
        <v>2.94</v>
      </c>
      <c r="FC264">
        <v>3</v>
      </c>
      <c r="GJ264" s="16">
        <v>1.6</v>
      </c>
      <c r="GK264" s="16">
        <v>1</v>
      </c>
      <c r="GL264" s="16">
        <v>1</v>
      </c>
      <c r="GM264" s="16"/>
      <c r="GN264" s="16">
        <f t="shared" si="110"/>
        <v>8.0400000000000009</v>
      </c>
      <c r="GO264" s="16"/>
      <c r="GP264" s="16"/>
      <c r="GQ264" s="16"/>
      <c r="GR264" s="16"/>
      <c r="GS264" s="16"/>
      <c r="GT264" s="16"/>
      <c r="GU264" s="16">
        <v>6.47</v>
      </c>
      <c r="GV264" s="16">
        <v>6.24</v>
      </c>
      <c r="GW264" s="16"/>
      <c r="GX264" s="16"/>
      <c r="GY264" s="16">
        <v>0</v>
      </c>
      <c r="GZ264" s="16">
        <v>0</v>
      </c>
      <c r="HA264" s="16">
        <v>0</v>
      </c>
      <c r="HB264">
        <v>0</v>
      </c>
      <c r="HC264" t="s">
        <v>795</v>
      </c>
      <c r="HD264">
        <v>58</v>
      </c>
      <c r="HE264" s="16">
        <v>94.2</v>
      </c>
      <c r="HF264" s="16">
        <v>83.4</v>
      </c>
      <c r="HG264" s="16">
        <v>45.8</v>
      </c>
      <c r="HH264">
        <v>51.88</v>
      </c>
      <c r="HI264">
        <v>0</v>
      </c>
      <c r="HJ264">
        <v>42.28</v>
      </c>
      <c r="HK264">
        <v>0</v>
      </c>
      <c r="HL264">
        <v>1.81</v>
      </c>
      <c r="HM264">
        <v>0</v>
      </c>
      <c r="HN264">
        <v>4.03</v>
      </c>
      <c r="HO264">
        <v>0</v>
      </c>
      <c r="HP264">
        <v>3.02</v>
      </c>
      <c r="HQ264">
        <v>0</v>
      </c>
      <c r="HR264">
        <v>0</v>
      </c>
      <c r="HS264">
        <v>2.06</v>
      </c>
      <c r="HT264">
        <v>7.41</v>
      </c>
      <c r="HU264">
        <v>41.45</v>
      </c>
      <c r="HV264">
        <v>4.5</v>
      </c>
      <c r="HW264">
        <v>0</v>
      </c>
      <c r="HX264">
        <v>5.3</v>
      </c>
      <c r="HY264">
        <v>1</v>
      </c>
      <c r="HZ264">
        <v>5</v>
      </c>
      <c r="IB264">
        <v>1</v>
      </c>
      <c r="IL264">
        <v>3.9</v>
      </c>
      <c r="IM264">
        <v>0</v>
      </c>
      <c r="IX264" s="18"/>
      <c r="JP264">
        <v>1</v>
      </c>
      <c r="JQ264">
        <v>60</v>
      </c>
      <c r="JR264">
        <v>4</v>
      </c>
      <c r="JS264">
        <f t="shared" si="111"/>
        <v>2.94</v>
      </c>
      <c r="JT264">
        <v>2</v>
      </c>
      <c r="JU264">
        <v>50</v>
      </c>
      <c r="JV264">
        <v>9</v>
      </c>
      <c r="JW264">
        <f t="shared" si="112"/>
        <v>1.02</v>
      </c>
      <c r="JX264">
        <v>2</v>
      </c>
      <c r="JY264">
        <v>70</v>
      </c>
      <c r="JZ264">
        <v>4</v>
      </c>
      <c r="KA264">
        <v>0.4</v>
      </c>
      <c r="KB264">
        <v>2</v>
      </c>
      <c r="LA264" s="16">
        <v>0</v>
      </c>
      <c r="LB264" s="16">
        <v>0</v>
      </c>
      <c r="LC264" s="16"/>
      <c r="LD264" s="16"/>
      <c r="LE264" s="16"/>
      <c r="LF264" s="16"/>
      <c r="LG264" s="16"/>
      <c r="LH264" s="16"/>
      <c r="LI264" s="16"/>
      <c r="LJ264" s="16"/>
      <c r="LK264" s="16"/>
      <c r="LL264" s="16">
        <v>2.7</v>
      </c>
      <c r="LM264" s="16">
        <v>0.9</v>
      </c>
      <c r="LN264" s="16"/>
      <c r="LO264" s="16"/>
      <c r="LP264" s="16">
        <v>0</v>
      </c>
      <c r="LQ264" s="16">
        <v>0</v>
      </c>
      <c r="LR264" s="16">
        <v>0</v>
      </c>
      <c r="LS264">
        <v>0</v>
      </c>
      <c r="LT264" t="s">
        <v>796</v>
      </c>
      <c r="LU264">
        <v>50.5</v>
      </c>
      <c r="LV264" s="16">
        <v>78.7</v>
      </c>
      <c r="LW264" s="16">
        <v>83.4</v>
      </c>
      <c r="LX264" s="16">
        <v>45.1</v>
      </c>
      <c r="LY264">
        <v>50.98</v>
      </c>
      <c r="LZ264">
        <v>1.99</v>
      </c>
      <c r="MA264">
        <v>41.43</v>
      </c>
      <c r="MB264">
        <v>0</v>
      </c>
      <c r="MC264">
        <v>1.81</v>
      </c>
      <c r="MD264">
        <v>0</v>
      </c>
      <c r="ME264">
        <v>3.78</v>
      </c>
      <c r="MF264">
        <v>0</v>
      </c>
      <c r="MG264">
        <v>3.02</v>
      </c>
      <c r="MH264">
        <v>0</v>
      </c>
      <c r="MI264">
        <v>0</v>
      </c>
      <c r="MJ264">
        <v>1.81</v>
      </c>
      <c r="MK264">
        <v>12.52</v>
      </c>
      <c r="ML264">
        <v>41.44</v>
      </c>
      <c r="MM264">
        <v>3.05</v>
      </c>
      <c r="MN264">
        <v>0</v>
      </c>
      <c r="MO264">
        <v>0</v>
      </c>
      <c r="MP264">
        <v>0</v>
      </c>
      <c r="NC264">
        <v>3</v>
      </c>
      <c r="ND264">
        <v>0</v>
      </c>
      <c r="NO264" s="18"/>
      <c r="OG264">
        <v>1</v>
      </c>
      <c r="OH264">
        <v>60</v>
      </c>
      <c r="OI264">
        <v>4</v>
      </c>
      <c r="OJ264">
        <f t="shared" si="113"/>
        <v>2.94</v>
      </c>
      <c r="OK264">
        <v>2</v>
      </c>
      <c r="OL264">
        <v>50</v>
      </c>
      <c r="OM264">
        <v>9</v>
      </c>
      <c r="ON264">
        <f t="shared" si="114"/>
        <v>1.02</v>
      </c>
      <c r="OO264">
        <v>2</v>
      </c>
      <c r="OP264">
        <v>70</v>
      </c>
      <c r="OQ264">
        <v>4</v>
      </c>
      <c r="OR264">
        <v>0.4</v>
      </c>
      <c r="OS264">
        <v>2</v>
      </c>
      <c r="PR264" s="16">
        <v>0</v>
      </c>
      <c r="PS264" s="16">
        <v>0</v>
      </c>
      <c r="PT264" s="16"/>
      <c r="PU264" s="16"/>
      <c r="PV264" s="16"/>
      <c r="PW264" s="16"/>
      <c r="PX264" s="16"/>
      <c r="PY264" s="16"/>
      <c r="PZ264" s="16"/>
      <c r="QA264" s="16"/>
      <c r="QB264" s="16"/>
      <c r="QC264" s="16">
        <v>2.14</v>
      </c>
      <c r="QD264" s="16">
        <v>2.14</v>
      </c>
      <c r="QE264" s="16"/>
      <c r="QF264" s="16"/>
      <c r="QG264" s="16">
        <v>0</v>
      </c>
      <c r="QH264" s="16">
        <v>0</v>
      </c>
      <c r="QI264" s="16">
        <v>0</v>
      </c>
      <c r="QJ264">
        <v>0</v>
      </c>
      <c r="QK264" t="s">
        <v>798</v>
      </c>
      <c r="QL264">
        <v>47.5</v>
      </c>
      <c r="QM264" s="16">
        <v>97.8</v>
      </c>
      <c r="QN264" s="16">
        <v>83.4</v>
      </c>
      <c r="QO264" s="16">
        <v>26.3</v>
      </c>
      <c r="QP264">
        <v>54.22</v>
      </c>
      <c r="QQ264">
        <v>0</v>
      </c>
      <c r="QR264">
        <v>0</v>
      </c>
      <c r="QS264">
        <v>0</v>
      </c>
      <c r="QT264">
        <v>32.130000000000003</v>
      </c>
      <c r="QU264">
        <v>0</v>
      </c>
      <c r="QV264">
        <v>13.65</v>
      </c>
      <c r="QW264">
        <v>0</v>
      </c>
      <c r="QX264">
        <v>0</v>
      </c>
      <c r="QY264">
        <v>0</v>
      </c>
      <c r="QZ264">
        <v>0</v>
      </c>
      <c r="RA264">
        <v>25.5</v>
      </c>
      <c r="RB264">
        <v>61.05</v>
      </c>
      <c r="RC264">
        <v>6.61</v>
      </c>
      <c r="RD264">
        <v>3.67</v>
      </c>
      <c r="RE264">
        <v>0</v>
      </c>
      <c r="RF264">
        <v>10.5</v>
      </c>
      <c r="RG264">
        <v>1</v>
      </c>
      <c r="RH264">
        <v>3</v>
      </c>
      <c r="RJ264">
        <v>1</v>
      </c>
      <c r="RT264">
        <v>7.1</v>
      </c>
      <c r="RU264">
        <v>0</v>
      </c>
      <c r="SF264" s="18"/>
      <c r="SX264">
        <v>1</v>
      </c>
      <c r="SY264">
        <v>60</v>
      </c>
      <c r="SZ264">
        <v>10</v>
      </c>
      <c r="TA264">
        <f>3.67*2</f>
        <v>7.34</v>
      </c>
      <c r="TB264">
        <v>3</v>
      </c>
      <c r="UI264" s="16">
        <v>3.22</v>
      </c>
      <c r="UJ264" s="16">
        <v>1</v>
      </c>
      <c r="UK264" s="16">
        <v>1</v>
      </c>
      <c r="UL264" s="16"/>
      <c r="UM264" s="16">
        <f>1.65*3+4.08+0.54+0.52</f>
        <v>10.09</v>
      </c>
      <c r="UN264" s="16"/>
      <c r="UO264" s="16"/>
      <c r="UP264" s="16"/>
      <c r="UQ264" s="16"/>
      <c r="UR264" s="16"/>
      <c r="US264" s="16"/>
      <c r="UT264" s="16">
        <v>0</v>
      </c>
      <c r="UU264" s="16">
        <v>0</v>
      </c>
      <c r="UV264" s="16"/>
      <c r="UW264" s="16"/>
      <c r="UX264" s="16">
        <v>0</v>
      </c>
      <c r="UY264" s="16">
        <v>0</v>
      </c>
      <c r="UZ264" s="16">
        <v>0</v>
      </c>
      <c r="VA264">
        <v>0</v>
      </c>
      <c r="VB264" t="s">
        <v>799</v>
      </c>
      <c r="VC264">
        <v>44</v>
      </c>
      <c r="VD264" s="16">
        <v>88.5</v>
      </c>
      <c r="VE264" s="16">
        <v>83.4</v>
      </c>
      <c r="VF264" s="16">
        <v>21.4</v>
      </c>
      <c r="VG264">
        <v>59.53</v>
      </c>
      <c r="VH264">
        <v>0</v>
      </c>
      <c r="VI264">
        <v>0</v>
      </c>
      <c r="VJ264">
        <v>0</v>
      </c>
      <c r="VK264">
        <v>27.73</v>
      </c>
      <c r="VL264">
        <v>0</v>
      </c>
      <c r="VM264">
        <v>12.75</v>
      </c>
      <c r="VN264">
        <v>0</v>
      </c>
      <c r="VO264">
        <v>0</v>
      </c>
      <c r="VP264">
        <v>0</v>
      </c>
      <c r="VQ264">
        <v>0</v>
      </c>
      <c r="VR264">
        <v>18.64</v>
      </c>
      <c r="VS264">
        <v>50.48</v>
      </c>
      <c r="VT264">
        <v>6.61</v>
      </c>
      <c r="VU264">
        <v>3.67</v>
      </c>
      <c r="VV264">
        <v>0</v>
      </c>
      <c r="VW264">
        <v>10.5</v>
      </c>
      <c r="VX264">
        <v>1</v>
      </c>
      <c r="VY264">
        <v>3</v>
      </c>
      <c r="VZ264">
        <v>1</v>
      </c>
      <c r="WK264">
        <v>7.1</v>
      </c>
      <c r="WL264">
        <v>0</v>
      </c>
      <c r="WW264" s="18"/>
      <c r="XO264">
        <v>1</v>
      </c>
      <c r="XP264">
        <v>60</v>
      </c>
      <c r="XQ264">
        <v>10</v>
      </c>
      <c r="XR264">
        <f>3.67*2</f>
        <v>7.34</v>
      </c>
      <c r="XS264">
        <v>4</v>
      </c>
      <c r="YZ264" s="16">
        <v>2.37</v>
      </c>
      <c r="ZA264" s="16">
        <v>1</v>
      </c>
      <c r="ZB264" s="16">
        <v>1</v>
      </c>
      <c r="ZC264" s="16"/>
      <c r="ZD264" s="16">
        <f>1.65+4.08+0.54+3.77</f>
        <v>10.040000000000001</v>
      </c>
      <c r="ZE264" s="16"/>
      <c r="ZF264" s="16"/>
      <c r="ZG264" s="16"/>
      <c r="ZH264" s="16"/>
      <c r="ZI264" s="16"/>
      <c r="ZJ264" s="16"/>
      <c r="ZK264" s="16">
        <v>0.25</v>
      </c>
      <c r="ZL264" s="16">
        <v>0.25</v>
      </c>
      <c r="ZM264" s="16"/>
      <c r="ZN264" s="16"/>
      <c r="ZO264" s="16">
        <v>0</v>
      </c>
      <c r="ZP264" s="16">
        <v>0</v>
      </c>
      <c r="ZQ264" s="16">
        <v>3</v>
      </c>
      <c r="ZR264">
        <v>0</v>
      </c>
      <c r="ZS264" t="s">
        <v>800</v>
      </c>
      <c r="ZT264">
        <v>27.5</v>
      </c>
      <c r="ZU264" s="16">
        <v>44</v>
      </c>
      <c r="ZV264" s="16">
        <v>83.4</v>
      </c>
      <c r="ZW264" s="16">
        <v>26.1</v>
      </c>
      <c r="ZX264">
        <v>15.93</v>
      </c>
      <c r="ZY264">
        <v>0</v>
      </c>
      <c r="ZZ264">
        <v>0</v>
      </c>
      <c r="AAA264">
        <v>1.1000000000000001</v>
      </c>
      <c r="AAB264">
        <v>2.91</v>
      </c>
      <c r="AAC264">
        <v>0</v>
      </c>
      <c r="AAD264">
        <v>79.319999999999993</v>
      </c>
      <c r="AAE264">
        <v>5.87</v>
      </c>
      <c r="AAF264">
        <v>17.05</v>
      </c>
      <c r="AAG264">
        <v>0</v>
      </c>
      <c r="AAH264">
        <v>0</v>
      </c>
      <c r="AAI264">
        <v>4.43</v>
      </c>
      <c r="AAJ264">
        <v>3.08</v>
      </c>
      <c r="AAK264">
        <v>0.78</v>
      </c>
      <c r="AAL264">
        <v>0.73</v>
      </c>
      <c r="AAM264">
        <v>0</v>
      </c>
      <c r="AAN264">
        <v>0</v>
      </c>
      <c r="AAO264">
        <v>0</v>
      </c>
      <c r="ABB264">
        <v>0</v>
      </c>
      <c r="ABC264">
        <v>0</v>
      </c>
      <c r="ABN264" s="18"/>
      <c r="ACF264">
        <v>1</v>
      </c>
      <c r="ACG264">
        <v>50</v>
      </c>
      <c r="ACH264">
        <v>1</v>
      </c>
      <c r="ACI264">
        <v>0.73</v>
      </c>
      <c r="ACJ264">
        <v>3</v>
      </c>
      <c r="ADQ264" s="16">
        <v>0.28999999999999998</v>
      </c>
      <c r="ADR264" s="16">
        <v>1</v>
      </c>
      <c r="ADS264" s="16">
        <v>1</v>
      </c>
      <c r="ADT264" s="16"/>
      <c r="ADU264" s="16">
        <f>0.08*8+0.2*4</f>
        <v>1.44</v>
      </c>
      <c r="ADV264" s="16"/>
      <c r="ADW264" s="16"/>
      <c r="ADX264" s="16"/>
      <c r="ADY264" s="16"/>
      <c r="ADZ264" s="16"/>
      <c r="AEA264" s="16"/>
      <c r="AEB264" s="16">
        <v>0.79</v>
      </c>
      <c r="AEC264" s="16">
        <v>0.8</v>
      </c>
      <c r="AED264" s="16"/>
      <c r="AEE264" s="16"/>
      <c r="AEF264" s="16">
        <v>0</v>
      </c>
      <c r="AEG264" s="16">
        <v>0</v>
      </c>
      <c r="AEH264" s="16">
        <v>0</v>
      </c>
      <c r="AEI264">
        <v>0</v>
      </c>
      <c r="AEJ264" t="s">
        <v>322</v>
      </c>
      <c r="AEK264">
        <v>29</v>
      </c>
      <c r="AEL264" s="16">
        <v>79.099999999999994</v>
      </c>
      <c r="AEM264" s="16">
        <v>83.4</v>
      </c>
      <c r="AEN264" s="16">
        <v>18.7</v>
      </c>
      <c r="AEO264">
        <v>83.49</v>
      </c>
      <c r="AEP264">
        <v>0</v>
      </c>
      <c r="AEQ264">
        <v>16.510000000000002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45.32</v>
      </c>
      <c r="AFB264">
        <v>18.71</v>
      </c>
      <c r="AFC264">
        <v>0</v>
      </c>
      <c r="AFD264">
        <v>0</v>
      </c>
      <c r="AFE264">
        <v>0</v>
      </c>
      <c r="AFF264">
        <v>0</v>
      </c>
      <c r="AFS264">
        <v>0</v>
      </c>
      <c r="AFT264">
        <v>0</v>
      </c>
      <c r="AGE264" s="18"/>
      <c r="AGW264">
        <v>0</v>
      </c>
      <c r="AIH264" s="16">
        <v>4.45</v>
      </c>
      <c r="AII264" s="16">
        <v>1</v>
      </c>
      <c r="AIJ264" s="16">
        <v>1</v>
      </c>
      <c r="AIK264" s="16"/>
      <c r="AIL264" s="16">
        <f>5.14*2</f>
        <v>10.28</v>
      </c>
      <c r="AIM264" s="16"/>
      <c r="AIN264" s="16"/>
      <c r="AIO264" s="16"/>
      <c r="AIP264" s="16"/>
      <c r="AIQ264" s="16"/>
      <c r="AIR264" s="16"/>
      <c r="AIS264" s="16">
        <v>5.55</v>
      </c>
      <c r="AIT264" s="16">
        <v>10.28</v>
      </c>
      <c r="AIU264" s="16"/>
      <c r="AIV264" s="16"/>
      <c r="AIW264" s="16">
        <v>0</v>
      </c>
      <c r="AIX264" s="16">
        <v>0</v>
      </c>
      <c r="AIY264" s="16">
        <v>0</v>
      </c>
      <c r="AIZ264">
        <v>0</v>
      </c>
      <c r="AJA264" t="s">
        <v>803</v>
      </c>
      <c r="AJB264">
        <v>80.5</v>
      </c>
      <c r="AJC264" s="16">
        <v>87.5</v>
      </c>
      <c r="AJD264" s="16">
        <v>83.4</v>
      </c>
      <c r="AJE264" s="16">
        <v>15.6</v>
      </c>
      <c r="AJF264">
        <v>91.61</v>
      </c>
      <c r="AJG264">
        <v>0</v>
      </c>
      <c r="AJH264">
        <v>8.39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23.31</v>
      </c>
      <c r="AJR264">
        <v>21.38</v>
      </c>
      <c r="AJS264">
        <v>38.29</v>
      </c>
      <c r="AJT264">
        <v>0</v>
      </c>
      <c r="AJU264">
        <v>0</v>
      </c>
      <c r="AJV264">
        <v>30.3</v>
      </c>
      <c r="AJW264">
        <v>1</v>
      </c>
      <c r="AJX264">
        <v>21.68</v>
      </c>
      <c r="AJZ264">
        <v>2</v>
      </c>
      <c r="AKJ264">
        <v>28.2</v>
      </c>
      <c r="AKK264">
        <v>0</v>
      </c>
      <c r="AKV264" s="18"/>
      <c r="ALN264">
        <v>1</v>
      </c>
      <c r="ALO264">
        <v>50</v>
      </c>
      <c r="ALP264">
        <f>5+8+1+5+8</f>
        <v>27</v>
      </c>
      <c r="ALQ264">
        <f>3.67+2.94*2+0.73+0.65+0.52*2</f>
        <v>11.970000000000002</v>
      </c>
      <c r="ALR264">
        <v>3</v>
      </c>
      <c r="ALS264">
        <v>60</v>
      </c>
      <c r="ALT264">
        <v>4</v>
      </c>
      <c r="ALU264">
        <v>2.94</v>
      </c>
      <c r="ALV264">
        <v>3</v>
      </c>
    </row>
    <row r="265" spans="1:1024" x14ac:dyDescent="0.2">
      <c r="A265" s="1" t="s">
        <v>804</v>
      </c>
      <c r="B265" s="12">
        <v>42909</v>
      </c>
      <c r="C265">
        <v>2</v>
      </c>
      <c r="D265" s="13">
        <v>35559</v>
      </c>
      <c r="E265" s="12">
        <v>26385</v>
      </c>
      <c r="F265" s="14">
        <f t="shared" si="106"/>
        <v>45.24024640657084</v>
      </c>
      <c r="G265" s="14">
        <f t="shared" si="107"/>
        <v>20.123203285420946</v>
      </c>
      <c r="H265" s="19" t="s">
        <v>306</v>
      </c>
      <c r="I265" s="15" t="s">
        <v>793</v>
      </c>
      <c r="J265" s="15" t="s">
        <v>183</v>
      </c>
      <c r="K265" s="15">
        <v>8</v>
      </c>
      <c r="L265" s="19">
        <v>80</v>
      </c>
      <c r="M265">
        <v>1.72</v>
      </c>
      <c r="N265" s="16">
        <f t="shared" si="108"/>
        <v>27.041644131963228</v>
      </c>
      <c r="O265" s="19">
        <v>0</v>
      </c>
      <c r="P265" s="19">
        <v>0</v>
      </c>
      <c r="Q265" s="19">
        <v>0</v>
      </c>
      <c r="R265" s="26">
        <v>0</v>
      </c>
      <c r="S265" s="26">
        <v>0</v>
      </c>
      <c r="T265" s="26">
        <v>0</v>
      </c>
      <c r="U265" s="19">
        <v>1</v>
      </c>
      <c r="V265" s="19">
        <v>6</v>
      </c>
      <c r="W265" s="19">
        <v>0</v>
      </c>
      <c r="X265" s="19">
        <v>1</v>
      </c>
      <c r="Y265" s="19">
        <v>0</v>
      </c>
      <c r="Z265" s="19">
        <v>0</v>
      </c>
      <c r="AA265" s="19">
        <v>0</v>
      </c>
      <c r="AB265" s="19">
        <v>0</v>
      </c>
      <c r="AC265" s="19">
        <v>1</v>
      </c>
      <c r="AD265" s="19">
        <v>40</v>
      </c>
      <c r="AE265" s="19">
        <v>0</v>
      </c>
      <c r="AF265" s="19">
        <v>0</v>
      </c>
      <c r="AG265" s="19">
        <v>0</v>
      </c>
      <c r="AH265" s="19">
        <v>0</v>
      </c>
      <c r="AI265" s="19">
        <v>1</v>
      </c>
      <c r="AJ265" s="19">
        <v>1</v>
      </c>
      <c r="AK265" s="19">
        <v>1</v>
      </c>
      <c r="AL265" s="19">
        <v>6</v>
      </c>
      <c r="AM265" s="19">
        <v>0</v>
      </c>
      <c r="AN265" s="19">
        <v>0</v>
      </c>
      <c r="AO265" s="19">
        <v>0</v>
      </c>
      <c r="AP265" s="19">
        <v>0</v>
      </c>
      <c r="AQ265" s="19">
        <v>0</v>
      </c>
      <c r="AR265" s="19">
        <v>0</v>
      </c>
      <c r="AS265" s="19">
        <v>0</v>
      </c>
      <c r="AT265" s="19">
        <v>0</v>
      </c>
      <c r="AU265" s="19">
        <v>0</v>
      </c>
      <c r="AV265" s="19">
        <v>0</v>
      </c>
      <c r="AW265" s="19">
        <v>0</v>
      </c>
      <c r="AX265" s="19">
        <v>0</v>
      </c>
      <c r="AY265" s="19">
        <v>0</v>
      </c>
      <c r="AZ265" s="19">
        <v>0</v>
      </c>
      <c r="BA265" s="19">
        <v>0</v>
      </c>
      <c r="BB265" s="19">
        <v>0</v>
      </c>
      <c r="BC265" s="19">
        <v>0</v>
      </c>
      <c r="BD265" s="19">
        <v>0</v>
      </c>
      <c r="BE265" s="19">
        <v>0</v>
      </c>
      <c r="BF265" s="19">
        <v>0</v>
      </c>
      <c r="BG265" s="19">
        <v>0</v>
      </c>
      <c r="BH265" s="19">
        <v>0</v>
      </c>
      <c r="BI265" s="19">
        <v>0</v>
      </c>
      <c r="BJ265" s="19">
        <v>1</v>
      </c>
      <c r="BK265" s="19">
        <v>1</v>
      </c>
      <c r="BL265" s="19">
        <v>1</v>
      </c>
      <c r="BM265" s="19">
        <v>9</v>
      </c>
      <c r="BN265" s="19">
        <v>0</v>
      </c>
      <c r="BO265" s="19">
        <v>0</v>
      </c>
      <c r="BP265" s="19">
        <v>0</v>
      </c>
      <c r="BQ265" s="19">
        <v>0</v>
      </c>
      <c r="BR265" s="19">
        <v>3</v>
      </c>
      <c r="BS265" s="19">
        <v>2</v>
      </c>
      <c r="BT265" s="19">
        <v>3</v>
      </c>
      <c r="BU265" s="19">
        <v>5</v>
      </c>
      <c r="BV265" s="19">
        <v>1</v>
      </c>
      <c r="BW265" s="19">
        <v>1</v>
      </c>
      <c r="BX265" s="19">
        <v>3</v>
      </c>
      <c r="BY265" s="19">
        <v>3</v>
      </c>
      <c r="BZ265" s="19">
        <v>4</v>
      </c>
      <c r="CA265" s="19">
        <v>4</v>
      </c>
      <c r="CB265" s="19">
        <v>5</v>
      </c>
      <c r="CC265" s="19">
        <v>5</v>
      </c>
      <c r="CD265" s="19">
        <v>3</v>
      </c>
      <c r="CE265" s="19">
        <v>4</v>
      </c>
      <c r="CF265" s="19">
        <v>4</v>
      </c>
      <c r="CG265" s="19">
        <v>4</v>
      </c>
      <c r="CH265" s="19">
        <v>3</v>
      </c>
      <c r="CI265" s="19">
        <v>3</v>
      </c>
      <c r="CJ265" s="19">
        <v>3</v>
      </c>
      <c r="CK265" s="19">
        <v>5</v>
      </c>
      <c r="CL265" t="s">
        <v>794</v>
      </c>
      <c r="CM265">
        <v>41.5</v>
      </c>
      <c r="CN265" s="16">
        <v>70</v>
      </c>
      <c r="CO265" s="16">
        <v>83.4</v>
      </c>
      <c r="CP265" s="16">
        <v>33.4</v>
      </c>
      <c r="CQ265">
        <v>67.05</v>
      </c>
      <c r="CR265">
        <v>0</v>
      </c>
      <c r="CS265">
        <v>5.87</v>
      </c>
      <c r="CT265">
        <v>12.48</v>
      </c>
      <c r="CU265">
        <v>14.6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18.75</v>
      </c>
      <c r="DD265">
        <v>14.73</v>
      </c>
      <c r="DE265">
        <v>5.87</v>
      </c>
      <c r="DF265">
        <v>0</v>
      </c>
      <c r="DG265">
        <v>0</v>
      </c>
      <c r="DH265">
        <v>0</v>
      </c>
      <c r="DU265">
        <v>0</v>
      </c>
      <c r="DV265">
        <v>1</v>
      </c>
      <c r="DW265">
        <v>23</v>
      </c>
      <c r="DX265">
        <v>3</v>
      </c>
      <c r="DY265">
        <f t="shared" si="109"/>
        <v>2.2000000000000002</v>
      </c>
      <c r="DZ265">
        <v>3</v>
      </c>
      <c r="EG265" s="18"/>
      <c r="EY265">
        <v>1</v>
      </c>
      <c r="EZ265">
        <v>30</v>
      </c>
      <c r="FA265">
        <v>2</v>
      </c>
      <c r="FB265">
        <v>2.94</v>
      </c>
      <c r="FC265">
        <v>3</v>
      </c>
      <c r="GJ265" s="16">
        <v>1.6</v>
      </c>
      <c r="GK265" s="16">
        <v>1</v>
      </c>
      <c r="GL265" s="16">
        <v>1</v>
      </c>
      <c r="GM265" s="16"/>
      <c r="GN265" s="16">
        <f t="shared" si="110"/>
        <v>8.0400000000000009</v>
      </c>
      <c r="GO265" s="16"/>
      <c r="GP265" s="16"/>
      <c r="GQ265" s="16"/>
      <c r="GR265" s="16"/>
      <c r="GS265" s="16"/>
      <c r="GT265" s="16"/>
      <c r="GU265" s="16">
        <v>6.47</v>
      </c>
      <c r="GV265" s="16">
        <v>6.24</v>
      </c>
      <c r="GW265" s="16"/>
      <c r="GX265" s="16"/>
      <c r="GY265" s="16">
        <v>0</v>
      </c>
      <c r="GZ265" s="16">
        <v>0</v>
      </c>
      <c r="HA265" s="16">
        <v>0</v>
      </c>
      <c r="HB265">
        <v>0</v>
      </c>
      <c r="HC265" t="s">
        <v>795</v>
      </c>
      <c r="HD265">
        <v>58</v>
      </c>
      <c r="HE265" s="16">
        <v>94.2</v>
      </c>
      <c r="HF265" s="16">
        <v>83.4</v>
      </c>
      <c r="HG265" s="16">
        <v>45.8</v>
      </c>
      <c r="HH265">
        <v>51.88</v>
      </c>
      <c r="HI265">
        <v>0</v>
      </c>
      <c r="HJ265">
        <v>42.28</v>
      </c>
      <c r="HK265">
        <v>0</v>
      </c>
      <c r="HL265">
        <v>1.81</v>
      </c>
      <c r="HM265">
        <v>0</v>
      </c>
      <c r="HN265">
        <v>4.03</v>
      </c>
      <c r="HO265">
        <v>0</v>
      </c>
      <c r="HP265">
        <v>3.02</v>
      </c>
      <c r="HQ265">
        <v>0</v>
      </c>
      <c r="HR265">
        <v>0</v>
      </c>
      <c r="HS265">
        <v>2.06</v>
      </c>
      <c r="HT265">
        <v>7.41</v>
      </c>
      <c r="HU265">
        <v>41.45</v>
      </c>
      <c r="HV265">
        <v>4.5</v>
      </c>
      <c r="HW265">
        <v>0</v>
      </c>
      <c r="HX265">
        <v>5.3</v>
      </c>
      <c r="HY265">
        <v>1</v>
      </c>
      <c r="HZ265">
        <v>5</v>
      </c>
      <c r="IB265">
        <v>1</v>
      </c>
      <c r="IL265">
        <v>3.9</v>
      </c>
      <c r="IM265">
        <v>0</v>
      </c>
      <c r="IX265" s="18"/>
      <c r="JP265">
        <v>1</v>
      </c>
      <c r="JQ265">
        <v>60</v>
      </c>
      <c r="JR265">
        <v>4</v>
      </c>
      <c r="JS265">
        <f t="shared" si="111"/>
        <v>2.94</v>
      </c>
      <c r="JT265">
        <v>2</v>
      </c>
      <c r="JU265">
        <v>50</v>
      </c>
      <c r="JV265">
        <v>9</v>
      </c>
      <c r="JW265">
        <f t="shared" si="112"/>
        <v>1.02</v>
      </c>
      <c r="JX265">
        <v>2</v>
      </c>
      <c r="JY265">
        <v>70</v>
      </c>
      <c r="JZ265">
        <v>4</v>
      </c>
      <c r="KA265">
        <v>0.4</v>
      </c>
      <c r="KB265">
        <v>2</v>
      </c>
      <c r="LA265" s="16">
        <v>0</v>
      </c>
      <c r="LB265" s="16">
        <v>0</v>
      </c>
      <c r="LC265" s="16"/>
      <c r="LD265" s="16"/>
      <c r="LE265" s="16"/>
      <c r="LF265" s="16"/>
      <c r="LG265" s="16"/>
      <c r="LH265" s="16"/>
      <c r="LI265" s="16"/>
      <c r="LJ265" s="16"/>
      <c r="LK265" s="16"/>
      <c r="LL265" s="16">
        <v>2.7</v>
      </c>
      <c r="LM265" s="16">
        <v>0.9</v>
      </c>
      <c r="LN265" s="16"/>
      <c r="LO265" s="16"/>
      <c r="LP265" s="16">
        <v>0</v>
      </c>
      <c r="LQ265" s="16">
        <v>0</v>
      </c>
      <c r="LR265" s="16">
        <v>0</v>
      </c>
      <c r="LS265">
        <v>0</v>
      </c>
      <c r="LT265" t="s">
        <v>796</v>
      </c>
      <c r="LU265">
        <v>50.5</v>
      </c>
      <c r="LV265" s="16">
        <v>78.7</v>
      </c>
      <c r="LW265" s="16">
        <v>83.4</v>
      </c>
      <c r="LX265" s="16">
        <v>45.1</v>
      </c>
      <c r="LY265">
        <v>50.98</v>
      </c>
      <c r="LZ265">
        <v>1.99</v>
      </c>
      <c r="MA265">
        <v>41.43</v>
      </c>
      <c r="MB265">
        <v>0</v>
      </c>
      <c r="MC265">
        <v>1.81</v>
      </c>
      <c r="MD265">
        <v>0</v>
      </c>
      <c r="ME265">
        <v>3.78</v>
      </c>
      <c r="MF265">
        <v>0</v>
      </c>
      <c r="MG265">
        <v>3.02</v>
      </c>
      <c r="MH265">
        <v>0</v>
      </c>
      <c r="MI265">
        <v>0</v>
      </c>
      <c r="MJ265">
        <v>1.81</v>
      </c>
      <c r="MK265">
        <v>12.52</v>
      </c>
      <c r="ML265">
        <v>41.44</v>
      </c>
      <c r="MM265">
        <v>3.05</v>
      </c>
      <c r="MN265">
        <v>0</v>
      </c>
      <c r="MO265">
        <v>0</v>
      </c>
      <c r="MP265">
        <v>0</v>
      </c>
      <c r="NC265">
        <v>3</v>
      </c>
      <c r="ND265">
        <v>0</v>
      </c>
      <c r="NO265" s="18"/>
      <c r="OG265">
        <v>1</v>
      </c>
      <c r="OH265">
        <v>60</v>
      </c>
      <c r="OI265">
        <v>4</v>
      </c>
      <c r="OJ265">
        <f t="shared" si="113"/>
        <v>2.94</v>
      </c>
      <c r="OK265">
        <v>2</v>
      </c>
      <c r="OL265">
        <v>50</v>
      </c>
      <c r="OM265">
        <v>9</v>
      </c>
      <c r="ON265">
        <f t="shared" si="114"/>
        <v>1.02</v>
      </c>
      <c r="OO265">
        <v>2</v>
      </c>
      <c r="OP265">
        <v>70</v>
      </c>
      <c r="OQ265">
        <v>4</v>
      </c>
      <c r="OR265">
        <v>0.4</v>
      </c>
      <c r="OS265">
        <v>2</v>
      </c>
      <c r="PR265" s="16">
        <v>0</v>
      </c>
      <c r="PS265" s="16">
        <v>0</v>
      </c>
      <c r="PT265" s="16"/>
      <c r="PU265" s="16"/>
      <c r="PV265" s="16"/>
      <c r="PW265" s="16"/>
      <c r="PX265" s="16"/>
      <c r="PY265" s="16"/>
      <c r="PZ265" s="16"/>
      <c r="QA265" s="16"/>
      <c r="QB265" s="16"/>
      <c r="QC265" s="16">
        <v>2.14</v>
      </c>
      <c r="QD265" s="16">
        <v>2.14</v>
      </c>
      <c r="QE265" s="16"/>
      <c r="QF265" s="16"/>
      <c r="QG265" s="16">
        <v>0</v>
      </c>
      <c r="QH265" s="16">
        <v>0</v>
      </c>
      <c r="QI265" s="16">
        <v>0</v>
      </c>
      <c r="QJ265">
        <v>0</v>
      </c>
      <c r="QK265" t="s">
        <v>797</v>
      </c>
      <c r="QL265">
        <v>52.5</v>
      </c>
      <c r="QM265" s="16">
        <v>84.4</v>
      </c>
      <c r="QN265" s="16">
        <v>83.4</v>
      </c>
      <c r="QO265" s="16">
        <v>45.2</v>
      </c>
      <c r="QP265">
        <v>36.520000000000003</v>
      </c>
      <c r="QQ265">
        <v>0</v>
      </c>
      <c r="QR265">
        <v>24.46</v>
      </c>
      <c r="QS265">
        <v>5.81</v>
      </c>
      <c r="QT265">
        <v>9.5399999999999991</v>
      </c>
      <c r="QU265">
        <v>0</v>
      </c>
      <c r="QV265">
        <v>22.12</v>
      </c>
      <c r="QW265">
        <v>2.71</v>
      </c>
      <c r="QX265">
        <v>5.34</v>
      </c>
      <c r="QY265">
        <v>3.86</v>
      </c>
      <c r="QZ265">
        <v>0</v>
      </c>
      <c r="RA265">
        <v>0</v>
      </c>
      <c r="RB265">
        <v>4.3</v>
      </c>
      <c r="RC265">
        <v>3.92</v>
      </c>
      <c r="RD265">
        <v>7.14</v>
      </c>
      <c r="RE265">
        <v>0.77</v>
      </c>
      <c r="RF265">
        <v>0</v>
      </c>
      <c r="RG265">
        <v>0</v>
      </c>
      <c r="RT265">
        <v>1.4</v>
      </c>
      <c r="RU265">
        <v>1</v>
      </c>
      <c r="RV265">
        <v>55</v>
      </c>
      <c r="RW265">
        <v>1</v>
      </c>
      <c r="RX265">
        <v>0.77</v>
      </c>
      <c r="RY265">
        <v>2</v>
      </c>
      <c r="RZ265">
        <v>35</v>
      </c>
      <c r="SA265">
        <v>1</v>
      </c>
      <c r="SB265">
        <v>0.13</v>
      </c>
      <c r="SC265">
        <v>3</v>
      </c>
      <c r="SF265" s="18"/>
      <c r="SX265">
        <v>1</v>
      </c>
      <c r="SY265">
        <v>50</v>
      </c>
      <c r="SZ265">
        <v>1</v>
      </c>
      <c r="TA265">
        <v>0.36</v>
      </c>
      <c r="TB265">
        <v>1</v>
      </c>
      <c r="UI265" s="16">
        <v>7.0000000000000007E-2</v>
      </c>
      <c r="UJ265" s="16">
        <v>1</v>
      </c>
      <c r="UK265" s="16">
        <v>1</v>
      </c>
      <c r="UL265" s="16"/>
      <c r="UM265" s="16">
        <f>0.07*2+0.05*3</f>
        <v>0.29000000000000004</v>
      </c>
      <c r="UN265" s="16"/>
      <c r="UO265" s="16"/>
      <c r="UP265" s="16"/>
      <c r="UQ265" s="16"/>
      <c r="UR265" s="16"/>
      <c r="US265" s="16"/>
      <c r="UT265" s="16">
        <v>0.05</v>
      </c>
      <c r="UU265" s="16">
        <v>0.05</v>
      </c>
      <c r="UV265" s="16"/>
      <c r="UW265" s="16"/>
      <c r="UX265" s="16">
        <v>5.76</v>
      </c>
      <c r="UY265" s="16">
        <v>0</v>
      </c>
      <c r="UZ265" s="16">
        <v>0</v>
      </c>
      <c r="VA265">
        <v>1</v>
      </c>
      <c r="VB265" t="s">
        <v>798</v>
      </c>
      <c r="VC265">
        <v>47.5</v>
      </c>
      <c r="VD265" s="16">
        <v>97.8</v>
      </c>
      <c r="VE265" s="16">
        <v>83.4</v>
      </c>
      <c r="VF265" s="16">
        <v>26.3</v>
      </c>
      <c r="VG265">
        <v>54.22</v>
      </c>
      <c r="VH265">
        <v>0</v>
      </c>
      <c r="VI265">
        <v>0</v>
      </c>
      <c r="VJ265">
        <v>0</v>
      </c>
      <c r="VK265">
        <v>32.130000000000003</v>
      </c>
      <c r="VL265">
        <v>0</v>
      </c>
      <c r="VM265">
        <v>13.65</v>
      </c>
      <c r="VN265">
        <v>0</v>
      </c>
      <c r="VO265">
        <v>0</v>
      </c>
      <c r="VP265">
        <v>0</v>
      </c>
      <c r="VQ265">
        <v>0</v>
      </c>
      <c r="VR265">
        <v>25.5</v>
      </c>
      <c r="VS265">
        <v>61.05</v>
      </c>
      <c r="VT265">
        <v>6.61</v>
      </c>
      <c r="VU265">
        <v>3.67</v>
      </c>
      <c r="VV265">
        <v>0</v>
      </c>
      <c r="VW265">
        <v>10.5</v>
      </c>
      <c r="VX265">
        <v>1</v>
      </c>
      <c r="VY265">
        <v>3</v>
      </c>
      <c r="WA265">
        <v>1</v>
      </c>
      <c r="WK265">
        <v>7.1</v>
      </c>
      <c r="WL265">
        <v>0</v>
      </c>
      <c r="WW265" s="18"/>
      <c r="XO265">
        <v>1</v>
      </c>
      <c r="XP265">
        <v>60</v>
      </c>
      <c r="XQ265">
        <v>10</v>
      </c>
      <c r="XR265">
        <f>3.67*2</f>
        <v>7.34</v>
      </c>
      <c r="XS265">
        <v>3</v>
      </c>
      <c r="YZ265" s="16">
        <v>3.22</v>
      </c>
      <c r="ZA265" s="16">
        <v>1</v>
      </c>
      <c r="ZB265" s="16">
        <v>1</v>
      </c>
      <c r="ZC265" s="16"/>
      <c r="ZD265" s="16">
        <f>1.65*3+4.08+0.54+0.52</f>
        <v>10.09</v>
      </c>
      <c r="ZE265" s="16"/>
      <c r="ZF265" s="16"/>
      <c r="ZG265" s="16"/>
      <c r="ZH265" s="16"/>
      <c r="ZI265" s="16"/>
      <c r="ZJ265" s="16"/>
      <c r="ZK265" s="16">
        <v>0</v>
      </c>
      <c r="ZL265" s="16">
        <v>0</v>
      </c>
      <c r="ZM265" s="16"/>
      <c r="ZN265" s="16"/>
      <c r="ZO265" s="16">
        <v>0</v>
      </c>
      <c r="ZP265" s="16">
        <v>0</v>
      </c>
      <c r="ZQ265" s="16">
        <v>0</v>
      </c>
      <c r="ZR265">
        <v>0</v>
      </c>
      <c r="ZS265" t="s">
        <v>799</v>
      </c>
      <c r="ZT265">
        <v>44</v>
      </c>
      <c r="ZU265" s="16">
        <v>88.5</v>
      </c>
      <c r="ZV265" s="16">
        <v>83.4</v>
      </c>
      <c r="ZW265" s="16">
        <v>21.4</v>
      </c>
      <c r="ZX265">
        <v>59.53</v>
      </c>
      <c r="ZY265">
        <v>0</v>
      </c>
      <c r="ZZ265">
        <v>0</v>
      </c>
      <c r="AAA265">
        <v>0</v>
      </c>
      <c r="AAB265">
        <v>27.73</v>
      </c>
      <c r="AAC265">
        <v>0</v>
      </c>
      <c r="AAD265">
        <v>12.75</v>
      </c>
      <c r="AAE265">
        <v>0</v>
      </c>
      <c r="AAF265">
        <v>0</v>
      </c>
      <c r="AAG265">
        <v>0</v>
      </c>
      <c r="AAH265">
        <v>0</v>
      </c>
      <c r="AAI265">
        <v>18.64</v>
      </c>
      <c r="AAJ265">
        <v>50.48</v>
      </c>
      <c r="AAK265">
        <v>6.61</v>
      </c>
      <c r="AAL265">
        <v>3.67</v>
      </c>
      <c r="AAM265">
        <v>0</v>
      </c>
      <c r="AAN265">
        <v>10.5</v>
      </c>
      <c r="AAO265">
        <v>1</v>
      </c>
      <c r="AAP265">
        <v>3</v>
      </c>
      <c r="AAQ265">
        <v>1</v>
      </c>
      <c r="ABB265">
        <v>7.1</v>
      </c>
      <c r="ABC265">
        <v>0</v>
      </c>
      <c r="ABN265" s="18"/>
      <c r="ACF265">
        <v>1</v>
      </c>
      <c r="ACG265">
        <v>60</v>
      </c>
      <c r="ACH265">
        <v>10</v>
      </c>
      <c r="ACI265">
        <f>3.67*2</f>
        <v>7.34</v>
      </c>
      <c r="ACJ265">
        <v>4</v>
      </c>
      <c r="ADQ265" s="16">
        <v>2.37</v>
      </c>
      <c r="ADR265" s="16">
        <v>1</v>
      </c>
      <c r="ADS265" s="16">
        <v>1</v>
      </c>
      <c r="ADT265" s="16"/>
      <c r="ADU265" s="16">
        <f>1.65+4.08+0.54+3.77</f>
        <v>10.040000000000001</v>
      </c>
      <c r="ADV265" s="16"/>
      <c r="ADW265" s="16"/>
      <c r="ADX265" s="16"/>
      <c r="ADY265" s="16"/>
      <c r="ADZ265" s="16"/>
      <c r="AEA265" s="16"/>
      <c r="AEB265" s="16">
        <v>0.25</v>
      </c>
      <c r="AEC265" s="16">
        <v>0.25</v>
      </c>
      <c r="AED265" s="16"/>
      <c r="AEE265" s="16"/>
      <c r="AEF265" s="16">
        <v>0</v>
      </c>
      <c r="AEG265" s="16">
        <v>0</v>
      </c>
      <c r="AEH265" s="16">
        <v>3</v>
      </c>
      <c r="AEI265">
        <v>0</v>
      </c>
      <c r="AEJ265" t="s">
        <v>800</v>
      </c>
      <c r="AEK265">
        <v>27.5</v>
      </c>
      <c r="AEL265" s="16">
        <v>44</v>
      </c>
      <c r="AEM265" s="16">
        <v>83.4</v>
      </c>
      <c r="AEN265" s="16">
        <v>26.1</v>
      </c>
      <c r="AEO265">
        <v>15.93</v>
      </c>
      <c r="AEP265">
        <v>0</v>
      </c>
      <c r="AEQ265">
        <v>0</v>
      </c>
      <c r="AER265">
        <v>1.1000000000000001</v>
      </c>
      <c r="AES265">
        <v>2.91</v>
      </c>
      <c r="AET265">
        <v>0</v>
      </c>
      <c r="AEU265">
        <v>79.319999999999993</v>
      </c>
      <c r="AEV265">
        <v>5.87</v>
      </c>
      <c r="AEW265">
        <v>17.05</v>
      </c>
      <c r="AEX265">
        <v>0</v>
      </c>
      <c r="AEY265">
        <v>0</v>
      </c>
      <c r="AEZ265">
        <v>4.43</v>
      </c>
      <c r="AFA265">
        <v>3.08</v>
      </c>
      <c r="AFB265">
        <v>0.78</v>
      </c>
      <c r="AFC265">
        <v>0.73</v>
      </c>
      <c r="AFD265">
        <v>0</v>
      </c>
      <c r="AFE265">
        <v>0</v>
      </c>
      <c r="AFF265">
        <v>0</v>
      </c>
      <c r="AFS265">
        <v>0</v>
      </c>
      <c r="AFT265">
        <v>0</v>
      </c>
      <c r="AGE265" s="18"/>
      <c r="AGW265">
        <v>1</v>
      </c>
      <c r="AGX265">
        <v>50</v>
      </c>
      <c r="AGY265">
        <v>1</v>
      </c>
      <c r="AGZ265">
        <v>0.73</v>
      </c>
      <c r="AHA265">
        <v>3</v>
      </c>
      <c r="AIH265" s="16">
        <v>0.28999999999999998</v>
      </c>
      <c r="AII265" s="16">
        <v>1</v>
      </c>
      <c r="AIJ265" s="16">
        <v>1</v>
      </c>
      <c r="AIK265" s="16"/>
      <c r="AIL265" s="16">
        <f>0.08*8+0.2*4</f>
        <v>1.44</v>
      </c>
      <c r="AIM265" s="16"/>
      <c r="AIN265" s="16"/>
      <c r="AIO265" s="16"/>
      <c r="AIP265" s="16"/>
      <c r="AIQ265" s="16"/>
      <c r="AIR265" s="16"/>
      <c r="AIS265" s="16">
        <v>0.79</v>
      </c>
      <c r="AIT265" s="16">
        <v>0.8</v>
      </c>
      <c r="AIU265" s="16"/>
      <c r="AIV265" s="16"/>
      <c r="AIW265" s="16">
        <v>0</v>
      </c>
      <c r="AIX265" s="16">
        <v>0</v>
      </c>
      <c r="AIY265" s="16">
        <v>0</v>
      </c>
      <c r="AIZ265">
        <v>0</v>
      </c>
      <c r="AJA265" t="s">
        <v>322</v>
      </c>
      <c r="AJB265">
        <v>29</v>
      </c>
      <c r="AJC265" s="16">
        <v>79.099999999999994</v>
      </c>
      <c r="AJD265" s="16">
        <v>83.4</v>
      </c>
      <c r="AJE265" s="16">
        <v>18.7</v>
      </c>
      <c r="AJF265">
        <v>83.49</v>
      </c>
      <c r="AJG265">
        <v>0</v>
      </c>
      <c r="AJH265">
        <v>16.510000000000002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45.32</v>
      </c>
      <c r="AJS265">
        <v>18.71</v>
      </c>
      <c r="AJT265">
        <v>0</v>
      </c>
      <c r="AJU265">
        <v>0</v>
      </c>
      <c r="AJV265">
        <v>0</v>
      </c>
      <c r="AJW265">
        <v>0</v>
      </c>
      <c r="AKJ265">
        <v>0</v>
      </c>
      <c r="AKK265">
        <v>0</v>
      </c>
      <c r="AKV265" s="18"/>
      <c r="ALN265">
        <v>0</v>
      </c>
    </row>
    <row r="266" spans="1:1024" x14ac:dyDescent="0.2">
      <c r="A266" s="1" t="s">
        <v>805</v>
      </c>
      <c r="B266" s="12">
        <v>42908</v>
      </c>
      <c r="C266">
        <v>2</v>
      </c>
      <c r="D266" s="13">
        <v>42814</v>
      </c>
      <c r="E266" s="12">
        <v>35730</v>
      </c>
      <c r="F266" s="14">
        <f t="shared" si="106"/>
        <v>19.652292950034223</v>
      </c>
      <c r="G266" s="14">
        <f t="shared" si="107"/>
        <v>0.25735797399041754</v>
      </c>
      <c r="H266" s="19" t="s">
        <v>306</v>
      </c>
      <c r="I266" s="15" t="s">
        <v>793</v>
      </c>
      <c r="J266" s="15" t="s">
        <v>183</v>
      </c>
      <c r="K266" s="15">
        <v>8</v>
      </c>
      <c r="L266" s="19">
        <v>90</v>
      </c>
      <c r="M266">
        <v>1.8</v>
      </c>
      <c r="N266" s="16">
        <f t="shared" si="108"/>
        <v>27.777777777777775</v>
      </c>
      <c r="O266" s="19">
        <v>0</v>
      </c>
      <c r="P266" s="19">
        <v>0</v>
      </c>
      <c r="Q266" s="19">
        <v>0</v>
      </c>
      <c r="R266" s="26">
        <v>0</v>
      </c>
      <c r="S266" s="26">
        <v>0</v>
      </c>
      <c r="T266" s="26">
        <v>0</v>
      </c>
      <c r="U266" s="19">
        <v>0</v>
      </c>
      <c r="V266" s="19">
        <v>0</v>
      </c>
      <c r="W266" s="19">
        <v>1</v>
      </c>
      <c r="X266" s="19">
        <v>0</v>
      </c>
      <c r="Y266" s="19">
        <v>0</v>
      </c>
      <c r="Z266" s="19">
        <v>0</v>
      </c>
      <c r="AA266" s="19">
        <v>0</v>
      </c>
      <c r="AB266" s="19">
        <v>0</v>
      </c>
      <c r="AC266" s="19">
        <v>0</v>
      </c>
      <c r="AD266" s="19">
        <v>0</v>
      </c>
      <c r="AE266" s="19">
        <v>0</v>
      </c>
      <c r="AF266" s="19">
        <v>0</v>
      </c>
      <c r="AG266" s="19">
        <v>0</v>
      </c>
      <c r="AH266" s="19">
        <v>0</v>
      </c>
      <c r="AI266" s="19">
        <v>0</v>
      </c>
      <c r="AJ266" s="19">
        <v>0</v>
      </c>
      <c r="AK266" s="19">
        <v>0</v>
      </c>
      <c r="AL266" s="19">
        <v>0</v>
      </c>
      <c r="AM266" s="19">
        <v>0</v>
      </c>
      <c r="AN266" s="19">
        <v>0</v>
      </c>
      <c r="AO266" s="19">
        <v>0</v>
      </c>
      <c r="AP266" s="19">
        <v>0</v>
      </c>
      <c r="AQ266" s="19">
        <v>0</v>
      </c>
      <c r="AR266" s="19">
        <v>0</v>
      </c>
      <c r="AS266" s="19">
        <v>0</v>
      </c>
      <c r="AT266" s="19">
        <v>0</v>
      </c>
      <c r="AU266" s="19">
        <v>0</v>
      </c>
      <c r="AV266" s="19">
        <v>0</v>
      </c>
      <c r="AW266" s="19">
        <v>0</v>
      </c>
      <c r="AX266" s="19">
        <v>0</v>
      </c>
      <c r="AY266" s="19">
        <v>0</v>
      </c>
      <c r="AZ266" s="19">
        <v>0</v>
      </c>
      <c r="BA266" s="19">
        <v>0</v>
      </c>
      <c r="BB266" s="19">
        <v>0</v>
      </c>
      <c r="BC266" s="19">
        <v>0</v>
      </c>
      <c r="BD266" s="19">
        <v>0</v>
      </c>
      <c r="BE266" s="19">
        <v>0</v>
      </c>
      <c r="BF266" s="19">
        <v>0</v>
      </c>
      <c r="BG266" s="19">
        <v>0</v>
      </c>
      <c r="BH266" s="19">
        <v>0</v>
      </c>
      <c r="BI266" s="19">
        <v>0</v>
      </c>
      <c r="BJ266" s="19">
        <v>0</v>
      </c>
      <c r="BK266" s="19">
        <v>0</v>
      </c>
      <c r="BL266" s="19">
        <v>0</v>
      </c>
      <c r="BM266" s="19">
        <v>0</v>
      </c>
      <c r="BN266" s="19">
        <v>0</v>
      </c>
      <c r="BO266" s="19">
        <v>0</v>
      </c>
      <c r="BP266" s="19">
        <v>0</v>
      </c>
      <c r="BQ266" s="19">
        <v>0</v>
      </c>
      <c r="BR266" s="19">
        <v>3</v>
      </c>
      <c r="BS266" s="19">
        <v>2</v>
      </c>
      <c r="BT266" s="19">
        <v>3</v>
      </c>
      <c r="BU266" s="19">
        <v>5</v>
      </c>
      <c r="BV266" s="19">
        <v>2</v>
      </c>
      <c r="BW266" s="19">
        <v>3</v>
      </c>
      <c r="BX266" s="19">
        <v>3</v>
      </c>
      <c r="BY266" s="19">
        <v>5</v>
      </c>
      <c r="BZ266" s="19">
        <v>5</v>
      </c>
      <c r="CA266" s="19">
        <v>4</v>
      </c>
      <c r="CB266" s="19">
        <v>4</v>
      </c>
      <c r="CC266" s="19">
        <v>5</v>
      </c>
      <c r="CD266" s="19">
        <v>5</v>
      </c>
      <c r="CE266" s="19">
        <v>5</v>
      </c>
      <c r="CF266" s="19">
        <v>4</v>
      </c>
      <c r="CG266" s="19">
        <v>5</v>
      </c>
      <c r="CH266" s="19">
        <v>4</v>
      </c>
      <c r="CI266" s="19">
        <v>3</v>
      </c>
      <c r="CJ266" s="19">
        <v>5</v>
      </c>
      <c r="CK266" s="19">
        <v>10</v>
      </c>
      <c r="CL266" t="s">
        <v>794</v>
      </c>
      <c r="CM266">
        <v>41.5</v>
      </c>
      <c r="CN266" s="16">
        <v>70</v>
      </c>
      <c r="CO266" s="16">
        <v>83.4</v>
      </c>
      <c r="CP266" s="16">
        <v>33.4</v>
      </c>
      <c r="CQ266">
        <v>67.05</v>
      </c>
      <c r="CR266">
        <v>0</v>
      </c>
      <c r="CS266">
        <v>5.87</v>
      </c>
      <c r="CT266">
        <v>12.48</v>
      </c>
      <c r="CU266">
        <v>14.6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18.75</v>
      </c>
      <c r="DD266">
        <v>14.73</v>
      </c>
      <c r="DE266">
        <v>5.87</v>
      </c>
      <c r="DF266">
        <v>0</v>
      </c>
      <c r="DG266">
        <v>0</v>
      </c>
      <c r="DH266">
        <v>0</v>
      </c>
      <c r="DU266">
        <v>0</v>
      </c>
      <c r="DV266">
        <v>1</v>
      </c>
      <c r="DW266">
        <v>23</v>
      </c>
      <c r="DX266">
        <v>3</v>
      </c>
      <c r="DY266">
        <f t="shared" si="109"/>
        <v>2.2000000000000002</v>
      </c>
      <c r="DZ266">
        <v>3</v>
      </c>
      <c r="EG266" s="18"/>
      <c r="EY266">
        <v>1</v>
      </c>
      <c r="EZ266">
        <v>30</v>
      </c>
      <c r="FA266">
        <v>2</v>
      </c>
      <c r="FB266">
        <v>2.94</v>
      </c>
      <c r="FC266">
        <v>3</v>
      </c>
      <c r="GJ266" s="16">
        <v>1.6</v>
      </c>
      <c r="GK266" s="16">
        <v>1</v>
      </c>
      <c r="GL266" s="16">
        <v>1</v>
      </c>
      <c r="GM266" s="16"/>
      <c r="GN266" s="16">
        <f t="shared" si="110"/>
        <v>8.0400000000000009</v>
      </c>
      <c r="GO266" s="16"/>
      <c r="GP266" s="16"/>
      <c r="GQ266" s="16"/>
      <c r="GR266" s="16"/>
      <c r="GS266" s="16"/>
      <c r="GT266" s="16"/>
      <c r="GU266" s="16">
        <v>6.47</v>
      </c>
      <c r="GV266" s="16">
        <v>6.24</v>
      </c>
      <c r="GW266" s="16"/>
      <c r="GX266" s="16"/>
      <c r="GY266" s="16">
        <v>0</v>
      </c>
      <c r="GZ266" s="16">
        <v>0</v>
      </c>
      <c r="HA266" s="16">
        <v>0</v>
      </c>
      <c r="HB266">
        <v>0</v>
      </c>
      <c r="HC266" t="s">
        <v>795</v>
      </c>
      <c r="HD266">
        <v>58</v>
      </c>
      <c r="HE266" s="16">
        <v>94.2</v>
      </c>
      <c r="HF266" s="16">
        <v>83.4</v>
      </c>
      <c r="HG266" s="16">
        <v>45.8</v>
      </c>
      <c r="HH266">
        <v>51.88</v>
      </c>
      <c r="HI266">
        <v>0</v>
      </c>
      <c r="HJ266">
        <v>42.28</v>
      </c>
      <c r="HK266">
        <v>0</v>
      </c>
      <c r="HL266">
        <v>1.81</v>
      </c>
      <c r="HM266">
        <v>0</v>
      </c>
      <c r="HN266">
        <v>4.03</v>
      </c>
      <c r="HO266">
        <v>0</v>
      </c>
      <c r="HP266">
        <v>3.02</v>
      </c>
      <c r="HQ266">
        <v>0</v>
      </c>
      <c r="HR266">
        <v>0</v>
      </c>
      <c r="HS266">
        <v>2.06</v>
      </c>
      <c r="HT266">
        <v>7.41</v>
      </c>
      <c r="HU266">
        <v>41.45</v>
      </c>
      <c r="HV266">
        <v>4.5</v>
      </c>
      <c r="HW266">
        <v>0</v>
      </c>
      <c r="HX266">
        <v>5.3</v>
      </c>
      <c r="HY266">
        <v>1</v>
      </c>
      <c r="HZ266">
        <v>5</v>
      </c>
      <c r="IB266">
        <v>1</v>
      </c>
      <c r="IL266">
        <v>3.9</v>
      </c>
      <c r="IM266">
        <v>0</v>
      </c>
      <c r="IX266" s="18"/>
      <c r="JP266">
        <v>1</v>
      </c>
      <c r="JQ266">
        <v>60</v>
      </c>
      <c r="JR266">
        <v>4</v>
      </c>
      <c r="JS266">
        <f t="shared" si="111"/>
        <v>2.94</v>
      </c>
      <c r="JT266">
        <v>2</v>
      </c>
      <c r="JU266">
        <v>50</v>
      </c>
      <c r="JV266">
        <v>9</v>
      </c>
      <c r="JW266">
        <f t="shared" si="112"/>
        <v>1.02</v>
      </c>
      <c r="JX266">
        <v>2</v>
      </c>
      <c r="JY266">
        <v>70</v>
      </c>
      <c r="JZ266">
        <v>4</v>
      </c>
      <c r="KA266">
        <v>0.4</v>
      </c>
      <c r="KB266">
        <v>2</v>
      </c>
      <c r="LA266" s="16">
        <v>0</v>
      </c>
      <c r="LB266" s="16">
        <v>0</v>
      </c>
      <c r="LC266" s="16"/>
      <c r="LD266" s="16"/>
      <c r="LE266" s="16"/>
      <c r="LF266" s="16"/>
      <c r="LG266" s="16"/>
      <c r="LH266" s="16"/>
      <c r="LI266" s="16"/>
      <c r="LJ266" s="16"/>
      <c r="LK266" s="16"/>
      <c r="LL266" s="16">
        <v>2.7</v>
      </c>
      <c r="LM266" s="16">
        <v>0.9</v>
      </c>
      <c r="LN266" s="16"/>
      <c r="LO266" s="16"/>
      <c r="LP266" s="16">
        <v>0</v>
      </c>
      <c r="LQ266" s="16">
        <v>0</v>
      </c>
      <c r="LR266" s="16">
        <v>0</v>
      </c>
      <c r="LS266">
        <v>0</v>
      </c>
      <c r="LT266" t="s">
        <v>796</v>
      </c>
      <c r="LU266">
        <v>50.5</v>
      </c>
      <c r="LV266" s="16">
        <v>78.7</v>
      </c>
      <c r="LW266" s="16">
        <v>83.4</v>
      </c>
      <c r="LX266" s="16">
        <v>45.1</v>
      </c>
      <c r="LY266">
        <v>50.98</v>
      </c>
      <c r="LZ266">
        <v>1.99</v>
      </c>
      <c r="MA266">
        <v>41.43</v>
      </c>
      <c r="MB266">
        <v>0</v>
      </c>
      <c r="MC266">
        <v>1.81</v>
      </c>
      <c r="MD266">
        <v>0</v>
      </c>
      <c r="ME266">
        <v>3.78</v>
      </c>
      <c r="MF266">
        <v>0</v>
      </c>
      <c r="MG266">
        <v>3.02</v>
      </c>
      <c r="MH266">
        <v>0</v>
      </c>
      <c r="MI266">
        <v>0</v>
      </c>
      <c r="MJ266">
        <v>1.81</v>
      </c>
      <c r="MK266">
        <v>12.52</v>
      </c>
      <c r="ML266">
        <v>41.44</v>
      </c>
      <c r="MM266">
        <v>3.05</v>
      </c>
      <c r="MN266">
        <v>0</v>
      </c>
      <c r="MO266">
        <v>0</v>
      </c>
      <c r="MP266">
        <v>0</v>
      </c>
      <c r="NC266">
        <v>3</v>
      </c>
      <c r="ND266">
        <v>0</v>
      </c>
      <c r="NO266" s="18"/>
      <c r="OG266">
        <v>1</v>
      </c>
      <c r="OH266">
        <v>60</v>
      </c>
      <c r="OI266">
        <v>4</v>
      </c>
      <c r="OJ266">
        <f t="shared" si="113"/>
        <v>2.94</v>
      </c>
      <c r="OK266">
        <v>2</v>
      </c>
      <c r="OL266">
        <v>50</v>
      </c>
      <c r="OM266">
        <v>9</v>
      </c>
      <c r="ON266">
        <f t="shared" si="114"/>
        <v>1.02</v>
      </c>
      <c r="OO266">
        <v>2</v>
      </c>
      <c r="OP266">
        <v>70</v>
      </c>
      <c r="OQ266">
        <v>4</v>
      </c>
      <c r="OR266">
        <v>0.4</v>
      </c>
      <c r="OS266">
        <v>2</v>
      </c>
      <c r="PR266" s="16">
        <v>0</v>
      </c>
      <c r="PS266" s="16">
        <v>0</v>
      </c>
      <c r="PT266" s="16"/>
      <c r="PU266" s="16"/>
      <c r="PV266" s="16"/>
      <c r="PW266" s="16"/>
      <c r="PX266" s="16"/>
      <c r="PY266" s="16"/>
      <c r="PZ266" s="16"/>
      <c r="QA266" s="16"/>
      <c r="QB266" s="16"/>
      <c r="QC266" s="16">
        <v>2.14</v>
      </c>
      <c r="QD266" s="16">
        <v>2.14</v>
      </c>
      <c r="QE266" s="16"/>
      <c r="QF266" s="16"/>
      <c r="QG266" s="16">
        <v>0</v>
      </c>
      <c r="QH266" s="16">
        <v>0</v>
      </c>
      <c r="QI266" s="16">
        <v>0</v>
      </c>
      <c r="QJ266">
        <v>0</v>
      </c>
      <c r="QK266" t="s">
        <v>797</v>
      </c>
      <c r="QL266">
        <v>52.5</v>
      </c>
      <c r="QM266" s="16">
        <v>84.4</v>
      </c>
      <c r="QN266" s="16">
        <v>83.4</v>
      </c>
      <c r="QO266" s="16">
        <v>45.2</v>
      </c>
      <c r="QP266">
        <v>36.520000000000003</v>
      </c>
      <c r="QQ266">
        <v>0</v>
      </c>
      <c r="QR266">
        <v>24.46</v>
      </c>
      <c r="QS266">
        <v>5.81</v>
      </c>
      <c r="QT266">
        <v>9.5399999999999991</v>
      </c>
      <c r="QU266">
        <v>0</v>
      </c>
      <c r="QV266">
        <v>22.12</v>
      </c>
      <c r="QW266">
        <v>2.71</v>
      </c>
      <c r="QX266">
        <v>5.34</v>
      </c>
      <c r="QY266">
        <v>3.86</v>
      </c>
      <c r="QZ266">
        <v>0</v>
      </c>
      <c r="RA266">
        <v>0</v>
      </c>
      <c r="RB266">
        <v>4.3</v>
      </c>
      <c r="RC266">
        <v>3.92</v>
      </c>
      <c r="RD266">
        <v>7.14</v>
      </c>
      <c r="RE266">
        <v>0.77</v>
      </c>
      <c r="RF266">
        <v>0</v>
      </c>
      <c r="RG266">
        <v>0</v>
      </c>
      <c r="RT266">
        <v>1.4</v>
      </c>
      <c r="RU266">
        <v>1</v>
      </c>
      <c r="RV266">
        <v>55</v>
      </c>
      <c r="RW266">
        <v>1</v>
      </c>
      <c r="RX266">
        <v>0.77</v>
      </c>
      <c r="RY266">
        <v>2</v>
      </c>
      <c r="RZ266">
        <v>35</v>
      </c>
      <c r="SA266">
        <v>1</v>
      </c>
      <c r="SB266">
        <v>0.13</v>
      </c>
      <c r="SC266">
        <v>3</v>
      </c>
      <c r="SF266" s="18"/>
      <c r="SX266">
        <v>1</v>
      </c>
      <c r="SY266">
        <v>50</v>
      </c>
      <c r="SZ266">
        <v>1</v>
      </c>
      <c r="TA266">
        <v>0.36</v>
      </c>
      <c r="TB266">
        <v>1</v>
      </c>
      <c r="UI266" s="16">
        <v>7.0000000000000007E-2</v>
      </c>
      <c r="UJ266" s="16">
        <v>1</v>
      </c>
      <c r="UK266" s="16">
        <v>1</v>
      </c>
      <c r="UL266" s="16"/>
      <c r="UM266" s="16">
        <f>0.07*2+0.05*3</f>
        <v>0.29000000000000004</v>
      </c>
      <c r="UN266" s="16"/>
      <c r="UO266" s="16"/>
      <c r="UP266" s="16"/>
      <c r="UQ266" s="16"/>
      <c r="UR266" s="16"/>
      <c r="US266" s="16"/>
      <c r="UT266" s="16">
        <v>0.05</v>
      </c>
      <c r="UU266" s="16">
        <v>0.05</v>
      </c>
      <c r="UV266" s="16"/>
      <c r="UW266" s="16"/>
      <c r="UX266" s="16">
        <v>5.76</v>
      </c>
      <c r="UY266" s="16">
        <v>0</v>
      </c>
      <c r="UZ266" s="16">
        <v>0</v>
      </c>
      <c r="VA266">
        <v>1</v>
      </c>
      <c r="VB266" t="s">
        <v>798</v>
      </c>
      <c r="VC266">
        <v>47.5</v>
      </c>
      <c r="VD266" s="16">
        <v>97.8</v>
      </c>
      <c r="VE266" s="16">
        <v>83.4</v>
      </c>
      <c r="VF266" s="16">
        <v>26.3</v>
      </c>
      <c r="VG266">
        <v>54.22</v>
      </c>
      <c r="VH266">
        <v>0</v>
      </c>
      <c r="VI266">
        <v>0</v>
      </c>
      <c r="VJ266">
        <v>0</v>
      </c>
      <c r="VK266">
        <v>32.130000000000003</v>
      </c>
      <c r="VL266">
        <v>0</v>
      </c>
      <c r="VM266">
        <v>13.65</v>
      </c>
      <c r="VN266">
        <v>0</v>
      </c>
      <c r="VO266">
        <v>0</v>
      </c>
      <c r="VP266">
        <v>0</v>
      </c>
      <c r="VQ266">
        <v>0</v>
      </c>
      <c r="VR266">
        <v>25.5</v>
      </c>
      <c r="VS266">
        <v>61.05</v>
      </c>
      <c r="VT266">
        <v>6.61</v>
      </c>
      <c r="VU266">
        <v>3.67</v>
      </c>
      <c r="VV266">
        <v>0</v>
      </c>
      <c r="VW266">
        <v>10.5</v>
      </c>
      <c r="VX266">
        <v>1</v>
      </c>
      <c r="VY266">
        <v>3</v>
      </c>
      <c r="WA266">
        <v>1</v>
      </c>
      <c r="WK266">
        <v>7.1</v>
      </c>
      <c r="WL266">
        <v>0</v>
      </c>
      <c r="WW266" s="18"/>
      <c r="XO266">
        <v>1</v>
      </c>
      <c r="XP266">
        <v>60</v>
      </c>
      <c r="XQ266">
        <v>10</v>
      </c>
      <c r="XR266">
        <f>3.67*2</f>
        <v>7.34</v>
      </c>
      <c r="XS266">
        <v>3</v>
      </c>
      <c r="YZ266" s="16">
        <v>3.22</v>
      </c>
      <c r="ZA266" s="16">
        <v>1</v>
      </c>
      <c r="ZB266" s="16">
        <v>1</v>
      </c>
      <c r="ZC266" s="16"/>
      <c r="ZD266" s="16">
        <f>1.65*3+4.08+0.54+0.52</f>
        <v>10.09</v>
      </c>
      <c r="ZE266" s="16"/>
      <c r="ZF266" s="16"/>
      <c r="ZG266" s="16"/>
      <c r="ZH266" s="16"/>
      <c r="ZI266" s="16"/>
      <c r="ZJ266" s="16"/>
      <c r="ZK266" s="16">
        <v>0</v>
      </c>
      <c r="ZL266" s="16">
        <v>0</v>
      </c>
      <c r="ZM266" s="16"/>
      <c r="ZN266" s="16"/>
      <c r="ZO266" s="16">
        <v>0</v>
      </c>
      <c r="ZP266" s="16">
        <v>0</v>
      </c>
      <c r="ZQ266" s="16">
        <v>0</v>
      </c>
      <c r="ZR266">
        <v>0</v>
      </c>
      <c r="ZS266" t="s">
        <v>799</v>
      </c>
      <c r="ZT266">
        <v>44</v>
      </c>
      <c r="ZU266" s="16">
        <v>88.5</v>
      </c>
      <c r="ZV266" s="16">
        <v>83.4</v>
      </c>
      <c r="ZW266" s="16">
        <v>21.4</v>
      </c>
      <c r="ZX266">
        <v>59.53</v>
      </c>
      <c r="ZY266">
        <v>0</v>
      </c>
      <c r="ZZ266">
        <v>0</v>
      </c>
      <c r="AAA266">
        <v>0</v>
      </c>
      <c r="AAB266">
        <v>27.73</v>
      </c>
      <c r="AAC266">
        <v>0</v>
      </c>
      <c r="AAD266">
        <v>12.75</v>
      </c>
      <c r="AAE266">
        <v>0</v>
      </c>
      <c r="AAF266">
        <v>0</v>
      </c>
      <c r="AAG266">
        <v>0</v>
      </c>
      <c r="AAH266">
        <v>0</v>
      </c>
      <c r="AAI266">
        <v>18.64</v>
      </c>
      <c r="AAJ266">
        <v>50.48</v>
      </c>
      <c r="AAK266">
        <v>6.61</v>
      </c>
      <c r="AAL266">
        <v>3.67</v>
      </c>
      <c r="AAM266">
        <v>0</v>
      </c>
      <c r="AAN266">
        <v>10.5</v>
      </c>
      <c r="AAO266">
        <v>1</v>
      </c>
      <c r="AAP266">
        <v>3</v>
      </c>
      <c r="AAQ266">
        <v>1</v>
      </c>
      <c r="ABB266">
        <v>7.1</v>
      </c>
      <c r="ABC266">
        <v>0</v>
      </c>
      <c r="ABN266" s="18"/>
      <c r="ACF266">
        <v>1</v>
      </c>
      <c r="ACG266">
        <v>60</v>
      </c>
      <c r="ACH266">
        <v>10</v>
      </c>
      <c r="ACI266">
        <f>3.67*2</f>
        <v>7.34</v>
      </c>
      <c r="ACJ266">
        <v>4</v>
      </c>
      <c r="ADQ266" s="16">
        <v>2.37</v>
      </c>
      <c r="ADR266" s="16">
        <v>1</v>
      </c>
      <c r="ADS266" s="16">
        <v>1</v>
      </c>
      <c r="ADT266" s="16"/>
      <c r="ADU266" s="16">
        <f>1.65+4.08+0.54+3.77</f>
        <v>10.040000000000001</v>
      </c>
      <c r="ADV266" s="16"/>
      <c r="ADW266" s="16"/>
      <c r="ADX266" s="16"/>
      <c r="ADY266" s="16"/>
      <c r="ADZ266" s="16"/>
      <c r="AEA266" s="16"/>
      <c r="AEB266" s="16">
        <v>0.25</v>
      </c>
      <c r="AEC266" s="16">
        <v>0.25</v>
      </c>
      <c r="AED266" s="16"/>
      <c r="AEE266" s="16"/>
      <c r="AEF266" s="16">
        <v>0</v>
      </c>
      <c r="AEG266" s="16">
        <v>0</v>
      </c>
      <c r="AEH266" s="16">
        <v>3</v>
      </c>
      <c r="AEI266">
        <v>0</v>
      </c>
      <c r="AEJ266" t="s">
        <v>800</v>
      </c>
      <c r="AEK266">
        <v>27.5</v>
      </c>
      <c r="AEL266" s="16">
        <v>44</v>
      </c>
      <c r="AEM266" s="16">
        <v>83.4</v>
      </c>
      <c r="AEN266" s="16">
        <v>26.1</v>
      </c>
      <c r="AEO266">
        <v>15.93</v>
      </c>
      <c r="AEP266">
        <v>0</v>
      </c>
      <c r="AEQ266">
        <v>0</v>
      </c>
      <c r="AER266">
        <v>1.1000000000000001</v>
      </c>
      <c r="AES266">
        <v>2.91</v>
      </c>
      <c r="AET266">
        <v>0</v>
      </c>
      <c r="AEU266">
        <v>79.319999999999993</v>
      </c>
      <c r="AEV266">
        <v>5.87</v>
      </c>
      <c r="AEW266">
        <v>17.05</v>
      </c>
      <c r="AEX266">
        <v>0</v>
      </c>
      <c r="AEY266">
        <v>0</v>
      </c>
      <c r="AEZ266">
        <v>4.43</v>
      </c>
      <c r="AFA266">
        <v>3.08</v>
      </c>
      <c r="AFB266">
        <v>0.78</v>
      </c>
      <c r="AFC266">
        <v>0.73</v>
      </c>
      <c r="AFD266">
        <v>0</v>
      </c>
      <c r="AFE266">
        <v>0</v>
      </c>
      <c r="AFF266">
        <v>0</v>
      </c>
      <c r="AFS266">
        <v>0</v>
      </c>
      <c r="AFT266">
        <v>0</v>
      </c>
      <c r="AGE266" s="18"/>
      <c r="AGW266">
        <v>1</v>
      </c>
      <c r="AGX266">
        <v>50</v>
      </c>
      <c r="AGY266">
        <v>1</v>
      </c>
      <c r="AGZ266">
        <v>0.73</v>
      </c>
      <c r="AHA266">
        <v>3</v>
      </c>
      <c r="AIH266" s="16">
        <v>0.28999999999999998</v>
      </c>
      <c r="AII266" s="16">
        <v>1</v>
      </c>
      <c r="AIJ266" s="16">
        <v>1</v>
      </c>
      <c r="AIK266" s="16"/>
      <c r="AIL266" s="16">
        <f>0.08*8+0.2*4</f>
        <v>1.44</v>
      </c>
      <c r="AIM266" s="16"/>
      <c r="AIN266" s="16"/>
      <c r="AIO266" s="16"/>
      <c r="AIP266" s="16"/>
      <c r="AIQ266" s="16"/>
      <c r="AIR266" s="16"/>
      <c r="AIS266" s="16">
        <v>0.79</v>
      </c>
      <c r="AIT266" s="16">
        <v>0.8</v>
      </c>
      <c r="AIU266" s="16"/>
      <c r="AIV266" s="16"/>
      <c r="AIW266" s="16">
        <v>0</v>
      </c>
      <c r="AIX266" s="16">
        <v>0</v>
      </c>
      <c r="AIY266" s="16">
        <v>0</v>
      </c>
      <c r="AIZ266">
        <v>0</v>
      </c>
      <c r="AJA266" t="s">
        <v>322</v>
      </c>
      <c r="AJB266">
        <v>29</v>
      </c>
      <c r="AJC266" s="16">
        <v>79.099999999999994</v>
      </c>
      <c r="AJD266" s="16">
        <v>83.4</v>
      </c>
      <c r="AJE266" s="16">
        <v>18.7</v>
      </c>
      <c r="AJF266">
        <v>83.49</v>
      </c>
      <c r="AJG266">
        <v>0</v>
      </c>
      <c r="AJH266">
        <v>16.510000000000002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45.32</v>
      </c>
      <c r="AJS266">
        <v>18.71</v>
      </c>
      <c r="AJT266">
        <v>0</v>
      </c>
      <c r="AJU266">
        <v>0</v>
      </c>
      <c r="AJV266">
        <v>0</v>
      </c>
      <c r="AJW266">
        <v>0</v>
      </c>
      <c r="AKJ266">
        <v>0</v>
      </c>
      <c r="AKK266">
        <v>0</v>
      </c>
      <c r="AKV266" s="18"/>
      <c r="ALN266">
        <v>0</v>
      </c>
    </row>
    <row r="267" spans="1:1024" x14ac:dyDescent="0.2">
      <c r="A267" s="1" t="s">
        <v>806</v>
      </c>
      <c r="B267" s="12">
        <v>42909</v>
      </c>
      <c r="C267">
        <v>2</v>
      </c>
      <c r="D267" s="13">
        <v>42804</v>
      </c>
      <c r="E267" s="12">
        <v>30766</v>
      </c>
      <c r="F267" s="14">
        <f t="shared" si="106"/>
        <v>33.24572210814511</v>
      </c>
      <c r="G267" s="14">
        <f t="shared" si="107"/>
        <v>0.28747433264887062</v>
      </c>
      <c r="H267" s="19" t="s">
        <v>306</v>
      </c>
      <c r="I267" s="15" t="s">
        <v>793</v>
      </c>
      <c r="J267" s="15" t="s">
        <v>183</v>
      </c>
      <c r="K267" s="15">
        <v>8</v>
      </c>
      <c r="L267" s="19">
        <v>110</v>
      </c>
      <c r="M267">
        <v>1.83</v>
      </c>
      <c r="N267" s="16">
        <f t="shared" si="108"/>
        <v>32.846606348353184</v>
      </c>
      <c r="O267" s="19">
        <v>0</v>
      </c>
      <c r="P267" s="19">
        <v>0</v>
      </c>
      <c r="Q267" s="19">
        <v>0</v>
      </c>
      <c r="R267" s="26">
        <v>0</v>
      </c>
      <c r="S267" s="26">
        <v>0</v>
      </c>
      <c r="T267" s="26">
        <v>0</v>
      </c>
      <c r="U267" s="19">
        <v>0</v>
      </c>
      <c r="V267" s="19">
        <v>0</v>
      </c>
      <c r="W267" s="19">
        <v>0</v>
      </c>
      <c r="X267" s="19">
        <v>0</v>
      </c>
      <c r="Y267" s="19">
        <v>1</v>
      </c>
      <c r="Z267" s="19">
        <v>2</v>
      </c>
      <c r="AA267" s="19">
        <v>120</v>
      </c>
      <c r="AB267" s="19" t="s">
        <v>184</v>
      </c>
      <c r="AC267" s="19">
        <v>1</v>
      </c>
      <c r="AD267" s="19">
        <v>10</v>
      </c>
      <c r="AE267" s="19">
        <v>0</v>
      </c>
      <c r="AF267" s="19">
        <v>0</v>
      </c>
      <c r="AG267" s="19">
        <v>0</v>
      </c>
      <c r="AH267" s="19">
        <v>0</v>
      </c>
      <c r="AI267" s="19">
        <v>0</v>
      </c>
      <c r="AJ267" s="19">
        <v>0</v>
      </c>
      <c r="AK267" s="19">
        <v>0</v>
      </c>
      <c r="AL267" s="19">
        <v>0</v>
      </c>
      <c r="AM267" s="19">
        <v>0</v>
      </c>
      <c r="AN267" s="19">
        <v>0</v>
      </c>
      <c r="AO267" s="19">
        <v>0</v>
      </c>
      <c r="AP267" s="19">
        <v>0</v>
      </c>
      <c r="AQ267" s="19">
        <v>0</v>
      </c>
      <c r="AR267" s="19">
        <v>0</v>
      </c>
      <c r="AS267" s="19">
        <v>0</v>
      </c>
      <c r="AT267" s="19">
        <v>0</v>
      </c>
      <c r="AU267" s="19">
        <v>0</v>
      </c>
      <c r="AV267" s="19">
        <v>0</v>
      </c>
      <c r="AW267" s="19">
        <v>0</v>
      </c>
      <c r="AX267" s="19">
        <v>0</v>
      </c>
      <c r="AY267" s="19">
        <v>0</v>
      </c>
      <c r="AZ267" s="19">
        <v>0</v>
      </c>
      <c r="BA267" s="19">
        <v>0</v>
      </c>
      <c r="BB267" s="19">
        <v>0</v>
      </c>
      <c r="BC267" s="19">
        <v>0</v>
      </c>
      <c r="BD267" s="19">
        <v>0</v>
      </c>
      <c r="BE267" s="19">
        <v>0</v>
      </c>
      <c r="BF267" s="19">
        <v>0</v>
      </c>
      <c r="BG267" s="19">
        <v>0</v>
      </c>
      <c r="BH267" s="19">
        <v>0</v>
      </c>
      <c r="BI267" s="19">
        <v>0</v>
      </c>
      <c r="BJ267" s="19">
        <v>0</v>
      </c>
      <c r="BK267" s="19">
        <v>0</v>
      </c>
      <c r="BL267" s="19">
        <v>0</v>
      </c>
      <c r="BM267" s="19">
        <v>0</v>
      </c>
      <c r="BN267" s="19">
        <v>0</v>
      </c>
      <c r="BO267" s="19">
        <v>0</v>
      </c>
      <c r="BP267" s="19">
        <v>0</v>
      </c>
      <c r="BQ267" s="19">
        <v>0</v>
      </c>
      <c r="BR267" s="19">
        <v>1</v>
      </c>
      <c r="BS267" s="19">
        <v>2</v>
      </c>
      <c r="BT267" s="19">
        <v>5</v>
      </c>
      <c r="BU267" s="19">
        <v>5</v>
      </c>
      <c r="BV267" s="19">
        <v>3</v>
      </c>
      <c r="BW267" s="19">
        <v>1</v>
      </c>
      <c r="BX267" s="19">
        <v>2</v>
      </c>
      <c r="BY267" s="19">
        <v>3</v>
      </c>
      <c r="BZ267" s="19">
        <v>4</v>
      </c>
      <c r="CA267" s="19">
        <v>4</v>
      </c>
      <c r="CB267" s="19">
        <v>4</v>
      </c>
      <c r="CC267" s="19">
        <v>5</v>
      </c>
      <c r="CD267" s="19">
        <v>3</v>
      </c>
      <c r="CE267" s="19">
        <v>5</v>
      </c>
      <c r="CF267" s="19">
        <v>4</v>
      </c>
      <c r="CG267" s="19">
        <v>5</v>
      </c>
      <c r="CH267" s="19">
        <v>4</v>
      </c>
      <c r="CI267" s="19">
        <v>4</v>
      </c>
      <c r="CJ267" s="19">
        <v>4</v>
      </c>
      <c r="CK267" s="19">
        <v>8</v>
      </c>
      <c r="CL267" t="s">
        <v>794</v>
      </c>
      <c r="CM267">
        <v>41.5</v>
      </c>
      <c r="CN267" s="16">
        <v>70</v>
      </c>
      <c r="CO267" s="16">
        <v>83.4</v>
      </c>
      <c r="CP267" s="16">
        <v>33.4</v>
      </c>
      <c r="CQ267">
        <v>67.05</v>
      </c>
      <c r="CR267">
        <v>0</v>
      </c>
      <c r="CS267">
        <v>5.87</v>
      </c>
      <c r="CT267">
        <v>12.48</v>
      </c>
      <c r="CU267">
        <v>14.6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18.75</v>
      </c>
      <c r="DD267">
        <v>14.73</v>
      </c>
      <c r="DE267">
        <v>5.87</v>
      </c>
      <c r="DF267">
        <v>0</v>
      </c>
      <c r="DG267">
        <v>0</v>
      </c>
      <c r="DH267">
        <v>0</v>
      </c>
      <c r="DU267">
        <v>0</v>
      </c>
      <c r="DV267">
        <v>1</v>
      </c>
      <c r="DW267">
        <v>23</v>
      </c>
      <c r="DX267">
        <v>3</v>
      </c>
      <c r="DY267">
        <f t="shared" si="109"/>
        <v>2.2000000000000002</v>
      </c>
      <c r="DZ267">
        <v>3</v>
      </c>
      <c r="EG267" s="18"/>
      <c r="EY267">
        <v>1</v>
      </c>
      <c r="EZ267">
        <v>30</v>
      </c>
      <c r="FA267">
        <v>2</v>
      </c>
      <c r="FB267">
        <v>2.94</v>
      </c>
      <c r="FC267">
        <v>3</v>
      </c>
      <c r="GJ267" s="16">
        <v>1.6</v>
      </c>
      <c r="GK267" s="16">
        <v>1</v>
      </c>
      <c r="GL267" s="16">
        <v>1</v>
      </c>
      <c r="GM267" s="16"/>
      <c r="GN267" s="16">
        <f t="shared" si="110"/>
        <v>8.0400000000000009</v>
      </c>
      <c r="GO267" s="16"/>
      <c r="GP267" s="16"/>
      <c r="GQ267" s="16"/>
      <c r="GR267" s="16"/>
      <c r="GS267" s="16"/>
      <c r="GT267" s="16"/>
      <c r="GU267" s="16">
        <v>6.47</v>
      </c>
      <c r="GV267" s="16">
        <v>6.24</v>
      </c>
      <c r="GW267" s="16"/>
      <c r="GX267" s="16"/>
      <c r="GY267" s="16">
        <v>0</v>
      </c>
      <c r="GZ267" s="16">
        <v>0</v>
      </c>
      <c r="HA267" s="16">
        <v>0</v>
      </c>
      <c r="HB267">
        <v>0</v>
      </c>
      <c r="HC267" t="s">
        <v>795</v>
      </c>
      <c r="HD267">
        <v>58</v>
      </c>
      <c r="HE267" s="16">
        <v>94.2</v>
      </c>
      <c r="HF267" s="16">
        <v>83.4</v>
      </c>
      <c r="HG267" s="16">
        <v>45.8</v>
      </c>
      <c r="HH267">
        <v>51.88</v>
      </c>
      <c r="HI267">
        <v>0</v>
      </c>
      <c r="HJ267">
        <v>42.28</v>
      </c>
      <c r="HK267">
        <v>0</v>
      </c>
      <c r="HL267">
        <v>1.81</v>
      </c>
      <c r="HM267">
        <v>0</v>
      </c>
      <c r="HN267">
        <v>4.03</v>
      </c>
      <c r="HO267">
        <v>0</v>
      </c>
      <c r="HP267">
        <v>3.02</v>
      </c>
      <c r="HQ267">
        <v>0</v>
      </c>
      <c r="HR267">
        <v>0</v>
      </c>
      <c r="HS267">
        <v>2.06</v>
      </c>
      <c r="HT267">
        <v>7.41</v>
      </c>
      <c r="HU267">
        <v>41.45</v>
      </c>
      <c r="HV267">
        <v>4.5</v>
      </c>
      <c r="HW267">
        <v>0</v>
      </c>
      <c r="HX267">
        <v>5.3</v>
      </c>
      <c r="HY267">
        <v>1</v>
      </c>
      <c r="HZ267">
        <v>5</v>
      </c>
      <c r="IB267">
        <v>1</v>
      </c>
      <c r="IL267">
        <v>3.9</v>
      </c>
      <c r="IM267">
        <v>0</v>
      </c>
      <c r="IX267" s="18"/>
      <c r="JP267">
        <v>1</v>
      </c>
      <c r="JQ267">
        <v>60</v>
      </c>
      <c r="JR267">
        <v>4</v>
      </c>
      <c r="JS267">
        <f t="shared" si="111"/>
        <v>2.94</v>
      </c>
      <c r="JT267">
        <v>2</v>
      </c>
      <c r="JU267">
        <v>50</v>
      </c>
      <c r="JV267">
        <v>9</v>
      </c>
      <c r="JW267">
        <f t="shared" si="112"/>
        <v>1.02</v>
      </c>
      <c r="JX267">
        <v>2</v>
      </c>
      <c r="JY267">
        <v>70</v>
      </c>
      <c r="JZ267">
        <v>4</v>
      </c>
      <c r="KA267">
        <v>0.4</v>
      </c>
      <c r="KB267">
        <v>2</v>
      </c>
      <c r="LA267" s="16">
        <v>0</v>
      </c>
      <c r="LB267" s="16">
        <v>0</v>
      </c>
      <c r="LC267" s="16"/>
      <c r="LD267" s="16"/>
      <c r="LE267" s="16"/>
      <c r="LF267" s="16"/>
      <c r="LG267" s="16"/>
      <c r="LH267" s="16"/>
      <c r="LI267" s="16"/>
      <c r="LJ267" s="16"/>
      <c r="LK267" s="16"/>
      <c r="LL267" s="16">
        <v>2.7</v>
      </c>
      <c r="LM267" s="16">
        <v>0.9</v>
      </c>
      <c r="LN267" s="16"/>
      <c r="LO267" s="16"/>
      <c r="LP267" s="16">
        <v>0</v>
      </c>
      <c r="LQ267" s="16">
        <v>0</v>
      </c>
      <c r="LR267" s="16">
        <v>0</v>
      </c>
      <c r="LS267">
        <v>0</v>
      </c>
      <c r="LT267" t="s">
        <v>796</v>
      </c>
      <c r="LU267">
        <v>50.5</v>
      </c>
      <c r="LV267" s="16">
        <v>78.7</v>
      </c>
      <c r="LW267" s="16">
        <v>83.4</v>
      </c>
      <c r="LX267" s="16">
        <v>45.1</v>
      </c>
      <c r="LY267">
        <v>50.98</v>
      </c>
      <c r="LZ267">
        <v>1.99</v>
      </c>
      <c r="MA267">
        <v>41.43</v>
      </c>
      <c r="MB267">
        <v>0</v>
      </c>
      <c r="MC267">
        <v>1.81</v>
      </c>
      <c r="MD267">
        <v>0</v>
      </c>
      <c r="ME267">
        <v>3.78</v>
      </c>
      <c r="MF267">
        <v>0</v>
      </c>
      <c r="MG267">
        <v>3.02</v>
      </c>
      <c r="MH267">
        <v>0</v>
      </c>
      <c r="MI267">
        <v>0</v>
      </c>
      <c r="MJ267">
        <v>1.81</v>
      </c>
      <c r="MK267">
        <v>12.52</v>
      </c>
      <c r="ML267">
        <v>41.44</v>
      </c>
      <c r="MM267">
        <v>3.05</v>
      </c>
      <c r="MN267">
        <v>0</v>
      </c>
      <c r="MO267">
        <v>0</v>
      </c>
      <c r="MP267">
        <v>0</v>
      </c>
      <c r="NC267">
        <v>3</v>
      </c>
      <c r="ND267">
        <v>0</v>
      </c>
      <c r="NO267" s="18"/>
      <c r="OG267">
        <v>1</v>
      </c>
      <c r="OH267">
        <v>60</v>
      </c>
      <c r="OI267">
        <v>4</v>
      </c>
      <c r="OJ267">
        <f t="shared" si="113"/>
        <v>2.94</v>
      </c>
      <c r="OK267">
        <v>2</v>
      </c>
      <c r="OL267">
        <v>50</v>
      </c>
      <c r="OM267">
        <v>9</v>
      </c>
      <c r="ON267">
        <f t="shared" si="114"/>
        <v>1.02</v>
      </c>
      <c r="OO267">
        <v>2</v>
      </c>
      <c r="OP267">
        <v>70</v>
      </c>
      <c r="OQ267">
        <v>4</v>
      </c>
      <c r="OR267">
        <v>0.4</v>
      </c>
      <c r="OS267">
        <v>2</v>
      </c>
      <c r="PR267" s="16">
        <v>0</v>
      </c>
      <c r="PS267" s="16">
        <v>0</v>
      </c>
      <c r="PT267" s="16"/>
      <c r="PU267" s="16"/>
      <c r="PV267" s="16"/>
      <c r="PW267" s="16"/>
      <c r="PX267" s="16"/>
      <c r="PY267" s="16"/>
      <c r="PZ267" s="16"/>
      <c r="QA267" s="16"/>
      <c r="QB267" s="16"/>
      <c r="QC267" s="16">
        <v>2.14</v>
      </c>
      <c r="QD267" s="16">
        <v>2.14</v>
      </c>
      <c r="QE267" s="16"/>
      <c r="QF267" s="16"/>
      <c r="QG267" s="16">
        <v>0</v>
      </c>
      <c r="QH267" s="16">
        <v>0</v>
      </c>
      <c r="QI267" s="16">
        <v>0</v>
      </c>
      <c r="QJ267">
        <v>0</v>
      </c>
      <c r="QK267" t="s">
        <v>322</v>
      </c>
      <c r="QL267">
        <v>29</v>
      </c>
      <c r="QM267" s="16">
        <v>79.099999999999994</v>
      </c>
      <c r="QN267" s="16">
        <v>83.4</v>
      </c>
      <c r="QO267" s="16">
        <v>18.7</v>
      </c>
      <c r="QP267">
        <v>83.49</v>
      </c>
      <c r="QQ267">
        <v>0</v>
      </c>
      <c r="QR267">
        <v>16.510000000000002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45.32</v>
      </c>
      <c r="RC267">
        <v>18.71</v>
      </c>
      <c r="RD267">
        <v>0</v>
      </c>
      <c r="RE267">
        <v>0</v>
      </c>
      <c r="RF267">
        <v>0</v>
      </c>
      <c r="RG267">
        <v>0</v>
      </c>
      <c r="RT267">
        <v>0</v>
      </c>
      <c r="RU267">
        <v>0</v>
      </c>
      <c r="SF267" s="18"/>
      <c r="SX267">
        <v>0</v>
      </c>
      <c r="UI267" s="16">
        <v>4.45</v>
      </c>
      <c r="UJ267" s="16">
        <v>1</v>
      </c>
      <c r="UK267" s="16">
        <v>1</v>
      </c>
      <c r="UL267" s="16"/>
      <c r="UM267" s="16">
        <f>5.14*2</f>
        <v>10.28</v>
      </c>
      <c r="UN267" s="16"/>
      <c r="UO267" s="16"/>
      <c r="UP267" s="16"/>
      <c r="UQ267" s="16"/>
      <c r="UR267" s="16"/>
      <c r="US267" s="16"/>
      <c r="UT267" s="16">
        <v>5.55</v>
      </c>
      <c r="UU267" s="16">
        <v>10.28</v>
      </c>
      <c r="UV267" s="16"/>
      <c r="UW267" s="16"/>
      <c r="UX267" s="16">
        <v>0</v>
      </c>
      <c r="UY267" s="16">
        <v>0</v>
      </c>
      <c r="UZ267" s="16">
        <v>0</v>
      </c>
      <c r="VA267">
        <v>0</v>
      </c>
      <c r="VB267" t="s">
        <v>803</v>
      </c>
      <c r="VC267">
        <v>80.5</v>
      </c>
      <c r="VD267" s="16">
        <v>87.5</v>
      </c>
      <c r="VE267" s="16">
        <v>83.4</v>
      </c>
      <c r="VF267" s="16">
        <v>15.6</v>
      </c>
      <c r="VG267">
        <v>91.61</v>
      </c>
      <c r="VH267">
        <v>0</v>
      </c>
      <c r="VI267">
        <v>8.39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23.31</v>
      </c>
      <c r="VS267">
        <v>21.38</v>
      </c>
      <c r="VT267">
        <v>38.29</v>
      </c>
      <c r="VU267">
        <v>0</v>
      </c>
      <c r="VV267">
        <v>0</v>
      </c>
      <c r="VW267">
        <v>30.3</v>
      </c>
      <c r="VX267">
        <v>1</v>
      </c>
      <c r="VY267">
        <v>21.68</v>
      </c>
      <c r="WA267">
        <v>2</v>
      </c>
      <c r="WK267">
        <v>28.2</v>
      </c>
      <c r="WL267">
        <v>0</v>
      </c>
      <c r="WW267" s="18"/>
      <c r="XO267">
        <v>1</v>
      </c>
      <c r="XP267">
        <v>50</v>
      </c>
      <c r="XQ267">
        <f>5+8+1+5+8</f>
        <v>27</v>
      </c>
      <c r="XR267">
        <f>3.67+2.94*2+0.73+0.65+0.52*2</f>
        <v>11.970000000000002</v>
      </c>
      <c r="XS267">
        <v>3</v>
      </c>
      <c r="XT267">
        <v>60</v>
      </c>
      <c r="XU267">
        <v>4</v>
      </c>
      <c r="XV267">
        <v>2.94</v>
      </c>
      <c r="XW267">
        <v>3</v>
      </c>
      <c r="YZ267" s="16">
        <v>0</v>
      </c>
      <c r="ZA267" s="16">
        <v>0</v>
      </c>
      <c r="ZB267" s="16"/>
      <c r="ZC267" s="16"/>
      <c r="ZD267" s="16"/>
      <c r="ZE267" s="16"/>
      <c r="ZF267" s="16"/>
      <c r="ZG267" s="16"/>
      <c r="ZH267" s="16"/>
      <c r="ZI267" s="16"/>
      <c r="ZJ267" s="16"/>
      <c r="ZK267" s="16">
        <v>6.24</v>
      </c>
      <c r="ZL267" s="16">
        <v>9.5500000000000007</v>
      </c>
      <c r="ZM267" s="16"/>
      <c r="ZN267" s="16"/>
      <c r="ZO267" s="16">
        <v>0</v>
      </c>
      <c r="ZP267" s="16">
        <v>0</v>
      </c>
      <c r="ZQ267" s="16">
        <v>0</v>
      </c>
      <c r="ZR267">
        <v>0</v>
      </c>
      <c r="ZS267" t="s">
        <v>807</v>
      </c>
      <c r="ZT267">
        <v>85.5</v>
      </c>
      <c r="ZU267" s="16">
        <v>86</v>
      </c>
      <c r="ZV267" s="16">
        <v>83.4</v>
      </c>
      <c r="ZW267" s="16">
        <v>12.4</v>
      </c>
      <c r="ZX267">
        <v>69.599999999999994</v>
      </c>
      <c r="ZY267">
        <v>24.04</v>
      </c>
      <c r="ZZ267">
        <v>6.35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21.02</v>
      </c>
      <c r="AAJ267">
        <v>18.37</v>
      </c>
      <c r="AAK267">
        <v>30.83</v>
      </c>
      <c r="AAL267">
        <v>2.81</v>
      </c>
      <c r="AAM267">
        <v>0</v>
      </c>
      <c r="AAN267">
        <v>43.8</v>
      </c>
      <c r="AAO267">
        <v>1</v>
      </c>
      <c r="AAP267">
        <v>15</v>
      </c>
      <c r="AAR267">
        <v>1</v>
      </c>
      <c r="AAS267">
        <v>7</v>
      </c>
      <c r="AAU267">
        <v>3</v>
      </c>
      <c r="AAV267">
        <v>11.9</v>
      </c>
      <c r="AAW267">
        <v>2</v>
      </c>
      <c r="ABB267">
        <v>16.2</v>
      </c>
      <c r="ABC267">
        <v>1</v>
      </c>
      <c r="ABD267">
        <v>52</v>
      </c>
      <c r="ABE267">
        <f>6+8+5+8</f>
        <v>27</v>
      </c>
      <c r="ABF267">
        <f>2.94*2+4.4+0.65+0.52*2</f>
        <v>11.970000000000002</v>
      </c>
      <c r="ABG267">
        <v>2</v>
      </c>
      <c r="ABN267" s="18"/>
      <c r="ACF267">
        <v>1</v>
      </c>
      <c r="ACG267">
        <v>40</v>
      </c>
      <c r="ACH267">
        <v>3</v>
      </c>
      <c r="ACI267">
        <f>2.2+0.73+0.39</f>
        <v>3.3200000000000003</v>
      </c>
      <c r="ACJ267">
        <v>3</v>
      </c>
      <c r="ACK267">
        <v>60</v>
      </c>
      <c r="ACL267">
        <v>4</v>
      </c>
      <c r="ACM267">
        <v>2.94</v>
      </c>
      <c r="ACN267">
        <v>3</v>
      </c>
      <c r="ADQ267" s="16">
        <v>7.64</v>
      </c>
      <c r="ADR267" s="16">
        <v>1</v>
      </c>
      <c r="ADS267" s="16">
        <v>3</v>
      </c>
      <c r="ADT267" s="16"/>
      <c r="ADU267" s="16">
        <v>2.94</v>
      </c>
      <c r="ADV267" s="16"/>
      <c r="ADW267" s="16"/>
      <c r="ADX267" s="16"/>
      <c r="ADY267" s="16"/>
      <c r="ADZ267" s="16"/>
      <c r="AEA267" s="16"/>
      <c r="AEB267" s="16">
        <v>5.26</v>
      </c>
      <c r="AEC267" s="16">
        <v>2.94</v>
      </c>
      <c r="AED267" s="16"/>
      <c r="AEE267" s="16"/>
      <c r="AEF267" s="16">
        <v>0</v>
      </c>
      <c r="AEG267" s="16">
        <v>0</v>
      </c>
      <c r="AEH267" s="16">
        <v>0</v>
      </c>
      <c r="AEI267">
        <v>0</v>
      </c>
      <c r="AEJ267" t="s">
        <v>808</v>
      </c>
      <c r="AEK267">
        <v>4.5</v>
      </c>
      <c r="AEL267" s="16">
        <v>61.1</v>
      </c>
      <c r="AEM267" s="16">
        <v>83.4</v>
      </c>
      <c r="AEN267" s="16">
        <v>4.0999999999999996</v>
      </c>
      <c r="AEO267">
        <v>98.62</v>
      </c>
      <c r="AEP267">
        <v>0</v>
      </c>
      <c r="AEQ267">
        <v>1.38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9.17</v>
      </c>
      <c r="AFB267">
        <v>0</v>
      </c>
      <c r="AFC267">
        <v>0</v>
      </c>
      <c r="AFD267">
        <v>0</v>
      </c>
      <c r="AFE267">
        <v>0</v>
      </c>
      <c r="AFF267">
        <v>0</v>
      </c>
      <c r="AFS267">
        <v>0</v>
      </c>
      <c r="AFT267">
        <v>0</v>
      </c>
      <c r="AGE267" s="18"/>
      <c r="AGW267">
        <v>0</v>
      </c>
      <c r="AIH267" s="16">
        <v>0</v>
      </c>
      <c r="AII267" s="16">
        <v>0</v>
      </c>
      <c r="AIJ267" s="16"/>
      <c r="AIK267" s="16"/>
      <c r="AIL267" s="16"/>
      <c r="AIM267" s="16"/>
      <c r="AIN267" s="16"/>
      <c r="AIO267" s="16"/>
      <c r="AIP267" s="16"/>
      <c r="AIQ267" s="16"/>
      <c r="AIR267" s="16"/>
      <c r="AIS267" s="16">
        <v>0</v>
      </c>
      <c r="AIT267" s="16">
        <v>0</v>
      </c>
      <c r="AIU267" s="16"/>
      <c r="AIV267" s="16"/>
      <c r="AIW267" s="16">
        <v>0</v>
      </c>
      <c r="AIX267" s="16">
        <v>0</v>
      </c>
      <c r="AIY267" s="16">
        <v>0</v>
      </c>
      <c r="AIZ267">
        <v>0</v>
      </c>
      <c r="AJA267" s="15"/>
      <c r="AJB267" s="15"/>
      <c r="AJI267" s="15"/>
      <c r="AJJ267" s="15"/>
      <c r="AJQ267" s="15"/>
      <c r="AJR267" s="15"/>
      <c r="AJY267" s="15"/>
      <c r="AJZ267" s="15"/>
      <c r="AKG267" s="15"/>
      <c r="AKH267" s="15"/>
      <c r="AKO267" s="15"/>
      <c r="AKP267" s="15"/>
      <c r="AKW267" s="15"/>
      <c r="AKX267" s="15"/>
      <c r="ALE267" s="15"/>
      <c r="ALF267" s="15"/>
      <c r="ALM267" s="15"/>
      <c r="ALN267" s="15"/>
      <c r="ALU267" s="15"/>
      <c r="ALV267" s="15"/>
      <c r="AMC267" s="15"/>
      <c r="AMD267" s="15"/>
    </row>
    <row r="268" spans="1:1024" x14ac:dyDescent="0.2">
      <c r="A268" s="1" t="s">
        <v>809</v>
      </c>
      <c r="B268" s="12">
        <v>42909</v>
      </c>
      <c r="C268">
        <v>2</v>
      </c>
      <c r="D268" s="13">
        <v>42793</v>
      </c>
      <c r="E268" s="12">
        <v>35295</v>
      </c>
      <c r="F268" s="14">
        <f t="shared" si="106"/>
        <v>20.845995893223819</v>
      </c>
      <c r="G268" s="14">
        <f t="shared" si="107"/>
        <v>0.31759069130732376</v>
      </c>
      <c r="H268" s="19" t="s">
        <v>306</v>
      </c>
      <c r="I268" s="15" t="s">
        <v>793</v>
      </c>
      <c r="J268" s="15" t="s">
        <v>183</v>
      </c>
      <c r="K268" s="15">
        <v>8</v>
      </c>
      <c r="L268" s="19"/>
      <c r="M268">
        <v>1.6</v>
      </c>
      <c r="N268" s="16">
        <f t="shared" si="108"/>
        <v>0</v>
      </c>
      <c r="O268" s="19">
        <v>0</v>
      </c>
      <c r="P268" s="19">
        <v>0</v>
      </c>
      <c r="Q268" s="19">
        <v>0</v>
      </c>
      <c r="R268" s="26">
        <v>0</v>
      </c>
      <c r="S268" s="26">
        <v>0</v>
      </c>
      <c r="T268" s="26">
        <v>0</v>
      </c>
      <c r="U268" s="19">
        <v>0</v>
      </c>
      <c r="V268" s="19">
        <v>0</v>
      </c>
      <c r="W268" s="19">
        <v>0</v>
      </c>
      <c r="X268" s="19">
        <v>0</v>
      </c>
      <c r="Y268" s="19">
        <v>1</v>
      </c>
      <c r="Z268" s="19">
        <v>2</v>
      </c>
      <c r="AA268" s="19"/>
      <c r="AB268" s="19" t="s">
        <v>349</v>
      </c>
      <c r="AC268" s="19">
        <v>0</v>
      </c>
      <c r="AD268" s="19">
        <v>0</v>
      </c>
      <c r="AE268" s="19">
        <v>0</v>
      </c>
      <c r="AF268" s="19">
        <v>0</v>
      </c>
      <c r="AG268" s="19">
        <v>0</v>
      </c>
      <c r="AH268" s="19">
        <v>0</v>
      </c>
      <c r="AI268" s="19">
        <v>0</v>
      </c>
      <c r="AJ268" s="19">
        <v>0</v>
      </c>
      <c r="AK268" s="19">
        <v>0</v>
      </c>
      <c r="AL268" s="19">
        <v>0</v>
      </c>
      <c r="AM268" s="19">
        <v>0</v>
      </c>
      <c r="AN268" s="19">
        <v>0</v>
      </c>
      <c r="AO268" s="19">
        <v>0</v>
      </c>
      <c r="AP268" s="19">
        <v>0</v>
      </c>
      <c r="AQ268" s="19">
        <v>0</v>
      </c>
      <c r="AR268" s="19">
        <v>0</v>
      </c>
      <c r="AS268" s="19">
        <v>0</v>
      </c>
      <c r="AT268" s="19">
        <v>0</v>
      </c>
      <c r="AU268" s="19">
        <v>0</v>
      </c>
      <c r="AV268" s="19">
        <v>0</v>
      </c>
      <c r="AW268" s="19">
        <v>0</v>
      </c>
      <c r="AX268" s="19">
        <v>0</v>
      </c>
      <c r="AY268" s="19">
        <v>0</v>
      </c>
      <c r="AZ268" s="19">
        <v>0</v>
      </c>
      <c r="BA268" s="19">
        <v>0</v>
      </c>
      <c r="BB268" s="19">
        <v>0</v>
      </c>
      <c r="BC268" s="19">
        <v>0</v>
      </c>
      <c r="BD268" s="19">
        <v>0</v>
      </c>
      <c r="BE268" s="19">
        <v>0</v>
      </c>
      <c r="BF268" s="19">
        <v>0</v>
      </c>
      <c r="BG268" s="19">
        <v>0</v>
      </c>
      <c r="BH268" s="19">
        <v>0</v>
      </c>
      <c r="BI268" s="19">
        <v>0</v>
      </c>
      <c r="BJ268" s="19">
        <v>0</v>
      </c>
      <c r="BK268" s="19">
        <v>0</v>
      </c>
      <c r="BL268" s="19">
        <v>0</v>
      </c>
      <c r="BM268" s="19">
        <v>0</v>
      </c>
      <c r="BN268" s="19">
        <v>0</v>
      </c>
      <c r="BO268" s="19">
        <v>0</v>
      </c>
      <c r="BP268" s="19">
        <v>0</v>
      </c>
      <c r="BQ268" s="19">
        <v>0</v>
      </c>
      <c r="BR268" s="19">
        <v>1</v>
      </c>
      <c r="BS268" s="19">
        <v>1</v>
      </c>
      <c r="BT268" s="19">
        <v>3</v>
      </c>
      <c r="BU268" s="19">
        <v>5</v>
      </c>
      <c r="BV268" s="19">
        <v>1</v>
      </c>
      <c r="BW268" s="19">
        <v>2</v>
      </c>
      <c r="BX268" s="19">
        <v>1</v>
      </c>
      <c r="BY268" s="19">
        <v>3</v>
      </c>
      <c r="BZ268" s="19">
        <v>5</v>
      </c>
      <c r="CA268" s="19">
        <v>5</v>
      </c>
      <c r="CB268" s="19">
        <v>5</v>
      </c>
      <c r="CC268" s="19">
        <v>5</v>
      </c>
      <c r="CD268" s="19">
        <v>4</v>
      </c>
      <c r="CE268" s="19">
        <v>5</v>
      </c>
      <c r="CF268" s="19">
        <v>2</v>
      </c>
      <c r="CG268" s="19">
        <v>5</v>
      </c>
      <c r="CH268" s="19">
        <v>5</v>
      </c>
      <c r="CI268" s="19">
        <v>5</v>
      </c>
      <c r="CJ268" s="19">
        <v>5</v>
      </c>
      <c r="CK268" s="19">
        <v>8</v>
      </c>
      <c r="CL268" t="s">
        <v>797</v>
      </c>
      <c r="CM268">
        <v>52.5</v>
      </c>
      <c r="CN268" s="16">
        <v>84.4</v>
      </c>
      <c r="CO268" s="16">
        <v>83.4</v>
      </c>
      <c r="CP268" s="16">
        <v>45.2</v>
      </c>
      <c r="CQ268">
        <v>36.520000000000003</v>
      </c>
      <c r="CR268">
        <v>0</v>
      </c>
      <c r="CS268">
        <v>24.46</v>
      </c>
      <c r="CT268">
        <v>5.81</v>
      </c>
      <c r="CU268">
        <v>9.5399999999999991</v>
      </c>
      <c r="CV268">
        <v>0</v>
      </c>
      <c r="CW268">
        <v>22.12</v>
      </c>
      <c r="CX268">
        <v>2.71</v>
      </c>
      <c r="CY268">
        <v>5.34</v>
      </c>
      <c r="CZ268">
        <v>3.86</v>
      </c>
      <c r="DA268">
        <v>0</v>
      </c>
      <c r="DB268">
        <v>0</v>
      </c>
      <c r="DC268">
        <v>4.3</v>
      </c>
      <c r="DD268">
        <v>3.92</v>
      </c>
      <c r="DE268">
        <v>7.14</v>
      </c>
      <c r="DF268">
        <v>0.77</v>
      </c>
      <c r="DG268">
        <v>0</v>
      </c>
      <c r="DH268">
        <v>0</v>
      </c>
      <c r="DU268">
        <v>1.4</v>
      </c>
      <c r="DV268">
        <v>1</v>
      </c>
      <c r="DW268">
        <v>55</v>
      </c>
      <c r="DX268">
        <v>1</v>
      </c>
      <c r="DY268">
        <v>0.77</v>
      </c>
      <c r="DZ268">
        <v>2</v>
      </c>
      <c r="EA268">
        <v>35</v>
      </c>
      <c r="EB268">
        <v>1</v>
      </c>
      <c r="EC268">
        <v>0.13</v>
      </c>
      <c r="ED268">
        <v>3</v>
      </c>
      <c r="EG268" s="18"/>
      <c r="EY268">
        <v>1</v>
      </c>
      <c r="EZ268">
        <v>50</v>
      </c>
      <c r="FA268">
        <v>1</v>
      </c>
      <c r="FB268">
        <v>0.36</v>
      </c>
      <c r="FC268">
        <v>1</v>
      </c>
      <c r="GJ268" s="16">
        <v>7.0000000000000007E-2</v>
      </c>
      <c r="GK268" s="16">
        <v>1</v>
      </c>
      <c r="GL268" s="16">
        <v>1</v>
      </c>
      <c r="GM268" s="16"/>
      <c r="GN268" s="16">
        <f>0.07*2+0.05*3</f>
        <v>0.29000000000000004</v>
      </c>
      <c r="GO268" s="16"/>
      <c r="GP268" s="16"/>
      <c r="GQ268" s="16"/>
      <c r="GR268" s="16"/>
      <c r="GS268" s="16"/>
      <c r="GT268" s="16"/>
      <c r="GU268" s="16">
        <v>0.05</v>
      </c>
      <c r="GV268" s="16">
        <v>0.05</v>
      </c>
      <c r="GW268" s="16"/>
      <c r="GX268" s="16"/>
      <c r="GY268" s="16">
        <v>5.76</v>
      </c>
      <c r="GZ268" s="16">
        <v>0</v>
      </c>
      <c r="HA268" s="16">
        <v>0</v>
      </c>
      <c r="HB268">
        <v>1</v>
      </c>
      <c r="HC268" t="s">
        <v>798</v>
      </c>
      <c r="HD268">
        <v>47.5</v>
      </c>
      <c r="HE268" s="16">
        <v>97.8</v>
      </c>
      <c r="HF268" s="16">
        <v>83.4</v>
      </c>
      <c r="HG268" s="16">
        <v>26.3</v>
      </c>
      <c r="HH268">
        <v>54.22</v>
      </c>
      <c r="HI268">
        <v>0</v>
      </c>
      <c r="HJ268">
        <v>0</v>
      </c>
      <c r="HK268">
        <v>0</v>
      </c>
      <c r="HL268">
        <v>32.130000000000003</v>
      </c>
      <c r="HM268">
        <v>0</v>
      </c>
      <c r="HN268">
        <v>13.65</v>
      </c>
      <c r="HO268">
        <v>0</v>
      </c>
      <c r="HP268">
        <v>0</v>
      </c>
      <c r="HQ268">
        <v>0</v>
      </c>
      <c r="HR268">
        <v>0</v>
      </c>
      <c r="HS268">
        <v>25.5</v>
      </c>
      <c r="HT268">
        <v>61.05</v>
      </c>
      <c r="HU268">
        <v>6.61</v>
      </c>
      <c r="HV268">
        <v>3.67</v>
      </c>
      <c r="HW268">
        <v>0</v>
      </c>
      <c r="HX268">
        <v>10.5</v>
      </c>
      <c r="HY268">
        <v>1</v>
      </c>
      <c r="HZ268">
        <v>3</v>
      </c>
      <c r="IB268">
        <v>1</v>
      </c>
      <c r="IL268">
        <v>7.1</v>
      </c>
      <c r="IM268">
        <v>0</v>
      </c>
      <c r="IX268" s="18"/>
      <c r="JP268">
        <v>1</v>
      </c>
      <c r="JQ268">
        <v>60</v>
      </c>
      <c r="JR268">
        <v>10</v>
      </c>
      <c r="JS268">
        <f>3.67*2</f>
        <v>7.34</v>
      </c>
      <c r="JT268">
        <v>3</v>
      </c>
      <c r="LA268" s="16">
        <v>3.22</v>
      </c>
      <c r="LB268" s="16">
        <v>1</v>
      </c>
      <c r="LC268" s="16">
        <v>1</v>
      </c>
      <c r="LD268" s="16"/>
      <c r="LE268" s="16">
        <f>1.65*3+4.08+0.54+0.52</f>
        <v>10.09</v>
      </c>
      <c r="LF268" s="16"/>
      <c r="LG268" s="16"/>
      <c r="LH268" s="16"/>
      <c r="LI268" s="16"/>
      <c r="LJ268" s="16"/>
      <c r="LK268" s="16"/>
      <c r="LL268" s="16">
        <v>0</v>
      </c>
      <c r="LM268" s="16">
        <v>0</v>
      </c>
      <c r="LN268" s="16"/>
      <c r="LO268" s="16"/>
      <c r="LP268" s="16">
        <v>0</v>
      </c>
      <c r="LQ268" s="16">
        <v>0</v>
      </c>
      <c r="LR268" s="16">
        <v>0</v>
      </c>
      <c r="LS268">
        <v>0</v>
      </c>
      <c r="LT268" t="s">
        <v>799</v>
      </c>
      <c r="LU268">
        <v>44</v>
      </c>
      <c r="LV268" s="16">
        <v>88.5</v>
      </c>
      <c r="LW268" s="16">
        <v>83.4</v>
      </c>
      <c r="LX268" s="16">
        <v>21.4</v>
      </c>
      <c r="LY268">
        <v>59.53</v>
      </c>
      <c r="LZ268">
        <v>0</v>
      </c>
      <c r="MA268">
        <v>0</v>
      </c>
      <c r="MB268">
        <v>0</v>
      </c>
      <c r="MC268">
        <v>27.73</v>
      </c>
      <c r="MD268">
        <v>0</v>
      </c>
      <c r="ME268">
        <v>12.75</v>
      </c>
      <c r="MF268">
        <v>0</v>
      </c>
      <c r="MG268">
        <v>0</v>
      </c>
      <c r="MH268">
        <v>0</v>
      </c>
      <c r="MI268">
        <v>0</v>
      </c>
      <c r="MJ268">
        <v>18.64</v>
      </c>
      <c r="MK268">
        <v>50.48</v>
      </c>
      <c r="ML268">
        <v>6.61</v>
      </c>
      <c r="MM268">
        <v>3.67</v>
      </c>
      <c r="MN268">
        <v>0</v>
      </c>
      <c r="MO268">
        <v>10.5</v>
      </c>
      <c r="MP268">
        <v>1</v>
      </c>
      <c r="MQ268">
        <v>3</v>
      </c>
      <c r="MR268">
        <v>1</v>
      </c>
      <c r="NC268">
        <v>7.1</v>
      </c>
      <c r="ND268">
        <v>0</v>
      </c>
      <c r="NO268" s="18"/>
      <c r="OG268">
        <v>1</v>
      </c>
      <c r="OH268">
        <v>60</v>
      </c>
      <c r="OI268">
        <v>10</v>
      </c>
      <c r="OJ268">
        <f>3.67*2</f>
        <v>7.34</v>
      </c>
      <c r="OK268">
        <v>4</v>
      </c>
      <c r="PR268" s="16">
        <v>2.37</v>
      </c>
      <c r="PS268" s="16">
        <v>1</v>
      </c>
      <c r="PT268" s="16">
        <v>1</v>
      </c>
      <c r="PU268" s="16"/>
      <c r="PV268" s="16">
        <f>1.65+4.08+0.54+3.77</f>
        <v>10.040000000000001</v>
      </c>
      <c r="PW268" s="16"/>
      <c r="PX268" s="16"/>
      <c r="PY268" s="16"/>
      <c r="PZ268" s="16"/>
      <c r="QA268" s="16"/>
      <c r="QB268" s="16"/>
      <c r="QC268" s="16">
        <v>0.25</v>
      </c>
      <c r="QD268" s="16">
        <v>0.25</v>
      </c>
      <c r="QE268" s="16"/>
      <c r="QF268" s="16"/>
      <c r="QG268" s="16">
        <v>0</v>
      </c>
      <c r="QH268" s="16">
        <v>0</v>
      </c>
      <c r="QI268" s="16">
        <v>3</v>
      </c>
      <c r="QJ268">
        <v>0</v>
      </c>
      <c r="QO268" s="15"/>
      <c r="QP268" s="15"/>
      <c r="QW268" s="15"/>
      <c r="QX268" s="15"/>
      <c r="RE268" s="15"/>
      <c r="RF268" s="15"/>
      <c r="RM268" s="15"/>
      <c r="RN268" s="15"/>
      <c r="RU268" s="15"/>
      <c r="RV268" s="15"/>
      <c r="SC268" s="15"/>
      <c r="SD268" s="15"/>
      <c r="SK268" s="15"/>
      <c r="SL268" s="15"/>
      <c r="SS268" s="15"/>
      <c r="ST268" s="15"/>
      <c r="TA268" s="15"/>
      <c r="TB268" s="15"/>
      <c r="TI268" s="15"/>
      <c r="TJ268" s="15"/>
      <c r="TQ268" s="15"/>
      <c r="TR268" s="15"/>
      <c r="TY268" s="15"/>
      <c r="TZ268" s="15"/>
      <c r="UG268" s="15"/>
      <c r="UH268" s="15"/>
      <c r="UO268" s="15"/>
      <c r="UP268" s="15"/>
      <c r="UW268" s="15"/>
      <c r="UX268" s="15"/>
      <c r="VE268" s="15"/>
      <c r="VF268" s="15"/>
      <c r="VM268" s="15"/>
      <c r="VN268" s="15"/>
      <c r="VU268" s="15"/>
      <c r="VV268" s="15"/>
      <c r="WC268" s="15"/>
      <c r="WD268" s="15"/>
      <c r="WK268" s="15"/>
      <c r="WL268" s="15"/>
      <c r="WS268" s="15"/>
      <c r="WT268" s="15"/>
      <c r="XA268" s="15"/>
      <c r="XB268" s="15"/>
      <c r="XI268" s="15"/>
      <c r="XJ268" s="15"/>
      <c r="XQ268" s="15"/>
      <c r="XR268" s="15"/>
      <c r="XY268" s="15"/>
      <c r="XZ268" s="15"/>
      <c r="YG268" s="15"/>
      <c r="YH268" s="15"/>
      <c r="YO268" s="15"/>
      <c r="YP268" s="15"/>
      <c r="YW268" s="15"/>
      <c r="YX268" s="15"/>
      <c r="ZE268" s="15"/>
      <c r="ZF268" s="15"/>
      <c r="ZM268" s="15"/>
      <c r="ZN268" s="15"/>
      <c r="ZU268" s="15"/>
      <c r="ZV268" s="15"/>
      <c r="AAC268" s="15"/>
      <c r="AAD268" s="15"/>
      <c r="AAK268" s="15"/>
      <c r="AAL268" s="15"/>
      <c r="AAS268" s="15"/>
      <c r="AAT268" s="15"/>
      <c r="ABA268" s="15"/>
      <c r="ABB268" s="15"/>
      <c r="ABI268" s="15"/>
      <c r="ABJ268" s="15"/>
      <c r="ABQ268" s="15"/>
      <c r="ABR268" s="15"/>
      <c r="ABY268" s="15"/>
      <c r="ABZ268" s="15"/>
      <c r="ACG268" s="15"/>
      <c r="ACH268" s="15"/>
      <c r="ACO268" s="15"/>
      <c r="ACP268" s="15"/>
      <c r="ACW268" s="15"/>
      <c r="ACX268" s="15"/>
      <c r="ADE268" s="15"/>
      <c r="ADF268" s="15"/>
      <c r="ADM268" s="15"/>
      <c r="ADN268" s="15"/>
      <c r="ADU268" s="15"/>
      <c r="ADV268" s="15"/>
      <c r="AEC268" s="15"/>
      <c r="AED268" s="15"/>
      <c r="AEK268" s="15"/>
      <c r="AEL268" s="15"/>
      <c r="AES268" s="15"/>
      <c r="AET268" s="15"/>
      <c r="AFA268" s="15"/>
      <c r="AFB268" s="15"/>
      <c r="AFI268" s="15"/>
      <c r="AFJ268" s="15"/>
      <c r="AFQ268" s="15"/>
      <c r="AFR268" s="15"/>
      <c r="AFY268" s="15"/>
      <c r="AFZ268" s="15"/>
      <c r="AGG268" s="15"/>
      <c r="AGH268" s="15"/>
      <c r="AGO268" s="15"/>
      <c r="AGP268" s="15"/>
      <c r="AGW268" s="15"/>
      <c r="AGX268" s="15"/>
      <c r="AHE268" s="15"/>
      <c r="AHF268" s="15"/>
      <c r="AHM268" s="15"/>
      <c r="AHN268" s="15"/>
      <c r="AHU268" s="15"/>
      <c r="AHV268" s="15"/>
      <c r="AIC268" s="15"/>
      <c r="AID268" s="15"/>
      <c r="AIK268" s="15"/>
      <c r="AIL268" s="15"/>
      <c r="AIS268" s="15"/>
      <c r="AIT268" s="15"/>
      <c r="AJA268" s="15"/>
      <c r="AJB268" s="15"/>
      <c r="AJI268" s="15"/>
      <c r="AJJ268" s="15"/>
      <c r="AJQ268" s="15"/>
      <c r="AJR268" s="15"/>
      <c r="AJY268" s="15"/>
      <c r="AJZ268" s="15"/>
      <c r="AKG268" s="15"/>
      <c r="AKH268" s="15"/>
      <c r="AKO268" s="15"/>
      <c r="AKP268" s="15"/>
      <c r="AKW268" s="15"/>
      <c r="AKX268" s="15"/>
      <c r="ALE268" s="15"/>
      <c r="ALF268" s="15"/>
      <c r="ALM268" s="15"/>
      <c r="ALN268" s="15"/>
      <c r="ALU268" s="15"/>
      <c r="ALV268" s="15"/>
      <c r="AMC268" s="15"/>
      <c r="AMD268" s="15"/>
    </row>
    <row r="269" spans="1:1024" x14ac:dyDescent="0.2">
      <c r="A269" s="1" t="s">
        <v>810</v>
      </c>
      <c r="B269" s="12">
        <v>42901</v>
      </c>
      <c r="C269">
        <v>2</v>
      </c>
      <c r="D269" s="13">
        <v>42814</v>
      </c>
      <c r="E269" s="12">
        <v>35039</v>
      </c>
      <c r="F269" s="14">
        <f t="shared" si="106"/>
        <v>21.524982888432579</v>
      </c>
      <c r="G269" s="14">
        <f t="shared" si="107"/>
        <v>0.23819301848049282</v>
      </c>
      <c r="H269" s="19" t="s">
        <v>217</v>
      </c>
      <c r="I269" s="15" t="s">
        <v>545</v>
      </c>
      <c r="J269" s="15" t="s">
        <v>181</v>
      </c>
      <c r="K269" s="15">
        <v>8</v>
      </c>
      <c r="L269" s="19">
        <v>76</v>
      </c>
      <c r="M269">
        <v>1.8</v>
      </c>
      <c r="N269" s="16">
        <f t="shared" si="108"/>
        <v>23.456790123456788</v>
      </c>
      <c r="O269" s="19">
        <v>0</v>
      </c>
      <c r="P269" s="19">
        <v>0</v>
      </c>
      <c r="Q269" s="19">
        <v>0</v>
      </c>
      <c r="R269" s="26">
        <v>0</v>
      </c>
      <c r="S269" s="26">
        <v>0</v>
      </c>
      <c r="T269" s="26">
        <v>0</v>
      </c>
      <c r="U269" s="19">
        <v>0</v>
      </c>
      <c r="V269" s="19">
        <v>0</v>
      </c>
      <c r="W269" s="19">
        <v>0</v>
      </c>
      <c r="X269" s="19">
        <v>0</v>
      </c>
      <c r="Y269" s="19">
        <v>1</v>
      </c>
      <c r="Z269" s="19">
        <v>1</v>
      </c>
      <c r="AA269" s="19">
        <v>90</v>
      </c>
      <c r="AB269" s="19" t="s">
        <v>811</v>
      </c>
      <c r="AC269" s="19">
        <v>0</v>
      </c>
      <c r="AD269" s="19">
        <v>0</v>
      </c>
      <c r="AE269" s="19">
        <v>0</v>
      </c>
      <c r="AF269" s="19">
        <v>0</v>
      </c>
      <c r="AG269" s="19">
        <v>0</v>
      </c>
      <c r="AH269" s="19">
        <v>0</v>
      </c>
      <c r="AI269" s="19">
        <v>2</v>
      </c>
      <c r="AJ269" s="19">
        <v>0</v>
      </c>
      <c r="AK269" s="19">
        <v>0</v>
      </c>
      <c r="AL269" s="19">
        <v>0</v>
      </c>
      <c r="AM269" s="19">
        <v>0</v>
      </c>
      <c r="AN269" s="19">
        <v>0</v>
      </c>
      <c r="AO269" s="19">
        <v>0</v>
      </c>
      <c r="AP269" s="19">
        <v>0</v>
      </c>
      <c r="AQ269" s="19">
        <v>0</v>
      </c>
      <c r="AR269" s="19">
        <v>0</v>
      </c>
      <c r="AS269" s="19">
        <v>0</v>
      </c>
      <c r="AT269" s="19">
        <v>0</v>
      </c>
      <c r="AU269" s="19">
        <v>0</v>
      </c>
      <c r="AV269" s="19">
        <v>0</v>
      </c>
      <c r="AW269" s="19">
        <v>0</v>
      </c>
      <c r="AX269" s="19">
        <v>0</v>
      </c>
      <c r="AY269" s="19">
        <v>0</v>
      </c>
      <c r="AZ269" s="19">
        <v>0</v>
      </c>
      <c r="BA269" s="19">
        <v>0</v>
      </c>
      <c r="BB269" s="19">
        <v>0</v>
      </c>
      <c r="BC269" s="19">
        <v>0</v>
      </c>
      <c r="BD269" s="19">
        <v>0</v>
      </c>
      <c r="BE269" s="19">
        <v>0</v>
      </c>
      <c r="BF269" s="19">
        <v>0</v>
      </c>
      <c r="BG269" s="19">
        <v>0</v>
      </c>
      <c r="BH269" s="19">
        <v>0</v>
      </c>
      <c r="BI269" s="19">
        <v>0</v>
      </c>
      <c r="BJ269" s="19">
        <v>0</v>
      </c>
      <c r="BK269" s="19">
        <v>0</v>
      </c>
      <c r="BL269" s="19">
        <v>0</v>
      </c>
      <c r="BM269" s="19">
        <v>0</v>
      </c>
      <c r="BN269" s="19">
        <v>0</v>
      </c>
      <c r="BO269" s="19">
        <v>0</v>
      </c>
      <c r="BP269" s="19">
        <v>0</v>
      </c>
      <c r="BQ269" s="19">
        <v>0</v>
      </c>
      <c r="BR269" s="19">
        <v>1</v>
      </c>
      <c r="BS269" s="19">
        <v>1</v>
      </c>
      <c r="BT269" s="19">
        <v>1</v>
      </c>
      <c r="BU269" s="19">
        <v>4</v>
      </c>
      <c r="BV269" s="19">
        <v>2</v>
      </c>
      <c r="BW269" s="19">
        <v>1</v>
      </c>
      <c r="BX269" s="19">
        <v>3</v>
      </c>
      <c r="BY269" s="19">
        <v>3</v>
      </c>
      <c r="BZ269" s="19">
        <v>3</v>
      </c>
      <c r="CA269" s="19">
        <v>5</v>
      </c>
      <c r="CB269" s="19">
        <v>5</v>
      </c>
      <c r="CC269" s="19">
        <v>5</v>
      </c>
      <c r="CD269" s="19">
        <v>5</v>
      </c>
      <c r="CE269" s="19">
        <v>5</v>
      </c>
      <c r="CF269" s="19">
        <v>5</v>
      </c>
      <c r="CG269" s="19">
        <v>5</v>
      </c>
      <c r="CH269" s="19">
        <v>5</v>
      </c>
      <c r="CI269" s="19">
        <v>5</v>
      </c>
      <c r="CJ269" s="19">
        <v>5</v>
      </c>
      <c r="CK269" s="19">
        <v>10</v>
      </c>
      <c r="CL269" t="s">
        <v>555</v>
      </c>
      <c r="CM269">
        <v>35</v>
      </c>
      <c r="CN269" s="16">
        <v>78.8</v>
      </c>
      <c r="CO269" s="16">
        <v>80.400000000000006</v>
      </c>
      <c r="CP269" s="16">
        <v>17.2</v>
      </c>
      <c r="CQ269">
        <v>72.069999999999993</v>
      </c>
      <c r="CR269">
        <v>11.09</v>
      </c>
      <c r="CS269">
        <v>1.1200000000000001</v>
      </c>
      <c r="CT269">
        <v>0</v>
      </c>
      <c r="CU269">
        <v>15.71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1.66</v>
      </c>
      <c r="DD269">
        <v>34.99</v>
      </c>
      <c r="DE269">
        <v>0</v>
      </c>
      <c r="DF269">
        <v>0</v>
      </c>
      <c r="DG269">
        <v>0</v>
      </c>
      <c r="DH269">
        <v>0</v>
      </c>
      <c r="DU269">
        <v>11.2</v>
      </c>
      <c r="DV269">
        <v>1</v>
      </c>
      <c r="DW269">
        <v>52</v>
      </c>
      <c r="DX269">
        <f>18+1+15</f>
        <v>34</v>
      </c>
      <c r="DY269">
        <f>3.2+2.05+0.07</f>
        <v>5.32</v>
      </c>
      <c r="DZ269">
        <v>2</v>
      </c>
      <c r="EG269" s="18"/>
      <c r="EY269">
        <v>0</v>
      </c>
      <c r="GJ269" s="16">
        <v>0</v>
      </c>
      <c r="GK269" s="16">
        <v>0</v>
      </c>
      <c r="GL269" s="16"/>
      <c r="GM269" s="16"/>
      <c r="GN269" s="16"/>
      <c r="GO269" s="16"/>
      <c r="GP269" s="16"/>
      <c r="GQ269" s="16"/>
      <c r="GR269" s="16"/>
      <c r="GS269" s="16"/>
      <c r="GT269" s="16"/>
      <c r="GU269" s="16">
        <v>6.16</v>
      </c>
      <c r="GV269" s="16">
        <v>7.21</v>
      </c>
      <c r="GW269" s="16"/>
      <c r="GX269" s="16"/>
      <c r="GY269" s="16">
        <v>0</v>
      </c>
      <c r="GZ269" s="16">
        <v>0</v>
      </c>
      <c r="HA269" s="16">
        <v>0</v>
      </c>
      <c r="HB269">
        <v>0</v>
      </c>
      <c r="HC269" t="s">
        <v>546</v>
      </c>
      <c r="HD269">
        <v>16.5</v>
      </c>
      <c r="HE269" s="16">
        <v>35.299999999999997</v>
      </c>
      <c r="HF269" s="16">
        <v>80.400000000000006</v>
      </c>
      <c r="HG269" s="16">
        <v>9.6999999999999993</v>
      </c>
      <c r="HH269">
        <v>86.56</v>
      </c>
      <c r="HI269">
        <v>12.61</v>
      </c>
      <c r="HJ269">
        <v>0</v>
      </c>
      <c r="HK269">
        <v>0</v>
      </c>
      <c r="HL269">
        <v>0.83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2.2200000000000002</v>
      </c>
      <c r="HU269">
        <v>20.83</v>
      </c>
      <c r="HV269">
        <v>0</v>
      </c>
      <c r="HW269">
        <v>0</v>
      </c>
      <c r="HX269">
        <v>0</v>
      </c>
      <c r="HY269">
        <v>0</v>
      </c>
      <c r="IL269">
        <v>0.3</v>
      </c>
      <c r="IM269">
        <v>1</v>
      </c>
      <c r="IN269">
        <v>34</v>
      </c>
      <c r="IO269">
        <v>4</v>
      </c>
      <c r="IP269">
        <f>1.35+0.45+1.35+0.45</f>
        <v>3.6000000000000005</v>
      </c>
      <c r="IQ269">
        <v>1</v>
      </c>
      <c r="IR269">
        <v>52</v>
      </c>
      <c r="IS269">
        <v>1</v>
      </c>
      <c r="IT269">
        <f>0.18</f>
        <v>0.18</v>
      </c>
      <c r="IU269">
        <v>2</v>
      </c>
      <c r="IX269" s="18"/>
      <c r="JP269">
        <v>0</v>
      </c>
      <c r="LA269" s="16">
        <v>0.28000000000000003</v>
      </c>
      <c r="LB269" s="16">
        <v>1</v>
      </c>
      <c r="LC269" s="16">
        <v>2</v>
      </c>
      <c r="LD269" s="16"/>
      <c r="LE269" s="16">
        <f>0.37+0.26</f>
        <v>0.63</v>
      </c>
      <c r="LF269" s="16"/>
      <c r="LG269" s="16"/>
      <c r="LH269" s="16"/>
      <c r="LI269" s="16"/>
      <c r="LJ269" s="16"/>
      <c r="LK269" s="16"/>
      <c r="LL269" s="16">
        <v>5.99</v>
      </c>
      <c r="LM269" s="16">
        <v>5.34</v>
      </c>
      <c r="LN269" s="16"/>
      <c r="LO269" s="16"/>
      <c r="LP269" s="16">
        <v>0</v>
      </c>
      <c r="LQ269" s="16">
        <v>0</v>
      </c>
      <c r="LR269" s="16">
        <v>0</v>
      </c>
      <c r="LS269">
        <v>0</v>
      </c>
      <c r="LT269" t="s">
        <v>547</v>
      </c>
      <c r="LU269">
        <v>29.5</v>
      </c>
      <c r="LV269" s="16">
        <v>87.5</v>
      </c>
      <c r="LW269" s="16">
        <v>80.400000000000006</v>
      </c>
      <c r="LX269" s="16">
        <v>14.3</v>
      </c>
      <c r="LY269">
        <v>68.7</v>
      </c>
      <c r="LZ269">
        <v>23.24</v>
      </c>
      <c r="MA269">
        <v>1.79</v>
      </c>
      <c r="MB269">
        <v>0</v>
      </c>
      <c r="MC269">
        <v>6.27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7.01</v>
      </c>
      <c r="ML269">
        <v>58.72</v>
      </c>
      <c r="MM269">
        <v>0.23</v>
      </c>
      <c r="MN269">
        <v>0</v>
      </c>
      <c r="MO269">
        <v>0.5</v>
      </c>
      <c r="MP269">
        <v>2</v>
      </c>
      <c r="MQ269">
        <v>7</v>
      </c>
      <c r="MR269">
        <v>0.08</v>
      </c>
      <c r="MW269">
        <v>7</v>
      </c>
      <c r="MX269">
        <v>0.08</v>
      </c>
      <c r="NC269">
        <v>0</v>
      </c>
      <c r="ND269">
        <v>1</v>
      </c>
      <c r="NE269">
        <v>23</v>
      </c>
      <c r="NF269">
        <v>2</v>
      </c>
      <c r="NG269">
        <v>0.9</v>
      </c>
      <c r="NH269">
        <v>3</v>
      </c>
      <c r="NO269" s="18"/>
      <c r="OG269">
        <v>1</v>
      </c>
      <c r="OH269">
        <v>50</v>
      </c>
      <c r="OI269">
        <v>2</v>
      </c>
      <c r="OJ269">
        <f>3.13+23.63</f>
        <v>26.759999999999998</v>
      </c>
      <c r="OK269">
        <v>3</v>
      </c>
      <c r="PR269" s="16">
        <v>1.49</v>
      </c>
      <c r="PS269" s="16">
        <v>1</v>
      </c>
      <c r="PT269" s="16">
        <v>1</v>
      </c>
      <c r="PU269" s="16"/>
      <c r="PV269" s="16">
        <f>1.91+2.02+2.02+1.35</f>
        <v>7.2999999999999989</v>
      </c>
      <c r="PW269" s="16">
        <v>2</v>
      </c>
      <c r="PX269" s="16"/>
      <c r="PY269" s="16">
        <v>0.21</v>
      </c>
      <c r="PZ269" s="16"/>
      <c r="QA269" s="16"/>
      <c r="QB269" s="16"/>
      <c r="QC269" s="16">
        <v>10.82</v>
      </c>
      <c r="QD269" s="16">
        <v>14.57</v>
      </c>
      <c r="QE269" s="16"/>
      <c r="QF269" s="16"/>
      <c r="QG269" s="16">
        <v>2.2400000000000002</v>
      </c>
      <c r="QH269" s="16">
        <v>0.9</v>
      </c>
      <c r="QI269" s="16">
        <v>0</v>
      </c>
      <c r="QJ269">
        <v>0</v>
      </c>
      <c r="QK269" t="s">
        <v>548</v>
      </c>
      <c r="QL269">
        <v>50</v>
      </c>
      <c r="QM269" s="16">
        <v>80</v>
      </c>
      <c r="QN269" s="16">
        <v>80.400000000000006</v>
      </c>
      <c r="QO269" s="16">
        <v>16.899999999999999</v>
      </c>
      <c r="QP269">
        <v>58.18</v>
      </c>
      <c r="QQ269">
        <v>32.94</v>
      </c>
      <c r="QR269">
        <v>1.79</v>
      </c>
      <c r="QS269">
        <v>0</v>
      </c>
      <c r="QT269">
        <v>7.09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3.53</v>
      </c>
      <c r="RC269">
        <v>45.12</v>
      </c>
      <c r="RD269">
        <v>0</v>
      </c>
      <c r="RE269">
        <v>0</v>
      </c>
      <c r="RF269">
        <v>0</v>
      </c>
      <c r="RG269">
        <v>0</v>
      </c>
      <c r="RT269">
        <v>8.1999999999999993</v>
      </c>
      <c r="RU269">
        <v>1</v>
      </c>
      <c r="RV269">
        <v>23</v>
      </c>
      <c r="RW269">
        <v>1</v>
      </c>
      <c r="RX269">
        <v>0.45</v>
      </c>
      <c r="RY269">
        <v>3</v>
      </c>
      <c r="RZ269">
        <v>34</v>
      </c>
      <c r="SA269">
        <v>28</v>
      </c>
      <c r="SB269">
        <f>0.45+0.18+1.6+0.24+0.37+4.39+0.49+0.04+0.32+0.05+1.38</f>
        <v>9.5100000000000016</v>
      </c>
      <c r="SC269">
        <v>1</v>
      </c>
      <c r="SF269" s="18"/>
      <c r="SX269">
        <v>0</v>
      </c>
      <c r="UI269" s="16">
        <v>1.65</v>
      </c>
      <c r="UJ269" s="16">
        <v>1</v>
      </c>
      <c r="UK269" s="16">
        <v>1</v>
      </c>
      <c r="UL269" s="16"/>
      <c r="UM269" s="16">
        <f>0.18</f>
        <v>0.18</v>
      </c>
      <c r="UN269" s="16">
        <v>2</v>
      </c>
      <c r="UO269" s="16"/>
      <c r="UP269" s="16">
        <f>1.65+0.91+6.23+0.66</f>
        <v>9.4500000000000011</v>
      </c>
      <c r="UQ269" s="16"/>
      <c r="UR269" s="16"/>
      <c r="US269" s="16"/>
      <c r="UT269" s="16">
        <v>20.65</v>
      </c>
      <c r="UU269" s="16">
        <v>33.56</v>
      </c>
      <c r="UV269" s="16"/>
      <c r="UW269" s="16"/>
      <c r="UX269" s="16">
        <v>2.2400000000000002</v>
      </c>
      <c r="UY269" s="16">
        <v>0.45</v>
      </c>
      <c r="UZ269" s="16">
        <v>0</v>
      </c>
      <c r="VA269">
        <v>0.45</v>
      </c>
      <c r="VB269" t="s">
        <v>549</v>
      </c>
      <c r="VC269">
        <v>31.5</v>
      </c>
      <c r="VD269" s="16">
        <v>79.900000000000006</v>
      </c>
      <c r="VE269" s="16">
        <v>80.400000000000006</v>
      </c>
      <c r="VF269" s="16">
        <v>17.8</v>
      </c>
      <c r="VG269">
        <v>71.45</v>
      </c>
      <c r="VH269">
        <v>9.43</v>
      </c>
      <c r="VI269">
        <v>1.1200000000000001</v>
      </c>
      <c r="VJ269">
        <v>0</v>
      </c>
      <c r="VK269">
        <v>18.010000000000002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8.44</v>
      </c>
      <c r="VT269">
        <v>63.45</v>
      </c>
      <c r="VU269">
        <v>0</v>
      </c>
      <c r="VV269">
        <v>0</v>
      </c>
      <c r="VW269">
        <v>0</v>
      </c>
      <c r="VX269">
        <v>0</v>
      </c>
      <c r="WK269">
        <v>2</v>
      </c>
      <c r="WL269">
        <v>1</v>
      </c>
      <c r="WM269">
        <v>52</v>
      </c>
      <c r="WN269">
        <v>2</v>
      </c>
      <c r="WO269">
        <f>0.9+0.02</f>
        <v>0.92</v>
      </c>
      <c r="WP269">
        <v>2</v>
      </c>
      <c r="WW269" s="18"/>
      <c r="XO269">
        <v>1</v>
      </c>
      <c r="XP269">
        <v>50</v>
      </c>
      <c r="XQ269">
        <v>9</v>
      </c>
      <c r="XR269">
        <f>19.9+3.13</f>
        <v>23.029999999999998</v>
      </c>
      <c r="XS269">
        <v>3</v>
      </c>
      <c r="YZ269" s="16">
        <v>1.47</v>
      </c>
      <c r="ZA269" s="16">
        <v>1</v>
      </c>
      <c r="ZB269" s="16">
        <v>1</v>
      </c>
      <c r="ZC269" s="16"/>
      <c r="ZD269" s="16">
        <v>2.13</v>
      </c>
      <c r="ZE269" s="16">
        <v>2</v>
      </c>
      <c r="ZF269" s="16"/>
      <c r="ZG269" s="16">
        <v>3.37</v>
      </c>
      <c r="ZH269" s="16"/>
      <c r="ZI269" s="16"/>
      <c r="ZJ269" s="16"/>
      <c r="ZK269" s="16">
        <v>5.55</v>
      </c>
      <c r="ZL269" s="16">
        <v>6.42</v>
      </c>
      <c r="ZM269" s="16"/>
      <c r="ZN269" s="16"/>
      <c r="ZO269" s="16">
        <v>0</v>
      </c>
      <c r="ZP269" s="16">
        <v>0</v>
      </c>
      <c r="ZQ269" s="16">
        <v>4.4800000000000004</v>
      </c>
      <c r="ZR269">
        <v>0</v>
      </c>
      <c r="ZS269" t="s">
        <v>550</v>
      </c>
      <c r="ZT269">
        <v>17</v>
      </c>
      <c r="ZU269" s="16">
        <v>87.8</v>
      </c>
      <c r="ZV269" s="16">
        <v>80.400000000000006</v>
      </c>
      <c r="ZW269" s="16">
        <v>11.6</v>
      </c>
      <c r="ZX269">
        <v>86.21</v>
      </c>
      <c r="ZY269">
        <v>1.64</v>
      </c>
      <c r="ZZ269">
        <v>0.45</v>
      </c>
      <c r="AAA269">
        <v>0</v>
      </c>
      <c r="AAB269">
        <v>11.7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14.73</v>
      </c>
      <c r="AAK269">
        <v>7.98</v>
      </c>
      <c r="AAL269">
        <v>0</v>
      </c>
      <c r="AAM269">
        <v>0</v>
      </c>
      <c r="AAN269">
        <v>0</v>
      </c>
      <c r="AAO269">
        <v>0</v>
      </c>
      <c r="ABB269">
        <v>0</v>
      </c>
      <c r="ABC269">
        <v>0</v>
      </c>
      <c r="ABN269" s="18"/>
      <c r="ACF269">
        <v>0</v>
      </c>
      <c r="ADQ269" s="16">
        <v>0</v>
      </c>
      <c r="ADR269" s="16">
        <v>0</v>
      </c>
      <c r="ADS269" s="16"/>
      <c r="ADT269" s="16"/>
      <c r="ADU269" s="16"/>
      <c r="ADV269" s="16"/>
      <c r="ADW269" s="16"/>
      <c r="ADX269" s="16"/>
      <c r="ADY269" s="16"/>
      <c r="ADZ269" s="16"/>
      <c r="AEA269" s="16"/>
      <c r="AEB269" s="16">
        <v>5.22</v>
      </c>
      <c r="AEC269" s="16">
        <v>5.37</v>
      </c>
      <c r="AED269" s="16"/>
      <c r="AEE269" s="16"/>
      <c r="AEF269" s="16">
        <v>0</v>
      </c>
      <c r="AEG269" s="16">
        <v>0</v>
      </c>
      <c r="AEH269" s="16">
        <v>0.19</v>
      </c>
      <c r="AEI269">
        <v>0</v>
      </c>
      <c r="AEJ269" t="s">
        <v>551</v>
      </c>
      <c r="AEK269">
        <v>17.5</v>
      </c>
      <c r="AEL269" s="16">
        <v>87.6</v>
      </c>
      <c r="AEM269" s="16">
        <v>80.400000000000006</v>
      </c>
      <c r="AEN269" s="16">
        <v>12</v>
      </c>
      <c r="AEO269">
        <v>84.96</v>
      </c>
      <c r="AEP269">
        <v>1.61</v>
      </c>
      <c r="AEQ269">
        <v>0.45</v>
      </c>
      <c r="AER269">
        <v>0</v>
      </c>
      <c r="AES269">
        <v>12.98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15.99</v>
      </c>
      <c r="AFB269">
        <v>7.84</v>
      </c>
      <c r="AFC269">
        <v>0</v>
      </c>
      <c r="AFD269">
        <v>0</v>
      </c>
      <c r="AFE269">
        <v>0</v>
      </c>
      <c r="AFF269">
        <v>0</v>
      </c>
      <c r="AFS269">
        <v>0</v>
      </c>
      <c r="AFT269">
        <v>0</v>
      </c>
      <c r="AGE269" s="18"/>
      <c r="AGW269">
        <v>0</v>
      </c>
      <c r="AIH269" s="16">
        <v>0</v>
      </c>
      <c r="AII269" s="16">
        <v>0</v>
      </c>
      <c r="AIJ269" s="16"/>
      <c r="AIK269" s="16"/>
      <c r="AIL269" s="16"/>
      <c r="AIM269" s="16"/>
      <c r="AIN269" s="16"/>
      <c r="AIO269" s="16"/>
      <c r="AIP269" s="16"/>
      <c r="AIQ269" s="16"/>
      <c r="AIR269" s="16"/>
      <c r="AIS269" s="16">
        <v>5.22</v>
      </c>
      <c r="AIT269" s="16">
        <v>5.37</v>
      </c>
      <c r="AIU269" s="16"/>
      <c r="AIV269" s="16"/>
      <c r="AIW269" s="16">
        <v>0</v>
      </c>
      <c r="AIX269" s="16">
        <v>0</v>
      </c>
      <c r="AIY269" s="16">
        <v>0.19</v>
      </c>
      <c r="AIZ269">
        <v>0</v>
      </c>
      <c r="AJA269" t="s">
        <v>552</v>
      </c>
      <c r="AJB269">
        <v>16.5</v>
      </c>
      <c r="AJC269" s="16">
        <v>73.2</v>
      </c>
      <c r="AJD269" s="16">
        <v>80.400000000000006</v>
      </c>
      <c r="AJE269" s="16">
        <v>10.199999999999999</v>
      </c>
      <c r="AJF269">
        <v>69.430000000000007</v>
      </c>
      <c r="AJG269">
        <v>29.45</v>
      </c>
      <c r="AJH269">
        <v>1.1200000000000001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29.3</v>
      </c>
      <c r="AJS269">
        <v>10.81</v>
      </c>
      <c r="AJT269">
        <v>0</v>
      </c>
      <c r="AJU269">
        <v>0</v>
      </c>
      <c r="AJV269">
        <v>5.9</v>
      </c>
      <c r="AJW269">
        <v>2</v>
      </c>
      <c r="AJX269">
        <v>3</v>
      </c>
      <c r="AJY269">
        <v>2.0099999999999998</v>
      </c>
      <c r="AKD269">
        <v>3</v>
      </c>
      <c r="AKE269">
        <v>2.0099999999999998</v>
      </c>
      <c r="AKJ269">
        <v>0</v>
      </c>
      <c r="AKK269">
        <v>0</v>
      </c>
      <c r="AKV269" s="18"/>
      <c r="ALN269">
        <v>0</v>
      </c>
    </row>
    <row r="270" spans="1:1024" x14ac:dyDescent="0.2">
      <c r="A270" s="1" t="s">
        <v>812</v>
      </c>
      <c r="B270" s="12">
        <v>42902</v>
      </c>
      <c r="C270">
        <v>2</v>
      </c>
      <c r="D270" s="13">
        <v>35744</v>
      </c>
      <c r="E270" s="12">
        <v>28214</v>
      </c>
      <c r="F270" s="14">
        <f t="shared" si="106"/>
        <v>40.213552361396303</v>
      </c>
      <c r="G270" s="14">
        <f t="shared" si="107"/>
        <v>19.597535934291582</v>
      </c>
      <c r="H270" s="19" t="s">
        <v>217</v>
      </c>
      <c r="I270" s="15" t="s">
        <v>545</v>
      </c>
      <c r="J270" s="15" t="s">
        <v>181</v>
      </c>
      <c r="K270" s="15">
        <v>8</v>
      </c>
      <c r="L270" s="19">
        <v>82</v>
      </c>
      <c r="M270">
        <v>1.77</v>
      </c>
      <c r="N270" s="16">
        <f t="shared" si="108"/>
        <v>26.173832551310287</v>
      </c>
      <c r="O270" s="19">
        <v>0</v>
      </c>
      <c r="P270" s="19">
        <v>0</v>
      </c>
      <c r="Q270" s="19">
        <v>0</v>
      </c>
      <c r="R270" s="26">
        <v>0</v>
      </c>
      <c r="S270" s="26">
        <v>0</v>
      </c>
      <c r="T270" s="26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</v>
      </c>
      <c r="AG270" s="19">
        <v>0</v>
      </c>
      <c r="AH270" s="19">
        <v>0</v>
      </c>
      <c r="AI270" s="19">
        <v>0</v>
      </c>
      <c r="AJ270" s="19">
        <v>0</v>
      </c>
      <c r="AK270" s="19">
        <v>0</v>
      </c>
      <c r="AL270" s="19">
        <v>0</v>
      </c>
      <c r="AM270" s="19">
        <v>0</v>
      </c>
      <c r="AN270" s="19">
        <v>0</v>
      </c>
      <c r="AO270" s="19">
        <v>0</v>
      </c>
      <c r="AP270" s="19">
        <v>0</v>
      </c>
      <c r="AQ270" s="19">
        <v>0</v>
      </c>
      <c r="AR270" s="19">
        <v>0</v>
      </c>
      <c r="AS270" s="19">
        <v>1</v>
      </c>
      <c r="AT270" s="19">
        <v>0</v>
      </c>
      <c r="AU270" s="19">
        <v>0</v>
      </c>
      <c r="AV270" s="19">
        <v>0</v>
      </c>
      <c r="AW270" s="19">
        <v>0</v>
      </c>
      <c r="AX270" s="19">
        <v>1</v>
      </c>
      <c r="AY270" s="19">
        <v>0</v>
      </c>
      <c r="AZ270" s="19">
        <v>0</v>
      </c>
      <c r="BA270" s="19">
        <v>0</v>
      </c>
      <c r="BB270" s="19">
        <v>0</v>
      </c>
      <c r="BC270" s="19">
        <v>0</v>
      </c>
      <c r="BD270" s="19">
        <v>0</v>
      </c>
      <c r="BE270" s="19">
        <v>0</v>
      </c>
      <c r="BF270" s="19">
        <v>0</v>
      </c>
      <c r="BG270" s="19">
        <v>0</v>
      </c>
      <c r="BH270" s="19">
        <v>0</v>
      </c>
      <c r="BI270" s="19">
        <v>0</v>
      </c>
      <c r="BJ270" s="19">
        <v>0</v>
      </c>
      <c r="BK270" s="19">
        <v>0</v>
      </c>
      <c r="BL270" s="19">
        <v>0</v>
      </c>
      <c r="BM270" s="19">
        <v>0</v>
      </c>
      <c r="BN270" s="19">
        <v>0</v>
      </c>
      <c r="BO270" s="19">
        <v>0</v>
      </c>
      <c r="BP270" s="19">
        <v>0</v>
      </c>
      <c r="BQ270" s="19">
        <v>0</v>
      </c>
      <c r="BR270" s="19">
        <v>5</v>
      </c>
      <c r="BS270" s="19">
        <v>2</v>
      </c>
      <c r="BT270" s="19">
        <v>4</v>
      </c>
      <c r="BU270" s="19">
        <v>5</v>
      </c>
      <c r="BV270" s="19">
        <v>2</v>
      </c>
      <c r="BW270" s="19">
        <v>1</v>
      </c>
      <c r="BX270" s="19">
        <v>2</v>
      </c>
      <c r="BY270" s="19">
        <v>3</v>
      </c>
      <c r="BZ270" s="19">
        <v>4</v>
      </c>
      <c r="CA270" s="19">
        <v>2</v>
      </c>
      <c r="CB270" s="19">
        <v>2</v>
      </c>
      <c r="CC270" s="19">
        <v>5</v>
      </c>
      <c r="CD270" s="19">
        <v>1</v>
      </c>
      <c r="CE270" s="19">
        <v>4</v>
      </c>
      <c r="CF270" s="19">
        <v>4</v>
      </c>
      <c r="CG270" s="19">
        <v>4</v>
      </c>
      <c r="CH270" s="19">
        <v>3</v>
      </c>
      <c r="CI270" s="19">
        <v>4</v>
      </c>
      <c r="CJ270" s="19">
        <v>2</v>
      </c>
      <c r="CK270" s="19">
        <v>9</v>
      </c>
      <c r="CL270" t="s">
        <v>555</v>
      </c>
      <c r="CM270">
        <v>35</v>
      </c>
      <c r="CN270" s="16">
        <v>78.8</v>
      </c>
      <c r="CO270" s="16">
        <v>80.400000000000006</v>
      </c>
      <c r="CP270" s="16">
        <v>17.2</v>
      </c>
      <c r="CQ270">
        <v>72.069999999999993</v>
      </c>
      <c r="CR270">
        <v>11.09</v>
      </c>
      <c r="CS270">
        <v>1.1200000000000001</v>
      </c>
      <c r="CT270">
        <v>0</v>
      </c>
      <c r="CU270">
        <v>15.71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1.66</v>
      </c>
      <c r="DD270">
        <v>34.99</v>
      </c>
      <c r="DE270">
        <v>0</v>
      </c>
      <c r="DF270">
        <v>0</v>
      </c>
      <c r="DG270">
        <v>0</v>
      </c>
      <c r="DH270">
        <v>0</v>
      </c>
      <c r="DU270">
        <v>11.2</v>
      </c>
      <c r="DV270">
        <v>1</v>
      </c>
      <c r="DW270">
        <v>52</v>
      </c>
      <c r="DX270">
        <f>18+1+15</f>
        <v>34</v>
      </c>
      <c r="DY270">
        <f>3.2+2.05+0.07</f>
        <v>5.32</v>
      </c>
      <c r="DZ270">
        <v>2</v>
      </c>
      <c r="EG270" s="18"/>
      <c r="EY270">
        <v>0</v>
      </c>
      <c r="GJ270" s="16">
        <v>0</v>
      </c>
      <c r="GK270" s="16">
        <v>0</v>
      </c>
      <c r="GL270" s="16"/>
      <c r="GM270" s="16"/>
      <c r="GN270" s="16"/>
      <c r="GO270" s="16"/>
      <c r="GP270" s="16"/>
      <c r="GQ270" s="16"/>
      <c r="GR270" s="16"/>
      <c r="GS270" s="16"/>
      <c r="GT270" s="16"/>
      <c r="GU270" s="16">
        <v>6.16</v>
      </c>
      <c r="GV270" s="16">
        <v>7.21</v>
      </c>
      <c r="GW270" s="16"/>
      <c r="GX270" s="16"/>
      <c r="GY270" s="16">
        <v>0</v>
      </c>
      <c r="GZ270" s="16">
        <v>0</v>
      </c>
      <c r="HA270" s="16">
        <v>0</v>
      </c>
      <c r="HB270">
        <v>0</v>
      </c>
      <c r="HC270" t="s">
        <v>546</v>
      </c>
      <c r="HD270">
        <v>16.5</v>
      </c>
      <c r="HE270" s="16">
        <v>35.299999999999997</v>
      </c>
      <c r="HF270" s="16">
        <v>80.400000000000006</v>
      </c>
      <c r="HG270" s="16">
        <v>9.6999999999999993</v>
      </c>
      <c r="HH270">
        <v>86.56</v>
      </c>
      <c r="HI270">
        <v>12.61</v>
      </c>
      <c r="HJ270">
        <v>0</v>
      </c>
      <c r="HK270">
        <v>0</v>
      </c>
      <c r="HL270">
        <v>0.83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2.2200000000000002</v>
      </c>
      <c r="HU270">
        <v>20.83</v>
      </c>
      <c r="HV270">
        <v>0</v>
      </c>
      <c r="HW270">
        <v>0</v>
      </c>
      <c r="HX270">
        <v>0</v>
      </c>
      <c r="HY270">
        <v>0</v>
      </c>
      <c r="IL270">
        <v>0.3</v>
      </c>
      <c r="IM270">
        <v>1</v>
      </c>
      <c r="IN270">
        <v>34</v>
      </c>
      <c r="IO270">
        <v>4</v>
      </c>
      <c r="IP270">
        <f>1.35+0.45+1.35+0.45</f>
        <v>3.6000000000000005</v>
      </c>
      <c r="IQ270">
        <v>1</v>
      </c>
      <c r="IR270">
        <v>52</v>
      </c>
      <c r="IS270">
        <v>1</v>
      </c>
      <c r="IT270">
        <f>0.18</f>
        <v>0.18</v>
      </c>
      <c r="IU270">
        <v>2</v>
      </c>
      <c r="IX270" s="18"/>
      <c r="JP270">
        <v>0</v>
      </c>
      <c r="LA270" s="16">
        <v>0.28000000000000003</v>
      </c>
      <c r="LB270" s="16">
        <v>1</v>
      </c>
      <c r="LC270" s="16">
        <v>2</v>
      </c>
      <c r="LD270" s="16"/>
      <c r="LE270" s="16">
        <f>0.37+0.26</f>
        <v>0.63</v>
      </c>
      <c r="LF270" s="16"/>
      <c r="LG270" s="16"/>
      <c r="LH270" s="16"/>
      <c r="LI270" s="16"/>
      <c r="LJ270" s="16"/>
      <c r="LK270" s="16"/>
      <c r="LL270" s="16">
        <v>5.99</v>
      </c>
      <c r="LM270" s="16">
        <v>5.34</v>
      </c>
      <c r="LN270" s="16"/>
      <c r="LO270" s="16"/>
      <c r="LP270" s="16">
        <v>0</v>
      </c>
      <c r="LQ270" s="16">
        <v>0</v>
      </c>
      <c r="LR270" s="16">
        <v>0</v>
      </c>
      <c r="LS270">
        <v>0</v>
      </c>
      <c r="LT270" t="s">
        <v>547</v>
      </c>
      <c r="LU270">
        <v>29.5</v>
      </c>
      <c r="LV270" s="16">
        <v>87.5</v>
      </c>
      <c r="LW270" s="16">
        <v>80.400000000000006</v>
      </c>
      <c r="LX270" s="16">
        <v>14.3</v>
      </c>
      <c r="LY270">
        <v>68.7</v>
      </c>
      <c r="LZ270">
        <v>23.24</v>
      </c>
      <c r="MA270">
        <v>1.79</v>
      </c>
      <c r="MB270">
        <v>0</v>
      </c>
      <c r="MC270">
        <v>6.27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7.01</v>
      </c>
      <c r="ML270">
        <v>58.72</v>
      </c>
      <c r="MM270">
        <v>0.23</v>
      </c>
      <c r="MN270">
        <v>0</v>
      </c>
      <c r="MO270">
        <v>0.5</v>
      </c>
      <c r="MP270">
        <v>2</v>
      </c>
      <c r="MQ270">
        <v>7</v>
      </c>
      <c r="MR270">
        <v>0.08</v>
      </c>
      <c r="MW270">
        <v>7</v>
      </c>
      <c r="MX270">
        <v>0.08</v>
      </c>
      <c r="NC270">
        <v>0</v>
      </c>
      <c r="ND270">
        <v>1</v>
      </c>
      <c r="NE270">
        <v>23</v>
      </c>
      <c r="NF270">
        <v>2</v>
      </c>
      <c r="NG270">
        <v>0.9</v>
      </c>
      <c r="NH270">
        <v>3</v>
      </c>
      <c r="NO270" s="18"/>
      <c r="OG270">
        <v>1</v>
      </c>
      <c r="OH270">
        <v>50</v>
      </c>
      <c r="OI270">
        <v>2</v>
      </c>
      <c r="OJ270">
        <f>3.13+23.63</f>
        <v>26.759999999999998</v>
      </c>
      <c r="OK270">
        <v>3</v>
      </c>
      <c r="PR270" s="16">
        <v>1.49</v>
      </c>
      <c r="PS270" s="16">
        <v>1</v>
      </c>
      <c r="PT270" s="16">
        <v>1</v>
      </c>
      <c r="PU270" s="16"/>
      <c r="PV270" s="16">
        <f>1.91+2.02+2.02+1.35</f>
        <v>7.2999999999999989</v>
      </c>
      <c r="PW270" s="16">
        <v>2</v>
      </c>
      <c r="PX270" s="16"/>
      <c r="PY270" s="16">
        <v>0.21</v>
      </c>
      <c r="PZ270" s="16"/>
      <c r="QA270" s="16"/>
      <c r="QB270" s="16"/>
      <c r="QC270" s="16">
        <v>10.82</v>
      </c>
      <c r="QD270" s="16">
        <v>14.57</v>
      </c>
      <c r="QE270" s="16"/>
      <c r="QF270" s="16"/>
      <c r="QG270" s="16">
        <v>2.2400000000000002</v>
      </c>
      <c r="QH270" s="16">
        <v>0.9</v>
      </c>
      <c r="QI270" s="16">
        <v>0</v>
      </c>
      <c r="QJ270">
        <v>0</v>
      </c>
      <c r="QK270" t="s">
        <v>548</v>
      </c>
      <c r="QL270">
        <v>50</v>
      </c>
      <c r="QM270" s="16">
        <v>80</v>
      </c>
      <c r="QN270" s="16">
        <v>80.400000000000006</v>
      </c>
      <c r="QO270" s="16">
        <v>16.899999999999999</v>
      </c>
      <c r="QP270">
        <v>58.18</v>
      </c>
      <c r="QQ270">
        <v>32.94</v>
      </c>
      <c r="QR270">
        <v>1.79</v>
      </c>
      <c r="QS270">
        <v>0</v>
      </c>
      <c r="QT270">
        <v>7.09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3.53</v>
      </c>
      <c r="RC270">
        <v>45.12</v>
      </c>
      <c r="RD270">
        <v>0</v>
      </c>
      <c r="RE270">
        <v>0</v>
      </c>
      <c r="RF270">
        <v>0</v>
      </c>
      <c r="RG270">
        <v>0</v>
      </c>
      <c r="RT270">
        <v>8.1999999999999993</v>
      </c>
      <c r="RU270">
        <v>1</v>
      </c>
      <c r="RV270">
        <v>23</v>
      </c>
      <c r="RW270">
        <v>1</v>
      </c>
      <c r="RX270">
        <v>0.45</v>
      </c>
      <c r="RY270">
        <v>3</v>
      </c>
      <c r="RZ270">
        <v>34</v>
      </c>
      <c r="SA270">
        <v>28</v>
      </c>
      <c r="SB270">
        <f>0.45+0.18+1.6+0.24+0.37+4.39+0.49+0.04+0.32+0.05+1.38</f>
        <v>9.5100000000000016</v>
      </c>
      <c r="SC270">
        <v>1</v>
      </c>
      <c r="SF270" s="18"/>
      <c r="SX270">
        <v>0</v>
      </c>
      <c r="UI270" s="16">
        <v>1.65</v>
      </c>
      <c r="UJ270" s="16">
        <v>1</v>
      </c>
      <c r="UK270" s="16">
        <v>1</v>
      </c>
      <c r="UL270" s="16"/>
      <c r="UM270" s="16">
        <f>0.18</f>
        <v>0.18</v>
      </c>
      <c r="UN270" s="16">
        <v>2</v>
      </c>
      <c r="UO270" s="16"/>
      <c r="UP270" s="16">
        <f>1.65+0.91+6.23+0.66</f>
        <v>9.4500000000000011</v>
      </c>
      <c r="UQ270" s="16"/>
      <c r="UR270" s="16"/>
      <c r="US270" s="16"/>
      <c r="UT270" s="16">
        <v>20.65</v>
      </c>
      <c r="UU270" s="16">
        <v>33.56</v>
      </c>
      <c r="UV270" s="16"/>
      <c r="UW270" s="16"/>
      <c r="UX270" s="16">
        <v>2.2400000000000002</v>
      </c>
      <c r="UY270" s="16">
        <v>0.45</v>
      </c>
      <c r="UZ270" s="16">
        <v>0</v>
      </c>
      <c r="VA270">
        <v>0.45</v>
      </c>
      <c r="VB270" t="s">
        <v>549</v>
      </c>
      <c r="VC270">
        <v>31.5</v>
      </c>
      <c r="VD270" s="16">
        <v>79.900000000000006</v>
      </c>
      <c r="VE270" s="16">
        <v>80.400000000000006</v>
      </c>
      <c r="VF270" s="16">
        <v>17.8</v>
      </c>
      <c r="VG270">
        <v>71.45</v>
      </c>
      <c r="VH270">
        <v>9.43</v>
      </c>
      <c r="VI270">
        <v>1.1200000000000001</v>
      </c>
      <c r="VJ270">
        <v>0</v>
      </c>
      <c r="VK270">
        <v>18.010000000000002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8.44</v>
      </c>
      <c r="VT270">
        <v>63.45</v>
      </c>
      <c r="VU270">
        <v>0</v>
      </c>
      <c r="VV270">
        <v>0</v>
      </c>
      <c r="VW270">
        <v>0</v>
      </c>
      <c r="VX270">
        <v>0</v>
      </c>
      <c r="WK270">
        <v>2</v>
      </c>
      <c r="WL270">
        <v>1</v>
      </c>
      <c r="WM270">
        <v>52</v>
      </c>
      <c r="WN270">
        <v>2</v>
      </c>
      <c r="WO270">
        <f>0.9+0.02</f>
        <v>0.92</v>
      </c>
      <c r="WP270">
        <v>2</v>
      </c>
      <c r="WW270" s="18"/>
      <c r="XO270">
        <v>1</v>
      </c>
      <c r="XP270">
        <v>50</v>
      </c>
      <c r="XQ270">
        <v>9</v>
      </c>
      <c r="XR270">
        <f>19.9+3.13</f>
        <v>23.029999999999998</v>
      </c>
      <c r="XS270">
        <v>3</v>
      </c>
      <c r="YZ270" s="16">
        <v>1.47</v>
      </c>
      <c r="ZA270" s="16">
        <v>1</v>
      </c>
      <c r="ZB270" s="16">
        <v>1</v>
      </c>
      <c r="ZC270" s="16"/>
      <c r="ZD270" s="16">
        <v>2.13</v>
      </c>
      <c r="ZE270" s="16">
        <v>2</v>
      </c>
      <c r="ZF270" s="16"/>
      <c r="ZG270" s="16">
        <v>3.37</v>
      </c>
      <c r="ZH270" s="16"/>
      <c r="ZI270" s="16"/>
      <c r="ZJ270" s="16"/>
      <c r="ZK270" s="16">
        <v>5.55</v>
      </c>
      <c r="ZL270" s="16">
        <v>6.42</v>
      </c>
      <c r="ZM270" s="16"/>
      <c r="ZN270" s="16"/>
      <c r="ZO270" s="16">
        <v>0</v>
      </c>
      <c r="ZP270" s="16">
        <v>0</v>
      </c>
      <c r="ZQ270" s="16">
        <v>4.4800000000000004</v>
      </c>
      <c r="ZR270">
        <v>0</v>
      </c>
      <c r="ZS270" t="s">
        <v>550</v>
      </c>
      <c r="ZT270">
        <v>17</v>
      </c>
      <c r="ZU270" s="16">
        <v>87.8</v>
      </c>
      <c r="ZV270" s="16">
        <v>80.400000000000006</v>
      </c>
      <c r="ZW270" s="16">
        <v>11.6</v>
      </c>
      <c r="ZX270">
        <v>86.21</v>
      </c>
      <c r="ZY270">
        <v>1.64</v>
      </c>
      <c r="ZZ270">
        <v>0.45</v>
      </c>
      <c r="AAA270">
        <v>0</v>
      </c>
      <c r="AAB270">
        <v>11.7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14.73</v>
      </c>
      <c r="AAK270">
        <v>7.98</v>
      </c>
      <c r="AAL270">
        <v>0</v>
      </c>
      <c r="AAM270">
        <v>0</v>
      </c>
      <c r="AAN270">
        <v>0</v>
      </c>
      <c r="AAO270">
        <v>0</v>
      </c>
      <c r="ABB270">
        <v>0</v>
      </c>
      <c r="ABC270">
        <v>0</v>
      </c>
      <c r="ABN270" s="18"/>
      <c r="ACF270">
        <v>0</v>
      </c>
      <c r="ADQ270" s="16">
        <v>0</v>
      </c>
      <c r="ADR270" s="16">
        <v>0</v>
      </c>
      <c r="ADS270" s="16"/>
      <c r="ADT270" s="16"/>
      <c r="ADU270" s="16"/>
      <c r="ADV270" s="16"/>
      <c r="ADW270" s="16"/>
      <c r="ADX270" s="16"/>
      <c r="ADY270" s="16"/>
      <c r="ADZ270" s="16"/>
      <c r="AEA270" s="16"/>
      <c r="AEB270" s="16">
        <v>5.22</v>
      </c>
      <c r="AEC270" s="16">
        <v>5.37</v>
      </c>
      <c r="AED270" s="16"/>
      <c r="AEE270" s="16"/>
      <c r="AEF270" s="16">
        <v>0</v>
      </c>
      <c r="AEG270" s="16">
        <v>0</v>
      </c>
      <c r="AEH270" s="16">
        <v>0.19</v>
      </c>
      <c r="AEI270">
        <v>0</v>
      </c>
      <c r="AEJ270" t="s">
        <v>551</v>
      </c>
      <c r="AEK270">
        <v>17.5</v>
      </c>
      <c r="AEL270" s="16">
        <v>87.6</v>
      </c>
      <c r="AEM270" s="16">
        <v>80.400000000000006</v>
      </c>
      <c r="AEN270" s="16">
        <v>12</v>
      </c>
      <c r="AEO270">
        <v>84.96</v>
      </c>
      <c r="AEP270">
        <v>1.61</v>
      </c>
      <c r="AEQ270">
        <v>0.45</v>
      </c>
      <c r="AER270">
        <v>0</v>
      </c>
      <c r="AES270">
        <v>12.98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15.99</v>
      </c>
      <c r="AFB270">
        <v>7.84</v>
      </c>
      <c r="AFC270">
        <v>0</v>
      </c>
      <c r="AFD270">
        <v>0</v>
      </c>
      <c r="AFE270">
        <v>0</v>
      </c>
      <c r="AFF270">
        <v>0</v>
      </c>
      <c r="AFS270">
        <v>0</v>
      </c>
      <c r="AFT270">
        <v>0</v>
      </c>
      <c r="AGE270" s="18"/>
      <c r="AGW270">
        <v>0</v>
      </c>
      <c r="AIH270" s="16">
        <v>0</v>
      </c>
      <c r="AII270" s="16">
        <v>0</v>
      </c>
      <c r="AIJ270" s="16"/>
      <c r="AIK270" s="16"/>
      <c r="AIL270" s="16"/>
      <c r="AIM270" s="16"/>
      <c r="AIN270" s="16"/>
      <c r="AIO270" s="16"/>
      <c r="AIP270" s="16"/>
      <c r="AIQ270" s="16"/>
      <c r="AIR270" s="16"/>
      <c r="AIS270" s="16">
        <v>5.22</v>
      </c>
      <c r="AIT270" s="16">
        <v>5.37</v>
      </c>
      <c r="AIU270" s="16"/>
      <c r="AIV270" s="16"/>
      <c r="AIW270" s="16">
        <v>0</v>
      </c>
      <c r="AIX270" s="16">
        <v>0</v>
      </c>
      <c r="AIY270" s="16">
        <v>0.19</v>
      </c>
      <c r="AIZ270">
        <v>0</v>
      </c>
      <c r="AJA270" t="s">
        <v>552</v>
      </c>
      <c r="AJB270">
        <v>16.5</v>
      </c>
      <c r="AJC270" s="16">
        <v>73.2</v>
      </c>
      <c r="AJD270" s="16">
        <v>80.400000000000006</v>
      </c>
      <c r="AJE270" s="16">
        <v>10.199999999999999</v>
      </c>
      <c r="AJF270">
        <v>69.430000000000007</v>
      </c>
      <c r="AJG270">
        <v>29.45</v>
      </c>
      <c r="AJH270">
        <v>1.1200000000000001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29.3</v>
      </c>
      <c r="AJS270">
        <v>10.81</v>
      </c>
      <c r="AJT270">
        <v>0</v>
      </c>
      <c r="AJU270">
        <v>0</v>
      </c>
      <c r="AJV270">
        <v>5.9</v>
      </c>
      <c r="AJW270">
        <v>2</v>
      </c>
      <c r="AJX270">
        <v>3</v>
      </c>
      <c r="AJY270">
        <v>2.0099999999999998</v>
      </c>
      <c r="AKD270">
        <v>3</v>
      </c>
      <c r="AKE270">
        <v>2.0099999999999998</v>
      </c>
      <c r="AKJ270">
        <v>0</v>
      </c>
      <c r="AKK270">
        <v>0</v>
      </c>
      <c r="AKV270" s="18"/>
      <c r="ALN270">
        <v>0</v>
      </c>
    </row>
    <row r="271" spans="1:1024" x14ac:dyDescent="0.2">
      <c r="A271" s="1" t="s">
        <v>813</v>
      </c>
      <c r="B271" s="12">
        <v>42905</v>
      </c>
      <c r="C271">
        <v>1</v>
      </c>
      <c r="D271" s="13">
        <v>42814</v>
      </c>
      <c r="E271" s="12">
        <v>32523</v>
      </c>
      <c r="F271" s="14">
        <f t="shared" si="106"/>
        <v>28.424366872005475</v>
      </c>
      <c r="G271" s="14">
        <f t="shared" si="107"/>
        <v>0.24914442162902123</v>
      </c>
      <c r="H271" s="19" t="s">
        <v>217</v>
      </c>
      <c r="I271" s="15" t="s">
        <v>545</v>
      </c>
      <c r="J271" s="15" t="s">
        <v>181</v>
      </c>
      <c r="K271" s="15">
        <v>8</v>
      </c>
      <c r="L271" s="19">
        <v>70</v>
      </c>
      <c r="M271">
        <v>1.62</v>
      </c>
      <c r="N271" s="16">
        <f t="shared" si="108"/>
        <v>26.672763298277697</v>
      </c>
      <c r="O271" s="19">
        <v>0</v>
      </c>
      <c r="P271" s="19">
        <v>0</v>
      </c>
      <c r="Q271" s="19">
        <v>0</v>
      </c>
      <c r="R271" s="26">
        <v>0</v>
      </c>
      <c r="S271" s="26">
        <v>0</v>
      </c>
      <c r="T271" s="26">
        <v>0</v>
      </c>
      <c r="U271" s="19">
        <v>1</v>
      </c>
      <c r="V271" s="19">
        <v>5</v>
      </c>
      <c r="W271" s="19">
        <v>1</v>
      </c>
      <c r="X271" s="19">
        <v>0</v>
      </c>
      <c r="Y271" s="19">
        <v>1</v>
      </c>
      <c r="Z271" s="19">
        <v>1</v>
      </c>
      <c r="AA271" s="19">
        <v>30</v>
      </c>
      <c r="AB271" s="19" t="s">
        <v>814</v>
      </c>
      <c r="AC271" s="19">
        <v>1</v>
      </c>
      <c r="AD271" s="19">
        <v>8</v>
      </c>
      <c r="AE271" s="19">
        <v>1</v>
      </c>
      <c r="AF271" s="19"/>
      <c r="AG271" s="19">
        <v>1</v>
      </c>
      <c r="AH271" s="19">
        <v>2</v>
      </c>
      <c r="AI271" s="19">
        <v>0</v>
      </c>
      <c r="AJ271" s="19">
        <v>0</v>
      </c>
      <c r="AK271" s="19">
        <v>0</v>
      </c>
      <c r="AL271" s="19">
        <v>0</v>
      </c>
      <c r="AM271" s="19">
        <v>0</v>
      </c>
      <c r="AN271" s="19">
        <v>0</v>
      </c>
      <c r="AO271" s="19">
        <v>0</v>
      </c>
      <c r="AP271" s="19">
        <v>0</v>
      </c>
      <c r="AQ271" s="19">
        <v>0</v>
      </c>
      <c r="AR271" s="19">
        <v>0</v>
      </c>
      <c r="AS271" s="19">
        <v>3</v>
      </c>
      <c r="AT271" s="19">
        <v>3</v>
      </c>
      <c r="AU271" s="19">
        <v>3</v>
      </c>
      <c r="AV271" s="19">
        <v>8</v>
      </c>
      <c r="AW271" s="19">
        <v>8</v>
      </c>
      <c r="AX271" s="19">
        <v>0</v>
      </c>
      <c r="AY271" s="19">
        <v>0</v>
      </c>
      <c r="AZ271" s="19">
        <v>0</v>
      </c>
      <c r="BA271" s="19">
        <v>0</v>
      </c>
      <c r="BB271" s="19">
        <v>0</v>
      </c>
      <c r="BC271" s="19">
        <v>0</v>
      </c>
      <c r="BD271" s="19">
        <v>0</v>
      </c>
      <c r="BE271" s="19">
        <v>0</v>
      </c>
      <c r="BF271" s="19">
        <v>0</v>
      </c>
      <c r="BG271" s="19">
        <v>0</v>
      </c>
      <c r="BH271" s="19">
        <v>0</v>
      </c>
      <c r="BI271" s="19">
        <v>0</v>
      </c>
      <c r="BJ271" s="19">
        <v>0</v>
      </c>
      <c r="BK271" s="19">
        <v>0</v>
      </c>
      <c r="BL271" s="19">
        <v>0</v>
      </c>
      <c r="BM271" s="19">
        <v>0</v>
      </c>
      <c r="BN271" s="19">
        <v>0</v>
      </c>
      <c r="BO271" s="19">
        <v>0</v>
      </c>
      <c r="BP271" s="19">
        <v>0</v>
      </c>
      <c r="BQ271" s="19">
        <v>0</v>
      </c>
      <c r="BR271" s="19">
        <v>3</v>
      </c>
      <c r="BS271" s="19">
        <v>2</v>
      </c>
      <c r="BT271" s="19">
        <v>2</v>
      </c>
      <c r="BU271" s="19">
        <v>5</v>
      </c>
      <c r="BV271" s="19">
        <v>1</v>
      </c>
      <c r="BW271" s="19">
        <v>1</v>
      </c>
      <c r="BX271" s="19">
        <v>2</v>
      </c>
      <c r="BY271" s="19">
        <v>3</v>
      </c>
      <c r="BZ271" s="19">
        <v>2</v>
      </c>
      <c r="CA271" s="19">
        <v>3</v>
      </c>
      <c r="CB271" s="19">
        <v>5</v>
      </c>
      <c r="CC271" s="19">
        <v>5</v>
      </c>
      <c r="CD271" s="19">
        <v>2</v>
      </c>
      <c r="CE271" s="19"/>
      <c r="CF271" s="19">
        <v>4</v>
      </c>
      <c r="CG271" s="19">
        <v>5</v>
      </c>
      <c r="CH271" s="19">
        <v>4</v>
      </c>
      <c r="CI271" s="19">
        <v>4</v>
      </c>
      <c r="CJ271" s="19">
        <v>4</v>
      </c>
      <c r="CK271" s="19">
        <v>9</v>
      </c>
      <c r="CL271" t="s">
        <v>555</v>
      </c>
      <c r="CM271">
        <v>35</v>
      </c>
      <c r="CN271" s="16">
        <v>78.8</v>
      </c>
      <c r="CO271" s="16">
        <v>80.400000000000006</v>
      </c>
      <c r="CP271" s="16">
        <v>17.2</v>
      </c>
      <c r="CQ271">
        <v>72.069999999999993</v>
      </c>
      <c r="CR271">
        <v>11.09</v>
      </c>
      <c r="CS271">
        <v>1.1200000000000001</v>
      </c>
      <c r="CT271">
        <v>0</v>
      </c>
      <c r="CU271">
        <v>15.71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1.66</v>
      </c>
      <c r="DD271">
        <v>34.99</v>
      </c>
      <c r="DE271">
        <v>0</v>
      </c>
      <c r="DF271">
        <v>0</v>
      </c>
      <c r="DG271">
        <v>0</v>
      </c>
      <c r="DH271">
        <v>0</v>
      </c>
      <c r="DU271">
        <v>11.2</v>
      </c>
      <c r="DV271">
        <v>1</v>
      </c>
      <c r="DW271">
        <v>52</v>
      </c>
      <c r="DX271">
        <f>18+1+15</f>
        <v>34</v>
      </c>
      <c r="DY271">
        <f>3.2+2.05+0.07</f>
        <v>5.32</v>
      </c>
      <c r="DZ271">
        <v>2</v>
      </c>
      <c r="EG271" s="18"/>
      <c r="EY271">
        <v>0</v>
      </c>
      <c r="GJ271" s="16">
        <v>0</v>
      </c>
      <c r="GK271" s="16">
        <v>0</v>
      </c>
      <c r="GL271" s="16"/>
      <c r="GM271" s="16"/>
      <c r="GN271" s="16"/>
      <c r="GO271" s="16"/>
      <c r="GP271" s="16"/>
      <c r="GQ271" s="16"/>
      <c r="GR271" s="16"/>
      <c r="GS271" s="16"/>
      <c r="GT271" s="16"/>
      <c r="GU271" s="16">
        <v>6.16</v>
      </c>
      <c r="GV271" s="16">
        <v>7.21</v>
      </c>
      <c r="GW271" s="16"/>
      <c r="GX271" s="16"/>
      <c r="GY271" s="16">
        <v>0</v>
      </c>
      <c r="GZ271" s="16">
        <v>0</v>
      </c>
      <c r="HA271" s="16">
        <v>0</v>
      </c>
      <c r="HB271">
        <v>0</v>
      </c>
      <c r="HC271" t="s">
        <v>546</v>
      </c>
      <c r="HD271">
        <v>16.5</v>
      </c>
      <c r="HE271" s="16">
        <v>35.299999999999997</v>
      </c>
      <c r="HF271" s="16">
        <v>80.400000000000006</v>
      </c>
      <c r="HG271" s="16">
        <v>9.6999999999999993</v>
      </c>
      <c r="HH271">
        <v>86.56</v>
      </c>
      <c r="HI271">
        <v>12.61</v>
      </c>
      <c r="HJ271">
        <v>0</v>
      </c>
      <c r="HK271">
        <v>0</v>
      </c>
      <c r="HL271">
        <v>0.83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2.2200000000000002</v>
      </c>
      <c r="HU271">
        <v>20.83</v>
      </c>
      <c r="HV271">
        <v>0</v>
      </c>
      <c r="HW271">
        <v>0</v>
      </c>
      <c r="HX271">
        <v>0</v>
      </c>
      <c r="HY271">
        <v>0</v>
      </c>
      <c r="IL271">
        <v>0.3</v>
      </c>
      <c r="IM271">
        <v>1</v>
      </c>
      <c r="IN271">
        <v>34</v>
      </c>
      <c r="IO271">
        <v>4</v>
      </c>
      <c r="IP271">
        <f>1.35+0.45+1.35+0.45</f>
        <v>3.6000000000000005</v>
      </c>
      <c r="IQ271">
        <v>1</v>
      </c>
      <c r="IR271">
        <v>52</v>
      </c>
      <c r="IS271">
        <v>1</v>
      </c>
      <c r="IT271">
        <f>0.18</f>
        <v>0.18</v>
      </c>
      <c r="IU271">
        <v>2</v>
      </c>
      <c r="IX271" s="18"/>
      <c r="JP271">
        <v>0</v>
      </c>
      <c r="LA271" s="16">
        <v>0.28000000000000003</v>
      </c>
      <c r="LB271" s="16">
        <v>1</v>
      </c>
      <c r="LC271" s="16">
        <v>2</v>
      </c>
      <c r="LD271" s="16"/>
      <c r="LE271" s="16">
        <f>0.37+0.26</f>
        <v>0.63</v>
      </c>
      <c r="LF271" s="16"/>
      <c r="LG271" s="16"/>
      <c r="LH271" s="16"/>
      <c r="LI271" s="16"/>
      <c r="LJ271" s="16"/>
      <c r="LK271" s="16"/>
      <c r="LL271" s="16">
        <v>5.99</v>
      </c>
      <c r="LM271" s="16">
        <v>5.34</v>
      </c>
      <c r="LN271" s="16"/>
      <c r="LO271" s="16"/>
      <c r="LP271" s="16">
        <v>0</v>
      </c>
      <c r="LQ271" s="16">
        <v>0</v>
      </c>
      <c r="LR271" s="16">
        <v>0</v>
      </c>
      <c r="LS271">
        <v>0</v>
      </c>
      <c r="LT271" t="s">
        <v>547</v>
      </c>
      <c r="LU271">
        <v>29.5</v>
      </c>
      <c r="LV271" s="16">
        <v>87.5</v>
      </c>
      <c r="LW271" s="16">
        <v>80.400000000000006</v>
      </c>
      <c r="LX271" s="16">
        <v>14.3</v>
      </c>
      <c r="LY271">
        <v>68.7</v>
      </c>
      <c r="LZ271">
        <v>23.24</v>
      </c>
      <c r="MA271">
        <v>1.79</v>
      </c>
      <c r="MB271">
        <v>0</v>
      </c>
      <c r="MC271">
        <v>6.27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7.01</v>
      </c>
      <c r="ML271">
        <v>58.72</v>
      </c>
      <c r="MM271">
        <v>0.23</v>
      </c>
      <c r="MN271">
        <v>0</v>
      </c>
      <c r="MO271">
        <v>0.5</v>
      </c>
      <c r="MP271">
        <v>2</v>
      </c>
      <c r="MQ271">
        <v>7</v>
      </c>
      <c r="MR271">
        <v>0.08</v>
      </c>
      <c r="MW271">
        <v>7</v>
      </c>
      <c r="MX271">
        <v>0.08</v>
      </c>
      <c r="NC271">
        <v>0</v>
      </c>
      <c r="ND271">
        <v>1</v>
      </c>
      <c r="NE271">
        <v>23</v>
      </c>
      <c r="NF271">
        <v>2</v>
      </c>
      <c r="NG271">
        <v>0.9</v>
      </c>
      <c r="NH271">
        <v>3</v>
      </c>
      <c r="NO271" s="18"/>
      <c r="OG271">
        <v>1</v>
      </c>
      <c r="OH271">
        <v>50</v>
      </c>
      <c r="OI271">
        <v>2</v>
      </c>
      <c r="OJ271">
        <f>3.13+23.63</f>
        <v>26.759999999999998</v>
      </c>
      <c r="OK271">
        <v>3</v>
      </c>
      <c r="PR271" s="16">
        <v>1.49</v>
      </c>
      <c r="PS271" s="16">
        <v>1</v>
      </c>
      <c r="PT271" s="16">
        <v>1</v>
      </c>
      <c r="PU271" s="16"/>
      <c r="PV271" s="16">
        <f>1.91+2.02+2.02+1.35</f>
        <v>7.2999999999999989</v>
      </c>
      <c r="PW271" s="16">
        <v>2</v>
      </c>
      <c r="PX271" s="16"/>
      <c r="PY271" s="16">
        <v>0.21</v>
      </c>
      <c r="PZ271" s="16"/>
      <c r="QA271" s="16"/>
      <c r="QB271" s="16"/>
      <c r="QC271" s="16">
        <v>10.82</v>
      </c>
      <c r="QD271" s="16">
        <v>14.57</v>
      </c>
      <c r="QE271" s="16"/>
      <c r="QF271" s="16"/>
      <c r="QG271" s="16">
        <v>2.2400000000000002</v>
      </c>
      <c r="QH271" s="16">
        <v>0.9</v>
      </c>
      <c r="QI271" s="16">
        <v>0</v>
      </c>
      <c r="QJ271">
        <v>0</v>
      </c>
      <c r="QK271" t="s">
        <v>548</v>
      </c>
      <c r="QL271">
        <v>50</v>
      </c>
      <c r="QM271" s="16">
        <v>80</v>
      </c>
      <c r="QN271" s="16">
        <v>80.400000000000006</v>
      </c>
      <c r="QO271" s="16">
        <v>16.899999999999999</v>
      </c>
      <c r="QP271">
        <v>58.18</v>
      </c>
      <c r="QQ271">
        <v>32.94</v>
      </c>
      <c r="QR271">
        <v>1.79</v>
      </c>
      <c r="QS271">
        <v>0</v>
      </c>
      <c r="QT271">
        <v>7.09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3.53</v>
      </c>
      <c r="RC271">
        <v>45.12</v>
      </c>
      <c r="RD271">
        <v>0</v>
      </c>
      <c r="RE271">
        <v>0</v>
      </c>
      <c r="RF271">
        <v>0</v>
      </c>
      <c r="RG271">
        <v>0</v>
      </c>
      <c r="RT271">
        <v>8.1999999999999993</v>
      </c>
      <c r="RU271">
        <v>1</v>
      </c>
      <c r="RV271">
        <v>23</v>
      </c>
      <c r="RW271">
        <v>1</v>
      </c>
      <c r="RX271">
        <v>0.45</v>
      </c>
      <c r="RY271">
        <v>3</v>
      </c>
      <c r="RZ271">
        <v>34</v>
      </c>
      <c r="SA271">
        <v>28</v>
      </c>
      <c r="SB271">
        <f>0.45+0.18+1.6+0.24+0.37+4.39+0.49+0.04+0.32+0.05+1.38</f>
        <v>9.5100000000000016</v>
      </c>
      <c r="SC271">
        <v>1</v>
      </c>
      <c r="SF271" s="18"/>
      <c r="SX271">
        <v>0</v>
      </c>
      <c r="UI271" s="16">
        <v>1.65</v>
      </c>
      <c r="UJ271" s="16">
        <v>1</v>
      </c>
      <c r="UK271" s="16">
        <v>1</v>
      </c>
      <c r="UL271" s="16"/>
      <c r="UM271" s="16">
        <f>0.18</f>
        <v>0.18</v>
      </c>
      <c r="UN271" s="16">
        <v>2</v>
      </c>
      <c r="UO271" s="16"/>
      <c r="UP271" s="16">
        <f>1.65+0.91+6.23+0.66</f>
        <v>9.4500000000000011</v>
      </c>
      <c r="UQ271" s="16"/>
      <c r="UR271" s="16"/>
      <c r="US271" s="16"/>
      <c r="UT271" s="16">
        <v>20.65</v>
      </c>
      <c r="UU271" s="16">
        <v>33.56</v>
      </c>
      <c r="UV271" s="16"/>
      <c r="UW271" s="16"/>
      <c r="UX271" s="16">
        <v>2.2400000000000002</v>
      </c>
      <c r="UY271" s="16">
        <v>0.45</v>
      </c>
      <c r="UZ271" s="16">
        <v>0</v>
      </c>
      <c r="VA271">
        <v>0.45</v>
      </c>
      <c r="VB271" t="s">
        <v>549</v>
      </c>
      <c r="VC271">
        <v>31.5</v>
      </c>
      <c r="VD271" s="16">
        <v>79.900000000000006</v>
      </c>
      <c r="VE271" s="16">
        <v>80.400000000000006</v>
      </c>
      <c r="VF271" s="16">
        <v>17.8</v>
      </c>
      <c r="VG271">
        <v>71.45</v>
      </c>
      <c r="VH271">
        <v>9.43</v>
      </c>
      <c r="VI271">
        <v>1.1200000000000001</v>
      </c>
      <c r="VJ271">
        <v>0</v>
      </c>
      <c r="VK271">
        <v>18.010000000000002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8.44</v>
      </c>
      <c r="VT271">
        <v>63.45</v>
      </c>
      <c r="VU271">
        <v>0</v>
      </c>
      <c r="VV271">
        <v>0</v>
      </c>
      <c r="VW271">
        <v>0</v>
      </c>
      <c r="VX271">
        <v>0</v>
      </c>
      <c r="WK271">
        <v>2</v>
      </c>
      <c r="WL271">
        <v>1</v>
      </c>
      <c r="WM271">
        <v>52</v>
      </c>
      <c r="WN271">
        <v>2</v>
      </c>
      <c r="WO271">
        <f>0.9+0.02</f>
        <v>0.92</v>
      </c>
      <c r="WP271">
        <v>2</v>
      </c>
      <c r="WW271" s="18"/>
      <c r="XO271">
        <v>1</v>
      </c>
      <c r="XP271">
        <v>50</v>
      </c>
      <c r="XQ271">
        <v>9</v>
      </c>
      <c r="XR271">
        <f>19.9+3.13</f>
        <v>23.029999999999998</v>
      </c>
      <c r="XS271">
        <v>3</v>
      </c>
      <c r="YZ271" s="16">
        <v>1.47</v>
      </c>
      <c r="ZA271" s="16">
        <v>1</v>
      </c>
      <c r="ZB271" s="16">
        <v>1</v>
      </c>
      <c r="ZC271" s="16"/>
      <c r="ZD271" s="16">
        <v>2.13</v>
      </c>
      <c r="ZE271" s="16">
        <v>2</v>
      </c>
      <c r="ZF271" s="16"/>
      <c r="ZG271" s="16">
        <v>3.37</v>
      </c>
      <c r="ZH271" s="16"/>
      <c r="ZI271" s="16"/>
      <c r="ZJ271" s="16"/>
      <c r="ZK271" s="16">
        <v>5.55</v>
      </c>
      <c r="ZL271" s="16">
        <v>6.42</v>
      </c>
      <c r="ZM271" s="16"/>
      <c r="ZN271" s="16"/>
      <c r="ZO271" s="16">
        <v>0</v>
      </c>
      <c r="ZP271" s="16">
        <v>0</v>
      </c>
      <c r="ZQ271" s="16">
        <v>4.4800000000000004</v>
      </c>
      <c r="ZR271">
        <v>0</v>
      </c>
      <c r="ZS271" t="s">
        <v>550</v>
      </c>
      <c r="ZT271">
        <v>17</v>
      </c>
      <c r="ZU271" s="16">
        <v>87.8</v>
      </c>
      <c r="ZV271" s="16">
        <v>80.400000000000006</v>
      </c>
      <c r="ZW271" s="16">
        <v>11.6</v>
      </c>
      <c r="ZX271">
        <v>86.21</v>
      </c>
      <c r="ZY271">
        <v>1.64</v>
      </c>
      <c r="ZZ271">
        <v>0.45</v>
      </c>
      <c r="AAA271">
        <v>0</v>
      </c>
      <c r="AAB271">
        <v>11.7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14.73</v>
      </c>
      <c r="AAK271">
        <v>7.98</v>
      </c>
      <c r="AAL271">
        <v>0</v>
      </c>
      <c r="AAM271">
        <v>0</v>
      </c>
      <c r="AAN271">
        <v>0</v>
      </c>
      <c r="AAO271">
        <v>0</v>
      </c>
      <c r="ABB271">
        <v>0</v>
      </c>
      <c r="ABC271">
        <v>0</v>
      </c>
      <c r="ABN271" s="18"/>
      <c r="ACF271">
        <v>0</v>
      </c>
      <c r="ADQ271" s="16">
        <v>0</v>
      </c>
      <c r="ADR271" s="16">
        <v>0</v>
      </c>
      <c r="ADS271" s="16"/>
      <c r="ADT271" s="16"/>
      <c r="ADU271" s="16"/>
      <c r="ADV271" s="16"/>
      <c r="ADW271" s="16"/>
      <c r="ADX271" s="16"/>
      <c r="ADY271" s="16"/>
      <c r="ADZ271" s="16"/>
      <c r="AEA271" s="16"/>
      <c r="AEB271" s="16">
        <v>5.22</v>
      </c>
      <c r="AEC271" s="16">
        <v>5.37</v>
      </c>
      <c r="AED271" s="16"/>
      <c r="AEE271" s="16"/>
      <c r="AEF271" s="16">
        <v>0</v>
      </c>
      <c r="AEG271" s="16">
        <v>0</v>
      </c>
      <c r="AEH271" s="16">
        <v>0.19</v>
      </c>
      <c r="AEI271">
        <v>0</v>
      </c>
      <c r="AEJ271" t="s">
        <v>551</v>
      </c>
      <c r="AEK271">
        <v>17.5</v>
      </c>
      <c r="AEL271" s="16">
        <v>87.6</v>
      </c>
      <c r="AEM271" s="16">
        <v>80.400000000000006</v>
      </c>
      <c r="AEN271" s="16">
        <v>12</v>
      </c>
      <c r="AEO271">
        <v>84.96</v>
      </c>
      <c r="AEP271">
        <v>1.61</v>
      </c>
      <c r="AEQ271">
        <v>0.45</v>
      </c>
      <c r="AER271">
        <v>0</v>
      </c>
      <c r="AES271">
        <v>12.98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15.99</v>
      </c>
      <c r="AFB271">
        <v>7.84</v>
      </c>
      <c r="AFC271">
        <v>0</v>
      </c>
      <c r="AFD271">
        <v>0</v>
      </c>
      <c r="AFE271">
        <v>0</v>
      </c>
      <c r="AFF271">
        <v>0</v>
      </c>
      <c r="AFS271">
        <v>0</v>
      </c>
      <c r="AFT271">
        <v>0</v>
      </c>
      <c r="AGE271" s="18"/>
      <c r="AGW271">
        <v>0</v>
      </c>
      <c r="AIH271" s="16">
        <v>0</v>
      </c>
      <c r="AII271" s="16">
        <v>0</v>
      </c>
      <c r="AIJ271" s="16"/>
      <c r="AIK271" s="16"/>
      <c r="AIL271" s="16"/>
      <c r="AIM271" s="16"/>
      <c r="AIN271" s="16"/>
      <c r="AIO271" s="16"/>
      <c r="AIP271" s="16"/>
      <c r="AIQ271" s="16"/>
      <c r="AIR271" s="16"/>
      <c r="AIS271" s="16">
        <v>5.22</v>
      </c>
      <c r="AIT271" s="16">
        <v>5.37</v>
      </c>
      <c r="AIU271" s="16"/>
      <c r="AIV271" s="16"/>
      <c r="AIW271" s="16">
        <v>0</v>
      </c>
      <c r="AIX271" s="16">
        <v>0</v>
      </c>
      <c r="AIY271" s="16">
        <v>0.19</v>
      </c>
      <c r="AIZ271">
        <v>0</v>
      </c>
      <c r="AJA271" t="s">
        <v>552</v>
      </c>
      <c r="AJB271">
        <v>16.5</v>
      </c>
      <c r="AJC271" s="16">
        <v>73.2</v>
      </c>
      <c r="AJD271" s="16">
        <v>80.400000000000006</v>
      </c>
      <c r="AJE271" s="16">
        <v>10.199999999999999</v>
      </c>
      <c r="AJF271">
        <v>69.430000000000007</v>
      </c>
      <c r="AJG271">
        <v>29.45</v>
      </c>
      <c r="AJH271">
        <v>1.1200000000000001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29.3</v>
      </c>
      <c r="AJS271">
        <v>10.81</v>
      </c>
      <c r="AJT271">
        <v>0</v>
      </c>
      <c r="AJU271">
        <v>0</v>
      </c>
      <c r="AJV271">
        <v>5.9</v>
      </c>
      <c r="AJW271">
        <v>2</v>
      </c>
      <c r="AJX271">
        <v>3</v>
      </c>
      <c r="AJY271">
        <v>2.0099999999999998</v>
      </c>
      <c r="AKD271">
        <v>3</v>
      </c>
      <c r="AKE271">
        <v>2.0099999999999998</v>
      </c>
      <c r="AKJ271">
        <v>0</v>
      </c>
      <c r="AKK271">
        <v>0</v>
      </c>
      <c r="AKV271" s="18"/>
      <c r="ALN271">
        <v>0</v>
      </c>
    </row>
    <row r="272" spans="1:1024" x14ac:dyDescent="0.2">
      <c r="A272" s="1" t="s">
        <v>815</v>
      </c>
      <c r="B272" s="12">
        <v>42909</v>
      </c>
      <c r="C272">
        <v>1</v>
      </c>
      <c r="D272" s="13">
        <v>40513</v>
      </c>
      <c r="E272" s="12">
        <v>27325</v>
      </c>
      <c r="F272" s="14">
        <f t="shared" si="106"/>
        <v>42.666666666666664</v>
      </c>
      <c r="G272" s="14">
        <f t="shared" si="107"/>
        <v>6.5598904859685145</v>
      </c>
      <c r="H272" s="19" t="s">
        <v>228</v>
      </c>
      <c r="I272" s="15" t="s">
        <v>447</v>
      </c>
      <c r="J272" s="15" t="s">
        <v>181</v>
      </c>
      <c r="K272" s="15">
        <v>4</v>
      </c>
      <c r="L272" s="19">
        <v>62</v>
      </c>
      <c r="M272">
        <v>1.56</v>
      </c>
      <c r="N272" s="16">
        <f t="shared" si="108"/>
        <v>25.476660092044707</v>
      </c>
      <c r="O272" s="19">
        <v>0</v>
      </c>
      <c r="P272" s="19">
        <v>0</v>
      </c>
      <c r="Q272" s="19">
        <v>0</v>
      </c>
      <c r="R272" s="26">
        <v>0</v>
      </c>
      <c r="S272" s="26">
        <v>0</v>
      </c>
      <c r="T272" s="26">
        <v>0</v>
      </c>
      <c r="U272" s="19">
        <v>0</v>
      </c>
      <c r="V272" s="19">
        <v>0</v>
      </c>
      <c r="W272" s="19">
        <v>0</v>
      </c>
      <c r="X272" s="19">
        <v>0</v>
      </c>
      <c r="Y272" s="19">
        <v>1</v>
      </c>
      <c r="Z272" s="19">
        <v>3</v>
      </c>
      <c r="AA272" s="19">
        <v>60</v>
      </c>
      <c r="AB272" s="19" t="s">
        <v>308</v>
      </c>
      <c r="AC272" s="19">
        <v>0</v>
      </c>
      <c r="AD272" s="19">
        <v>0</v>
      </c>
      <c r="AE272" s="19">
        <v>0</v>
      </c>
      <c r="AF272" s="19">
        <v>0</v>
      </c>
      <c r="AG272" s="19">
        <v>0</v>
      </c>
      <c r="AH272" s="19">
        <v>0</v>
      </c>
      <c r="AI272" s="19">
        <v>0</v>
      </c>
      <c r="AJ272" s="19">
        <v>0</v>
      </c>
      <c r="AK272" s="19">
        <v>0</v>
      </c>
      <c r="AL272" s="19">
        <v>0</v>
      </c>
      <c r="AM272" s="19">
        <v>0</v>
      </c>
      <c r="AN272" s="19">
        <v>3</v>
      </c>
      <c r="AO272" s="19">
        <v>3</v>
      </c>
      <c r="AP272" s="19">
        <v>3</v>
      </c>
      <c r="AQ272" s="19"/>
      <c r="AR272" s="19">
        <v>3</v>
      </c>
      <c r="AS272" s="19">
        <v>1</v>
      </c>
      <c r="AT272" s="19">
        <v>1</v>
      </c>
      <c r="AU272" s="19">
        <v>1</v>
      </c>
      <c r="AV272" s="19">
        <v>3</v>
      </c>
      <c r="AW272" s="19"/>
      <c r="AX272" s="19">
        <v>0</v>
      </c>
      <c r="AY272" s="19">
        <v>0</v>
      </c>
      <c r="AZ272" s="19">
        <v>0</v>
      </c>
      <c r="BA272" s="19">
        <v>0</v>
      </c>
      <c r="BB272" s="19">
        <v>0</v>
      </c>
      <c r="BC272" s="19">
        <v>0</v>
      </c>
      <c r="BD272" s="19">
        <v>0</v>
      </c>
      <c r="BE272" s="19">
        <v>0</v>
      </c>
      <c r="BF272" s="19">
        <v>0</v>
      </c>
      <c r="BG272" s="19">
        <v>0</v>
      </c>
      <c r="BH272" s="19">
        <v>0</v>
      </c>
      <c r="BI272" s="19">
        <v>0</v>
      </c>
      <c r="BJ272" s="19">
        <v>0</v>
      </c>
      <c r="BK272" s="19">
        <v>0</v>
      </c>
      <c r="BL272" s="19">
        <v>0</v>
      </c>
      <c r="BM272" s="19">
        <v>0</v>
      </c>
      <c r="BN272" s="19">
        <v>0</v>
      </c>
      <c r="BO272" s="19">
        <v>0</v>
      </c>
      <c r="BP272" s="19">
        <v>0</v>
      </c>
      <c r="BQ272" s="19">
        <v>0</v>
      </c>
      <c r="BR272" s="19">
        <v>2</v>
      </c>
      <c r="BS272" s="19">
        <v>3</v>
      </c>
      <c r="BT272" s="19">
        <v>3</v>
      </c>
      <c r="BU272" s="19">
        <v>5</v>
      </c>
      <c r="BV272" s="19">
        <v>2</v>
      </c>
      <c r="BW272" s="19">
        <v>3</v>
      </c>
      <c r="BX272" s="19">
        <v>3</v>
      </c>
      <c r="BY272" s="19">
        <v>4</v>
      </c>
      <c r="BZ272" s="19">
        <v>3</v>
      </c>
      <c r="CA272" s="19">
        <v>4</v>
      </c>
      <c r="CB272" s="19">
        <v>5</v>
      </c>
      <c r="CC272" s="19">
        <v>5</v>
      </c>
      <c r="CD272" s="19">
        <v>3</v>
      </c>
      <c r="CE272" s="19">
        <v>4</v>
      </c>
      <c r="CF272" s="19">
        <v>5</v>
      </c>
      <c r="CG272" s="19">
        <v>5</v>
      </c>
      <c r="CH272" s="19">
        <v>3</v>
      </c>
      <c r="CI272" s="19">
        <v>4</v>
      </c>
      <c r="CJ272" s="19">
        <v>5</v>
      </c>
      <c r="CK272" s="19">
        <v>10</v>
      </c>
      <c r="CL272">
        <v>57</v>
      </c>
      <c r="CM272">
        <v>24.5</v>
      </c>
      <c r="CN272" s="16">
        <v>70</v>
      </c>
      <c r="CO272" s="16">
        <v>80.400000000000006</v>
      </c>
      <c r="CP272" s="16">
        <v>15.5</v>
      </c>
      <c r="CQ272">
        <v>85.6</v>
      </c>
      <c r="CR272">
        <v>0</v>
      </c>
      <c r="CS272">
        <v>0</v>
      </c>
      <c r="CT272">
        <v>0</v>
      </c>
      <c r="CU272">
        <v>14.4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6.46</v>
      </c>
      <c r="DD272">
        <v>24.97</v>
      </c>
      <c r="DE272">
        <v>15</v>
      </c>
      <c r="DF272">
        <v>0</v>
      </c>
      <c r="DG272">
        <v>0</v>
      </c>
      <c r="DH272">
        <v>0</v>
      </c>
      <c r="DU272">
        <v>3.6</v>
      </c>
      <c r="DV272">
        <v>1</v>
      </c>
      <c r="DW272">
        <v>35</v>
      </c>
      <c r="DX272">
        <v>1</v>
      </c>
      <c r="DY272">
        <v>0.76</v>
      </c>
      <c r="DZ272">
        <v>3</v>
      </c>
      <c r="EG272" s="18"/>
      <c r="EY272">
        <v>1</v>
      </c>
      <c r="EZ272">
        <v>60</v>
      </c>
      <c r="FA272">
        <v>5</v>
      </c>
      <c r="FB272">
        <f>2.04+0.14</f>
        <v>2.1800000000000002</v>
      </c>
      <c r="FC272">
        <v>3</v>
      </c>
      <c r="GJ272" s="16">
        <v>0.63</v>
      </c>
      <c r="GK272" s="16">
        <v>1</v>
      </c>
      <c r="GL272" s="16">
        <v>1</v>
      </c>
      <c r="GM272" s="16"/>
      <c r="GN272" s="16">
        <v>4.2300000000000004</v>
      </c>
      <c r="GO272" s="16"/>
      <c r="GP272" s="16"/>
      <c r="GQ272" s="16"/>
      <c r="GR272" s="16"/>
      <c r="GS272" s="16"/>
      <c r="GT272" s="16"/>
      <c r="GU272" s="16">
        <v>3.25</v>
      </c>
      <c r="GV272" s="16">
        <v>3.26</v>
      </c>
      <c r="GW272" s="16"/>
      <c r="GX272" s="16"/>
      <c r="GY272" s="16">
        <v>0</v>
      </c>
      <c r="GZ272" s="16">
        <v>0</v>
      </c>
      <c r="HA272" s="16">
        <v>0</v>
      </c>
      <c r="HB272">
        <v>0</v>
      </c>
      <c r="HC272" t="s">
        <v>455</v>
      </c>
      <c r="HD272">
        <v>48.5</v>
      </c>
      <c r="HE272" s="16">
        <v>90.8</v>
      </c>
      <c r="HF272" s="16">
        <v>80.400000000000006</v>
      </c>
      <c r="HG272" s="16">
        <v>27.5</v>
      </c>
      <c r="HH272">
        <v>74.34</v>
      </c>
      <c r="HI272">
        <v>0</v>
      </c>
      <c r="HJ272">
        <v>12.29</v>
      </c>
      <c r="HK272">
        <v>0</v>
      </c>
      <c r="HL272">
        <v>13.37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14.01</v>
      </c>
      <c r="HV272">
        <v>63.09</v>
      </c>
      <c r="HW272">
        <v>0</v>
      </c>
      <c r="HX272">
        <v>0</v>
      </c>
      <c r="HY272">
        <v>0</v>
      </c>
      <c r="IL272">
        <v>13</v>
      </c>
      <c r="IM272">
        <v>1</v>
      </c>
      <c r="IN272">
        <v>34</v>
      </c>
      <c r="IO272">
        <v>11</v>
      </c>
      <c r="IP272">
        <f>11.42+1.34</f>
        <v>12.76</v>
      </c>
      <c r="IQ272">
        <v>1</v>
      </c>
      <c r="IR272">
        <v>68</v>
      </c>
      <c r="IS272">
        <v>15</v>
      </c>
      <c r="IT272">
        <v>2.8</v>
      </c>
      <c r="IU272">
        <v>1</v>
      </c>
      <c r="IX272" s="18"/>
      <c r="JP272">
        <v>1</v>
      </c>
      <c r="JQ272">
        <v>60</v>
      </c>
      <c r="JR272">
        <v>20</v>
      </c>
      <c r="JS272">
        <v>15.23</v>
      </c>
      <c r="JT272">
        <v>3</v>
      </c>
      <c r="LA272" s="16">
        <v>0</v>
      </c>
      <c r="LB272" s="16">
        <v>0</v>
      </c>
      <c r="LC272" s="16"/>
      <c r="LD272" s="16"/>
      <c r="LE272" s="16"/>
      <c r="LF272" s="16"/>
      <c r="LG272" s="16"/>
      <c r="LH272" s="16"/>
      <c r="LI272" s="16"/>
      <c r="LJ272" s="16"/>
      <c r="LK272" s="16"/>
      <c r="LL272" s="16">
        <v>0</v>
      </c>
      <c r="LM272" s="16">
        <v>0</v>
      </c>
      <c r="LN272" s="16"/>
      <c r="LO272" s="16"/>
      <c r="LP272" s="16">
        <v>7.46</v>
      </c>
      <c r="LQ272" s="16">
        <v>0</v>
      </c>
      <c r="LR272" s="16">
        <v>0</v>
      </c>
      <c r="LS272">
        <v>1</v>
      </c>
      <c r="LT272" t="s">
        <v>448</v>
      </c>
      <c r="LU272">
        <v>47</v>
      </c>
      <c r="LV272" s="16">
        <v>90.2</v>
      </c>
      <c r="LW272" s="16">
        <v>80.400000000000006</v>
      </c>
      <c r="LX272" s="16">
        <v>15.2</v>
      </c>
      <c r="LY272">
        <v>86.39</v>
      </c>
      <c r="LZ272">
        <v>0</v>
      </c>
      <c r="MA272">
        <v>0</v>
      </c>
      <c r="MB272">
        <v>0</v>
      </c>
      <c r="MC272">
        <v>13.61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16.36</v>
      </c>
      <c r="ML272">
        <v>23.57</v>
      </c>
      <c r="MM272">
        <v>29.14</v>
      </c>
      <c r="MN272">
        <v>0</v>
      </c>
      <c r="MO272">
        <v>0</v>
      </c>
      <c r="MP272">
        <v>0</v>
      </c>
      <c r="NC272">
        <v>23.6</v>
      </c>
      <c r="ND272">
        <v>1</v>
      </c>
      <c r="NE272">
        <v>68</v>
      </c>
      <c r="NF272">
        <v>8</v>
      </c>
      <c r="NG272">
        <f>0.76+0.03+0.27+0.05+0.03</f>
        <v>1.1400000000000001</v>
      </c>
      <c r="NH272">
        <v>1</v>
      </c>
      <c r="NI272">
        <v>35</v>
      </c>
      <c r="NJ272">
        <v>4</v>
      </c>
      <c r="NK272">
        <f>1.52+0.27</f>
        <v>1.79</v>
      </c>
      <c r="NL272">
        <v>3</v>
      </c>
      <c r="NM272">
        <v>103</v>
      </c>
      <c r="NN272">
        <v>3</v>
      </c>
      <c r="NO272" s="18">
        <v>2.02</v>
      </c>
      <c r="NP272">
        <v>3</v>
      </c>
      <c r="OG272">
        <v>1</v>
      </c>
      <c r="OH272">
        <v>80</v>
      </c>
      <c r="OI272">
        <v>3</v>
      </c>
      <c r="OJ272">
        <f>0.04*2+0.45</f>
        <v>0.53</v>
      </c>
      <c r="OK272">
        <v>3</v>
      </c>
      <c r="PR272" s="16">
        <v>0.4</v>
      </c>
      <c r="PS272" s="16">
        <v>1</v>
      </c>
      <c r="PT272" s="16">
        <v>1</v>
      </c>
      <c r="PU272" s="16"/>
      <c r="PV272" s="16">
        <f>1.25+0.1</f>
        <v>1.35</v>
      </c>
      <c r="PW272" s="16"/>
      <c r="PX272" s="16"/>
      <c r="PY272" s="16"/>
      <c r="PZ272" s="16"/>
      <c r="QA272" s="16"/>
      <c r="QB272" s="16"/>
      <c r="QC272" s="16">
        <v>4.96</v>
      </c>
      <c r="QD272" s="16">
        <v>2.6</v>
      </c>
      <c r="QE272" s="16"/>
      <c r="QF272" s="16"/>
      <c r="QG272" s="16">
        <v>0</v>
      </c>
      <c r="QH272" s="16">
        <v>0</v>
      </c>
      <c r="QI272" s="16">
        <v>0</v>
      </c>
      <c r="QJ272">
        <v>0</v>
      </c>
      <c r="QK272" t="s">
        <v>449</v>
      </c>
      <c r="QL272">
        <v>46.5</v>
      </c>
      <c r="QM272" s="16">
        <v>82.8</v>
      </c>
      <c r="QN272" s="16">
        <v>80.400000000000006</v>
      </c>
      <c r="QO272" s="16">
        <v>14.9</v>
      </c>
      <c r="QP272">
        <v>82.52</v>
      </c>
      <c r="QQ272">
        <v>0</v>
      </c>
      <c r="QR272">
        <v>0</v>
      </c>
      <c r="QS272">
        <v>0</v>
      </c>
      <c r="QT272">
        <v>17.48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37.299999999999997</v>
      </c>
      <c r="RC272">
        <v>16.79</v>
      </c>
      <c r="RD272">
        <v>15.04</v>
      </c>
      <c r="RE272">
        <v>0</v>
      </c>
      <c r="RF272">
        <v>0</v>
      </c>
      <c r="RG272">
        <v>0</v>
      </c>
      <c r="RT272">
        <v>18.899999999999999</v>
      </c>
      <c r="RU272">
        <v>1</v>
      </c>
      <c r="RV272">
        <v>68</v>
      </c>
      <c r="RW272">
        <v>1</v>
      </c>
      <c r="RX272">
        <v>0.13</v>
      </c>
      <c r="RY272">
        <v>1</v>
      </c>
      <c r="RZ272">
        <v>35</v>
      </c>
      <c r="SA272">
        <v>3</v>
      </c>
      <c r="SB272">
        <v>2.25</v>
      </c>
      <c r="SC272">
        <v>3</v>
      </c>
      <c r="SD272">
        <v>47</v>
      </c>
      <c r="SE272">
        <v>10</v>
      </c>
      <c r="SF272" s="18">
        <f>0.27+0.08+0.08+0.11+0.61+0.04</f>
        <v>1.19</v>
      </c>
      <c r="SG272">
        <v>3</v>
      </c>
      <c r="SX272">
        <v>1</v>
      </c>
      <c r="SY272">
        <v>80</v>
      </c>
      <c r="SZ272">
        <v>1</v>
      </c>
      <c r="TA272">
        <v>0.13</v>
      </c>
      <c r="TB272">
        <v>3</v>
      </c>
      <c r="UI272" s="16">
        <v>1.1499999999999999</v>
      </c>
      <c r="UJ272" s="16">
        <v>1</v>
      </c>
      <c r="UK272" s="16">
        <v>3</v>
      </c>
      <c r="UL272" s="16"/>
      <c r="UM272" s="16">
        <f>1.06+0.37*2</f>
        <v>1.8</v>
      </c>
      <c r="UN272" s="16"/>
      <c r="UO272" s="16"/>
      <c r="UP272" s="16"/>
      <c r="UQ272" s="16"/>
      <c r="UR272" s="16"/>
      <c r="US272" s="16"/>
      <c r="UT272" s="16">
        <v>9.75</v>
      </c>
      <c r="UU272" s="16">
        <v>11.26</v>
      </c>
      <c r="UV272" s="16"/>
      <c r="UW272" s="16"/>
      <c r="UX272" s="16">
        <v>0</v>
      </c>
      <c r="UY272" s="16">
        <v>0</v>
      </c>
      <c r="UZ272" s="16">
        <v>0</v>
      </c>
      <c r="VA272">
        <v>0</v>
      </c>
      <c r="VB272" t="s">
        <v>456</v>
      </c>
      <c r="VC272">
        <v>79.5</v>
      </c>
      <c r="VD272" s="16">
        <v>92.6</v>
      </c>
      <c r="VE272" s="16">
        <v>80.400000000000006</v>
      </c>
      <c r="VF272" s="16">
        <v>25.3</v>
      </c>
      <c r="VG272">
        <v>77.91</v>
      </c>
      <c r="VH272">
        <v>0</v>
      </c>
      <c r="VI272">
        <v>0.76</v>
      </c>
      <c r="VJ272">
        <v>0</v>
      </c>
      <c r="VK272">
        <v>21.33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4.99</v>
      </c>
      <c r="VS272">
        <v>0</v>
      </c>
      <c r="VT272">
        <v>5.93</v>
      </c>
      <c r="VU272">
        <v>41.31</v>
      </c>
      <c r="VV272">
        <v>0</v>
      </c>
      <c r="VW272">
        <v>10.6</v>
      </c>
      <c r="VX272">
        <v>2</v>
      </c>
      <c r="VY272">
        <v>3</v>
      </c>
      <c r="VZ272">
        <v>6.39</v>
      </c>
      <c r="WE272">
        <v>3</v>
      </c>
      <c r="WF272">
        <v>6.39</v>
      </c>
      <c r="WK272">
        <v>19.899999999999999</v>
      </c>
      <c r="WL272">
        <v>1</v>
      </c>
      <c r="WM272">
        <v>52</v>
      </c>
      <c r="WN272">
        <v>2</v>
      </c>
      <c r="WO272">
        <f>0.05+0.08</f>
        <v>0.13</v>
      </c>
      <c r="WP272">
        <v>2</v>
      </c>
      <c r="WQ272">
        <v>47</v>
      </c>
      <c r="WR272">
        <v>12</v>
      </c>
      <c r="WS272">
        <f>1.52+0.11+0.27+0.07+0.1+0.16+0.13+0.13</f>
        <v>2.4900000000000002</v>
      </c>
      <c r="WT272">
        <v>3</v>
      </c>
      <c r="WW272" s="18"/>
      <c r="XO272">
        <v>0</v>
      </c>
      <c r="YZ272" s="16">
        <v>6.39</v>
      </c>
      <c r="ZA272" s="16">
        <v>1</v>
      </c>
      <c r="ZB272" s="16">
        <v>2</v>
      </c>
      <c r="ZC272" s="16"/>
      <c r="ZD272" s="16">
        <f>2.11+1.52+2.11+0.3+0.22*2</f>
        <v>6.48</v>
      </c>
      <c r="ZE272" s="16"/>
      <c r="ZF272" s="16"/>
      <c r="ZG272" s="16"/>
      <c r="ZH272" s="16"/>
      <c r="ZI272" s="16"/>
      <c r="ZJ272" s="16"/>
      <c r="ZK272" s="16">
        <v>14.55</v>
      </c>
      <c r="ZL272" s="16">
        <v>28.78</v>
      </c>
      <c r="ZM272" s="16"/>
      <c r="ZN272" s="16"/>
      <c r="ZO272" s="16">
        <v>0</v>
      </c>
      <c r="ZP272" s="16">
        <v>0</v>
      </c>
      <c r="ZQ272" s="16">
        <v>0</v>
      </c>
      <c r="ZR272">
        <v>0</v>
      </c>
      <c r="ZS272" t="s">
        <v>450</v>
      </c>
      <c r="ZT272">
        <v>33.5</v>
      </c>
      <c r="ZU272" s="16">
        <v>82.2</v>
      </c>
      <c r="ZV272" s="16">
        <v>80.400000000000006</v>
      </c>
      <c r="ZW272" s="16">
        <v>19.5</v>
      </c>
      <c r="ZX272">
        <v>80.12</v>
      </c>
      <c r="ZY272">
        <v>0</v>
      </c>
      <c r="ZZ272">
        <v>0</v>
      </c>
      <c r="AAA272">
        <v>0</v>
      </c>
      <c r="AAB272">
        <v>19.88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16.82</v>
      </c>
      <c r="AAL272">
        <v>20.29</v>
      </c>
      <c r="AAM272">
        <v>0</v>
      </c>
      <c r="AAN272">
        <v>0</v>
      </c>
      <c r="AAO272">
        <v>0</v>
      </c>
      <c r="ABB272">
        <v>0</v>
      </c>
      <c r="ABC272">
        <v>0</v>
      </c>
      <c r="ABN272" s="18"/>
      <c r="ACF272">
        <v>0</v>
      </c>
      <c r="ADQ272" s="16">
        <v>2.4300000000000002</v>
      </c>
      <c r="ADR272" s="16">
        <v>1</v>
      </c>
      <c r="ADS272" s="16">
        <v>2</v>
      </c>
      <c r="ADT272" s="16"/>
      <c r="ADU272" s="16">
        <f>8.46+0.21+0.37</f>
        <v>9.0400000000000009</v>
      </c>
      <c r="ADV272" s="16"/>
      <c r="ADW272" s="16"/>
      <c r="ADX272" s="16"/>
      <c r="ADY272" s="16"/>
      <c r="ADZ272" s="16"/>
      <c r="AEA272" s="16"/>
      <c r="AEB272" s="16">
        <v>9.41</v>
      </c>
      <c r="AEC272" s="16">
        <v>22.76</v>
      </c>
      <c r="AED272" s="16"/>
      <c r="AEE272" s="16"/>
      <c r="AEF272" s="16">
        <v>0</v>
      </c>
      <c r="AEG272" s="16">
        <v>0</v>
      </c>
      <c r="AEH272" s="16">
        <v>0</v>
      </c>
      <c r="AEI272">
        <v>0</v>
      </c>
      <c r="AEJ272" t="s">
        <v>457</v>
      </c>
      <c r="AEK272">
        <v>21</v>
      </c>
      <c r="AEL272" s="16">
        <v>68.8</v>
      </c>
      <c r="AEM272" s="16">
        <v>80.400000000000006</v>
      </c>
      <c r="AEN272" s="16">
        <v>11.1</v>
      </c>
      <c r="AEO272">
        <v>92.71</v>
      </c>
      <c r="AEP272">
        <v>0</v>
      </c>
      <c r="AEQ272">
        <v>0</v>
      </c>
      <c r="AER272">
        <v>0</v>
      </c>
      <c r="AES272">
        <v>7.29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2.4300000000000002</v>
      </c>
      <c r="AFC272">
        <v>9.89</v>
      </c>
      <c r="AFD272">
        <v>0</v>
      </c>
      <c r="AFE272">
        <v>0</v>
      </c>
      <c r="AFF272">
        <v>0</v>
      </c>
      <c r="AFS272">
        <v>1</v>
      </c>
      <c r="AFT272">
        <v>1</v>
      </c>
      <c r="AFU272">
        <v>68</v>
      </c>
      <c r="AFV272">
        <v>7</v>
      </c>
      <c r="AFW272">
        <f>0.05+0.03+0.27+0.03</f>
        <v>0.38</v>
      </c>
      <c r="AFX272">
        <v>1</v>
      </c>
      <c r="AGE272" s="18"/>
      <c r="AGW272">
        <v>0</v>
      </c>
      <c r="AIH272" s="16">
        <v>0.67</v>
      </c>
      <c r="AII272" s="16">
        <v>1</v>
      </c>
      <c r="AIJ272" s="16">
        <v>2</v>
      </c>
      <c r="AIK272" s="16"/>
      <c r="AIL272" s="16">
        <f>0.28*2</f>
        <v>0.56000000000000005</v>
      </c>
      <c r="AIM272" s="16"/>
      <c r="AIN272" s="16"/>
      <c r="AIO272" s="16"/>
      <c r="AIP272" s="16"/>
      <c r="AIQ272" s="16"/>
      <c r="AIR272" s="16"/>
      <c r="AIS272" s="16">
        <v>7.38</v>
      </c>
      <c r="AIT272" s="16">
        <v>10.32</v>
      </c>
      <c r="AIU272" s="16"/>
      <c r="AIV272" s="16"/>
      <c r="AIW272" s="16">
        <v>0</v>
      </c>
      <c r="AIX272" s="16">
        <v>0</v>
      </c>
      <c r="AIY272" s="16">
        <v>0</v>
      </c>
      <c r="AIZ272">
        <v>0</v>
      </c>
      <c r="AJA272" t="s">
        <v>451</v>
      </c>
      <c r="AJB272">
        <v>48.5</v>
      </c>
      <c r="AJC272" s="16">
        <v>83.8</v>
      </c>
      <c r="AJD272" s="16">
        <v>80.400000000000006</v>
      </c>
      <c r="AJE272" s="16">
        <v>34.299999999999997</v>
      </c>
      <c r="AJF272">
        <v>70.08</v>
      </c>
      <c r="AJG272">
        <v>0</v>
      </c>
      <c r="AJH272">
        <v>18.239999999999998</v>
      </c>
      <c r="AJI272">
        <v>1.05</v>
      </c>
      <c r="AJJ272">
        <v>1.1399999999999999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19.39</v>
      </c>
      <c r="AJR272">
        <v>3.64</v>
      </c>
      <c r="AJS272">
        <v>13.61</v>
      </c>
      <c r="AJT272">
        <v>5.23</v>
      </c>
      <c r="AJU272">
        <v>9.49</v>
      </c>
      <c r="AJV272">
        <v>2.6</v>
      </c>
      <c r="AJW272">
        <v>2</v>
      </c>
      <c r="AJX272">
        <v>3</v>
      </c>
      <c r="AJY272">
        <v>1.01</v>
      </c>
      <c r="AKD272">
        <v>3</v>
      </c>
      <c r="AKE272">
        <v>1.01</v>
      </c>
      <c r="AKJ272">
        <v>1.7</v>
      </c>
      <c r="AKK272">
        <v>0</v>
      </c>
      <c r="AKV272" s="18"/>
      <c r="ALN272">
        <v>1</v>
      </c>
      <c r="ALO272">
        <v>60</v>
      </c>
      <c r="ALP272">
        <v>1</v>
      </c>
      <c r="ALQ272">
        <v>1.05</v>
      </c>
      <c r="ALR272">
        <v>1</v>
      </c>
    </row>
    <row r="273" spans="1:1018" x14ac:dyDescent="0.2">
      <c r="A273" s="1" t="s">
        <v>816</v>
      </c>
      <c r="B273" s="12">
        <v>42907</v>
      </c>
      <c r="C273">
        <v>2</v>
      </c>
      <c r="D273" s="13">
        <v>34862</v>
      </c>
      <c r="E273" s="12">
        <v>23272</v>
      </c>
      <c r="F273" s="14">
        <f t="shared" si="106"/>
        <v>53.757700205338807</v>
      </c>
      <c r="G273" s="14">
        <f t="shared" si="107"/>
        <v>22.026009582477755</v>
      </c>
      <c r="H273" s="19" t="s">
        <v>181</v>
      </c>
      <c r="I273" s="15" t="s">
        <v>817</v>
      </c>
      <c r="J273" s="15" t="s">
        <v>181</v>
      </c>
      <c r="K273" s="15">
        <v>8</v>
      </c>
      <c r="L273" s="19">
        <v>79</v>
      </c>
      <c r="M273">
        <v>1.81</v>
      </c>
      <c r="N273" s="16">
        <f t="shared" si="108"/>
        <v>24.114038033027075</v>
      </c>
      <c r="O273" s="19">
        <v>0</v>
      </c>
      <c r="P273" s="19">
        <v>0</v>
      </c>
      <c r="Q273" s="19">
        <v>0</v>
      </c>
      <c r="R273" s="26">
        <v>0</v>
      </c>
      <c r="S273" s="26">
        <v>0</v>
      </c>
      <c r="T273" s="26">
        <v>0</v>
      </c>
      <c r="U273" s="19">
        <v>0</v>
      </c>
      <c r="V273" s="19">
        <v>0</v>
      </c>
      <c r="W273" s="19">
        <v>0</v>
      </c>
      <c r="X273" s="19">
        <v>0</v>
      </c>
      <c r="Y273" s="19">
        <v>1</v>
      </c>
      <c r="Z273" s="19">
        <v>3</v>
      </c>
      <c r="AA273" s="19">
        <v>30</v>
      </c>
      <c r="AB273" s="19" t="s">
        <v>818</v>
      </c>
      <c r="AC273" s="19">
        <v>0</v>
      </c>
      <c r="AD273" s="19">
        <v>0</v>
      </c>
      <c r="AE273" s="19">
        <v>0</v>
      </c>
      <c r="AF273" s="19">
        <v>0</v>
      </c>
      <c r="AG273" s="19">
        <v>0</v>
      </c>
      <c r="AH273" s="19">
        <v>0</v>
      </c>
      <c r="AI273" s="19">
        <v>2</v>
      </c>
      <c r="AJ273" s="19">
        <v>2</v>
      </c>
      <c r="AK273" s="19">
        <v>2</v>
      </c>
      <c r="AL273" s="19">
        <v>0</v>
      </c>
      <c r="AM273" s="19">
        <v>7</v>
      </c>
      <c r="AN273" s="19">
        <v>0</v>
      </c>
      <c r="AO273" s="19">
        <v>0</v>
      </c>
      <c r="AP273" s="19">
        <v>0</v>
      </c>
      <c r="AQ273" s="19">
        <v>0</v>
      </c>
      <c r="AR273" s="19">
        <v>0</v>
      </c>
      <c r="AS273" s="19">
        <v>0</v>
      </c>
      <c r="AT273" s="19">
        <v>0</v>
      </c>
      <c r="AU273" s="19">
        <v>0</v>
      </c>
      <c r="AV273" s="19">
        <v>0</v>
      </c>
      <c r="AW273" s="19">
        <v>0</v>
      </c>
      <c r="AX273" s="19">
        <v>0</v>
      </c>
      <c r="AY273" s="19">
        <v>0</v>
      </c>
      <c r="AZ273" s="19">
        <v>0</v>
      </c>
      <c r="BA273" s="19">
        <v>0</v>
      </c>
      <c r="BB273" s="19">
        <v>0</v>
      </c>
      <c r="BC273" s="19">
        <v>0</v>
      </c>
      <c r="BD273" s="19">
        <v>0</v>
      </c>
      <c r="BE273" s="19">
        <v>0</v>
      </c>
      <c r="BF273" s="19">
        <v>0</v>
      </c>
      <c r="BG273" s="19">
        <v>0</v>
      </c>
      <c r="BH273" s="19">
        <v>0</v>
      </c>
      <c r="BI273" s="19">
        <v>0</v>
      </c>
      <c r="BJ273" s="19">
        <v>0</v>
      </c>
      <c r="BK273" s="19">
        <v>0</v>
      </c>
      <c r="BL273" s="19">
        <v>0</v>
      </c>
      <c r="BM273" s="19">
        <v>0</v>
      </c>
      <c r="BN273" s="19">
        <v>0</v>
      </c>
      <c r="BO273" s="19">
        <v>0</v>
      </c>
      <c r="BP273" s="19">
        <v>0</v>
      </c>
      <c r="BQ273" s="19">
        <v>0</v>
      </c>
      <c r="BR273" s="19">
        <v>2</v>
      </c>
      <c r="BS273" s="19">
        <v>3</v>
      </c>
      <c r="BT273" s="19">
        <v>4</v>
      </c>
      <c r="BU273" s="19">
        <v>5</v>
      </c>
      <c r="BV273" s="19">
        <v>3</v>
      </c>
      <c r="BW273" s="19">
        <v>3</v>
      </c>
      <c r="BX273" s="19">
        <v>4</v>
      </c>
      <c r="BY273" s="19">
        <v>3</v>
      </c>
      <c r="BZ273" s="19">
        <v>3</v>
      </c>
      <c r="CA273" s="19">
        <v>5</v>
      </c>
      <c r="CB273" s="19">
        <v>5</v>
      </c>
      <c r="CC273" s="19">
        <v>5</v>
      </c>
      <c r="CD273" s="19">
        <v>4</v>
      </c>
      <c r="CE273" s="19">
        <v>5</v>
      </c>
      <c r="CF273" s="19">
        <v>5</v>
      </c>
      <c r="CG273" s="19">
        <v>5</v>
      </c>
      <c r="CH273" s="19">
        <v>5</v>
      </c>
      <c r="CI273" s="19">
        <v>5</v>
      </c>
      <c r="CJ273" s="19">
        <v>4</v>
      </c>
      <c r="CK273" s="19">
        <v>8</v>
      </c>
      <c r="CL273" t="s">
        <v>819</v>
      </c>
      <c r="CM273">
        <v>34.5</v>
      </c>
      <c r="CN273" s="16">
        <v>76.2</v>
      </c>
      <c r="CO273" s="16">
        <v>80.400000000000006</v>
      </c>
      <c r="CP273" s="16">
        <v>34.1</v>
      </c>
      <c r="CQ273">
        <v>70.97</v>
      </c>
      <c r="CR273" s="17">
        <v>0</v>
      </c>
      <c r="CS273">
        <v>11.02</v>
      </c>
      <c r="CT273">
        <v>18.010000000000002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U273">
        <v>0</v>
      </c>
      <c r="DV273">
        <v>0</v>
      </c>
      <c r="EG273" s="18"/>
      <c r="EY273">
        <v>0</v>
      </c>
      <c r="GJ273" s="16">
        <v>0</v>
      </c>
      <c r="GK273" s="16">
        <v>0</v>
      </c>
      <c r="GL273" s="16"/>
      <c r="GM273" s="16"/>
      <c r="GN273" s="16"/>
      <c r="GO273" s="16"/>
      <c r="GP273" s="16"/>
      <c r="GQ273" s="16"/>
      <c r="GR273" s="16"/>
      <c r="GS273" s="16"/>
      <c r="GT273" s="16"/>
      <c r="GU273" s="16">
        <v>0</v>
      </c>
      <c r="GV273" s="16">
        <v>0</v>
      </c>
      <c r="GW273" s="16"/>
      <c r="GX273" s="16"/>
      <c r="GY273" s="16">
        <v>0</v>
      </c>
      <c r="GZ273" s="16">
        <v>0</v>
      </c>
      <c r="HA273" s="16">
        <v>0</v>
      </c>
      <c r="HB273">
        <v>0</v>
      </c>
      <c r="HC273" t="s">
        <v>820</v>
      </c>
      <c r="HD273">
        <v>48.5</v>
      </c>
      <c r="HE273" s="16">
        <v>67.900000000000006</v>
      </c>
      <c r="HF273" s="16">
        <v>80.400000000000006</v>
      </c>
      <c r="HG273" s="16">
        <v>24.3</v>
      </c>
      <c r="HH273">
        <v>78.790000000000006</v>
      </c>
      <c r="HI273" s="17">
        <v>0</v>
      </c>
      <c r="HJ273">
        <v>11.74</v>
      </c>
      <c r="HK273">
        <v>9.4700000000000006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IL273">
        <v>23.8</v>
      </c>
      <c r="IM273">
        <v>1</v>
      </c>
      <c r="IN273">
        <v>25</v>
      </c>
      <c r="IO273">
        <v>1</v>
      </c>
      <c r="IP273">
        <v>0.06</v>
      </c>
      <c r="IQ273">
        <v>2</v>
      </c>
      <c r="IR273">
        <v>47</v>
      </c>
      <c r="IS273">
        <v>4</v>
      </c>
      <c r="IT273">
        <f>1.52*2</f>
        <v>3.04</v>
      </c>
      <c r="IU273">
        <v>3</v>
      </c>
      <c r="IX273" s="18"/>
      <c r="JP273">
        <v>0</v>
      </c>
      <c r="LA273" s="16">
        <v>0</v>
      </c>
      <c r="LB273" s="16">
        <v>0</v>
      </c>
      <c r="LC273" s="16"/>
      <c r="LD273" s="16"/>
      <c r="LE273" s="16"/>
      <c r="LF273" s="16"/>
      <c r="LG273" s="16"/>
      <c r="LH273" s="16"/>
      <c r="LI273" s="16"/>
      <c r="LJ273" s="16"/>
      <c r="LK273" s="16"/>
      <c r="LL273" s="16">
        <v>0</v>
      </c>
      <c r="LM273" s="16">
        <v>0</v>
      </c>
      <c r="LN273" s="16"/>
      <c r="LO273" s="16"/>
      <c r="LP273" s="16">
        <v>0</v>
      </c>
      <c r="LQ273" s="16">
        <v>0</v>
      </c>
      <c r="LR273" s="16">
        <v>0</v>
      </c>
      <c r="LS273">
        <v>0</v>
      </c>
      <c r="LT273" t="s">
        <v>821</v>
      </c>
      <c r="LU273">
        <v>26.5</v>
      </c>
      <c r="LV273" s="16">
        <v>82.8</v>
      </c>
      <c r="LW273" s="16">
        <v>80.400000000000006</v>
      </c>
      <c r="LX273" s="16">
        <v>26.4</v>
      </c>
      <c r="LY273">
        <v>79.3</v>
      </c>
      <c r="LZ273" s="17">
        <v>0</v>
      </c>
      <c r="MA273">
        <v>5.17</v>
      </c>
      <c r="MB273">
        <v>15.52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2.73</v>
      </c>
      <c r="MM273">
        <v>0</v>
      </c>
      <c r="MN273">
        <v>0</v>
      </c>
      <c r="MO273">
        <v>0</v>
      </c>
      <c r="MP273">
        <v>0</v>
      </c>
      <c r="NC273">
        <v>0</v>
      </c>
      <c r="ND273">
        <v>1</v>
      </c>
      <c r="NE273">
        <v>68</v>
      </c>
      <c r="NF273">
        <v>1</v>
      </c>
      <c r="NG273">
        <v>0.03</v>
      </c>
      <c r="NH273">
        <v>1</v>
      </c>
      <c r="NO273" s="18"/>
      <c r="OG273">
        <v>0</v>
      </c>
      <c r="PR273" s="16">
        <v>0</v>
      </c>
      <c r="PS273" s="16">
        <v>0</v>
      </c>
      <c r="PT273" s="16"/>
      <c r="PU273" s="16"/>
      <c r="PV273" s="16"/>
      <c r="PW273" s="16"/>
      <c r="PX273" s="16"/>
      <c r="PY273" s="16"/>
      <c r="PZ273" s="16"/>
      <c r="QA273" s="16"/>
      <c r="QB273" s="16"/>
      <c r="QC273" s="16">
        <v>0.1</v>
      </c>
      <c r="QD273" s="16">
        <v>0.9</v>
      </c>
      <c r="QE273" s="16"/>
      <c r="QF273" s="16"/>
      <c r="QG273" s="16">
        <v>0</v>
      </c>
      <c r="QH273" s="16">
        <v>0</v>
      </c>
      <c r="QI273" s="16">
        <v>0</v>
      </c>
      <c r="QJ273">
        <v>0</v>
      </c>
      <c r="QK273" t="s">
        <v>822</v>
      </c>
      <c r="QL273">
        <v>35</v>
      </c>
      <c r="QM273" s="16">
        <v>85.3</v>
      </c>
      <c r="QN273" s="16">
        <v>80.400000000000006</v>
      </c>
      <c r="QO273" s="16">
        <v>29.7</v>
      </c>
      <c r="QP273">
        <v>79.3</v>
      </c>
      <c r="QQ273" s="17">
        <v>0</v>
      </c>
      <c r="QR273">
        <v>5.17</v>
      </c>
      <c r="QS273">
        <v>15.52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RA273">
        <v>0</v>
      </c>
      <c r="RB273">
        <v>0</v>
      </c>
      <c r="RC273">
        <v>7.06</v>
      </c>
      <c r="RD273">
        <v>3.79</v>
      </c>
      <c r="RE273">
        <v>0</v>
      </c>
      <c r="RF273">
        <v>0</v>
      </c>
      <c r="RG273">
        <v>1</v>
      </c>
      <c r="RH273">
        <v>2</v>
      </c>
      <c r="RJ273">
        <v>1</v>
      </c>
      <c r="RN273">
        <v>2</v>
      </c>
      <c r="RP273">
        <v>1</v>
      </c>
      <c r="RT273">
        <v>5</v>
      </c>
      <c r="RU273">
        <v>1</v>
      </c>
      <c r="RV273">
        <v>68</v>
      </c>
      <c r="RW273">
        <v>6</v>
      </c>
      <c r="RX273">
        <f>2.66+3.05</f>
        <v>5.71</v>
      </c>
      <c r="RY273">
        <v>1</v>
      </c>
      <c r="SF273" s="18"/>
      <c r="SX273">
        <v>0</v>
      </c>
      <c r="UI273" s="16">
        <v>0</v>
      </c>
      <c r="UJ273" s="16">
        <v>0</v>
      </c>
      <c r="UK273" s="16"/>
      <c r="UL273" s="16"/>
      <c r="UM273" s="16"/>
      <c r="UN273" s="16"/>
      <c r="UO273" s="16"/>
      <c r="UP273" s="16"/>
      <c r="UQ273" s="16"/>
      <c r="UR273" s="16"/>
      <c r="US273" s="16"/>
      <c r="UT273" s="16">
        <v>0</v>
      </c>
      <c r="UU273" s="16">
        <v>0</v>
      </c>
      <c r="UV273" s="16"/>
      <c r="UW273" s="16"/>
      <c r="UX273" s="16">
        <v>0</v>
      </c>
      <c r="UY273" s="16">
        <v>0</v>
      </c>
      <c r="UZ273" s="16">
        <v>0</v>
      </c>
      <c r="VA273">
        <v>0</v>
      </c>
      <c r="VB273" t="s">
        <v>823</v>
      </c>
      <c r="VC273">
        <v>36</v>
      </c>
      <c r="VD273" s="16">
        <v>57.6</v>
      </c>
      <c r="VE273" s="16">
        <v>80.400000000000006</v>
      </c>
      <c r="VF273" s="16">
        <v>19.2</v>
      </c>
      <c r="VG273">
        <v>83.43</v>
      </c>
      <c r="VH273" s="17">
        <v>0</v>
      </c>
      <c r="VI273">
        <v>0</v>
      </c>
      <c r="VJ273">
        <v>0</v>
      </c>
      <c r="VK273">
        <v>16.57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3.13</v>
      </c>
      <c r="VU273">
        <v>18.98</v>
      </c>
      <c r="VV273">
        <v>0</v>
      </c>
      <c r="VW273">
        <v>0</v>
      </c>
      <c r="VX273">
        <v>0</v>
      </c>
      <c r="WK273">
        <v>0</v>
      </c>
      <c r="WL273">
        <v>1</v>
      </c>
      <c r="WM273">
        <v>10</v>
      </c>
      <c r="WN273">
        <v>1</v>
      </c>
      <c r="WO273">
        <v>1.3</v>
      </c>
      <c r="WP273">
        <v>5</v>
      </c>
      <c r="WW273" s="18"/>
      <c r="XO273">
        <v>0</v>
      </c>
      <c r="YZ273" s="16">
        <v>0</v>
      </c>
      <c r="ZA273" s="16">
        <v>0</v>
      </c>
      <c r="ZB273" s="16"/>
      <c r="ZC273" s="16"/>
      <c r="ZD273" s="16"/>
      <c r="ZE273" s="16"/>
      <c r="ZF273" s="16"/>
      <c r="ZG273" s="16"/>
      <c r="ZH273" s="16"/>
      <c r="ZI273" s="16"/>
      <c r="ZJ273" s="16"/>
      <c r="ZK273" s="16">
        <v>6.14</v>
      </c>
      <c r="ZL273" s="16">
        <v>13.2</v>
      </c>
      <c r="ZM273" s="16"/>
      <c r="ZN273" s="16"/>
      <c r="ZO273" s="16">
        <v>10</v>
      </c>
      <c r="ZP273" s="16">
        <v>8.19</v>
      </c>
      <c r="ZQ273" s="16">
        <v>0</v>
      </c>
      <c r="ZR273">
        <v>1</v>
      </c>
      <c r="ZS273" t="s">
        <v>824</v>
      </c>
      <c r="ZT273">
        <v>2.5</v>
      </c>
      <c r="ZU273" s="16">
        <v>89.5</v>
      </c>
      <c r="ZV273" s="16">
        <v>80.400000000000006</v>
      </c>
      <c r="ZW273" s="16">
        <v>2.2000000000000002</v>
      </c>
      <c r="ZX273">
        <v>98.4</v>
      </c>
      <c r="ZY273" s="17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BB273">
        <v>0</v>
      </c>
      <c r="ABC273">
        <v>0</v>
      </c>
      <c r="ABN273" s="18"/>
      <c r="ACF273">
        <v>0</v>
      </c>
      <c r="ADQ273" s="16">
        <v>0</v>
      </c>
      <c r="ADR273" s="16">
        <v>0</v>
      </c>
      <c r="ADS273" s="16"/>
      <c r="ADT273" s="16"/>
      <c r="ADU273" s="16"/>
      <c r="ADV273" s="16"/>
      <c r="ADW273" s="16"/>
      <c r="ADX273" s="16"/>
      <c r="ADY273" s="16"/>
      <c r="ADZ273" s="16"/>
      <c r="AEA273" s="16"/>
      <c r="AEB273" s="16">
        <v>0</v>
      </c>
      <c r="AEC273" s="16">
        <v>0</v>
      </c>
      <c r="AED273" s="16"/>
      <c r="AEE273" s="16"/>
      <c r="AEF273" s="16">
        <v>0</v>
      </c>
      <c r="AEG273" s="16">
        <v>0</v>
      </c>
      <c r="AEH273" s="16">
        <v>0</v>
      </c>
      <c r="AEI273">
        <v>0</v>
      </c>
      <c r="AEJ273" t="s">
        <v>825</v>
      </c>
      <c r="AEK273">
        <v>20</v>
      </c>
      <c r="AEL273" s="16">
        <v>86.3</v>
      </c>
      <c r="AEM273" s="16">
        <v>80.400000000000006</v>
      </c>
      <c r="AEN273" s="16">
        <v>9.4</v>
      </c>
      <c r="AEO273">
        <v>99.87</v>
      </c>
      <c r="AEP273" s="17">
        <v>0</v>
      </c>
      <c r="AEQ273">
        <v>0</v>
      </c>
      <c r="AER273">
        <v>0</v>
      </c>
      <c r="AES273">
        <v>0.13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25.58</v>
      </c>
      <c r="AFC273">
        <v>13.58</v>
      </c>
      <c r="AFD273">
        <v>0</v>
      </c>
      <c r="AFE273">
        <v>0</v>
      </c>
      <c r="AFF273">
        <v>0</v>
      </c>
      <c r="AFS273">
        <v>4.2</v>
      </c>
      <c r="AFT273">
        <v>1</v>
      </c>
      <c r="AFU273">
        <v>68</v>
      </c>
      <c r="AFV273">
        <v>5</v>
      </c>
      <c r="AFW273">
        <f>0.4+2.28</f>
        <v>2.6799999999999997</v>
      </c>
      <c r="AFX273">
        <v>1</v>
      </c>
      <c r="AGE273" s="18"/>
      <c r="AGW273">
        <v>0</v>
      </c>
      <c r="AIH273" s="16">
        <v>2.2799999999999998</v>
      </c>
      <c r="AII273" s="16">
        <v>1</v>
      </c>
      <c r="AIJ273" s="16">
        <v>2</v>
      </c>
      <c r="AIK273" s="16"/>
      <c r="AIL273" s="16">
        <f>2.24+0.09+12.69</f>
        <v>15.02</v>
      </c>
      <c r="AIM273" s="16"/>
      <c r="AIN273" s="16"/>
      <c r="AIO273" s="16"/>
      <c r="AIP273" s="16"/>
      <c r="AIQ273" s="16"/>
      <c r="AIR273" s="16"/>
      <c r="AIS273" s="16">
        <v>0</v>
      </c>
      <c r="AIT273" s="16">
        <v>0</v>
      </c>
      <c r="AIU273" s="16"/>
      <c r="AIV273" s="16"/>
      <c r="AIW273" s="16">
        <v>3.73</v>
      </c>
      <c r="AIX273" s="16">
        <v>0.14000000000000001</v>
      </c>
      <c r="AIY273" s="16">
        <v>0</v>
      </c>
      <c r="AIZ273">
        <v>0</v>
      </c>
      <c r="AJA273" s="15"/>
      <c r="AJB273" s="15"/>
      <c r="AJI273" s="15"/>
      <c r="AJJ273" s="15"/>
      <c r="AJQ273" s="15"/>
      <c r="AJR273" s="15"/>
      <c r="AJY273" s="15"/>
      <c r="AJZ273" s="15"/>
      <c r="AKG273" s="15"/>
      <c r="AKH273" s="15"/>
      <c r="AKO273" s="15"/>
      <c r="AKP273" s="15"/>
      <c r="AKW273" s="15"/>
      <c r="AKX273" s="15"/>
      <c r="ALE273" s="15"/>
      <c r="ALF273" s="15"/>
      <c r="ALM273" s="15"/>
      <c r="ALN273" s="15"/>
      <c r="ALU273" s="15"/>
      <c r="ALV273" s="15"/>
      <c r="AMC273" s="15"/>
      <c r="AMD273" s="15"/>
    </row>
    <row r="274" spans="1:1018" x14ac:dyDescent="0.2">
      <c r="A274" s="1" t="s">
        <v>826</v>
      </c>
      <c r="B274" s="12">
        <v>42902</v>
      </c>
      <c r="C274">
        <v>2</v>
      </c>
      <c r="D274" s="13">
        <v>35009</v>
      </c>
      <c r="E274" s="12">
        <v>27469</v>
      </c>
      <c r="F274" s="14">
        <f t="shared" si="106"/>
        <v>42.253251197809718</v>
      </c>
      <c r="G274" s="14">
        <f t="shared" si="107"/>
        <v>21.609856262833677</v>
      </c>
      <c r="H274" s="19" t="s">
        <v>181</v>
      </c>
      <c r="I274" s="15" t="s">
        <v>817</v>
      </c>
      <c r="J274" s="15" t="s">
        <v>181</v>
      </c>
      <c r="K274" s="15">
        <v>8</v>
      </c>
      <c r="L274" s="19">
        <v>70</v>
      </c>
      <c r="M274">
        <v>1.75</v>
      </c>
      <c r="N274" s="16">
        <f t="shared" si="108"/>
        <v>22.857142857142858</v>
      </c>
      <c r="O274" s="19">
        <v>0</v>
      </c>
      <c r="P274" s="19">
        <v>0</v>
      </c>
      <c r="Q274" s="19">
        <v>0</v>
      </c>
      <c r="R274" s="26">
        <v>0</v>
      </c>
      <c r="S274" s="26">
        <v>0</v>
      </c>
      <c r="T274" s="26">
        <v>0</v>
      </c>
      <c r="U274" s="19">
        <v>0</v>
      </c>
      <c r="V274" s="19">
        <v>0</v>
      </c>
      <c r="W274" s="19">
        <v>0</v>
      </c>
      <c r="X274" s="19">
        <v>0</v>
      </c>
      <c r="Y274" s="19">
        <v>1</v>
      </c>
      <c r="Z274" s="19">
        <v>2</v>
      </c>
      <c r="AA274" s="19">
        <v>30</v>
      </c>
      <c r="AB274" s="19" t="s">
        <v>484</v>
      </c>
      <c r="AC274" s="19">
        <v>1</v>
      </c>
      <c r="AD274" s="19">
        <v>15</v>
      </c>
      <c r="AE274" s="19">
        <v>0</v>
      </c>
      <c r="AF274" s="19">
        <v>0</v>
      </c>
      <c r="AG274" s="19">
        <v>0</v>
      </c>
      <c r="AH274" s="19">
        <v>0</v>
      </c>
      <c r="AI274" s="19">
        <v>0</v>
      </c>
      <c r="AJ274" s="19">
        <v>0</v>
      </c>
      <c r="AK274" s="19">
        <v>0</v>
      </c>
      <c r="AL274" s="19">
        <v>0</v>
      </c>
      <c r="AM274" s="19"/>
      <c r="AN274" s="19">
        <v>0</v>
      </c>
      <c r="AO274" s="19">
        <v>0</v>
      </c>
      <c r="AP274" s="19">
        <v>0</v>
      </c>
      <c r="AQ274" s="19">
        <v>0</v>
      </c>
      <c r="AR274" s="19">
        <v>0</v>
      </c>
      <c r="AS274" s="19">
        <v>0</v>
      </c>
      <c r="AT274" s="19">
        <v>0</v>
      </c>
      <c r="AU274" s="19">
        <v>0</v>
      </c>
      <c r="AV274" s="19">
        <v>0</v>
      </c>
      <c r="AW274" s="19">
        <v>0</v>
      </c>
      <c r="AX274" s="19">
        <v>0</v>
      </c>
      <c r="AY274" s="19">
        <v>0</v>
      </c>
      <c r="AZ274" s="19">
        <v>0</v>
      </c>
      <c r="BA274" s="19">
        <v>0</v>
      </c>
      <c r="BB274" s="19">
        <v>0</v>
      </c>
      <c r="BC274" s="19">
        <v>0</v>
      </c>
      <c r="BD274" s="19">
        <v>0</v>
      </c>
      <c r="BE274" s="19">
        <v>0</v>
      </c>
      <c r="BF274" s="19">
        <v>0</v>
      </c>
      <c r="BG274" s="19">
        <v>0</v>
      </c>
      <c r="BH274" s="19">
        <v>0</v>
      </c>
      <c r="BI274" s="19">
        <v>0</v>
      </c>
      <c r="BJ274" s="19">
        <v>0</v>
      </c>
      <c r="BK274" s="19">
        <v>0</v>
      </c>
      <c r="BL274" s="19">
        <v>0</v>
      </c>
      <c r="BM274" s="19">
        <v>0</v>
      </c>
      <c r="BN274" s="19">
        <v>0</v>
      </c>
      <c r="BO274" s="19">
        <v>0</v>
      </c>
      <c r="BP274" s="19">
        <v>0</v>
      </c>
      <c r="BQ274" s="19">
        <v>0</v>
      </c>
      <c r="BR274" s="19">
        <v>1</v>
      </c>
      <c r="BS274" s="19">
        <v>2</v>
      </c>
      <c r="BT274" s="19">
        <v>3</v>
      </c>
      <c r="BU274" s="19">
        <v>5</v>
      </c>
      <c r="BV274" s="19">
        <v>3</v>
      </c>
      <c r="BW274" s="19">
        <v>1</v>
      </c>
      <c r="BX274" s="19">
        <v>5</v>
      </c>
      <c r="BY274" s="19">
        <v>4</v>
      </c>
      <c r="BZ274" s="19">
        <v>5</v>
      </c>
      <c r="CA274" s="19">
        <v>5</v>
      </c>
      <c r="CB274" s="19">
        <v>5</v>
      </c>
      <c r="CC274" s="19">
        <v>5</v>
      </c>
      <c r="CD274" s="19">
        <v>3</v>
      </c>
      <c r="CE274" s="19">
        <v>5</v>
      </c>
      <c r="CF274" s="19">
        <v>5</v>
      </c>
      <c r="CG274" s="19">
        <v>5</v>
      </c>
      <c r="CH274" s="19">
        <v>5</v>
      </c>
      <c r="CI274" s="19">
        <v>5</v>
      </c>
      <c r="CJ274" s="19">
        <v>5</v>
      </c>
      <c r="CK274" s="19">
        <v>10</v>
      </c>
      <c r="CL274" t="s">
        <v>819</v>
      </c>
      <c r="CM274">
        <v>34.5</v>
      </c>
      <c r="CN274" s="16">
        <v>76.2</v>
      </c>
      <c r="CO274" s="16">
        <v>80.400000000000006</v>
      </c>
      <c r="CP274" s="16">
        <v>34.1</v>
      </c>
      <c r="CQ274">
        <v>70.97</v>
      </c>
      <c r="CR274" s="17">
        <v>0</v>
      </c>
      <c r="CS274">
        <v>11.02</v>
      </c>
      <c r="CT274">
        <v>18.010000000000002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U274">
        <v>0</v>
      </c>
      <c r="DV274">
        <v>0</v>
      </c>
      <c r="EG274" s="18"/>
      <c r="EY274">
        <v>0</v>
      </c>
      <c r="GJ274" s="16">
        <v>0</v>
      </c>
      <c r="GK274" s="16">
        <v>0</v>
      </c>
      <c r="GL274" s="16"/>
      <c r="GM274" s="16"/>
      <c r="GN274" s="16"/>
      <c r="GO274" s="16"/>
      <c r="GP274" s="16"/>
      <c r="GQ274" s="16"/>
      <c r="GR274" s="16"/>
      <c r="GS274" s="16"/>
      <c r="GT274" s="16"/>
      <c r="GU274" s="16">
        <v>0</v>
      </c>
      <c r="GV274" s="16">
        <v>0</v>
      </c>
      <c r="GW274" s="16"/>
      <c r="GX274" s="16"/>
      <c r="GY274" s="16">
        <v>0</v>
      </c>
      <c r="GZ274" s="16">
        <v>0</v>
      </c>
      <c r="HA274" s="16">
        <v>0</v>
      </c>
      <c r="HB274">
        <v>0</v>
      </c>
      <c r="HC274" t="s">
        <v>820</v>
      </c>
      <c r="HD274">
        <v>48.5</v>
      </c>
      <c r="HE274" s="16">
        <v>67.900000000000006</v>
      </c>
      <c r="HF274" s="16">
        <v>80.400000000000006</v>
      </c>
      <c r="HG274" s="16">
        <v>24.3</v>
      </c>
      <c r="HH274">
        <v>78.790000000000006</v>
      </c>
      <c r="HI274" s="17">
        <v>0</v>
      </c>
      <c r="HJ274">
        <v>11.74</v>
      </c>
      <c r="HK274">
        <v>9.4700000000000006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IL274">
        <v>23.8</v>
      </c>
      <c r="IM274">
        <v>1</v>
      </c>
      <c r="IN274">
        <v>25</v>
      </c>
      <c r="IO274">
        <v>1</v>
      </c>
      <c r="IP274">
        <v>0.06</v>
      </c>
      <c r="IQ274">
        <v>2</v>
      </c>
      <c r="IR274">
        <v>47</v>
      </c>
      <c r="IS274">
        <v>4</v>
      </c>
      <c r="IT274">
        <f>1.52*2</f>
        <v>3.04</v>
      </c>
      <c r="IU274">
        <v>3</v>
      </c>
      <c r="IX274" s="18"/>
      <c r="JP274">
        <v>0</v>
      </c>
      <c r="LA274" s="16">
        <v>0</v>
      </c>
      <c r="LB274" s="16">
        <v>0</v>
      </c>
      <c r="LC274" s="16"/>
      <c r="LD274" s="16"/>
      <c r="LE274" s="16"/>
      <c r="LF274" s="16"/>
      <c r="LG274" s="16"/>
      <c r="LH274" s="16"/>
      <c r="LI274" s="16"/>
      <c r="LJ274" s="16"/>
      <c r="LK274" s="16"/>
      <c r="LL274" s="16">
        <v>0</v>
      </c>
      <c r="LM274" s="16">
        <v>0</v>
      </c>
      <c r="LN274" s="16"/>
      <c r="LO274" s="16"/>
      <c r="LP274" s="16">
        <v>0</v>
      </c>
      <c r="LQ274" s="16">
        <v>0</v>
      </c>
      <c r="LR274" s="16">
        <v>0</v>
      </c>
      <c r="LS274">
        <v>0</v>
      </c>
      <c r="LT274" t="s">
        <v>821</v>
      </c>
      <c r="LU274">
        <v>26.5</v>
      </c>
      <c r="LV274" s="16">
        <v>82.8</v>
      </c>
      <c r="LW274" s="16">
        <v>80.400000000000006</v>
      </c>
      <c r="LX274" s="16">
        <v>26.4</v>
      </c>
      <c r="LY274">
        <v>79.3</v>
      </c>
      <c r="LZ274" s="17">
        <v>0</v>
      </c>
      <c r="MA274">
        <v>5.17</v>
      </c>
      <c r="MB274">
        <v>15.52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2.73</v>
      </c>
      <c r="MM274">
        <v>0</v>
      </c>
      <c r="MN274">
        <v>0</v>
      </c>
      <c r="MO274">
        <v>0</v>
      </c>
      <c r="MP274">
        <v>0</v>
      </c>
      <c r="NC274">
        <v>0</v>
      </c>
      <c r="ND274">
        <v>1</v>
      </c>
      <c r="NE274">
        <v>68</v>
      </c>
      <c r="NF274">
        <v>1</v>
      </c>
      <c r="NG274">
        <v>0.03</v>
      </c>
      <c r="NH274">
        <v>1</v>
      </c>
      <c r="NO274" s="18"/>
      <c r="OG274">
        <v>0</v>
      </c>
      <c r="PR274" s="16">
        <v>0</v>
      </c>
      <c r="PS274" s="16">
        <v>0</v>
      </c>
      <c r="PT274" s="16"/>
      <c r="PU274" s="16"/>
      <c r="PV274" s="16"/>
      <c r="PW274" s="16"/>
      <c r="PX274" s="16"/>
      <c r="PY274" s="16"/>
      <c r="PZ274" s="16"/>
      <c r="QA274" s="16"/>
      <c r="QB274" s="16"/>
      <c r="QC274" s="16">
        <v>0.1</v>
      </c>
      <c r="QD274" s="16">
        <v>0.9</v>
      </c>
      <c r="QE274" s="16"/>
      <c r="QF274" s="16"/>
      <c r="QG274" s="16">
        <v>0</v>
      </c>
      <c r="QH274" s="16">
        <v>0</v>
      </c>
      <c r="QI274" s="16">
        <v>0</v>
      </c>
      <c r="QJ274">
        <v>0</v>
      </c>
      <c r="QK274" t="s">
        <v>822</v>
      </c>
      <c r="QL274">
        <v>35</v>
      </c>
      <c r="QM274" s="16">
        <v>85.3</v>
      </c>
      <c r="QN274" s="16">
        <v>80.400000000000006</v>
      </c>
      <c r="QO274" s="16">
        <v>29.7</v>
      </c>
      <c r="QP274">
        <v>79.3</v>
      </c>
      <c r="QQ274" s="17">
        <v>0</v>
      </c>
      <c r="QR274">
        <v>5.17</v>
      </c>
      <c r="QS274">
        <v>15.52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RA274">
        <v>0</v>
      </c>
      <c r="RB274">
        <v>0</v>
      </c>
      <c r="RC274">
        <v>7.06</v>
      </c>
      <c r="RD274">
        <v>3.79</v>
      </c>
      <c r="RE274">
        <v>0</v>
      </c>
      <c r="RF274">
        <v>0</v>
      </c>
      <c r="RG274">
        <v>1</v>
      </c>
      <c r="RH274">
        <v>2</v>
      </c>
      <c r="RJ274">
        <v>1</v>
      </c>
      <c r="RN274">
        <v>2</v>
      </c>
      <c r="RP274">
        <v>1</v>
      </c>
      <c r="RT274">
        <v>5</v>
      </c>
      <c r="RU274">
        <v>1</v>
      </c>
      <c r="RV274">
        <v>68</v>
      </c>
      <c r="RW274">
        <v>6</v>
      </c>
      <c r="RX274">
        <f>2.66+3.05</f>
        <v>5.71</v>
      </c>
      <c r="RY274">
        <v>1</v>
      </c>
      <c r="SF274" s="18"/>
      <c r="SX274">
        <v>0</v>
      </c>
      <c r="UI274" s="16">
        <v>0</v>
      </c>
      <c r="UJ274" s="16">
        <v>0</v>
      </c>
      <c r="UK274" s="16"/>
      <c r="UL274" s="16"/>
      <c r="UM274" s="16"/>
      <c r="UN274" s="16"/>
      <c r="UO274" s="16"/>
      <c r="UP274" s="16"/>
      <c r="UQ274" s="16"/>
      <c r="UR274" s="16"/>
      <c r="US274" s="16"/>
      <c r="UT274" s="16">
        <v>0</v>
      </c>
      <c r="UU274" s="16">
        <v>0</v>
      </c>
      <c r="UV274" s="16"/>
      <c r="UW274" s="16"/>
      <c r="UX274" s="16">
        <v>0</v>
      </c>
      <c r="UY274" s="16">
        <v>0</v>
      </c>
      <c r="UZ274" s="16">
        <v>0</v>
      </c>
      <c r="VA274">
        <v>0</v>
      </c>
      <c r="VB274" t="s">
        <v>823</v>
      </c>
      <c r="VC274">
        <v>36</v>
      </c>
      <c r="VD274" s="16">
        <v>57.6</v>
      </c>
      <c r="VE274" s="16">
        <v>80.400000000000006</v>
      </c>
      <c r="VF274" s="16">
        <v>19.2</v>
      </c>
      <c r="VG274">
        <v>83.43</v>
      </c>
      <c r="VH274" s="17">
        <v>0</v>
      </c>
      <c r="VI274">
        <v>0</v>
      </c>
      <c r="VJ274">
        <v>0</v>
      </c>
      <c r="VK274">
        <v>16.57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3.13</v>
      </c>
      <c r="VU274">
        <v>18.98</v>
      </c>
      <c r="VV274">
        <v>0</v>
      </c>
      <c r="VW274">
        <v>0</v>
      </c>
      <c r="VX274">
        <v>0</v>
      </c>
      <c r="WK274">
        <v>0</v>
      </c>
      <c r="WL274">
        <v>1</v>
      </c>
      <c r="WM274">
        <v>10</v>
      </c>
      <c r="WN274">
        <v>1</v>
      </c>
      <c r="WO274">
        <v>1.3</v>
      </c>
      <c r="WP274">
        <v>5</v>
      </c>
      <c r="WW274" s="18"/>
      <c r="XO274">
        <v>0</v>
      </c>
      <c r="YZ274" s="16">
        <v>0</v>
      </c>
      <c r="ZA274" s="16">
        <v>0</v>
      </c>
      <c r="ZB274" s="16"/>
      <c r="ZC274" s="16"/>
      <c r="ZD274" s="16"/>
      <c r="ZE274" s="16"/>
      <c r="ZF274" s="16"/>
      <c r="ZG274" s="16"/>
      <c r="ZH274" s="16"/>
      <c r="ZI274" s="16"/>
      <c r="ZJ274" s="16"/>
      <c r="ZK274" s="16">
        <v>6.14</v>
      </c>
      <c r="ZL274" s="16">
        <v>13.2</v>
      </c>
      <c r="ZM274" s="16"/>
      <c r="ZN274" s="16"/>
      <c r="ZO274" s="16">
        <v>10</v>
      </c>
      <c r="ZP274" s="16">
        <v>8.19</v>
      </c>
      <c r="ZQ274" s="16">
        <v>0</v>
      </c>
      <c r="ZR274">
        <v>1</v>
      </c>
      <c r="ZS274" t="s">
        <v>824</v>
      </c>
      <c r="ZT274">
        <v>2.5</v>
      </c>
      <c r="ZU274" s="16">
        <v>89.5</v>
      </c>
      <c r="ZV274" s="16">
        <v>80.400000000000006</v>
      </c>
      <c r="ZW274" s="16">
        <v>2.2000000000000002</v>
      </c>
      <c r="ZX274">
        <v>98.4</v>
      </c>
      <c r="ZY274" s="17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BB274">
        <v>0</v>
      </c>
      <c r="ABC274">
        <v>0</v>
      </c>
      <c r="ABN274" s="18"/>
      <c r="ACF274">
        <v>0</v>
      </c>
      <c r="ADQ274" s="16">
        <v>0</v>
      </c>
      <c r="ADR274" s="16">
        <v>0</v>
      </c>
      <c r="ADS274" s="16"/>
      <c r="ADT274" s="16"/>
      <c r="ADU274" s="16"/>
      <c r="ADV274" s="16"/>
      <c r="ADW274" s="16"/>
      <c r="ADX274" s="16"/>
      <c r="ADY274" s="16"/>
      <c r="ADZ274" s="16"/>
      <c r="AEA274" s="16"/>
      <c r="AEB274" s="16">
        <v>0</v>
      </c>
      <c r="AEC274" s="16">
        <v>0</v>
      </c>
      <c r="AED274" s="16"/>
      <c r="AEE274" s="16"/>
      <c r="AEF274" s="16">
        <v>0</v>
      </c>
      <c r="AEG274" s="16">
        <v>0</v>
      </c>
      <c r="AEH274" s="16">
        <v>0</v>
      </c>
      <c r="AEI274">
        <v>0</v>
      </c>
      <c r="AEJ274" t="s">
        <v>825</v>
      </c>
      <c r="AEK274">
        <v>20</v>
      </c>
      <c r="AEL274" s="16">
        <v>86.3</v>
      </c>
      <c r="AEM274" s="16">
        <v>80.400000000000006</v>
      </c>
      <c r="AEN274" s="16">
        <v>9.4</v>
      </c>
      <c r="AEO274">
        <v>99.87</v>
      </c>
      <c r="AEP274" s="17">
        <v>0</v>
      </c>
      <c r="AEQ274">
        <v>0</v>
      </c>
      <c r="AER274">
        <v>0</v>
      </c>
      <c r="AES274">
        <v>0.13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25.58</v>
      </c>
      <c r="AFC274">
        <v>13.58</v>
      </c>
      <c r="AFD274">
        <v>0</v>
      </c>
      <c r="AFE274">
        <v>0</v>
      </c>
      <c r="AFF274">
        <v>0</v>
      </c>
      <c r="AFS274">
        <v>4.2</v>
      </c>
      <c r="AFT274">
        <v>1</v>
      </c>
      <c r="AFU274">
        <v>68</v>
      </c>
      <c r="AFV274">
        <v>5</v>
      </c>
      <c r="AFW274">
        <f>0.4+2.28</f>
        <v>2.6799999999999997</v>
      </c>
      <c r="AFX274">
        <v>1</v>
      </c>
      <c r="AGE274" s="18"/>
      <c r="AGW274">
        <v>0</v>
      </c>
      <c r="AIH274" s="16">
        <v>2.2799999999999998</v>
      </c>
      <c r="AII274" s="16">
        <v>1</v>
      </c>
      <c r="AIJ274" s="16">
        <v>2</v>
      </c>
      <c r="AIK274" s="16"/>
      <c r="AIL274" s="16">
        <f>2.24+0.09+12.69</f>
        <v>15.02</v>
      </c>
      <c r="AIM274" s="16"/>
      <c r="AIN274" s="16"/>
      <c r="AIO274" s="16"/>
      <c r="AIP274" s="16"/>
      <c r="AIQ274" s="16"/>
      <c r="AIR274" s="16"/>
      <c r="AIS274" s="16">
        <v>0</v>
      </c>
      <c r="AIT274" s="16">
        <v>0</v>
      </c>
      <c r="AIU274" s="16"/>
      <c r="AIV274" s="16"/>
      <c r="AIW274" s="16">
        <v>3.73</v>
      </c>
      <c r="AIX274" s="16">
        <v>0.14000000000000001</v>
      </c>
      <c r="AIY274" s="16">
        <v>0</v>
      </c>
      <c r="AIZ274">
        <v>0</v>
      </c>
      <c r="AJA274" t="s">
        <v>827</v>
      </c>
      <c r="AJB274">
        <v>16</v>
      </c>
      <c r="AJC274" s="16">
        <v>71.599999999999994</v>
      </c>
      <c r="AJD274" s="16">
        <v>80.400000000000006</v>
      </c>
      <c r="AJE274" s="16">
        <v>9.8000000000000007</v>
      </c>
      <c r="AJF274">
        <v>100</v>
      </c>
      <c r="AJG274" s="17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16.12</v>
      </c>
      <c r="AJT274">
        <v>13.45</v>
      </c>
      <c r="AJU274">
        <v>0</v>
      </c>
      <c r="AJV274">
        <v>0</v>
      </c>
      <c r="AJW274">
        <v>0</v>
      </c>
      <c r="AKJ274">
        <v>3.9</v>
      </c>
      <c r="AKK274">
        <v>1</v>
      </c>
      <c r="AKL274">
        <v>68</v>
      </c>
      <c r="AKM274">
        <v>5</v>
      </c>
      <c r="AKN274">
        <f>0.4+2.28</f>
        <v>2.6799999999999997</v>
      </c>
      <c r="AKO274">
        <v>1</v>
      </c>
      <c r="AKV274" s="18"/>
      <c r="ALN274">
        <v>0</v>
      </c>
    </row>
    <row r="275" spans="1:1018" x14ac:dyDescent="0.2">
      <c r="A275" s="1" t="s">
        <v>828</v>
      </c>
      <c r="B275" s="12">
        <v>42902</v>
      </c>
      <c r="C275">
        <v>2</v>
      </c>
      <c r="D275" s="13">
        <v>34809</v>
      </c>
      <c r="E275" s="12">
        <v>25012</v>
      </c>
      <c r="F275" s="14">
        <f t="shared" si="106"/>
        <v>48.980150581793289</v>
      </c>
      <c r="G275" s="14">
        <f t="shared" si="107"/>
        <v>22.157426420260094</v>
      </c>
      <c r="H275" s="19" t="s">
        <v>181</v>
      </c>
      <c r="I275" s="15" t="s">
        <v>817</v>
      </c>
      <c r="J275" s="15" t="s">
        <v>181</v>
      </c>
      <c r="K275" s="15">
        <v>8</v>
      </c>
      <c r="L275" s="19"/>
      <c r="M275">
        <v>1.77</v>
      </c>
      <c r="N275" s="16">
        <f t="shared" si="108"/>
        <v>0</v>
      </c>
      <c r="O275" s="19">
        <v>0</v>
      </c>
      <c r="P275" s="19">
        <v>0</v>
      </c>
      <c r="Q275" s="19">
        <v>0</v>
      </c>
      <c r="R275" s="26">
        <v>0</v>
      </c>
      <c r="S275" s="26">
        <v>0</v>
      </c>
      <c r="T275" s="26">
        <v>0</v>
      </c>
      <c r="U275" s="19">
        <v>0</v>
      </c>
      <c r="V275" s="19">
        <v>0</v>
      </c>
      <c r="W275" s="19">
        <v>1</v>
      </c>
      <c r="X275" s="19">
        <v>1</v>
      </c>
      <c r="Y275" s="19">
        <v>0</v>
      </c>
      <c r="Z275" s="19">
        <v>0</v>
      </c>
      <c r="AA275" s="19">
        <v>0</v>
      </c>
      <c r="AB275" s="19">
        <v>0</v>
      </c>
      <c r="AC275" s="19">
        <v>1</v>
      </c>
      <c r="AD275" s="19">
        <v>20</v>
      </c>
      <c r="AE275" s="19">
        <v>1</v>
      </c>
      <c r="AF275" s="19">
        <v>0</v>
      </c>
      <c r="AG275" s="19">
        <v>1</v>
      </c>
      <c r="AH275" s="19">
        <v>4</v>
      </c>
      <c r="AI275" s="19">
        <v>3</v>
      </c>
      <c r="AJ275" s="19">
        <v>0</v>
      </c>
      <c r="AK275" s="19">
        <v>3</v>
      </c>
      <c r="AL275" s="19"/>
      <c r="AM275" s="19">
        <v>4</v>
      </c>
      <c r="AN275" s="19">
        <v>0</v>
      </c>
      <c r="AO275" s="19">
        <v>0</v>
      </c>
      <c r="AP275" s="19">
        <v>0</v>
      </c>
      <c r="AQ275" s="19">
        <v>0</v>
      </c>
      <c r="AR275" s="19">
        <v>0</v>
      </c>
      <c r="AS275" s="19">
        <v>0</v>
      </c>
      <c r="AT275" s="19">
        <v>0</v>
      </c>
      <c r="AU275" s="19">
        <v>0</v>
      </c>
      <c r="AV275" s="19">
        <v>0</v>
      </c>
      <c r="AW275" s="19">
        <v>0</v>
      </c>
      <c r="AX275" s="19">
        <v>0</v>
      </c>
      <c r="AY275" s="19">
        <v>0</v>
      </c>
      <c r="AZ275" s="19">
        <v>0</v>
      </c>
      <c r="BA275" s="19">
        <v>0</v>
      </c>
      <c r="BB275" s="19">
        <v>1</v>
      </c>
      <c r="BC275" s="19">
        <v>0</v>
      </c>
      <c r="BD275" s="19">
        <v>1</v>
      </c>
      <c r="BE275" s="19">
        <v>4</v>
      </c>
      <c r="BF275" s="19">
        <v>0</v>
      </c>
      <c r="BG275" s="19">
        <v>0</v>
      </c>
      <c r="BH275" s="19">
        <v>0</v>
      </c>
      <c r="BI275" s="19">
        <v>0</v>
      </c>
      <c r="BJ275" s="19">
        <v>0</v>
      </c>
      <c r="BK275" s="19">
        <v>0</v>
      </c>
      <c r="BL275" s="19">
        <v>0</v>
      </c>
      <c r="BM275" s="19">
        <v>0</v>
      </c>
      <c r="BN275" s="19">
        <v>0</v>
      </c>
      <c r="BO275" s="19">
        <v>0</v>
      </c>
      <c r="BP275" s="19">
        <v>0</v>
      </c>
      <c r="BQ275" s="19">
        <v>0</v>
      </c>
      <c r="BR275" s="19">
        <v>2</v>
      </c>
      <c r="BS275" s="19"/>
      <c r="BT275" s="19">
        <v>4</v>
      </c>
      <c r="BU275" s="19">
        <v>4</v>
      </c>
      <c r="BV275" s="19">
        <v>3</v>
      </c>
      <c r="BW275" s="19">
        <v>3</v>
      </c>
      <c r="BX275" s="19">
        <v>3</v>
      </c>
      <c r="BY275" s="19">
        <v>3</v>
      </c>
      <c r="BZ275" s="19">
        <v>2</v>
      </c>
      <c r="CA275" s="19">
        <v>3</v>
      </c>
      <c r="CB275" s="19">
        <v>3</v>
      </c>
      <c r="CC275" s="19">
        <v>4</v>
      </c>
      <c r="CD275" s="19">
        <v>3</v>
      </c>
      <c r="CE275" s="19">
        <v>3</v>
      </c>
      <c r="CF275" s="19">
        <v>4</v>
      </c>
      <c r="CG275" s="19">
        <v>4</v>
      </c>
      <c r="CH275" s="19">
        <v>3</v>
      </c>
      <c r="CI275" s="19">
        <v>3</v>
      </c>
      <c r="CJ275" s="19">
        <v>4</v>
      </c>
      <c r="CK275" s="19"/>
      <c r="CL275" t="s">
        <v>819</v>
      </c>
      <c r="CM275">
        <v>34.5</v>
      </c>
      <c r="CN275" s="16">
        <v>76.2</v>
      </c>
      <c r="CO275" s="16">
        <v>80.400000000000006</v>
      </c>
      <c r="CP275" s="16">
        <v>34.1</v>
      </c>
      <c r="CQ275">
        <v>70.97</v>
      </c>
      <c r="CR275" s="17">
        <v>0</v>
      </c>
      <c r="CS275">
        <v>11.02</v>
      </c>
      <c r="CT275">
        <v>18.010000000000002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U275">
        <v>0</v>
      </c>
      <c r="DV275">
        <v>0</v>
      </c>
      <c r="EG275" s="18"/>
      <c r="EY275">
        <v>0</v>
      </c>
      <c r="GJ275" s="16">
        <v>0</v>
      </c>
      <c r="GK275" s="16">
        <v>0</v>
      </c>
      <c r="GL275" s="16"/>
      <c r="GM275" s="16"/>
      <c r="GN275" s="16"/>
      <c r="GO275" s="16"/>
      <c r="GP275" s="16"/>
      <c r="GQ275" s="16"/>
      <c r="GR275" s="16"/>
      <c r="GS275" s="16"/>
      <c r="GT275" s="16"/>
      <c r="GU275" s="16">
        <v>0</v>
      </c>
      <c r="GV275" s="16">
        <v>0</v>
      </c>
      <c r="GW275" s="16"/>
      <c r="GX275" s="16"/>
      <c r="GY275" s="16">
        <v>0</v>
      </c>
      <c r="GZ275" s="16">
        <v>0</v>
      </c>
      <c r="HA275" s="16">
        <v>0</v>
      </c>
      <c r="HB275">
        <v>0</v>
      </c>
      <c r="HC275" t="s">
        <v>820</v>
      </c>
      <c r="HD275">
        <v>48.5</v>
      </c>
      <c r="HE275" s="16">
        <v>67.900000000000006</v>
      </c>
      <c r="HF275" s="16">
        <v>80.400000000000006</v>
      </c>
      <c r="HG275" s="16">
        <v>24.3</v>
      </c>
      <c r="HH275">
        <v>78.790000000000006</v>
      </c>
      <c r="HI275" s="17">
        <v>0</v>
      </c>
      <c r="HJ275">
        <v>11.74</v>
      </c>
      <c r="HK275">
        <v>9.4700000000000006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IL275">
        <v>23.8</v>
      </c>
      <c r="IM275">
        <v>1</v>
      </c>
      <c r="IN275">
        <v>25</v>
      </c>
      <c r="IO275">
        <v>1</v>
      </c>
      <c r="IP275">
        <v>0.06</v>
      </c>
      <c r="IQ275">
        <v>2</v>
      </c>
      <c r="IR275">
        <v>47</v>
      </c>
      <c r="IS275">
        <v>4</v>
      </c>
      <c r="IT275">
        <f>1.52*2</f>
        <v>3.04</v>
      </c>
      <c r="IU275">
        <v>3</v>
      </c>
      <c r="IX275" s="18"/>
      <c r="JP275">
        <v>0</v>
      </c>
      <c r="LA275" s="16">
        <v>0</v>
      </c>
      <c r="LB275" s="16">
        <v>0</v>
      </c>
      <c r="LC275" s="16"/>
      <c r="LD275" s="16"/>
      <c r="LE275" s="16"/>
      <c r="LF275" s="16"/>
      <c r="LG275" s="16"/>
      <c r="LH275" s="16"/>
      <c r="LI275" s="16"/>
      <c r="LJ275" s="16"/>
      <c r="LK275" s="16"/>
      <c r="LL275" s="16">
        <v>0</v>
      </c>
      <c r="LM275" s="16">
        <v>0</v>
      </c>
      <c r="LN275" s="16"/>
      <c r="LO275" s="16"/>
      <c r="LP275" s="16">
        <v>0</v>
      </c>
      <c r="LQ275" s="16">
        <v>0</v>
      </c>
      <c r="LR275" s="16">
        <v>0</v>
      </c>
      <c r="LS275">
        <v>0</v>
      </c>
      <c r="LT275" t="s">
        <v>821</v>
      </c>
      <c r="LU275">
        <v>26.5</v>
      </c>
      <c r="LV275" s="16">
        <v>82.8</v>
      </c>
      <c r="LW275" s="16">
        <v>80.400000000000006</v>
      </c>
      <c r="LX275" s="16">
        <v>26.4</v>
      </c>
      <c r="LY275">
        <v>79.3</v>
      </c>
      <c r="LZ275" s="17">
        <v>0</v>
      </c>
      <c r="MA275">
        <v>5.17</v>
      </c>
      <c r="MB275">
        <v>15.52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2.73</v>
      </c>
      <c r="MM275">
        <v>0</v>
      </c>
      <c r="MN275">
        <v>0</v>
      </c>
      <c r="MO275">
        <v>0</v>
      </c>
      <c r="MP275">
        <v>0</v>
      </c>
      <c r="NC275">
        <v>0</v>
      </c>
      <c r="ND275">
        <v>1</v>
      </c>
      <c r="NE275">
        <v>68</v>
      </c>
      <c r="NF275">
        <v>1</v>
      </c>
      <c r="NG275">
        <v>0.03</v>
      </c>
      <c r="NH275">
        <v>1</v>
      </c>
      <c r="NO275" s="18"/>
      <c r="OG275">
        <v>0</v>
      </c>
      <c r="PR275" s="16">
        <v>0</v>
      </c>
      <c r="PS275" s="16">
        <v>0</v>
      </c>
      <c r="PT275" s="16"/>
      <c r="PU275" s="16"/>
      <c r="PV275" s="16"/>
      <c r="PW275" s="16"/>
      <c r="PX275" s="16"/>
      <c r="PY275" s="16"/>
      <c r="PZ275" s="16"/>
      <c r="QA275" s="16"/>
      <c r="QB275" s="16"/>
      <c r="QC275" s="16">
        <v>0.1</v>
      </c>
      <c r="QD275" s="16">
        <v>0.9</v>
      </c>
      <c r="QE275" s="16"/>
      <c r="QF275" s="16"/>
      <c r="QG275" s="16">
        <v>0</v>
      </c>
      <c r="QH275" s="16">
        <v>0</v>
      </c>
      <c r="QI275" s="16">
        <v>0</v>
      </c>
      <c r="QJ275">
        <v>0</v>
      </c>
      <c r="QK275" t="s">
        <v>822</v>
      </c>
      <c r="QL275">
        <v>35</v>
      </c>
      <c r="QM275" s="16">
        <v>85.3</v>
      </c>
      <c r="QN275" s="16">
        <v>80.400000000000006</v>
      </c>
      <c r="QO275" s="16">
        <v>29.7</v>
      </c>
      <c r="QP275">
        <v>79.3</v>
      </c>
      <c r="QQ275" s="17">
        <v>0</v>
      </c>
      <c r="QR275">
        <v>5.17</v>
      </c>
      <c r="QS275">
        <v>15.52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RA275">
        <v>0</v>
      </c>
      <c r="RB275">
        <v>0</v>
      </c>
      <c r="RC275">
        <v>7.06</v>
      </c>
      <c r="RD275">
        <v>3.79</v>
      </c>
      <c r="RE275">
        <v>0</v>
      </c>
      <c r="RF275">
        <v>0</v>
      </c>
      <c r="RG275">
        <v>1</v>
      </c>
      <c r="RH275">
        <v>2</v>
      </c>
      <c r="RJ275">
        <v>1</v>
      </c>
      <c r="RN275">
        <v>2</v>
      </c>
      <c r="RP275">
        <v>1</v>
      </c>
      <c r="RT275">
        <v>5</v>
      </c>
      <c r="RU275">
        <v>1</v>
      </c>
      <c r="RV275">
        <v>68</v>
      </c>
      <c r="RW275">
        <v>6</v>
      </c>
      <c r="RX275">
        <f>2.66+3.05</f>
        <v>5.71</v>
      </c>
      <c r="RY275">
        <v>1</v>
      </c>
      <c r="SF275" s="18"/>
      <c r="SX275">
        <v>0</v>
      </c>
      <c r="UI275" s="16">
        <v>0</v>
      </c>
      <c r="UJ275" s="16">
        <v>0</v>
      </c>
      <c r="UK275" s="16"/>
      <c r="UL275" s="16"/>
      <c r="UM275" s="16"/>
      <c r="UN275" s="16"/>
      <c r="UO275" s="16"/>
      <c r="UP275" s="16"/>
      <c r="UQ275" s="16"/>
      <c r="UR275" s="16"/>
      <c r="US275" s="16"/>
      <c r="UT275" s="16">
        <v>0</v>
      </c>
      <c r="UU275" s="16">
        <v>0</v>
      </c>
      <c r="UV275" s="16"/>
      <c r="UW275" s="16"/>
      <c r="UX275" s="16">
        <v>0</v>
      </c>
      <c r="UY275" s="16">
        <v>0</v>
      </c>
      <c r="UZ275" s="16">
        <v>0</v>
      </c>
      <c r="VA275">
        <v>0</v>
      </c>
      <c r="VB275" t="s">
        <v>823</v>
      </c>
      <c r="VC275">
        <v>36</v>
      </c>
      <c r="VD275" s="16">
        <v>57.6</v>
      </c>
      <c r="VE275" s="16">
        <v>80.400000000000006</v>
      </c>
      <c r="VF275" s="16">
        <v>19.2</v>
      </c>
      <c r="VG275">
        <v>83.43</v>
      </c>
      <c r="VH275" s="17">
        <v>0</v>
      </c>
      <c r="VI275">
        <v>0</v>
      </c>
      <c r="VJ275">
        <v>0</v>
      </c>
      <c r="VK275">
        <v>16.57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3.13</v>
      </c>
      <c r="VU275">
        <v>18.98</v>
      </c>
      <c r="VV275">
        <v>0</v>
      </c>
      <c r="VW275">
        <v>0</v>
      </c>
      <c r="VX275">
        <v>0</v>
      </c>
      <c r="WK275">
        <v>0</v>
      </c>
      <c r="WL275">
        <v>1</v>
      </c>
      <c r="WM275">
        <v>10</v>
      </c>
      <c r="WN275">
        <v>1</v>
      </c>
      <c r="WO275">
        <v>1.3</v>
      </c>
      <c r="WP275">
        <v>5</v>
      </c>
      <c r="WW275" s="18"/>
      <c r="XO275">
        <v>0</v>
      </c>
      <c r="YZ275" s="16">
        <v>0</v>
      </c>
      <c r="ZA275" s="16">
        <v>0</v>
      </c>
      <c r="ZB275" s="16"/>
      <c r="ZC275" s="16"/>
      <c r="ZD275" s="16"/>
      <c r="ZE275" s="16"/>
      <c r="ZF275" s="16"/>
      <c r="ZG275" s="16"/>
      <c r="ZH275" s="16"/>
      <c r="ZI275" s="16"/>
      <c r="ZJ275" s="16"/>
      <c r="ZK275" s="16">
        <v>6.14</v>
      </c>
      <c r="ZL275" s="16">
        <v>13.2</v>
      </c>
      <c r="ZM275" s="16"/>
      <c r="ZN275" s="16"/>
      <c r="ZO275" s="16">
        <v>10</v>
      </c>
      <c r="ZP275" s="16">
        <v>8.19</v>
      </c>
      <c r="ZQ275" s="16">
        <v>0</v>
      </c>
      <c r="ZR275">
        <v>1</v>
      </c>
      <c r="ZS275" t="s">
        <v>824</v>
      </c>
      <c r="ZT275">
        <v>2.5</v>
      </c>
      <c r="ZU275" s="16">
        <v>89.5</v>
      </c>
      <c r="ZV275" s="16">
        <v>80.400000000000006</v>
      </c>
      <c r="ZW275" s="16">
        <v>2.2000000000000002</v>
      </c>
      <c r="ZX275">
        <v>98.4</v>
      </c>
      <c r="ZY275" s="17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BB275">
        <v>0</v>
      </c>
      <c r="ABC275">
        <v>0</v>
      </c>
      <c r="ABN275" s="18"/>
      <c r="ACF275">
        <v>0</v>
      </c>
      <c r="ADQ275" s="16">
        <v>0</v>
      </c>
      <c r="ADR275" s="16">
        <v>0</v>
      </c>
      <c r="ADS275" s="16"/>
      <c r="ADT275" s="16"/>
      <c r="ADU275" s="16"/>
      <c r="ADV275" s="16"/>
      <c r="ADW275" s="16"/>
      <c r="ADX275" s="16"/>
      <c r="ADY275" s="16"/>
      <c r="ADZ275" s="16"/>
      <c r="AEA275" s="16"/>
      <c r="AEB275" s="16">
        <v>0</v>
      </c>
      <c r="AEC275" s="16">
        <v>0</v>
      </c>
      <c r="AED275" s="16"/>
      <c r="AEE275" s="16"/>
      <c r="AEF275" s="16">
        <v>0</v>
      </c>
      <c r="AEG275" s="16">
        <v>0</v>
      </c>
      <c r="AEH275" s="16">
        <v>0</v>
      </c>
      <c r="AEI275">
        <v>0</v>
      </c>
      <c r="AEJ275" t="s">
        <v>825</v>
      </c>
      <c r="AEK275">
        <v>20</v>
      </c>
      <c r="AEL275" s="16">
        <v>86.3</v>
      </c>
      <c r="AEM275" s="16">
        <v>80.400000000000006</v>
      </c>
      <c r="AEN275" s="16">
        <v>9.4</v>
      </c>
      <c r="AEO275">
        <v>99.87</v>
      </c>
      <c r="AEP275" s="17">
        <v>0</v>
      </c>
      <c r="AEQ275">
        <v>0</v>
      </c>
      <c r="AER275">
        <v>0</v>
      </c>
      <c r="AES275">
        <v>0.13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25.58</v>
      </c>
      <c r="AFC275">
        <v>13.58</v>
      </c>
      <c r="AFD275">
        <v>0</v>
      </c>
      <c r="AFE275">
        <v>0</v>
      </c>
      <c r="AFF275">
        <v>0</v>
      </c>
      <c r="AFS275">
        <v>4.2</v>
      </c>
      <c r="AFT275">
        <v>1</v>
      </c>
      <c r="AFU275">
        <v>68</v>
      </c>
      <c r="AFV275">
        <v>5</v>
      </c>
      <c r="AFW275">
        <f>0.4+2.28</f>
        <v>2.6799999999999997</v>
      </c>
      <c r="AFX275">
        <v>1</v>
      </c>
      <c r="AGE275" s="18"/>
      <c r="AGW275">
        <v>0</v>
      </c>
      <c r="AIH275" s="16">
        <v>2.2799999999999998</v>
      </c>
      <c r="AII275" s="16">
        <v>1</v>
      </c>
      <c r="AIJ275" s="16">
        <v>2</v>
      </c>
      <c r="AIK275" s="16"/>
      <c r="AIL275" s="16">
        <f>2.24+0.09+12.69</f>
        <v>15.02</v>
      </c>
      <c r="AIM275" s="16"/>
      <c r="AIN275" s="16"/>
      <c r="AIO275" s="16"/>
      <c r="AIP275" s="16"/>
      <c r="AIQ275" s="16"/>
      <c r="AIR275" s="16"/>
      <c r="AIS275" s="16">
        <v>0</v>
      </c>
      <c r="AIT275" s="16">
        <v>0</v>
      </c>
      <c r="AIU275" s="16"/>
      <c r="AIV275" s="16"/>
      <c r="AIW275" s="16">
        <v>3.73</v>
      </c>
      <c r="AIX275" s="16">
        <v>0.14000000000000001</v>
      </c>
      <c r="AIY275" s="16">
        <v>0</v>
      </c>
      <c r="AIZ275">
        <v>0</v>
      </c>
      <c r="AJA275" t="s">
        <v>827</v>
      </c>
      <c r="AJB275">
        <v>16</v>
      </c>
      <c r="AJC275" s="16">
        <v>71.599999999999994</v>
      </c>
      <c r="AJD275" s="16">
        <v>80.400000000000006</v>
      </c>
      <c r="AJE275" s="16">
        <v>9.8000000000000007</v>
      </c>
      <c r="AJF275">
        <v>100</v>
      </c>
      <c r="AJG275" s="17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16.12</v>
      </c>
      <c r="AJT275">
        <v>13.45</v>
      </c>
      <c r="AJU275">
        <v>0</v>
      </c>
      <c r="AJV275">
        <v>0</v>
      </c>
      <c r="AJW275">
        <v>0</v>
      </c>
      <c r="AKJ275">
        <v>3.9</v>
      </c>
      <c r="AKK275">
        <v>1</v>
      </c>
      <c r="AKL275">
        <v>68</v>
      </c>
      <c r="AKM275">
        <v>5</v>
      </c>
      <c r="AKN275">
        <f>0.4+2.28</f>
        <v>2.6799999999999997</v>
      </c>
      <c r="AKO275">
        <v>1</v>
      </c>
      <c r="AKV275" s="18"/>
      <c r="ALN275">
        <v>0</v>
      </c>
    </row>
    <row r="276" spans="1:1018" x14ac:dyDescent="0.2">
      <c r="A276" s="1" t="s">
        <v>829</v>
      </c>
      <c r="B276" s="12">
        <v>42886</v>
      </c>
      <c r="C276">
        <v>2</v>
      </c>
      <c r="D276" s="13">
        <v>35030</v>
      </c>
      <c r="E276" s="12">
        <v>23568</v>
      </c>
      <c r="F276" s="14">
        <f t="shared" si="106"/>
        <v>52.889801505817935</v>
      </c>
      <c r="G276" s="14">
        <f t="shared" si="107"/>
        <v>21.508555783709788</v>
      </c>
      <c r="H276" s="19" t="s">
        <v>181</v>
      </c>
      <c r="I276" s="15" t="s">
        <v>817</v>
      </c>
      <c r="J276" s="15" t="s">
        <v>181</v>
      </c>
      <c r="K276" s="15">
        <v>4</v>
      </c>
      <c r="L276" s="19">
        <v>97</v>
      </c>
      <c r="M276">
        <v>1.82</v>
      </c>
      <c r="N276" s="16">
        <f t="shared" si="108"/>
        <v>29.283902910276534</v>
      </c>
      <c r="O276" s="19">
        <v>1</v>
      </c>
      <c r="P276" s="19">
        <v>1</v>
      </c>
      <c r="Q276" s="19" t="s">
        <v>295</v>
      </c>
      <c r="R276" s="26">
        <v>0</v>
      </c>
      <c r="S276" s="26">
        <v>0</v>
      </c>
      <c r="T276" s="26">
        <v>0</v>
      </c>
      <c r="U276" s="19">
        <v>0</v>
      </c>
      <c r="V276" s="19">
        <v>0</v>
      </c>
      <c r="W276" s="19">
        <v>0</v>
      </c>
      <c r="X276" s="19">
        <v>0</v>
      </c>
      <c r="Y276" s="19">
        <v>0</v>
      </c>
      <c r="Z276" s="19">
        <v>0</v>
      </c>
      <c r="AA276" s="19">
        <v>0</v>
      </c>
      <c r="AB276" s="19">
        <v>0</v>
      </c>
      <c r="AC276" s="19">
        <v>1</v>
      </c>
      <c r="AD276" s="19">
        <v>10</v>
      </c>
      <c r="AE276" s="19">
        <v>1</v>
      </c>
      <c r="AF276" s="19">
        <v>1</v>
      </c>
      <c r="AG276" s="19">
        <v>1</v>
      </c>
      <c r="AH276" s="19">
        <v>4</v>
      </c>
      <c r="AI276" s="19">
        <v>0</v>
      </c>
      <c r="AJ276" s="19">
        <v>0</v>
      </c>
      <c r="AK276" s="19">
        <v>0</v>
      </c>
      <c r="AL276" s="19">
        <v>0</v>
      </c>
      <c r="AM276" s="26">
        <v>0</v>
      </c>
      <c r="AN276" s="19">
        <v>0</v>
      </c>
      <c r="AO276" s="19">
        <v>0</v>
      </c>
      <c r="AP276" s="19">
        <v>0</v>
      </c>
      <c r="AQ276" s="19">
        <v>0</v>
      </c>
      <c r="AR276" s="19">
        <v>0</v>
      </c>
      <c r="AS276" s="19">
        <v>0</v>
      </c>
      <c r="AT276" s="19">
        <v>0</v>
      </c>
      <c r="AU276" s="19">
        <v>0</v>
      </c>
      <c r="AV276" s="19">
        <v>0</v>
      </c>
      <c r="AW276" s="19">
        <v>0</v>
      </c>
      <c r="AX276" s="19">
        <v>0</v>
      </c>
      <c r="AY276" s="19">
        <v>0</v>
      </c>
      <c r="AZ276" s="19">
        <v>0</v>
      </c>
      <c r="BA276" s="19">
        <v>0</v>
      </c>
      <c r="BB276" s="19">
        <v>1</v>
      </c>
      <c r="BC276" s="19">
        <v>1</v>
      </c>
      <c r="BD276" s="19">
        <v>1</v>
      </c>
      <c r="BE276" s="19">
        <v>5</v>
      </c>
      <c r="BF276" s="19">
        <v>1</v>
      </c>
      <c r="BG276" s="19">
        <v>1</v>
      </c>
      <c r="BH276" s="19">
        <v>1</v>
      </c>
      <c r="BI276" s="19">
        <v>3</v>
      </c>
      <c r="BJ276" s="19">
        <v>0</v>
      </c>
      <c r="BK276" s="19">
        <v>0</v>
      </c>
      <c r="BL276" s="19">
        <v>0</v>
      </c>
      <c r="BM276" s="19">
        <v>0</v>
      </c>
      <c r="BN276" s="19">
        <v>0</v>
      </c>
      <c r="BO276" s="19">
        <v>0</v>
      </c>
      <c r="BP276" s="19">
        <v>0</v>
      </c>
      <c r="BQ276" s="19">
        <v>0</v>
      </c>
      <c r="BR276" s="19">
        <v>3</v>
      </c>
      <c r="BS276" s="19">
        <v>3</v>
      </c>
      <c r="BT276" s="19">
        <v>5</v>
      </c>
      <c r="BU276" s="19">
        <v>5</v>
      </c>
      <c r="BV276" s="19">
        <v>5</v>
      </c>
      <c r="BW276" s="19">
        <v>4</v>
      </c>
      <c r="BX276" s="19">
        <v>4</v>
      </c>
      <c r="BY276" s="19">
        <v>4</v>
      </c>
      <c r="BZ276" s="19">
        <v>5</v>
      </c>
      <c r="CA276" s="19">
        <v>4</v>
      </c>
      <c r="CB276" s="19">
        <v>4</v>
      </c>
      <c r="CC276" s="19">
        <v>4</v>
      </c>
      <c r="CD276" s="19">
        <v>4</v>
      </c>
      <c r="CE276" s="19">
        <v>3</v>
      </c>
      <c r="CF276" s="19">
        <v>4</v>
      </c>
      <c r="CG276" s="19">
        <v>4</v>
      </c>
      <c r="CH276" s="19">
        <v>4</v>
      </c>
      <c r="CI276" s="19">
        <v>4</v>
      </c>
      <c r="CJ276" s="19">
        <v>4</v>
      </c>
      <c r="CK276" s="19">
        <v>8</v>
      </c>
      <c r="CL276" t="s">
        <v>819</v>
      </c>
      <c r="CM276">
        <v>34.5</v>
      </c>
      <c r="CN276" s="16">
        <v>76.2</v>
      </c>
      <c r="CO276" s="16">
        <v>80.400000000000006</v>
      </c>
      <c r="CP276" s="16">
        <v>34.1</v>
      </c>
      <c r="CQ276">
        <v>70.97</v>
      </c>
      <c r="CR276" s="17">
        <v>0</v>
      </c>
      <c r="CS276">
        <v>11.02</v>
      </c>
      <c r="CT276">
        <v>18.010000000000002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U276">
        <v>0</v>
      </c>
      <c r="DV276">
        <v>0</v>
      </c>
      <c r="EG276" s="18"/>
      <c r="EY276">
        <v>0</v>
      </c>
      <c r="GJ276" s="16">
        <v>0</v>
      </c>
      <c r="GK276" s="16">
        <v>0</v>
      </c>
      <c r="GL276" s="16"/>
      <c r="GM276" s="16"/>
      <c r="GN276" s="16"/>
      <c r="GO276" s="16"/>
      <c r="GP276" s="16"/>
      <c r="GQ276" s="16"/>
      <c r="GR276" s="16"/>
      <c r="GS276" s="16"/>
      <c r="GT276" s="16"/>
      <c r="GU276" s="16">
        <v>0</v>
      </c>
      <c r="GV276" s="16">
        <v>0</v>
      </c>
      <c r="GW276" s="16"/>
      <c r="GX276" s="16"/>
      <c r="GY276" s="16">
        <v>0</v>
      </c>
      <c r="GZ276" s="16">
        <v>0</v>
      </c>
      <c r="HA276" s="16">
        <v>0</v>
      </c>
      <c r="HB276">
        <v>0</v>
      </c>
      <c r="HC276" t="s">
        <v>820</v>
      </c>
      <c r="HD276">
        <v>48.5</v>
      </c>
      <c r="HE276" s="16">
        <v>67.900000000000006</v>
      </c>
      <c r="HF276" s="16">
        <v>80.400000000000006</v>
      </c>
      <c r="HG276" s="16">
        <v>24.3</v>
      </c>
      <c r="HH276">
        <v>78.790000000000006</v>
      </c>
      <c r="HI276" s="17">
        <v>0</v>
      </c>
      <c r="HJ276">
        <v>11.74</v>
      </c>
      <c r="HK276">
        <v>9.4700000000000006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IL276">
        <v>23.8</v>
      </c>
      <c r="IM276">
        <v>1</v>
      </c>
      <c r="IN276">
        <v>25</v>
      </c>
      <c r="IO276">
        <v>1</v>
      </c>
      <c r="IP276">
        <v>0.06</v>
      </c>
      <c r="IQ276">
        <v>2</v>
      </c>
      <c r="IR276">
        <v>47</v>
      </c>
      <c r="IS276">
        <v>4</v>
      </c>
      <c r="IT276">
        <f>1.52*2</f>
        <v>3.04</v>
      </c>
      <c r="IU276">
        <v>3</v>
      </c>
      <c r="IX276" s="18"/>
      <c r="JP276">
        <v>0</v>
      </c>
      <c r="LA276" s="16">
        <v>0</v>
      </c>
      <c r="LB276" s="16">
        <v>0</v>
      </c>
      <c r="LC276" s="16"/>
      <c r="LD276" s="16"/>
      <c r="LE276" s="16"/>
      <c r="LF276" s="16"/>
      <c r="LG276" s="16"/>
      <c r="LH276" s="16"/>
      <c r="LI276" s="16"/>
      <c r="LJ276" s="16"/>
      <c r="LK276" s="16"/>
      <c r="LL276" s="16">
        <v>0</v>
      </c>
      <c r="LM276" s="16">
        <v>0</v>
      </c>
      <c r="LN276" s="16"/>
      <c r="LO276" s="16"/>
      <c r="LP276" s="16">
        <v>0</v>
      </c>
      <c r="LQ276" s="16">
        <v>0</v>
      </c>
      <c r="LR276" s="16">
        <v>0</v>
      </c>
      <c r="LS276">
        <v>0</v>
      </c>
      <c r="LT276" t="s">
        <v>821</v>
      </c>
      <c r="LU276">
        <v>26.5</v>
      </c>
      <c r="LV276" s="16">
        <v>82.8</v>
      </c>
      <c r="LW276" s="16">
        <v>80.400000000000006</v>
      </c>
      <c r="LX276" s="16">
        <v>26.4</v>
      </c>
      <c r="LY276">
        <v>79.3</v>
      </c>
      <c r="LZ276" s="17">
        <v>0</v>
      </c>
      <c r="MA276">
        <v>5.17</v>
      </c>
      <c r="MB276">
        <v>15.52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2.73</v>
      </c>
      <c r="MM276">
        <v>0</v>
      </c>
      <c r="MN276">
        <v>0</v>
      </c>
      <c r="MO276">
        <v>0</v>
      </c>
      <c r="MP276">
        <v>0</v>
      </c>
      <c r="NC276">
        <v>0</v>
      </c>
      <c r="ND276">
        <v>1</v>
      </c>
      <c r="NE276">
        <v>68</v>
      </c>
      <c r="NF276">
        <v>1</v>
      </c>
      <c r="NG276">
        <v>0.03</v>
      </c>
      <c r="NH276">
        <v>1</v>
      </c>
      <c r="NO276" s="18"/>
      <c r="OG276">
        <v>0</v>
      </c>
      <c r="PR276" s="16">
        <v>0</v>
      </c>
      <c r="PS276" s="16">
        <v>0</v>
      </c>
      <c r="PT276" s="16"/>
      <c r="PU276" s="16"/>
      <c r="PV276" s="16"/>
      <c r="PW276" s="16"/>
      <c r="PX276" s="16"/>
      <c r="PY276" s="16"/>
      <c r="PZ276" s="16"/>
      <c r="QA276" s="16"/>
      <c r="QB276" s="16"/>
      <c r="QC276" s="16">
        <v>0.1</v>
      </c>
      <c r="QD276" s="16">
        <v>0.9</v>
      </c>
      <c r="QE276" s="16"/>
      <c r="QF276" s="16"/>
      <c r="QG276" s="16">
        <v>0</v>
      </c>
      <c r="QH276" s="16">
        <v>0</v>
      </c>
      <c r="QI276" s="16">
        <v>0</v>
      </c>
      <c r="QJ276">
        <v>0</v>
      </c>
      <c r="QK276" t="s">
        <v>822</v>
      </c>
      <c r="QL276">
        <v>35</v>
      </c>
      <c r="QM276" s="16">
        <v>85.3</v>
      </c>
      <c r="QN276" s="16">
        <v>80.400000000000006</v>
      </c>
      <c r="QO276" s="16">
        <v>29.7</v>
      </c>
      <c r="QP276">
        <v>79.3</v>
      </c>
      <c r="QQ276" s="17">
        <v>0</v>
      </c>
      <c r="QR276">
        <v>5.17</v>
      </c>
      <c r="QS276">
        <v>15.52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RA276">
        <v>0</v>
      </c>
      <c r="RB276">
        <v>0</v>
      </c>
      <c r="RC276">
        <v>7.06</v>
      </c>
      <c r="RD276">
        <v>3.79</v>
      </c>
      <c r="RE276">
        <v>0</v>
      </c>
      <c r="RF276">
        <v>0</v>
      </c>
      <c r="RG276">
        <v>1</v>
      </c>
      <c r="RH276">
        <v>2</v>
      </c>
      <c r="RJ276">
        <v>1</v>
      </c>
      <c r="RN276">
        <v>2</v>
      </c>
      <c r="RP276">
        <v>1</v>
      </c>
      <c r="RT276">
        <v>5</v>
      </c>
      <c r="RU276">
        <v>1</v>
      </c>
      <c r="RV276">
        <v>68</v>
      </c>
      <c r="RW276">
        <v>6</v>
      </c>
      <c r="RX276">
        <f>2.66+3.05</f>
        <v>5.71</v>
      </c>
      <c r="RY276">
        <v>1</v>
      </c>
      <c r="SF276" s="18"/>
      <c r="SX276">
        <v>0</v>
      </c>
      <c r="UI276" s="16">
        <v>0</v>
      </c>
      <c r="UJ276" s="16">
        <v>0</v>
      </c>
      <c r="UK276" s="16"/>
      <c r="UL276" s="16"/>
      <c r="UM276" s="16"/>
      <c r="UN276" s="16"/>
      <c r="UO276" s="16"/>
      <c r="UP276" s="16"/>
      <c r="UQ276" s="16"/>
      <c r="UR276" s="16"/>
      <c r="US276" s="16"/>
      <c r="UT276" s="16">
        <v>0</v>
      </c>
      <c r="UU276" s="16">
        <v>0</v>
      </c>
      <c r="UV276" s="16"/>
      <c r="UW276" s="16"/>
      <c r="UX276" s="16">
        <v>0</v>
      </c>
      <c r="UY276" s="16">
        <v>0</v>
      </c>
      <c r="UZ276" s="16">
        <v>0</v>
      </c>
      <c r="VA276">
        <v>0</v>
      </c>
      <c r="VB276" t="s">
        <v>823</v>
      </c>
      <c r="VC276">
        <v>36</v>
      </c>
      <c r="VD276" s="16">
        <v>57.6</v>
      </c>
      <c r="VE276" s="16">
        <v>80.400000000000006</v>
      </c>
      <c r="VF276" s="16">
        <v>19.2</v>
      </c>
      <c r="VG276">
        <v>83.43</v>
      </c>
      <c r="VH276" s="17">
        <v>0</v>
      </c>
      <c r="VI276">
        <v>0</v>
      </c>
      <c r="VJ276">
        <v>0</v>
      </c>
      <c r="VK276">
        <v>16.57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3.13</v>
      </c>
      <c r="VU276">
        <v>18.98</v>
      </c>
      <c r="VV276">
        <v>0</v>
      </c>
      <c r="VW276">
        <v>0</v>
      </c>
      <c r="VX276">
        <v>0</v>
      </c>
      <c r="WK276">
        <v>0</v>
      </c>
      <c r="WL276">
        <v>1</v>
      </c>
      <c r="WM276">
        <v>10</v>
      </c>
      <c r="WN276">
        <v>1</v>
      </c>
      <c r="WO276">
        <v>1.3</v>
      </c>
      <c r="WP276">
        <v>5</v>
      </c>
      <c r="WW276" s="18"/>
      <c r="XO276">
        <v>0</v>
      </c>
      <c r="YZ276" s="16">
        <v>0</v>
      </c>
      <c r="ZA276" s="16">
        <v>0</v>
      </c>
      <c r="ZB276" s="16"/>
      <c r="ZC276" s="16"/>
      <c r="ZD276" s="16"/>
      <c r="ZE276" s="16"/>
      <c r="ZF276" s="16"/>
      <c r="ZG276" s="16"/>
      <c r="ZH276" s="16"/>
      <c r="ZI276" s="16"/>
      <c r="ZJ276" s="16"/>
      <c r="ZK276" s="16">
        <v>6.14</v>
      </c>
      <c r="ZL276" s="16">
        <v>13.2</v>
      </c>
      <c r="ZM276" s="16"/>
      <c r="ZN276" s="16"/>
      <c r="ZO276" s="16">
        <v>10</v>
      </c>
      <c r="ZP276" s="16">
        <v>8.19</v>
      </c>
      <c r="ZQ276" s="16">
        <v>0</v>
      </c>
      <c r="ZR276">
        <v>1</v>
      </c>
      <c r="ZS276" t="s">
        <v>824</v>
      </c>
      <c r="ZT276">
        <v>2.5</v>
      </c>
      <c r="ZU276" s="16">
        <v>89.5</v>
      </c>
      <c r="ZV276" s="16">
        <v>80.400000000000006</v>
      </c>
      <c r="ZW276" s="16">
        <v>2.2000000000000002</v>
      </c>
      <c r="ZX276">
        <v>98.4</v>
      </c>
      <c r="ZY276" s="17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BB276">
        <v>0</v>
      </c>
      <c r="ABC276">
        <v>0</v>
      </c>
      <c r="ABN276" s="18"/>
      <c r="ACF276">
        <v>0</v>
      </c>
      <c r="ADQ276" s="16">
        <v>0</v>
      </c>
      <c r="ADR276" s="16">
        <v>0</v>
      </c>
      <c r="ADS276" s="16"/>
      <c r="ADT276" s="16"/>
      <c r="ADU276" s="16"/>
      <c r="ADV276" s="16"/>
      <c r="ADW276" s="16"/>
      <c r="ADX276" s="16"/>
      <c r="ADY276" s="16"/>
      <c r="ADZ276" s="16"/>
      <c r="AEA276" s="16"/>
      <c r="AEB276" s="16">
        <v>0</v>
      </c>
      <c r="AEC276" s="16">
        <v>0</v>
      </c>
      <c r="AED276" s="16"/>
      <c r="AEE276" s="16"/>
      <c r="AEF276" s="16">
        <v>0</v>
      </c>
      <c r="AEG276" s="16">
        <v>0</v>
      </c>
      <c r="AEH276" s="16">
        <v>0</v>
      </c>
      <c r="AEI276">
        <v>0</v>
      </c>
      <c r="AEJ276" t="s">
        <v>825</v>
      </c>
      <c r="AEK276">
        <v>20</v>
      </c>
      <c r="AEL276" s="16">
        <v>86.3</v>
      </c>
      <c r="AEM276" s="16">
        <v>80.400000000000006</v>
      </c>
      <c r="AEN276" s="16">
        <v>9.4</v>
      </c>
      <c r="AEO276">
        <v>99.87</v>
      </c>
      <c r="AEP276" s="17">
        <v>0</v>
      </c>
      <c r="AEQ276">
        <v>0</v>
      </c>
      <c r="AER276">
        <v>0</v>
      </c>
      <c r="AES276">
        <v>0.13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25.58</v>
      </c>
      <c r="AFC276">
        <v>13.58</v>
      </c>
      <c r="AFD276">
        <v>0</v>
      </c>
      <c r="AFE276">
        <v>0</v>
      </c>
      <c r="AFF276">
        <v>0</v>
      </c>
      <c r="AFS276">
        <v>4.2</v>
      </c>
      <c r="AFT276">
        <v>1</v>
      </c>
      <c r="AFU276">
        <v>68</v>
      </c>
      <c r="AFV276">
        <v>5</v>
      </c>
      <c r="AFW276">
        <f>0.4+2.28</f>
        <v>2.6799999999999997</v>
      </c>
      <c r="AFX276">
        <v>1</v>
      </c>
      <c r="AGE276" s="18"/>
      <c r="AGW276">
        <v>0</v>
      </c>
      <c r="AIH276" s="16">
        <v>2.2799999999999998</v>
      </c>
      <c r="AII276" s="16">
        <v>1</v>
      </c>
      <c r="AIJ276" s="16">
        <v>2</v>
      </c>
      <c r="AIK276" s="16"/>
      <c r="AIL276" s="16">
        <f>2.24+0.09+12.69</f>
        <v>15.02</v>
      </c>
      <c r="AIM276" s="16"/>
      <c r="AIN276" s="16"/>
      <c r="AIO276" s="16"/>
      <c r="AIP276" s="16"/>
      <c r="AIQ276" s="16"/>
      <c r="AIR276" s="16"/>
      <c r="AIS276" s="16">
        <v>0</v>
      </c>
      <c r="AIT276" s="16">
        <v>0</v>
      </c>
      <c r="AIU276" s="16"/>
      <c r="AIV276" s="16"/>
      <c r="AIW276" s="16">
        <v>3.73</v>
      </c>
      <c r="AIX276" s="16">
        <v>0.14000000000000001</v>
      </c>
      <c r="AIY276" s="16">
        <v>0</v>
      </c>
      <c r="AIZ276">
        <v>0</v>
      </c>
      <c r="AJA276" t="s">
        <v>827</v>
      </c>
      <c r="AJB276">
        <v>16</v>
      </c>
      <c r="AJC276" s="16">
        <v>71.599999999999994</v>
      </c>
      <c r="AJD276" s="16">
        <v>80.400000000000006</v>
      </c>
      <c r="AJE276" s="16">
        <v>9.8000000000000007</v>
      </c>
      <c r="AJF276">
        <v>100</v>
      </c>
      <c r="AJG276" s="17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16.12</v>
      </c>
      <c r="AJT276">
        <v>13.45</v>
      </c>
      <c r="AJU276">
        <v>0</v>
      </c>
      <c r="AJV276">
        <v>0</v>
      </c>
      <c r="AJW276">
        <v>0</v>
      </c>
      <c r="AKJ276">
        <v>3.9</v>
      </c>
      <c r="AKK276">
        <v>1</v>
      </c>
      <c r="AKL276">
        <v>68</v>
      </c>
      <c r="AKM276">
        <v>5</v>
      </c>
      <c r="AKN276">
        <f>0.4+2.28</f>
        <v>2.6799999999999997</v>
      </c>
      <c r="AKO276">
        <v>1</v>
      </c>
      <c r="AKV276" s="18"/>
      <c r="ALN276">
        <v>0</v>
      </c>
    </row>
    <row r="277" spans="1:1018" x14ac:dyDescent="0.2">
      <c r="A277" s="1" t="s">
        <v>830</v>
      </c>
      <c r="B277" s="12">
        <v>42905</v>
      </c>
      <c r="C277">
        <v>2</v>
      </c>
      <c r="D277" s="13">
        <v>35016</v>
      </c>
      <c r="E277" s="12">
        <v>27057</v>
      </c>
      <c r="F277" s="14">
        <f t="shared" si="106"/>
        <v>43.389459274469544</v>
      </c>
      <c r="G277" s="14">
        <f t="shared" si="107"/>
        <v>21.598904859685145</v>
      </c>
      <c r="H277" s="19" t="s">
        <v>181</v>
      </c>
      <c r="I277" s="15" t="s">
        <v>817</v>
      </c>
      <c r="J277" s="15" t="s">
        <v>181</v>
      </c>
      <c r="K277" s="15">
        <v>8</v>
      </c>
      <c r="L277" s="19">
        <v>110</v>
      </c>
      <c r="M277">
        <v>1.74</v>
      </c>
      <c r="N277" s="16">
        <f t="shared" si="108"/>
        <v>36.332408508389484</v>
      </c>
      <c r="O277" s="19">
        <v>1</v>
      </c>
      <c r="P277" s="19"/>
      <c r="Q277" s="19"/>
      <c r="R277" s="26">
        <v>0</v>
      </c>
      <c r="S277" s="26">
        <v>0</v>
      </c>
      <c r="T277" s="26">
        <v>0</v>
      </c>
      <c r="U277" s="19">
        <v>0</v>
      </c>
      <c r="V277" s="19">
        <v>0</v>
      </c>
      <c r="W277" s="19">
        <v>0</v>
      </c>
      <c r="X277" s="19">
        <v>1</v>
      </c>
      <c r="Y277" s="19">
        <v>0</v>
      </c>
      <c r="Z277" s="19">
        <v>0</v>
      </c>
      <c r="AA277" s="19">
        <v>0</v>
      </c>
      <c r="AB277" s="19">
        <v>0</v>
      </c>
      <c r="AC277" s="19">
        <v>0</v>
      </c>
      <c r="AD277" s="19">
        <v>0</v>
      </c>
      <c r="AE277" s="19">
        <v>0</v>
      </c>
      <c r="AF277" s="19">
        <v>0</v>
      </c>
      <c r="AG277" s="19">
        <v>0</v>
      </c>
      <c r="AH277" s="19">
        <v>0</v>
      </c>
      <c r="AI277" s="19">
        <v>0</v>
      </c>
      <c r="AJ277" s="19">
        <v>0</v>
      </c>
      <c r="AK277" s="19">
        <v>0</v>
      </c>
      <c r="AL277" s="19">
        <v>0</v>
      </c>
      <c r="AM277" s="26">
        <v>0</v>
      </c>
      <c r="AN277" s="19">
        <v>3</v>
      </c>
      <c r="AO277" s="19">
        <v>3</v>
      </c>
      <c r="AP277" s="19">
        <v>3</v>
      </c>
      <c r="AQ277" s="19">
        <v>5</v>
      </c>
      <c r="AR277" s="19">
        <v>8</v>
      </c>
      <c r="AS277" s="19">
        <v>0</v>
      </c>
      <c r="AT277" s="19">
        <v>0</v>
      </c>
      <c r="AU277" s="19">
        <v>0</v>
      </c>
      <c r="AV277" s="19">
        <v>0</v>
      </c>
      <c r="AW277" s="19">
        <v>0</v>
      </c>
      <c r="AX277" s="19">
        <v>0</v>
      </c>
      <c r="AY277" s="19">
        <v>0</v>
      </c>
      <c r="AZ277" s="19">
        <v>0</v>
      </c>
      <c r="BA277" s="19">
        <v>0</v>
      </c>
      <c r="BB277" s="19">
        <v>1</v>
      </c>
      <c r="BC277" s="19">
        <v>1</v>
      </c>
      <c r="BD277" s="19">
        <v>0</v>
      </c>
      <c r="BE277" s="19">
        <v>0</v>
      </c>
      <c r="BF277" s="19">
        <v>0</v>
      </c>
      <c r="BG277" s="19">
        <v>0</v>
      </c>
      <c r="BH277" s="19">
        <v>0</v>
      </c>
      <c r="BI277" s="19">
        <v>0</v>
      </c>
      <c r="BJ277" s="19">
        <v>0</v>
      </c>
      <c r="BK277" s="19">
        <v>0</v>
      </c>
      <c r="BL277" s="19">
        <v>0</v>
      </c>
      <c r="BM277" s="19">
        <v>0</v>
      </c>
      <c r="BN277" s="19">
        <v>1</v>
      </c>
      <c r="BO277" s="19">
        <v>1</v>
      </c>
      <c r="BP277" s="19">
        <v>1</v>
      </c>
      <c r="BQ277" s="19">
        <v>7</v>
      </c>
      <c r="BR277" s="19"/>
      <c r="BS277" s="19"/>
      <c r="BT277" s="19"/>
      <c r="BU277" s="19"/>
      <c r="BV277" s="19"/>
      <c r="BW277" s="19"/>
      <c r="BX277" s="19"/>
      <c r="BY277" s="19"/>
      <c r="BZ277" s="19"/>
      <c r="CA277" s="19"/>
      <c r="CB277" s="19"/>
      <c r="CC277" s="19"/>
      <c r="CD277" s="19"/>
      <c r="CE277" s="19"/>
      <c r="CF277" s="19"/>
      <c r="CG277" s="19"/>
      <c r="CH277" s="19">
        <v>3</v>
      </c>
      <c r="CI277" s="19">
        <v>3</v>
      </c>
      <c r="CJ277" s="19">
        <v>2</v>
      </c>
      <c r="CK277" s="19">
        <v>3</v>
      </c>
      <c r="CL277" t="s">
        <v>819</v>
      </c>
      <c r="CM277">
        <v>34.5</v>
      </c>
      <c r="CN277" s="16">
        <v>76.2</v>
      </c>
      <c r="CO277" s="16">
        <v>80.400000000000006</v>
      </c>
      <c r="CP277" s="16">
        <v>34.1</v>
      </c>
      <c r="CQ277">
        <v>70.97</v>
      </c>
      <c r="CR277" s="17">
        <v>0</v>
      </c>
      <c r="CS277">
        <v>11.02</v>
      </c>
      <c r="CT277">
        <v>18.010000000000002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U277">
        <v>0</v>
      </c>
      <c r="DV277">
        <v>0</v>
      </c>
      <c r="EG277" s="18"/>
      <c r="EY277">
        <v>0</v>
      </c>
      <c r="GJ277" s="16">
        <v>0</v>
      </c>
      <c r="GK277" s="16">
        <v>0</v>
      </c>
      <c r="GL277" s="16"/>
      <c r="GM277" s="16"/>
      <c r="GN277" s="16"/>
      <c r="GO277" s="16"/>
      <c r="GP277" s="16"/>
      <c r="GQ277" s="16"/>
      <c r="GR277" s="16"/>
      <c r="GS277" s="16"/>
      <c r="GT277" s="16"/>
      <c r="GU277" s="16">
        <v>0</v>
      </c>
      <c r="GV277" s="16">
        <v>0</v>
      </c>
      <c r="GW277" s="16"/>
      <c r="GX277" s="16"/>
      <c r="GY277" s="16">
        <v>0</v>
      </c>
      <c r="GZ277" s="16">
        <v>0</v>
      </c>
      <c r="HA277" s="16">
        <v>0</v>
      </c>
      <c r="HB277">
        <v>0</v>
      </c>
      <c r="HC277" t="s">
        <v>820</v>
      </c>
      <c r="HD277">
        <v>48.5</v>
      </c>
      <c r="HE277" s="16">
        <v>67.900000000000006</v>
      </c>
      <c r="HF277" s="16">
        <v>80.400000000000006</v>
      </c>
      <c r="HG277" s="16">
        <v>24.3</v>
      </c>
      <c r="HH277">
        <v>78.790000000000006</v>
      </c>
      <c r="HI277" s="17">
        <v>0</v>
      </c>
      <c r="HJ277">
        <v>11.74</v>
      </c>
      <c r="HK277">
        <v>9.4700000000000006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IL277">
        <v>23.8</v>
      </c>
      <c r="IM277">
        <v>1</v>
      </c>
      <c r="IN277">
        <v>25</v>
      </c>
      <c r="IO277">
        <v>1</v>
      </c>
      <c r="IP277">
        <v>0.06</v>
      </c>
      <c r="IQ277">
        <v>2</v>
      </c>
      <c r="IR277">
        <v>47</v>
      </c>
      <c r="IS277">
        <v>4</v>
      </c>
      <c r="IT277">
        <f>1.52*2</f>
        <v>3.04</v>
      </c>
      <c r="IU277">
        <v>3</v>
      </c>
      <c r="IX277" s="18"/>
      <c r="JP277">
        <v>0</v>
      </c>
      <c r="LA277" s="16">
        <v>0</v>
      </c>
      <c r="LB277" s="16">
        <v>0</v>
      </c>
      <c r="LC277" s="16"/>
      <c r="LD277" s="16"/>
      <c r="LE277" s="16"/>
      <c r="LF277" s="16"/>
      <c r="LG277" s="16"/>
      <c r="LH277" s="16"/>
      <c r="LI277" s="16"/>
      <c r="LJ277" s="16"/>
      <c r="LK277" s="16"/>
      <c r="LL277" s="16">
        <v>0</v>
      </c>
      <c r="LM277" s="16">
        <v>0</v>
      </c>
      <c r="LN277" s="16"/>
      <c r="LO277" s="16"/>
      <c r="LP277" s="16">
        <v>0</v>
      </c>
      <c r="LQ277" s="16">
        <v>0</v>
      </c>
      <c r="LR277" s="16">
        <v>0</v>
      </c>
      <c r="LS277">
        <v>0</v>
      </c>
      <c r="LT277" t="s">
        <v>821</v>
      </c>
      <c r="LU277">
        <v>26.5</v>
      </c>
      <c r="LV277" s="16">
        <v>82.8</v>
      </c>
      <c r="LW277" s="16">
        <v>80.400000000000006</v>
      </c>
      <c r="LX277" s="16">
        <v>26.4</v>
      </c>
      <c r="LY277">
        <v>79.3</v>
      </c>
      <c r="LZ277" s="17">
        <v>0</v>
      </c>
      <c r="MA277">
        <v>5.17</v>
      </c>
      <c r="MB277">
        <v>15.52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2.73</v>
      </c>
      <c r="MM277">
        <v>0</v>
      </c>
      <c r="MN277">
        <v>0</v>
      </c>
      <c r="MO277">
        <v>0</v>
      </c>
      <c r="MP277">
        <v>0</v>
      </c>
      <c r="NC277">
        <v>0</v>
      </c>
      <c r="ND277">
        <v>1</v>
      </c>
      <c r="NE277">
        <v>68</v>
      </c>
      <c r="NF277">
        <v>1</v>
      </c>
      <c r="NG277">
        <v>0.03</v>
      </c>
      <c r="NH277">
        <v>1</v>
      </c>
      <c r="NO277" s="18"/>
      <c r="OG277">
        <v>0</v>
      </c>
      <c r="PR277" s="16">
        <v>0</v>
      </c>
      <c r="PS277" s="16">
        <v>0</v>
      </c>
      <c r="PT277" s="16"/>
      <c r="PU277" s="16"/>
      <c r="PV277" s="16"/>
      <c r="PW277" s="16"/>
      <c r="PX277" s="16"/>
      <c r="PY277" s="16"/>
      <c r="PZ277" s="16"/>
      <c r="QA277" s="16"/>
      <c r="QB277" s="16"/>
      <c r="QC277" s="16">
        <v>0.1</v>
      </c>
      <c r="QD277" s="16">
        <v>0.9</v>
      </c>
      <c r="QE277" s="16"/>
      <c r="QF277" s="16"/>
      <c r="QG277" s="16">
        <v>0</v>
      </c>
      <c r="QH277" s="16">
        <v>0</v>
      </c>
      <c r="QI277" s="16">
        <v>0</v>
      </c>
      <c r="QJ277">
        <v>0</v>
      </c>
      <c r="QK277" t="s">
        <v>822</v>
      </c>
      <c r="QL277">
        <v>35</v>
      </c>
      <c r="QM277" s="16">
        <v>85.3</v>
      </c>
      <c r="QN277" s="16">
        <v>80.400000000000006</v>
      </c>
      <c r="QO277" s="16">
        <v>29.7</v>
      </c>
      <c r="QP277">
        <v>79.3</v>
      </c>
      <c r="QQ277" s="17">
        <v>0</v>
      </c>
      <c r="QR277">
        <v>5.17</v>
      </c>
      <c r="QS277">
        <v>15.52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RA277">
        <v>0</v>
      </c>
      <c r="RB277">
        <v>0</v>
      </c>
      <c r="RC277">
        <v>7.06</v>
      </c>
      <c r="RD277">
        <v>3.79</v>
      </c>
      <c r="RE277">
        <v>0</v>
      </c>
      <c r="RF277">
        <v>0</v>
      </c>
      <c r="RG277">
        <v>1</v>
      </c>
      <c r="RH277">
        <v>2</v>
      </c>
      <c r="RJ277">
        <v>1</v>
      </c>
      <c r="RN277">
        <v>2</v>
      </c>
      <c r="RP277">
        <v>1</v>
      </c>
      <c r="RT277">
        <v>5</v>
      </c>
      <c r="RU277">
        <v>1</v>
      </c>
      <c r="RV277">
        <v>68</v>
      </c>
      <c r="RW277">
        <v>6</v>
      </c>
      <c r="RX277">
        <f>2.66+3.05</f>
        <v>5.71</v>
      </c>
      <c r="RY277">
        <v>1</v>
      </c>
      <c r="SF277" s="18"/>
      <c r="SX277">
        <v>0</v>
      </c>
      <c r="UI277" s="16">
        <v>0</v>
      </c>
      <c r="UJ277" s="16">
        <v>0</v>
      </c>
      <c r="UK277" s="16"/>
      <c r="UL277" s="16"/>
      <c r="UM277" s="16"/>
      <c r="UN277" s="16"/>
      <c r="UO277" s="16"/>
      <c r="UP277" s="16"/>
      <c r="UQ277" s="16"/>
      <c r="UR277" s="16"/>
      <c r="US277" s="16"/>
      <c r="UT277" s="16">
        <v>0</v>
      </c>
      <c r="UU277" s="16">
        <v>0</v>
      </c>
      <c r="UV277" s="16"/>
      <c r="UW277" s="16"/>
      <c r="UX277" s="16">
        <v>0</v>
      </c>
      <c r="UY277" s="16">
        <v>0</v>
      </c>
      <c r="UZ277" s="16">
        <v>0</v>
      </c>
      <c r="VA277">
        <v>0</v>
      </c>
      <c r="VB277" t="s">
        <v>823</v>
      </c>
      <c r="VC277">
        <v>36</v>
      </c>
      <c r="VD277" s="16">
        <v>57.6</v>
      </c>
      <c r="VE277" s="16">
        <v>80.400000000000006</v>
      </c>
      <c r="VF277" s="16">
        <v>19.2</v>
      </c>
      <c r="VG277">
        <v>83.43</v>
      </c>
      <c r="VH277" s="17">
        <v>0</v>
      </c>
      <c r="VI277">
        <v>0</v>
      </c>
      <c r="VJ277">
        <v>0</v>
      </c>
      <c r="VK277">
        <v>16.57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3.13</v>
      </c>
      <c r="VU277">
        <v>18.98</v>
      </c>
      <c r="VV277">
        <v>0</v>
      </c>
      <c r="VW277">
        <v>0</v>
      </c>
      <c r="VX277">
        <v>0</v>
      </c>
      <c r="WK277">
        <v>0</v>
      </c>
      <c r="WL277">
        <v>1</v>
      </c>
      <c r="WM277">
        <v>10</v>
      </c>
      <c r="WN277">
        <v>1</v>
      </c>
      <c r="WO277">
        <v>1.3</v>
      </c>
      <c r="WP277">
        <v>5</v>
      </c>
      <c r="WW277" s="18"/>
      <c r="XO277">
        <v>0</v>
      </c>
      <c r="YZ277" s="16">
        <v>0</v>
      </c>
      <c r="ZA277" s="16">
        <v>0</v>
      </c>
      <c r="ZB277" s="16"/>
      <c r="ZC277" s="16"/>
      <c r="ZD277" s="16"/>
      <c r="ZE277" s="16"/>
      <c r="ZF277" s="16"/>
      <c r="ZG277" s="16"/>
      <c r="ZH277" s="16"/>
      <c r="ZI277" s="16"/>
      <c r="ZJ277" s="16"/>
      <c r="ZK277" s="16">
        <v>6.14</v>
      </c>
      <c r="ZL277" s="16">
        <v>13.2</v>
      </c>
      <c r="ZM277" s="16"/>
      <c r="ZN277" s="16"/>
      <c r="ZO277" s="16">
        <v>10</v>
      </c>
      <c r="ZP277" s="16">
        <v>8.19</v>
      </c>
      <c r="ZQ277" s="16">
        <v>0</v>
      </c>
      <c r="ZR277">
        <v>1</v>
      </c>
      <c r="ZS277" t="s">
        <v>824</v>
      </c>
      <c r="ZT277">
        <v>2.5</v>
      </c>
      <c r="ZU277" s="16">
        <v>89.5</v>
      </c>
      <c r="ZV277" s="16">
        <v>80.400000000000006</v>
      </c>
      <c r="ZW277" s="16">
        <v>2.2000000000000002</v>
      </c>
      <c r="ZX277">
        <v>98.4</v>
      </c>
      <c r="ZY277" s="1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BB277">
        <v>0</v>
      </c>
      <c r="ABC277">
        <v>0</v>
      </c>
      <c r="ABN277" s="18"/>
      <c r="ACF277">
        <v>0</v>
      </c>
      <c r="ADQ277" s="16">
        <v>0</v>
      </c>
      <c r="ADR277" s="16">
        <v>0</v>
      </c>
      <c r="ADS277" s="16"/>
      <c r="ADT277" s="16"/>
      <c r="ADU277" s="16"/>
      <c r="ADV277" s="16"/>
      <c r="ADW277" s="16"/>
      <c r="ADX277" s="16"/>
      <c r="ADY277" s="16"/>
      <c r="ADZ277" s="16"/>
      <c r="AEA277" s="16"/>
      <c r="AEB277" s="16">
        <v>0</v>
      </c>
      <c r="AEC277" s="16">
        <v>0</v>
      </c>
      <c r="AED277" s="16"/>
      <c r="AEE277" s="16"/>
      <c r="AEF277" s="16">
        <v>0</v>
      </c>
      <c r="AEG277" s="16">
        <v>0</v>
      </c>
      <c r="AEH277" s="16">
        <v>0</v>
      </c>
      <c r="AEI277">
        <v>0</v>
      </c>
      <c r="AEJ277" t="s">
        <v>825</v>
      </c>
      <c r="AEK277">
        <v>20</v>
      </c>
      <c r="AEL277" s="16">
        <v>86.3</v>
      </c>
      <c r="AEM277" s="16">
        <v>80.400000000000006</v>
      </c>
      <c r="AEN277" s="16">
        <v>9.4</v>
      </c>
      <c r="AEO277">
        <v>99.87</v>
      </c>
      <c r="AEP277" s="17">
        <v>0</v>
      </c>
      <c r="AEQ277">
        <v>0</v>
      </c>
      <c r="AER277">
        <v>0</v>
      </c>
      <c r="AES277">
        <v>0.13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25.58</v>
      </c>
      <c r="AFC277">
        <v>13.58</v>
      </c>
      <c r="AFD277">
        <v>0</v>
      </c>
      <c r="AFE277">
        <v>0</v>
      </c>
      <c r="AFF277">
        <v>0</v>
      </c>
      <c r="AFS277">
        <v>4.2</v>
      </c>
      <c r="AFT277">
        <v>1</v>
      </c>
      <c r="AFU277">
        <v>68</v>
      </c>
      <c r="AFV277">
        <v>5</v>
      </c>
      <c r="AFW277">
        <f>0.4+2.28</f>
        <v>2.6799999999999997</v>
      </c>
      <c r="AFX277">
        <v>1</v>
      </c>
      <c r="AGE277" s="18"/>
      <c r="AGW277">
        <v>0</v>
      </c>
      <c r="AIH277" s="16">
        <v>2.2799999999999998</v>
      </c>
      <c r="AII277" s="16">
        <v>1</v>
      </c>
      <c r="AIJ277" s="16">
        <v>2</v>
      </c>
      <c r="AIK277" s="16"/>
      <c r="AIL277" s="16">
        <f>2.24+0.09+12.69</f>
        <v>15.02</v>
      </c>
      <c r="AIM277" s="16"/>
      <c r="AIN277" s="16"/>
      <c r="AIO277" s="16"/>
      <c r="AIP277" s="16"/>
      <c r="AIQ277" s="16"/>
      <c r="AIR277" s="16"/>
      <c r="AIS277" s="16">
        <v>0</v>
      </c>
      <c r="AIT277" s="16">
        <v>0</v>
      </c>
      <c r="AIU277" s="16"/>
      <c r="AIV277" s="16"/>
      <c r="AIW277" s="16">
        <v>3.73</v>
      </c>
      <c r="AIX277" s="16">
        <v>0.14000000000000001</v>
      </c>
      <c r="AIY277" s="16">
        <v>0</v>
      </c>
      <c r="AIZ277">
        <v>0</v>
      </c>
      <c r="AJA277" t="s">
        <v>827</v>
      </c>
      <c r="AJB277">
        <v>16</v>
      </c>
      <c r="AJC277" s="16">
        <v>71.599999999999994</v>
      </c>
      <c r="AJD277" s="16">
        <v>80.400000000000006</v>
      </c>
      <c r="AJE277" s="16">
        <v>9.8000000000000007</v>
      </c>
      <c r="AJF277">
        <v>100</v>
      </c>
      <c r="AJG277" s="1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16.12</v>
      </c>
      <c r="AJT277">
        <v>13.45</v>
      </c>
      <c r="AJU277">
        <v>0</v>
      </c>
      <c r="AJV277">
        <v>0</v>
      </c>
      <c r="AJW277">
        <v>0</v>
      </c>
      <c r="AKJ277">
        <v>3.9</v>
      </c>
      <c r="AKK277">
        <v>1</v>
      </c>
      <c r="AKL277">
        <v>68</v>
      </c>
      <c r="AKM277">
        <v>5</v>
      </c>
      <c r="AKN277">
        <f>0.4+2.28</f>
        <v>2.6799999999999997</v>
      </c>
      <c r="AKO277">
        <v>1</v>
      </c>
      <c r="AKV277" s="18"/>
      <c r="ALN277">
        <v>0</v>
      </c>
    </row>
    <row r="278" spans="1:1018" x14ac:dyDescent="0.2">
      <c r="A278" s="1" t="s">
        <v>831</v>
      </c>
      <c r="B278" s="12">
        <v>42909</v>
      </c>
      <c r="C278">
        <v>2</v>
      </c>
      <c r="D278" s="13">
        <v>42783</v>
      </c>
      <c r="E278" s="12">
        <v>29203</v>
      </c>
      <c r="F278" s="14">
        <f t="shared" si="106"/>
        <v>37.524982888432582</v>
      </c>
      <c r="G278" s="14">
        <f t="shared" si="107"/>
        <v>0.34496919917864477</v>
      </c>
      <c r="H278" s="19" t="s">
        <v>306</v>
      </c>
      <c r="I278" s="15" t="s">
        <v>832</v>
      </c>
      <c r="J278" s="15" t="s">
        <v>181</v>
      </c>
      <c r="K278" s="15">
        <v>4</v>
      </c>
      <c r="L278" s="19">
        <v>85</v>
      </c>
      <c r="M278">
        <v>1.72</v>
      </c>
      <c r="N278" s="16">
        <f t="shared" si="108"/>
        <v>28.731746890210928</v>
      </c>
      <c r="O278" s="19">
        <v>0</v>
      </c>
      <c r="P278" s="19">
        <v>0</v>
      </c>
      <c r="Q278" s="19">
        <v>0</v>
      </c>
      <c r="R278" s="26">
        <v>0</v>
      </c>
      <c r="S278" s="26">
        <v>0</v>
      </c>
      <c r="T278" s="26">
        <v>0</v>
      </c>
      <c r="U278" s="19">
        <v>1</v>
      </c>
      <c r="V278" s="19">
        <v>4</v>
      </c>
      <c r="W278" s="19">
        <v>0</v>
      </c>
      <c r="X278" s="19">
        <v>0</v>
      </c>
      <c r="Y278" s="19">
        <v>0</v>
      </c>
      <c r="Z278" s="19">
        <v>0</v>
      </c>
      <c r="AA278" s="19">
        <v>0</v>
      </c>
      <c r="AB278" s="19">
        <v>0</v>
      </c>
      <c r="AC278" s="19">
        <v>0</v>
      </c>
      <c r="AD278" s="19">
        <v>0</v>
      </c>
      <c r="AE278" s="19">
        <v>1</v>
      </c>
      <c r="AF278" s="19">
        <v>0</v>
      </c>
      <c r="AG278" s="19">
        <v>0</v>
      </c>
      <c r="AH278" s="19">
        <v>0</v>
      </c>
      <c r="AI278" s="19">
        <v>0</v>
      </c>
      <c r="AJ278" s="19">
        <v>0</v>
      </c>
      <c r="AK278" s="19">
        <v>0</v>
      </c>
      <c r="AL278" s="19">
        <v>0</v>
      </c>
      <c r="AM278" s="26">
        <v>0</v>
      </c>
      <c r="AN278" s="19">
        <v>0</v>
      </c>
      <c r="AO278" s="19">
        <v>0</v>
      </c>
      <c r="AP278" s="19">
        <v>0</v>
      </c>
      <c r="AQ278" s="19">
        <v>0</v>
      </c>
      <c r="AR278" s="19">
        <v>0</v>
      </c>
      <c r="AS278" s="19">
        <v>3</v>
      </c>
      <c r="AT278" s="19">
        <v>3</v>
      </c>
      <c r="AU278" s="19">
        <v>3</v>
      </c>
      <c r="AV278" s="19">
        <v>4</v>
      </c>
      <c r="AW278" s="19">
        <v>2</v>
      </c>
      <c r="AX278" s="19">
        <v>0</v>
      </c>
      <c r="AY278" s="19">
        <v>0</v>
      </c>
      <c r="AZ278" s="19">
        <v>0</v>
      </c>
      <c r="BA278" s="19">
        <v>0</v>
      </c>
      <c r="BB278" s="19">
        <v>1</v>
      </c>
      <c r="BC278" s="19">
        <v>1</v>
      </c>
      <c r="BD278" s="19">
        <v>1</v>
      </c>
      <c r="BE278" s="19">
        <v>5</v>
      </c>
      <c r="BF278" s="19">
        <v>1</v>
      </c>
      <c r="BG278" s="19">
        <v>0</v>
      </c>
      <c r="BH278" s="19">
        <v>0</v>
      </c>
      <c r="BI278" s="19">
        <v>0</v>
      </c>
      <c r="BJ278" s="19">
        <v>1</v>
      </c>
      <c r="BK278" s="19">
        <v>0</v>
      </c>
      <c r="BL278" s="19">
        <v>1</v>
      </c>
      <c r="BM278" s="19">
        <v>1</v>
      </c>
      <c r="BN278" s="19">
        <v>1</v>
      </c>
      <c r="BO278" s="19">
        <v>0</v>
      </c>
      <c r="BP278" s="19">
        <v>1</v>
      </c>
      <c r="BQ278" s="19">
        <v>1</v>
      </c>
      <c r="BR278" s="19">
        <v>2</v>
      </c>
      <c r="BS278" s="19">
        <v>3</v>
      </c>
      <c r="BT278" s="19">
        <v>3</v>
      </c>
      <c r="BU278" s="19">
        <v>5</v>
      </c>
      <c r="BV278" s="19">
        <v>2</v>
      </c>
      <c r="BW278" s="19">
        <v>1</v>
      </c>
      <c r="BX278" s="19">
        <v>4</v>
      </c>
      <c r="BY278" s="19">
        <v>4</v>
      </c>
      <c r="BZ278" s="19">
        <v>3</v>
      </c>
      <c r="CA278" s="19">
        <v>3</v>
      </c>
      <c r="CB278" s="19">
        <v>4</v>
      </c>
      <c r="CC278" s="19">
        <v>5</v>
      </c>
      <c r="CD278" s="19">
        <v>3</v>
      </c>
      <c r="CE278" s="19">
        <v>4</v>
      </c>
      <c r="CF278" s="19">
        <v>5</v>
      </c>
      <c r="CG278" s="19">
        <v>4</v>
      </c>
      <c r="CH278" s="19">
        <v>4</v>
      </c>
      <c r="CI278" s="19">
        <v>4</v>
      </c>
      <c r="CJ278" s="19">
        <v>5</v>
      </c>
      <c r="CK278" s="19">
        <v>10</v>
      </c>
      <c r="CL278" t="s">
        <v>833</v>
      </c>
      <c r="CM278">
        <v>31</v>
      </c>
      <c r="CN278" s="16">
        <v>82.6</v>
      </c>
      <c r="CO278" s="16">
        <v>83.4</v>
      </c>
      <c r="CP278" s="16">
        <v>5.7</v>
      </c>
      <c r="CQ278">
        <v>99.97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7.3</v>
      </c>
      <c r="DC278">
        <v>53.74</v>
      </c>
      <c r="DD278">
        <v>0</v>
      </c>
      <c r="DE278">
        <v>0</v>
      </c>
      <c r="DF278">
        <v>0</v>
      </c>
      <c r="DG278">
        <v>17.600000000000001</v>
      </c>
      <c r="DH278">
        <v>1</v>
      </c>
      <c r="DI278">
        <v>4.5999999999999996</v>
      </c>
      <c r="DK278">
        <v>2</v>
      </c>
      <c r="DU278">
        <v>2.4</v>
      </c>
      <c r="DV278">
        <v>0</v>
      </c>
      <c r="EG278" s="18"/>
      <c r="EY278">
        <v>1</v>
      </c>
      <c r="EZ278">
        <v>60</v>
      </c>
      <c r="FA278">
        <f>4+6+1+3+1+3</f>
        <v>18</v>
      </c>
      <c r="FB278">
        <f>0.73+2.2+0.13+0.39+0.78+0.52</f>
        <v>4.75</v>
      </c>
      <c r="FC278">
        <v>3</v>
      </c>
      <c r="FD278">
        <v>50</v>
      </c>
      <c r="FE278">
        <f>14</f>
        <v>14</v>
      </c>
      <c r="FF278">
        <f>4.4+2.94+0.52</f>
        <v>7.8599999999999994</v>
      </c>
      <c r="FG278">
        <v>3</v>
      </c>
      <c r="GJ278" s="16">
        <v>0</v>
      </c>
      <c r="GK278" s="16">
        <v>0</v>
      </c>
      <c r="GL278" s="16"/>
      <c r="GM278" s="16"/>
      <c r="GN278" s="16"/>
      <c r="GO278" s="16"/>
      <c r="GP278" s="16"/>
      <c r="GQ278" s="16"/>
      <c r="GR278" s="16"/>
      <c r="GS278" s="16"/>
      <c r="GT278" s="16"/>
      <c r="GU278" s="16">
        <v>5.21</v>
      </c>
      <c r="GV278" s="16">
        <v>2.59</v>
      </c>
      <c r="GW278" s="16"/>
      <c r="GX278" s="16"/>
      <c r="GY278" s="16">
        <v>0</v>
      </c>
      <c r="GZ278" s="16">
        <v>0</v>
      </c>
      <c r="HA278" s="16">
        <v>0</v>
      </c>
      <c r="HB278">
        <v>0</v>
      </c>
      <c r="HC278" t="s">
        <v>834</v>
      </c>
      <c r="HD278">
        <v>30.5</v>
      </c>
      <c r="HE278" s="16">
        <v>73.400000000000006</v>
      </c>
      <c r="HF278" s="16">
        <v>83.4</v>
      </c>
      <c r="HG278" s="16">
        <v>5.7</v>
      </c>
      <c r="HH278">
        <v>100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7.69</v>
      </c>
      <c r="HT278">
        <v>47.61</v>
      </c>
      <c r="HU278">
        <v>0</v>
      </c>
      <c r="HV278">
        <v>0</v>
      </c>
      <c r="HW278">
        <v>0</v>
      </c>
      <c r="HX278">
        <v>16.399999999999999</v>
      </c>
      <c r="HY278">
        <v>1</v>
      </c>
      <c r="HZ278">
        <v>4.5999999999999996</v>
      </c>
      <c r="IB278">
        <v>2</v>
      </c>
      <c r="IL278">
        <v>1.4</v>
      </c>
      <c r="IM278">
        <v>0</v>
      </c>
      <c r="IX278" s="18"/>
      <c r="JP278">
        <v>1</v>
      </c>
      <c r="JQ278">
        <v>60</v>
      </c>
      <c r="JR278">
        <v>7</v>
      </c>
      <c r="JS278">
        <f>0.73+2.2+0.39</f>
        <v>3.3200000000000003</v>
      </c>
      <c r="JT278">
        <v>3</v>
      </c>
      <c r="JU278">
        <v>50</v>
      </c>
      <c r="JV278">
        <v>10</v>
      </c>
      <c r="JW278">
        <f>4.4+2.94</f>
        <v>7.34</v>
      </c>
      <c r="LA278" s="16">
        <v>0</v>
      </c>
      <c r="LB278" s="16">
        <v>0</v>
      </c>
      <c r="LC278" s="16"/>
      <c r="LD278" s="16"/>
      <c r="LE278" s="16"/>
      <c r="LF278" s="16"/>
      <c r="LG278" s="16"/>
      <c r="LH278" s="16"/>
      <c r="LI278" s="16"/>
      <c r="LJ278" s="16"/>
      <c r="LK278" s="16"/>
      <c r="LL278" s="16">
        <v>6.95</v>
      </c>
      <c r="LM278" s="16">
        <v>10.27</v>
      </c>
      <c r="LN278" s="16"/>
      <c r="LO278" s="16"/>
      <c r="LP278" s="16">
        <v>0</v>
      </c>
      <c r="LQ278" s="16">
        <v>0</v>
      </c>
      <c r="LR278" s="16">
        <v>0</v>
      </c>
      <c r="LS278">
        <v>0</v>
      </c>
      <c r="LT278">
        <v>94</v>
      </c>
      <c r="LU278">
        <v>24.5</v>
      </c>
      <c r="LV278" s="16">
        <v>88.7</v>
      </c>
      <c r="LW278" s="16">
        <v>83.4</v>
      </c>
      <c r="LX278" s="16">
        <v>23.1</v>
      </c>
      <c r="LY278">
        <v>69.95</v>
      </c>
      <c r="LZ278">
        <v>0</v>
      </c>
      <c r="MA278">
        <v>7.16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34.04</v>
      </c>
      <c r="ML278">
        <v>20.5</v>
      </c>
      <c r="MM278">
        <v>0</v>
      </c>
      <c r="MN278">
        <v>22.9</v>
      </c>
      <c r="MO278">
        <v>0</v>
      </c>
      <c r="MP278">
        <v>0</v>
      </c>
      <c r="NC278">
        <v>0</v>
      </c>
      <c r="ND278">
        <v>0</v>
      </c>
      <c r="NO278" s="18"/>
      <c r="OG278">
        <v>0</v>
      </c>
      <c r="PR278" s="16">
        <v>0</v>
      </c>
      <c r="PS278" s="16">
        <v>0</v>
      </c>
      <c r="PT278" s="16"/>
      <c r="PU278" s="16"/>
      <c r="PV278" s="16"/>
      <c r="PW278" s="16"/>
      <c r="PX278" s="16"/>
      <c r="PY278" s="16"/>
      <c r="PZ278" s="16"/>
      <c r="QA278" s="16"/>
      <c r="QB278" s="16"/>
      <c r="QC278" s="16">
        <v>0</v>
      </c>
      <c r="QD278" s="16">
        <v>0</v>
      </c>
      <c r="QE278" s="16"/>
      <c r="QF278" s="16"/>
      <c r="QG278" s="16">
        <v>0</v>
      </c>
      <c r="QH278" s="16">
        <v>0</v>
      </c>
      <c r="QI278" s="16">
        <v>1.44</v>
      </c>
      <c r="QJ278">
        <v>0</v>
      </c>
      <c r="QK278" t="s">
        <v>835</v>
      </c>
      <c r="QL278">
        <v>19</v>
      </c>
      <c r="QM278" s="16">
        <v>73.2</v>
      </c>
      <c r="QN278" s="16">
        <v>83.4</v>
      </c>
      <c r="QO278" s="16">
        <v>11.1</v>
      </c>
      <c r="QP278">
        <v>92.58</v>
      </c>
      <c r="QQ278">
        <v>0</v>
      </c>
      <c r="QR278">
        <v>1.25</v>
      </c>
      <c r="QS278">
        <v>0</v>
      </c>
      <c r="QT278">
        <v>5.34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4.7699999999999996</v>
      </c>
      <c r="RB278">
        <v>22.03</v>
      </c>
      <c r="RC278">
        <v>27.08</v>
      </c>
      <c r="RD278">
        <v>1.58</v>
      </c>
      <c r="RE278">
        <v>0.83</v>
      </c>
      <c r="RF278">
        <v>0</v>
      </c>
      <c r="RG278">
        <v>0</v>
      </c>
      <c r="RT278">
        <v>0.5</v>
      </c>
      <c r="RU278">
        <v>1</v>
      </c>
      <c r="RV278">
        <v>35</v>
      </c>
      <c r="RW278">
        <v>4</v>
      </c>
      <c r="RX278">
        <v>0.1</v>
      </c>
      <c r="RY278">
        <v>3</v>
      </c>
      <c r="SF278" s="18"/>
      <c r="SX278">
        <v>1</v>
      </c>
      <c r="SY278">
        <v>40</v>
      </c>
      <c r="SZ278">
        <v>1</v>
      </c>
      <c r="TA278">
        <v>1.25</v>
      </c>
      <c r="TB278">
        <v>3</v>
      </c>
      <c r="TC278">
        <v>50</v>
      </c>
      <c r="TD278">
        <v>1</v>
      </c>
      <c r="TE278">
        <v>0.05</v>
      </c>
      <c r="TF278">
        <v>3</v>
      </c>
      <c r="TG278">
        <v>60</v>
      </c>
      <c r="TH278">
        <f>18+9</f>
        <v>27</v>
      </c>
      <c r="TI278">
        <f>2.27+1.14</f>
        <v>3.41</v>
      </c>
      <c r="TJ278">
        <v>3</v>
      </c>
      <c r="UI278" s="16">
        <v>3.7</v>
      </c>
      <c r="UJ278" s="16">
        <v>1</v>
      </c>
      <c r="UK278" s="16">
        <v>1</v>
      </c>
      <c r="UL278" s="16"/>
      <c r="UM278" s="16">
        <f>4+0.13+0.01+0.73+1.65+0.02</f>
        <v>6.5399999999999991</v>
      </c>
      <c r="UN278" s="16">
        <v>2</v>
      </c>
      <c r="UO278" s="16"/>
      <c r="UP278" s="16">
        <f>0.18*2</f>
        <v>0.36</v>
      </c>
      <c r="UQ278" s="16"/>
      <c r="UR278" s="16"/>
      <c r="US278" s="16"/>
      <c r="UT278" s="16">
        <v>3.32</v>
      </c>
      <c r="UU278" s="16">
        <v>3.31</v>
      </c>
      <c r="UV278" s="16"/>
      <c r="UW278" s="16"/>
      <c r="UX278" s="16">
        <v>0</v>
      </c>
      <c r="UY278" s="16">
        <v>0</v>
      </c>
      <c r="UZ278" s="16">
        <v>0.22</v>
      </c>
      <c r="VA278">
        <v>0</v>
      </c>
      <c r="VB278" t="s">
        <v>836</v>
      </c>
      <c r="VC278">
        <v>26.5</v>
      </c>
      <c r="VD278" s="16">
        <v>70.7</v>
      </c>
      <c r="VE278" s="16">
        <v>83.4</v>
      </c>
      <c r="VF278" s="16">
        <v>8.8000000000000007</v>
      </c>
      <c r="VG278">
        <v>94.65</v>
      </c>
      <c r="VH278">
        <v>0</v>
      </c>
      <c r="VI278">
        <v>0.21</v>
      </c>
      <c r="VJ278">
        <v>0</v>
      </c>
      <c r="VK278">
        <v>4.3099999999999996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1.21</v>
      </c>
      <c r="VS278">
        <v>19.41</v>
      </c>
      <c r="VT278">
        <v>20.37</v>
      </c>
      <c r="VU278">
        <v>0.21</v>
      </c>
      <c r="VV278">
        <v>0.83</v>
      </c>
      <c r="VW278">
        <v>12.2</v>
      </c>
      <c r="VX278">
        <v>1</v>
      </c>
      <c r="VY278">
        <v>5</v>
      </c>
      <c r="WA278">
        <v>2</v>
      </c>
      <c r="WK278">
        <v>0</v>
      </c>
      <c r="WL278">
        <v>0</v>
      </c>
      <c r="WW278" s="18"/>
      <c r="XO278">
        <v>1</v>
      </c>
      <c r="XP278">
        <v>40</v>
      </c>
      <c r="XQ278">
        <v>1</v>
      </c>
      <c r="XR278">
        <v>0.21</v>
      </c>
      <c r="XS278">
        <v>3</v>
      </c>
      <c r="XT278">
        <v>80</v>
      </c>
      <c r="XU278">
        <v>4</v>
      </c>
      <c r="XV278">
        <v>0.5</v>
      </c>
      <c r="XW278">
        <v>2</v>
      </c>
      <c r="XX278">
        <v>60</v>
      </c>
      <c r="XY278">
        <f>18+9</f>
        <v>27</v>
      </c>
      <c r="XZ278">
        <f>2.27+1.14</f>
        <v>3.41</v>
      </c>
      <c r="YA278">
        <v>2</v>
      </c>
      <c r="YZ278" s="16">
        <v>3.54</v>
      </c>
      <c r="ZA278" s="16">
        <v>1</v>
      </c>
      <c r="ZB278" s="16">
        <v>1</v>
      </c>
      <c r="ZC278" s="16"/>
      <c r="ZD278" s="16">
        <f>4+0.73*2+1.65</f>
        <v>7.1099999999999994</v>
      </c>
      <c r="ZE278" s="16"/>
      <c r="ZF278" s="16"/>
      <c r="ZG278" s="16"/>
      <c r="ZH278" s="16"/>
      <c r="ZI278" s="16"/>
      <c r="ZJ278" s="16"/>
      <c r="ZK278" s="16">
        <v>1.47</v>
      </c>
      <c r="ZL278" s="16">
        <v>1.47</v>
      </c>
      <c r="ZM278" s="16"/>
      <c r="ZN278" s="16"/>
      <c r="ZO278" s="16">
        <v>0</v>
      </c>
      <c r="ZP278" s="16">
        <v>0</v>
      </c>
      <c r="ZQ278" s="16">
        <v>0.22</v>
      </c>
      <c r="ZR278">
        <v>0</v>
      </c>
      <c r="ZS278" t="s">
        <v>837</v>
      </c>
      <c r="ZT278">
        <v>30.5</v>
      </c>
      <c r="ZU278" s="16">
        <v>92</v>
      </c>
      <c r="ZV278" s="16">
        <v>83.4</v>
      </c>
      <c r="ZW278" s="16">
        <v>5.9</v>
      </c>
      <c r="ZX278">
        <v>98.99</v>
      </c>
      <c r="ZY278">
        <v>1.01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2.66</v>
      </c>
      <c r="AAJ278">
        <v>46.99</v>
      </c>
      <c r="AAK278">
        <v>16.89</v>
      </c>
      <c r="AAL278">
        <v>0</v>
      </c>
      <c r="AAM278">
        <v>0</v>
      </c>
      <c r="AAN278">
        <v>0</v>
      </c>
      <c r="AAO278">
        <v>0</v>
      </c>
      <c r="ABB278">
        <v>0</v>
      </c>
      <c r="ABC278">
        <v>0</v>
      </c>
      <c r="ABN278" s="18"/>
      <c r="ACF278">
        <v>0</v>
      </c>
      <c r="ADQ278" s="16">
        <v>8</v>
      </c>
      <c r="ADR278" s="16">
        <v>1</v>
      </c>
      <c r="ADS278" s="16">
        <v>1</v>
      </c>
      <c r="ADT278" s="16"/>
      <c r="ADU278" s="16">
        <f>1.65+0.18*2+9.17</f>
        <v>11.18</v>
      </c>
      <c r="ADV278" s="16"/>
      <c r="ADW278" s="16"/>
      <c r="ADX278" s="16"/>
      <c r="ADY278" s="16"/>
      <c r="ADZ278" s="16"/>
      <c r="AEA278" s="16"/>
      <c r="AEB278" s="16">
        <v>6.16</v>
      </c>
      <c r="AEC278" s="16">
        <v>16.16</v>
      </c>
      <c r="AED278" s="16"/>
      <c r="AEE278" s="16"/>
      <c r="AEF278" s="16">
        <v>10</v>
      </c>
      <c r="AEG278" s="16">
        <v>1.1000000000000001</v>
      </c>
      <c r="AEH278" s="16">
        <v>0</v>
      </c>
      <c r="AEI278">
        <v>1</v>
      </c>
      <c r="AEJ278" t="s">
        <v>838</v>
      </c>
      <c r="AEK278">
        <v>47.5</v>
      </c>
      <c r="AEL278" s="16">
        <v>86.8</v>
      </c>
      <c r="AEM278" s="16">
        <v>83.4</v>
      </c>
      <c r="AEN278" s="16">
        <v>26.7</v>
      </c>
      <c r="AEO278">
        <v>65.11</v>
      </c>
      <c r="AEP278">
        <v>0</v>
      </c>
      <c r="AEQ278">
        <v>2.75</v>
      </c>
      <c r="AER278">
        <v>0</v>
      </c>
      <c r="AES278">
        <v>32.14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24.37</v>
      </c>
      <c r="AFB278">
        <v>6.53</v>
      </c>
      <c r="AFC278">
        <v>31.2</v>
      </c>
      <c r="AFD278">
        <v>0</v>
      </c>
      <c r="AFE278">
        <v>13</v>
      </c>
      <c r="AFF278">
        <v>1</v>
      </c>
      <c r="AFG278">
        <v>7</v>
      </c>
      <c r="AFI278">
        <v>2</v>
      </c>
      <c r="AFS278">
        <v>0</v>
      </c>
      <c r="AFT278">
        <v>0</v>
      </c>
      <c r="AGE278" s="18"/>
      <c r="AGW278">
        <v>0</v>
      </c>
      <c r="AIH278" s="16">
        <v>2.27</v>
      </c>
      <c r="AII278" s="16">
        <v>1</v>
      </c>
      <c r="AIJ278" s="16">
        <v>1</v>
      </c>
      <c r="AIK278" s="16"/>
      <c r="AIL278" s="16">
        <f>3.3*3+0.36*4</f>
        <v>11.339999999999998</v>
      </c>
      <c r="AIM278" s="16"/>
      <c r="AIN278" s="16"/>
      <c r="AIO278" s="16"/>
      <c r="AIP278" s="16"/>
      <c r="AIQ278" s="16"/>
      <c r="AIR278" s="16"/>
      <c r="AIS278" s="16">
        <v>5.24</v>
      </c>
      <c r="AIT278" s="16">
        <v>7.31</v>
      </c>
      <c r="AIU278" s="16"/>
      <c r="AIV278" s="16"/>
      <c r="AIW278" s="16">
        <v>0</v>
      </c>
      <c r="AIX278" s="16">
        <v>0</v>
      </c>
      <c r="AIY278" s="16">
        <v>0</v>
      </c>
      <c r="AIZ278">
        <v>0</v>
      </c>
      <c r="AJA278" t="s">
        <v>839</v>
      </c>
      <c r="AJB278">
        <v>48</v>
      </c>
      <c r="AJC278" s="16">
        <v>84.6</v>
      </c>
      <c r="AJD278" s="16">
        <v>83.4</v>
      </c>
      <c r="AJE278" s="16">
        <v>5.9</v>
      </c>
      <c r="AJF278">
        <v>36.31</v>
      </c>
      <c r="AJG278">
        <v>0</v>
      </c>
      <c r="AJH278">
        <v>0</v>
      </c>
      <c r="AJI278">
        <v>0</v>
      </c>
      <c r="AJJ278">
        <v>63.69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2.5299999999999998</v>
      </c>
      <c r="AJR278">
        <v>8.33</v>
      </c>
      <c r="AJS278">
        <v>27.3</v>
      </c>
      <c r="AJT278">
        <v>39.369999999999997</v>
      </c>
      <c r="AJU278">
        <v>0</v>
      </c>
      <c r="AJV278">
        <v>0</v>
      </c>
      <c r="AJW278">
        <v>0</v>
      </c>
      <c r="AKJ278">
        <v>0</v>
      </c>
      <c r="AKK278">
        <v>0</v>
      </c>
      <c r="AKV278" s="18"/>
      <c r="ALN278">
        <v>0</v>
      </c>
    </row>
    <row r="279" spans="1:1018" x14ac:dyDescent="0.2">
      <c r="A279" s="1" t="s">
        <v>840</v>
      </c>
      <c r="B279" s="12">
        <v>42908</v>
      </c>
      <c r="C279">
        <v>2</v>
      </c>
      <c r="D279" s="13">
        <v>42804</v>
      </c>
      <c r="E279" s="12">
        <v>33472</v>
      </c>
      <c r="F279" s="14">
        <f t="shared" si="106"/>
        <v>25.834360027378509</v>
      </c>
      <c r="G279" s="14">
        <f t="shared" si="107"/>
        <v>0.28473648186173856</v>
      </c>
      <c r="H279" s="19" t="s">
        <v>306</v>
      </c>
      <c r="I279" s="15" t="s">
        <v>832</v>
      </c>
      <c r="J279" s="15" t="s">
        <v>181</v>
      </c>
      <c r="K279" s="15">
        <v>4</v>
      </c>
      <c r="L279" s="19">
        <v>68</v>
      </c>
      <c r="M279">
        <v>1.77</v>
      </c>
      <c r="N279" s="16">
        <f t="shared" si="108"/>
        <v>21.705129432793896</v>
      </c>
      <c r="O279" s="19">
        <v>0</v>
      </c>
      <c r="P279" s="19">
        <v>0</v>
      </c>
      <c r="Q279" s="19">
        <v>0</v>
      </c>
      <c r="R279" s="26">
        <v>0</v>
      </c>
      <c r="S279" s="26">
        <v>0</v>
      </c>
      <c r="T279" s="26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1</v>
      </c>
      <c r="Z279" s="19">
        <v>1</v>
      </c>
      <c r="AA279" s="19">
        <v>120</v>
      </c>
      <c r="AB279" s="19" t="s">
        <v>349</v>
      </c>
      <c r="AC279" s="19">
        <v>1</v>
      </c>
      <c r="AD279" s="19">
        <v>10</v>
      </c>
      <c r="AE279" s="19">
        <v>0</v>
      </c>
      <c r="AF279" s="19">
        <v>0</v>
      </c>
      <c r="AG279" s="19">
        <v>0</v>
      </c>
      <c r="AH279" s="19">
        <v>0</v>
      </c>
      <c r="AI279" s="19">
        <v>0</v>
      </c>
      <c r="AJ279" s="19">
        <v>0</v>
      </c>
      <c r="AK279" s="19">
        <v>0</v>
      </c>
      <c r="AL279" s="19">
        <v>0</v>
      </c>
      <c r="AM279" s="26">
        <v>0</v>
      </c>
      <c r="AN279" s="19">
        <v>0</v>
      </c>
      <c r="AO279" s="19">
        <v>0</v>
      </c>
      <c r="AP279" s="19">
        <v>0</v>
      </c>
      <c r="AQ279" s="19">
        <v>0</v>
      </c>
      <c r="AR279" s="19">
        <v>0</v>
      </c>
      <c r="AS279" s="19">
        <v>0</v>
      </c>
      <c r="AT279" s="19">
        <v>0</v>
      </c>
      <c r="AU279" s="19">
        <v>0</v>
      </c>
      <c r="AV279" s="19">
        <v>0</v>
      </c>
      <c r="AW279" s="19">
        <v>0</v>
      </c>
      <c r="AX279" s="19">
        <v>0</v>
      </c>
      <c r="AY279" s="19">
        <v>0</v>
      </c>
      <c r="AZ279" s="19">
        <v>0</v>
      </c>
      <c r="BA279" s="19">
        <v>0</v>
      </c>
      <c r="BB279" s="19">
        <v>0</v>
      </c>
      <c r="BC279" s="19">
        <v>0</v>
      </c>
      <c r="BD279" s="19">
        <v>0</v>
      </c>
      <c r="BE279" s="19">
        <v>0</v>
      </c>
      <c r="BF279" s="19">
        <v>0</v>
      </c>
      <c r="BG279" s="19">
        <v>0</v>
      </c>
      <c r="BH279" s="19">
        <v>0</v>
      </c>
      <c r="BI279" s="19">
        <v>0</v>
      </c>
      <c r="BJ279" s="19">
        <v>0</v>
      </c>
      <c r="BK279" s="19">
        <v>0</v>
      </c>
      <c r="BL279" s="19">
        <v>0</v>
      </c>
      <c r="BM279" s="19">
        <v>0</v>
      </c>
      <c r="BN279" s="19">
        <v>0</v>
      </c>
      <c r="BO279" s="19">
        <v>0</v>
      </c>
      <c r="BP279" s="19">
        <v>0</v>
      </c>
      <c r="BQ279" s="19">
        <v>0</v>
      </c>
      <c r="BR279" s="19">
        <v>2</v>
      </c>
      <c r="BS279" s="19"/>
      <c r="BT279" s="19">
        <v>3</v>
      </c>
      <c r="BU279" s="19">
        <v>5</v>
      </c>
      <c r="BV279" s="19">
        <v>2</v>
      </c>
      <c r="BW279" s="19">
        <v>1</v>
      </c>
      <c r="BX279" s="19">
        <v>4</v>
      </c>
      <c r="BY279" s="19">
        <v>3</v>
      </c>
      <c r="BZ279" s="19">
        <v>2</v>
      </c>
      <c r="CA279" s="19">
        <v>2</v>
      </c>
      <c r="CB279" s="19">
        <v>4</v>
      </c>
      <c r="CC279" s="19">
        <v>4</v>
      </c>
      <c r="CD279" s="19">
        <v>4</v>
      </c>
      <c r="CE279" s="19">
        <v>4</v>
      </c>
      <c r="CF279" s="19">
        <v>4</v>
      </c>
      <c r="CG279" s="19">
        <v>5</v>
      </c>
      <c r="CH279" s="19">
        <v>4</v>
      </c>
      <c r="CI279" s="19">
        <v>5</v>
      </c>
      <c r="CJ279" s="19">
        <v>4</v>
      </c>
      <c r="CK279" s="19">
        <v>8</v>
      </c>
      <c r="CL279" t="s">
        <v>833</v>
      </c>
      <c r="CM279">
        <v>31</v>
      </c>
      <c r="CN279" s="16">
        <v>82.6</v>
      </c>
      <c r="CO279" s="16">
        <v>83.4</v>
      </c>
      <c r="CP279" s="16">
        <v>5.7</v>
      </c>
      <c r="CQ279">
        <v>99.97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7.3</v>
      </c>
      <c r="DC279">
        <v>53.74</v>
      </c>
      <c r="DD279">
        <v>0</v>
      </c>
      <c r="DE279">
        <v>0</v>
      </c>
      <c r="DF279">
        <v>0</v>
      </c>
      <c r="DG279">
        <v>17.600000000000001</v>
      </c>
      <c r="DH279">
        <v>1</v>
      </c>
      <c r="DI279">
        <v>4.5999999999999996</v>
      </c>
      <c r="DK279">
        <v>2</v>
      </c>
      <c r="DU279">
        <v>2.4</v>
      </c>
      <c r="DV279">
        <v>0</v>
      </c>
      <c r="EG279" s="18"/>
      <c r="EY279">
        <v>1</v>
      </c>
      <c r="EZ279">
        <v>60</v>
      </c>
      <c r="FA279">
        <f>4+6+1+3+1+3</f>
        <v>18</v>
      </c>
      <c r="FB279">
        <f>0.73+2.2+0.13+0.39+0.78+0.52</f>
        <v>4.75</v>
      </c>
      <c r="FC279">
        <v>3</v>
      </c>
      <c r="FD279">
        <v>50</v>
      </c>
      <c r="FE279">
        <f>14</f>
        <v>14</v>
      </c>
      <c r="FF279">
        <f>4.4+2.94+0.52</f>
        <v>7.8599999999999994</v>
      </c>
      <c r="FG279">
        <v>3</v>
      </c>
      <c r="GJ279" s="16">
        <v>0</v>
      </c>
      <c r="GK279" s="16">
        <v>0</v>
      </c>
      <c r="GL279" s="16"/>
      <c r="GM279" s="16"/>
      <c r="GN279" s="16"/>
      <c r="GO279" s="16"/>
      <c r="GP279" s="16"/>
      <c r="GQ279" s="16"/>
      <c r="GR279" s="16"/>
      <c r="GS279" s="16"/>
      <c r="GT279" s="16"/>
      <c r="GU279" s="16">
        <v>5.21</v>
      </c>
      <c r="GV279" s="16">
        <v>2.59</v>
      </c>
      <c r="GW279" s="16"/>
      <c r="GX279" s="16"/>
      <c r="GY279" s="16">
        <v>0</v>
      </c>
      <c r="GZ279" s="16">
        <v>0</v>
      </c>
      <c r="HA279" s="16">
        <v>0</v>
      </c>
      <c r="HB279">
        <v>0</v>
      </c>
      <c r="HC279" t="s">
        <v>834</v>
      </c>
      <c r="HD279">
        <v>30.5</v>
      </c>
      <c r="HE279" s="16">
        <v>73.400000000000006</v>
      </c>
      <c r="HF279" s="16">
        <v>83.4</v>
      </c>
      <c r="HG279" s="16">
        <v>5.7</v>
      </c>
      <c r="HH279">
        <v>100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7.69</v>
      </c>
      <c r="HT279">
        <v>47.61</v>
      </c>
      <c r="HU279">
        <v>0</v>
      </c>
      <c r="HV279">
        <v>0</v>
      </c>
      <c r="HW279">
        <v>0</v>
      </c>
      <c r="HX279">
        <v>16.399999999999999</v>
      </c>
      <c r="HY279">
        <v>1</v>
      </c>
      <c r="HZ279">
        <v>4.5999999999999996</v>
      </c>
      <c r="IB279">
        <v>2</v>
      </c>
      <c r="IL279">
        <v>1.4</v>
      </c>
      <c r="IM279">
        <v>0</v>
      </c>
      <c r="IX279" s="18"/>
      <c r="JP279">
        <v>1</v>
      </c>
      <c r="JQ279">
        <v>60</v>
      </c>
      <c r="JR279">
        <v>7</v>
      </c>
      <c r="JS279">
        <f>0.73+2.2+0.39</f>
        <v>3.3200000000000003</v>
      </c>
      <c r="JT279">
        <v>3</v>
      </c>
      <c r="JU279">
        <v>50</v>
      </c>
      <c r="JV279">
        <v>10</v>
      </c>
      <c r="JW279">
        <f>4.4+2.94</f>
        <v>7.34</v>
      </c>
      <c r="LA279" s="16">
        <v>0</v>
      </c>
      <c r="LB279" s="16">
        <v>0</v>
      </c>
      <c r="LC279" s="16"/>
      <c r="LD279" s="16"/>
      <c r="LE279" s="16"/>
      <c r="LF279" s="16"/>
      <c r="LG279" s="16"/>
      <c r="LH279" s="16"/>
      <c r="LI279" s="16"/>
      <c r="LJ279" s="16"/>
      <c r="LK279" s="16"/>
      <c r="LL279" s="16">
        <v>6.95</v>
      </c>
      <c r="LM279" s="16">
        <v>10.27</v>
      </c>
      <c r="LN279" s="16"/>
      <c r="LO279" s="16"/>
      <c r="LP279" s="16">
        <v>0</v>
      </c>
      <c r="LQ279" s="16">
        <v>0</v>
      </c>
      <c r="LR279" s="16">
        <v>0</v>
      </c>
      <c r="LS279">
        <v>0</v>
      </c>
      <c r="LT279">
        <v>94</v>
      </c>
      <c r="LU279">
        <v>24.5</v>
      </c>
      <c r="LV279" s="16">
        <v>88.7</v>
      </c>
      <c r="LW279" s="16">
        <v>83.4</v>
      </c>
      <c r="LX279" s="16">
        <v>23.1</v>
      </c>
      <c r="LY279">
        <v>69.95</v>
      </c>
      <c r="LZ279">
        <v>0</v>
      </c>
      <c r="MA279">
        <v>7.16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34.04</v>
      </c>
      <c r="ML279">
        <v>20.5</v>
      </c>
      <c r="MM279">
        <v>0</v>
      </c>
      <c r="MN279">
        <v>22.9</v>
      </c>
      <c r="MO279">
        <v>0</v>
      </c>
      <c r="MP279">
        <v>0</v>
      </c>
      <c r="NC279">
        <v>0</v>
      </c>
      <c r="ND279">
        <v>0</v>
      </c>
      <c r="NO279" s="18"/>
      <c r="OG279">
        <v>0</v>
      </c>
      <c r="PR279" s="16">
        <v>0</v>
      </c>
      <c r="PS279" s="16">
        <v>0</v>
      </c>
      <c r="PT279" s="16"/>
      <c r="PU279" s="16"/>
      <c r="PV279" s="16"/>
      <c r="PW279" s="16"/>
      <c r="PX279" s="16"/>
      <c r="PY279" s="16"/>
      <c r="PZ279" s="16"/>
      <c r="QA279" s="16"/>
      <c r="QB279" s="16"/>
      <c r="QC279" s="16">
        <v>0</v>
      </c>
      <c r="QD279" s="16">
        <v>0</v>
      </c>
      <c r="QE279" s="16"/>
      <c r="QF279" s="16"/>
      <c r="QG279" s="16">
        <v>0</v>
      </c>
      <c r="QH279" s="16">
        <v>0</v>
      </c>
      <c r="QI279" s="16">
        <v>1.44</v>
      </c>
      <c r="QJ279">
        <v>0</v>
      </c>
      <c r="QK279" t="s">
        <v>835</v>
      </c>
      <c r="QL279">
        <v>19</v>
      </c>
      <c r="QM279" s="16">
        <v>73.2</v>
      </c>
      <c r="QN279" s="16">
        <v>83.4</v>
      </c>
      <c r="QO279" s="16">
        <v>11.1</v>
      </c>
      <c r="QP279">
        <v>92.58</v>
      </c>
      <c r="QQ279">
        <v>0</v>
      </c>
      <c r="QR279">
        <v>1.25</v>
      </c>
      <c r="QS279">
        <v>0</v>
      </c>
      <c r="QT279">
        <v>5.34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4.7699999999999996</v>
      </c>
      <c r="RB279">
        <v>22.03</v>
      </c>
      <c r="RC279">
        <v>27.08</v>
      </c>
      <c r="RD279">
        <v>1.58</v>
      </c>
      <c r="RE279">
        <v>0.83</v>
      </c>
      <c r="RF279">
        <v>0</v>
      </c>
      <c r="RG279">
        <v>0</v>
      </c>
      <c r="RT279">
        <v>0.5</v>
      </c>
      <c r="RU279">
        <v>1</v>
      </c>
      <c r="RV279">
        <v>35</v>
      </c>
      <c r="RW279">
        <v>4</v>
      </c>
      <c r="RX279">
        <v>0.1</v>
      </c>
      <c r="RY279">
        <v>3</v>
      </c>
      <c r="SF279" s="18"/>
      <c r="SX279">
        <v>1</v>
      </c>
      <c r="SY279">
        <v>40</v>
      </c>
      <c r="SZ279">
        <v>1</v>
      </c>
      <c r="TA279">
        <v>1.25</v>
      </c>
      <c r="TB279">
        <v>3</v>
      </c>
      <c r="TC279">
        <v>50</v>
      </c>
      <c r="TD279">
        <v>1</v>
      </c>
      <c r="TE279">
        <v>0.05</v>
      </c>
      <c r="TF279">
        <v>3</v>
      </c>
      <c r="TG279">
        <v>60</v>
      </c>
      <c r="TH279">
        <f>18+9</f>
        <v>27</v>
      </c>
      <c r="TI279">
        <f>2.27+1.14</f>
        <v>3.41</v>
      </c>
      <c r="TJ279">
        <v>3</v>
      </c>
      <c r="UI279" s="16">
        <v>3.7</v>
      </c>
      <c r="UJ279" s="16">
        <v>1</v>
      </c>
      <c r="UK279" s="16">
        <v>1</v>
      </c>
      <c r="UL279" s="16"/>
      <c r="UM279" s="16">
        <f>4+0.13+0.01+0.73+1.65+0.02</f>
        <v>6.5399999999999991</v>
      </c>
      <c r="UN279" s="16">
        <v>2</v>
      </c>
      <c r="UO279" s="16"/>
      <c r="UP279" s="16">
        <f>0.18*2</f>
        <v>0.36</v>
      </c>
      <c r="UQ279" s="16"/>
      <c r="UR279" s="16"/>
      <c r="US279" s="16"/>
      <c r="UT279" s="16">
        <v>3.32</v>
      </c>
      <c r="UU279" s="16">
        <v>3.31</v>
      </c>
      <c r="UV279" s="16"/>
      <c r="UW279" s="16"/>
      <c r="UX279" s="16">
        <v>0</v>
      </c>
      <c r="UY279" s="16">
        <v>0</v>
      </c>
      <c r="UZ279" s="16">
        <v>0.22</v>
      </c>
      <c r="VA279">
        <v>0</v>
      </c>
      <c r="VB279" t="s">
        <v>836</v>
      </c>
      <c r="VC279">
        <v>26.5</v>
      </c>
      <c r="VD279" s="16">
        <v>70.7</v>
      </c>
      <c r="VE279" s="16">
        <v>83.4</v>
      </c>
      <c r="VF279" s="16">
        <v>8.8000000000000007</v>
      </c>
      <c r="VG279">
        <v>94.65</v>
      </c>
      <c r="VH279">
        <v>0</v>
      </c>
      <c r="VI279">
        <v>0.21</v>
      </c>
      <c r="VJ279">
        <v>0</v>
      </c>
      <c r="VK279">
        <v>4.3099999999999996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1.21</v>
      </c>
      <c r="VS279">
        <v>19.41</v>
      </c>
      <c r="VT279">
        <v>20.37</v>
      </c>
      <c r="VU279">
        <v>0.21</v>
      </c>
      <c r="VV279">
        <v>0.83</v>
      </c>
      <c r="VW279">
        <v>12.2</v>
      </c>
      <c r="VX279">
        <v>1</v>
      </c>
      <c r="VY279">
        <v>5</v>
      </c>
      <c r="WA279">
        <v>2</v>
      </c>
      <c r="WK279">
        <v>0</v>
      </c>
      <c r="WL279">
        <v>0</v>
      </c>
      <c r="WW279" s="18"/>
      <c r="XO279">
        <v>1</v>
      </c>
      <c r="XP279">
        <v>40</v>
      </c>
      <c r="XQ279">
        <v>1</v>
      </c>
      <c r="XR279">
        <v>0.21</v>
      </c>
      <c r="XS279">
        <v>3</v>
      </c>
      <c r="XT279">
        <v>80</v>
      </c>
      <c r="XU279">
        <v>4</v>
      </c>
      <c r="XV279">
        <v>0.5</v>
      </c>
      <c r="XW279">
        <v>2</v>
      </c>
      <c r="XX279">
        <v>60</v>
      </c>
      <c r="XY279">
        <f>18+9</f>
        <v>27</v>
      </c>
      <c r="XZ279">
        <f>2.27+1.14</f>
        <v>3.41</v>
      </c>
      <c r="YA279">
        <v>2</v>
      </c>
      <c r="YZ279" s="16">
        <v>3.54</v>
      </c>
      <c r="ZA279" s="16">
        <v>1</v>
      </c>
      <c r="ZB279" s="16">
        <v>1</v>
      </c>
      <c r="ZC279" s="16"/>
      <c r="ZD279" s="16">
        <f>4+0.73*2+1.65</f>
        <v>7.1099999999999994</v>
      </c>
      <c r="ZE279" s="16"/>
      <c r="ZF279" s="16"/>
      <c r="ZG279" s="16"/>
      <c r="ZH279" s="16"/>
      <c r="ZI279" s="16"/>
      <c r="ZJ279" s="16"/>
      <c r="ZK279" s="16">
        <v>1.47</v>
      </c>
      <c r="ZL279" s="16">
        <v>1.47</v>
      </c>
      <c r="ZM279" s="16"/>
      <c r="ZN279" s="16"/>
      <c r="ZO279" s="16">
        <v>0</v>
      </c>
      <c r="ZP279" s="16">
        <v>0</v>
      </c>
      <c r="ZQ279" s="16">
        <v>0.22</v>
      </c>
      <c r="ZR279">
        <v>0</v>
      </c>
      <c r="ZS279" t="s">
        <v>841</v>
      </c>
      <c r="ZT279">
        <v>18.5</v>
      </c>
      <c r="ZU279" s="16">
        <v>91.6</v>
      </c>
      <c r="ZV279" s="16">
        <v>83.4</v>
      </c>
      <c r="ZW279" s="16">
        <v>7.5</v>
      </c>
      <c r="ZX279">
        <v>96.33</v>
      </c>
      <c r="ZY279">
        <v>0</v>
      </c>
      <c r="ZZ279">
        <v>0</v>
      </c>
      <c r="AAA279">
        <v>0</v>
      </c>
      <c r="AAB279">
        <v>3.67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3.67</v>
      </c>
      <c r="AAJ279">
        <v>45.98</v>
      </c>
      <c r="AAK279">
        <v>17.899999999999999</v>
      </c>
      <c r="AAL279">
        <v>0</v>
      </c>
      <c r="AAM279">
        <v>0</v>
      </c>
      <c r="AAN279">
        <v>0</v>
      </c>
      <c r="AAO279">
        <v>0</v>
      </c>
      <c r="ABB279">
        <v>0</v>
      </c>
      <c r="ABC279">
        <v>0</v>
      </c>
      <c r="ABN279" s="18"/>
      <c r="ACF279">
        <v>0</v>
      </c>
      <c r="ACJ279">
        <v>1</v>
      </c>
      <c r="ACK279">
        <v>50</v>
      </c>
      <c r="ACL279">
        <v>1</v>
      </c>
      <c r="ACM279">
        <v>0.04</v>
      </c>
      <c r="ACN279">
        <v>3</v>
      </c>
      <c r="ADQ279" s="16">
        <v>1.44</v>
      </c>
      <c r="ADR279" s="16">
        <v>1</v>
      </c>
      <c r="ADS279" s="16">
        <v>1</v>
      </c>
      <c r="ADT279" s="16"/>
      <c r="ADU279" s="16">
        <f>1.65+0.18*2+9.17</f>
        <v>11.18</v>
      </c>
      <c r="ADV279" s="16"/>
      <c r="ADW279" s="16"/>
      <c r="ADX279" s="16"/>
      <c r="ADY279" s="16"/>
      <c r="ADZ279" s="16"/>
      <c r="AEA279" s="16"/>
      <c r="AEB279" s="16">
        <v>5.88</v>
      </c>
      <c r="AEC279" s="16">
        <v>13.5</v>
      </c>
      <c r="AED279" s="16"/>
      <c r="AEE279" s="16"/>
      <c r="AEF279" s="16">
        <v>3.6</v>
      </c>
      <c r="AEG279" s="16">
        <v>1.1000000000000001</v>
      </c>
      <c r="AEH279" s="16">
        <v>0</v>
      </c>
      <c r="AEI279">
        <v>0</v>
      </c>
      <c r="AEJ279" t="s">
        <v>837</v>
      </c>
      <c r="AEK279">
        <v>30.5</v>
      </c>
      <c r="AEL279" s="16">
        <v>92</v>
      </c>
      <c r="AEM279" s="16">
        <v>83.4</v>
      </c>
      <c r="AEN279" s="16">
        <v>5.9</v>
      </c>
      <c r="AEO279">
        <v>98.99</v>
      </c>
      <c r="AEP279">
        <v>1.01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2.66</v>
      </c>
      <c r="AFA279">
        <v>46.99</v>
      </c>
      <c r="AFB279">
        <v>16.89</v>
      </c>
      <c r="AFC279">
        <v>0</v>
      </c>
      <c r="AFD279">
        <v>0</v>
      </c>
      <c r="AFE279">
        <v>0</v>
      </c>
      <c r="AFF279">
        <v>0</v>
      </c>
      <c r="AFS279">
        <v>0</v>
      </c>
      <c r="AFT279">
        <v>0</v>
      </c>
      <c r="AGE279" s="18"/>
      <c r="AGW279">
        <v>0</v>
      </c>
      <c r="AIH279" s="16">
        <v>8</v>
      </c>
      <c r="AII279" s="16">
        <v>1</v>
      </c>
      <c r="AIJ279" s="16">
        <v>1</v>
      </c>
      <c r="AIK279" s="16"/>
      <c r="AIL279" s="16">
        <f>1.65+0.18*2+9.17</f>
        <v>11.18</v>
      </c>
      <c r="AIM279" s="16"/>
      <c r="AIN279" s="16"/>
      <c r="AIO279" s="16"/>
      <c r="AIP279" s="16"/>
      <c r="AIQ279" s="16"/>
      <c r="AIR279" s="16"/>
      <c r="AIS279" s="16">
        <v>6.16</v>
      </c>
      <c r="AIT279" s="16">
        <v>16.16</v>
      </c>
      <c r="AIU279" s="16"/>
      <c r="AIV279" s="16"/>
      <c r="AIW279" s="16">
        <v>10</v>
      </c>
      <c r="AIX279" s="16">
        <v>1.1000000000000001</v>
      </c>
      <c r="AIY279" s="16">
        <v>0</v>
      </c>
      <c r="AIZ279">
        <v>1</v>
      </c>
      <c r="AJA279" t="s">
        <v>838</v>
      </c>
      <c r="AJB279">
        <v>47.5</v>
      </c>
      <c r="AJC279" s="16">
        <v>86.8</v>
      </c>
      <c r="AJD279" s="16">
        <v>83.4</v>
      </c>
      <c r="AJE279" s="16">
        <v>26.7</v>
      </c>
      <c r="AJF279">
        <v>65.11</v>
      </c>
      <c r="AJG279">
        <v>0</v>
      </c>
      <c r="AJH279">
        <v>2.75</v>
      </c>
      <c r="AJI279">
        <v>0</v>
      </c>
      <c r="AJJ279">
        <v>32.14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24.37</v>
      </c>
      <c r="AJS279">
        <v>6.53</v>
      </c>
      <c r="AJT279">
        <v>31.2</v>
      </c>
      <c r="AJU279">
        <v>0</v>
      </c>
      <c r="AJV279">
        <v>13</v>
      </c>
      <c r="AJW279">
        <v>1</v>
      </c>
      <c r="AJX279">
        <v>7</v>
      </c>
      <c r="AJZ279">
        <v>2</v>
      </c>
      <c r="AKJ279">
        <v>0</v>
      </c>
      <c r="AKK279">
        <v>0</v>
      </c>
      <c r="AKV279" s="18"/>
      <c r="ALN279">
        <v>0</v>
      </c>
    </row>
    <row r="280" spans="1:1018" x14ac:dyDescent="0.2">
      <c r="A280" s="1" t="s">
        <v>842</v>
      </c>
      <c r="B280" s="12">
        <v>42888</v>
      </c>
      <c r="C280">
        <v>1</v>
      </c>
      <c r="D280" s="13">
        <v>42790</v>
      </c>
      <c r="E280" s="12">
        <v>33747</v>
      </c>
      <c r="F280" s="14">
        <f t="shared" si="106"/>
        <v>25.026694045174537</v>
      </c>
      <c r="G280" s="14">
        <f t="shared" si="107"/>
        <v>0.26830937713894593</v>
      </c>
      <c r="H280" s="19" t="s">
        <v>306</v>
      </c>
      <c r="I280" s="15" t="s">
        <v>832</v>
      </c>
      <c r="J280" s="15" t="s">
        <v>181</v>
      </c>
      <c r="K280" s="15">
        <v>8</v>
      </c>
      <c r="L280" s="19">
        <v>69</v>
      </c>
      <c r="M280">
        <v>1.63</v>
      </c>
      <c r="N280" s="16">
        <f t="shared" si="108"/>
        <v>25.970115548195267</v>
      </c>
      <c r="O280" s="19">
        <v>0</v>
      </c>
      <c r="P280" s="19">
        <v>0</v>
      </c>
      <c r="Q280" s="19">
        <v>0</v>
      </c>
      <c r="R280" s="26">
        <v>0</v>
      </c>
      <c r="S280" s="26">
        <v>0</v>
      </c>
      <c r="T280" s="26">
        <v>0</v>
      </c>
      <c r="U280" s="19">
        <v>0</v>
      </c>
      <c r="V280" s="19">
        <v>0</v>
      </c>
      <c r="W280" s="19">
        <v>0</v>
      </c>
      <c r="X280" s="19"/>
      <c r="Y280" s="19">
        <v>0</v>
      </c>
      <c r="Z280" s="19">
        <v>0</v>
      </c>
      <c r="AA280" s="19">
        <v>0</v>
      </c>
      <c r="AB280" s="19">
        <v>0</v>
      </c>
      <c r="AC280" s="19">
        <v>1</v>
      </c>
      <c r="AD280" s="19">
        <v>7</v>
      </c>
      <c r="AE280" s="19">
        <v>0</v>
      </c>
      <c r="AF280" s="19">
        <v>0</v>
      </c>
      <c r="AG280" s="19">
        <v>0</v>
      </c>
      <c r="AH280" s="19">
        <v>0</v>
      </c>
      <c r="AI280" s="19">
        <v>0</v>
      </c>
      <c r="AJ280" s="19">
        <v>0</v>
      </c>
      <c r="AK280" s="19">
        <v>0</v>
      </c>
      <c r="AL280" s="19">
        <v>0</v>
      </c>
      <c r="AM280" s="26">
        <v>0</v>
      </c>
      <c r="AN280" s="19">
        <v>0</v>
      </c>
      <c r="AO280" s="19">
        <v>0</v>
      </c>
      <c r="AP280" s="19">
        <v>0</v>
      </c>
      <c r="AQ280" s="19">
        <v>0</v>
      </c>
      <c r="AR280" s="19">
        <v>0</v>
      </c>
      <c r="AS280" s="19">
        <v>0</v>
      </c>
      <c r="AT280" s="19">
        <v>0</v>
      </c>
      <c r="AU280" s="19">
        <v>0</v>
      </c>
      <c r="AV280" s="19">
        <v>0</v>
      </c>
      <c r="AW280" s="19">
        <v>0</v>
      </c>
      <c r="AX280" s="19">
        <v>0</v>
      </c>
      <c r="AY280" s="19">
        <v>0</v>
      </c>
      <c r="AZ280" s="19">
        <v>0</v>
      </c>
      <c r="BA280" s="19">
        <v>0</v>
      </c>
      <c r="BB280" s="19">
        <v>1</v>
      </c>
      <c r="BC280" s="19">
        <v>0</v>
      </c>
      <c r="BD280" s="19">
        <v>0</v>
      </c>
      <c r="BE280" s="19">
        <v>0</v>
      </c>
      <c r="BF280" s="19">
        <v>0</v>
      </c>
      <c r="BG280" s="19">
        <v>0</v>
      </c>
      <c r="BH280" s="19">
        <v>0</v>
      </c>
      <c r="BI280" s="19">
        <v>0</v>
      </c>
      <c r="BJ280" s="19">
        <v>1</v>
      </c>
      <c r="BK280" s="19">
        <v>0</v>
      </c>
      <c r="BL280" s="19">
        <v>0</v>
      </c>
      <c r="BM280" s="19">
        <v>0</v>
      </c>
      <c r="BN280" s="19">
        <v>0</v>
      </c>
      <c r="BO280" s="19">
        <v>0</v>
      </c>
      <c r="BP280" s="19">
        <v>0</v>
      </c>
      <c r="BQ280" s="19">
        <v>0</v>
      </c>
      <c r="BR280" s="19">
        <v>1</v>
      </c>
      <c r="BS280" s="19">
        <v>2</v>
      </c>
      <c r="BT280" s="19">
        <v>3</v>
      </c>
      <c r="BU280" s="19">
        <v>5</v>
      </c>
      <c r="BV280" s="19">
        <v>3</v>
      </c>
      <c r="BW280" s="19">
        <v>3</v>
      </c>
      <c r="BX280" s="19">
        <v>3</v>
      </c>
      <c r="BY280" s="19">
        <v>4</v>
      </c>
      <c r="BZ280" s="19">
        <v>5</v>
      </c>
      <c r="CA280" s="19">
        <v>5</v>
      </c>
      <c r="CB280" s="19">
        <v>5</v>
      </c>
      <c r="CC280" s="19">
        <v>5</v>
      </c>
      <c r="CD280" s="19">
        <v>5</v>
      </c>
      <c r="CE280" s="19">
        <v>5</v>
      </c>
      <c r="CF280" s="19">
        <v>5</v>
      </c>
      <c r="CG280" s="19">
        <v>5</v>
      </c>
      <c r="CH280" s="19">
        <v>5</v>
      </c>
      <c r="CI280" s="19">
        <v>5</v>
      </c>
      <c r="CJ280" s="19">
        <v>4</v>
      </c>
      <c r="CK280" s="19">
        <v>8</v>
      </c>
      <c r="CL280" t="s">
        <v>833</v>
      </c>
      <c r="CM280">
        <v>31</v>
      </c>
      <c r="CN280" s="16">
        <v>82.6</v>
      </c>
      <c r="CO280" s="16">
        <v>83.4</v>
      </c>
      <c r="CP280" s="16">
        <v>5.7</v>
      </c>
      <c r="CQ280">
        <v>99.97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7.3</v>
      </c>
      <c r="DC280">
        <v>53.74</v>
      </c>
      <c r="DD280">
        <v>0</v>
      </c>
      <c r="DE280">
        <v>0</v>
      </c>
      <c r="DF280">
        <v>0</v>
      </c>
      <c r="DG280">
        <v>17.600000000000001</v>
      </c>
      <c r="DH280">
        <v>1</v>
      </c>
      <c r="DI280">
        <v>4.5999999999999996</v>
      </c>
      <c r="DK280">
        <v>2</v>
      </c>
      <c r="DU280">
        <v>2.4</v>
      </c>
      <c r="DV280">
        <v>0</v>
      </c>
      <c r="EG280" s="18"/>
      <c r="EY280">
        <v>1</v>
      </c>
      <c r="EZ280">
        <v>60</v>
      </c>
      <c r="FA280">
        <f>4+6+1+3+1+3</f>
        <v>18</v>
      </c>
      <c r="FB280">
        <f>0.73+2.2+0.13+0.39+0.78+0.52</f>
        <v>4.75</v>
      </c>
      <c r="FC280">
        <v>3</v>
      </c>
      <c r="FD280">
        <v>50</v>
      </c>
      <c r="FE280">
        <f>14</f>
        <v>14</v>
      </c>
      <c r="FF280">
        <f>4.4+2.94+0.52</f>
        <v>7.8599999999999994</v>
      </c>
      <c r="FG280">
        <v>3</v>
      </c>
      <c r="GJ280" s="16">
        <v>0</v>
      </c>
      <c r="GK280" s="16">
        <v>0</v>
      </c>
      <c r="GL280" s="16"/>
      <c r="GM280" s="16"/>
      <c r="GN280" s="16"/>
      <c r="GO280" s="16"/>
      <c r="GP280" s="16"/>
      <c r="GQ280" s="16"/>
      <c r="GR280" s="16"/>
      <c r="GS280" s="16"/>
      <c r="GT280" s="16"/>
      <c r="GU280" s="16">
        <v>5.21</v>
      </c>
      <c r="GV280" s="16">
        <v>2.59</v>
      </c>
      <c r="GW280" s="16"/>
      <c r="GX280" s="16"/>
      <c r="GY280" s="16">
        <v>0</v>
      </c>
      <c r="GZ280" s="16">
        <v>0</v>
      </c>
      <c r="HA280" s="16">
        <v>0</v>
      </c>
      <c r="HB280">
        <v>0</v>
      </c>
      <c r="HC280" t="s">
        <v>834</v>
      </c>
      <c r="HD280">
        <v>30.5</v>
      </c>
      <c r="HE280" s="16">
        <v>73.400000000000006</v>
      </c>
      <c r="HF280" s="16">
        <v>83.4</v>
      </c>
      <c r="HG280" s="16">
        <v>5.7</v>
      </c>
      <c r="HH280">
        <v>100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7.69</v>
      </c>
      <c r="HT280">
        <v>47.61</v>
      </c>
      <c r="HU280">
        <v>0</v>
      </c>
      <c r="HV280">
        <v>0</v>
      </c>
      <c r="HW280">
        <v>0</v>
      </c>
      <c r="HX280">
        <v>16.399999999999999</v>
      </c>
      <c r="HY280">
        <v>1</v>
      </c>
      <c r="HZ280">
        <v>4.5999999999999996</v>
      </c>
      <c r="IB280">
        <v>2</v>
      </c>
      <c r="IL280">
        <v>1.4</v>
      </c>
      <c r="IM280">
        <v>0</v>
      </c>
      <c r="IX280" s="18"/>
      <c r="JP280">
        <v>1</v>
      </c>
      <c r="JQ280">
        <v>60</v>
      </c>
      <c r="JR280">
        <v>7</v>
      </c>
      <c r="JS280">
        <f>0.73+2.2+0.39</f>
        <v>3.3200000000000003</v>
      </c>
      <c r="JT280">
        <v>3</v>
      </c>
      <c r="JU280">
        <v>50</v>
      </c>
      <c r="JV280">
        <v>10</v>
      </c>
      <c r="JW280">
        <f>4.4+2.94</f>
        <v>7.34</v>
      </c>
      <c r="LA280" s="16">
        <v>0</v>
      </c>
      <c r="LB280" s="16">
        <v>0</v>
      </c>
      <c r="LC280" s="16"/>
      <c r="LD280" s="16"/>
      <c r="LE280" s="16"/>
      <c r="LF280" s="16"/>
      <c r="LG280" s="16"/>
      <c r="LH280" s="16"/>
      <c r="LI280" s="16"/>
      <c r="LJ280" s="16"/>
      <c r="LK280" s="16"/>
      <c r="LL280" s="16">
        <v>6.95</v>
      </c>
      <c r="LM280" s="16">
        <v>10.27</v>
      </c>
      <c r="LN280" s="16"/>
      <c r="LO280" s="16"/>
      <c r="LP280" s="16">
        <v>0</v>
      </c>
      <c r="LQ280" s="16">
        <v>0</v>
      </c>
      <c r="LR280" s="16">
        <v>0</v>
      </c>
      <c r="LS280">
        <v>0</v>
      </c>
      <c r="LT280">
        <v>94</v>
      </c>
      <c r="LU280">
        <v>24.5</v>
      </c>
      <c r="LV280" s="16">
        <v>88.7</v>
      </c>
      <c r="LW280" s="16">
        <v>83.4</v>
      </c>
      <c r="LX280" s="16">
        <v>23.1</v>
      </c>
      <c r="LY280">
        <v>69.95</v>
      </c>
      <c r="LZ280">
        <v>0</v>
      </c>
      <c r="MA280">
        <v>7.16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34.04</v>
      </c>
      <c r="ML280">
        <v>20.5</v>
      </c>
      <c r="MM280">
        <v>0</v>
      </c>
      <c r="MN280">
        <v>22.9</v>
      </c>
      <c r="MO280">
        <v>0</v>
      </c>
      <c r="MP280">
        <v>0</v>
      </c>
      <c r="NC280">
        <v>0</v>
      </c>
      <c r="ND280">
        <v>0</v>
      </c>
      <c r="NO280" s="18"/>
      <c r="OG280">
        <v>0</v>
      </c>
      <c r="PR280" s="16">
        <v>0</v>
      </c>
      <c r="PS280" s="16">
        <v>0</v>
      </c>
      <c r="PT280" s="16"/>
      <c r="PU280" s="16"/>
      <c r="PV280" s="16"/>
      <c r="PW280" s="16"/>
      <c r="PX280" s="16"/>
      <c r="PY280" s="16"/>
      <c r="PZ280" s="16"/>
      <c r="QA280" s="16"/>
      <c r="QB280" s="16"/>
      <c r="QC280" s="16">
        <v>0</v>
      </c>
      <c r="QD280" s="16">
        <v>0</v>
      </c>
      <c r="QE280" s="16"/>
      <c r="QF280" s="16"/>
      <c r="QG280" s="16">
        <v>0</v>
      </c>
      <c r="QH280" s="16">
        <v>0</v>
      </c>
      <c r="QI280" s="16">
        <v>1.44</v>
      </c>
      <c r="QJ280">
        <v>0</v>
      </c>
      <c r="QK280" t="s">
        <v>836</v>
      </c>
      <c r="QL280">
        <v>26.5</v>
      </c>
      <c r="QM280" s="16">
        <v>70.7</v>
      </c>
      <c r="QN280" s="16">
        <v>83.4</v>
      </c>
      <c r="QO280" s="16">
        <v>8.8000000000000007</v>
      </c>
      <c r="QP280">
        <v>94.65</v>
      </c>
      <c r="QQ280">
        <v>0</v>
      </c>
      <c r="QR280">
        <v>0.21</v>
      </c>
      <c r="QS280">
        <v>0</v>
      </c>
      <c r="QT280">
        <v>4.3099999999999996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1.21</v>
      </c>
      <c r="RB280">
        <v>19.41</v>
      </c>
      <c r="RC280">
        <v>20.37</v>
      </c>
      <c r="RD280">
        <v>0.21</v>
      </c>
      <c r="RE280">
        <v>0.83</v>
      </c>
      <c r="RF280">
        <v>12.2</v>
      </c>
      <c r="RG280">
        <v>1</v>
      </c>
      <c r="RH280">
        <v>5</v>
      </c>
      <c r="RJ280">
        <v>2</v>
      </c>
      <c r="RT280">
        <v>0</v>
      </c>
      <c r="RU280">
        <v>0</v>
      </c>
      <c r="SF280" s="18"/>
      <c r="SX280">
        <v>1</v>
      </c>
      <c r="SY280">
        <v>40</v>
      </c>
      <c r="SZ280">
        <v>1</v>
      </c>
      <c r="TA280">
        <v>0.21</v>
      </c>
      <c r="TB280">
        <v>3</v>
      </c>
      <c r="TC280">
        <v>80</v>
      </c>
      <c r="TD280">
        <v>4</v>
      </c>
      <c r="TE280">
        <v>0.5</v>
      </c>
      <c r="TF280">
        <v>2</v>
      </c>
      <c r="TG280">
        <v>60</v>
      </c>
      <c r="TH280">
        <f>18+9</f>
        <v>27</v>
      </c>
      <c r="TI280">
        <f>2.27+1.14</f>
        <v>3.41</v>
      </c>
      <c r="TJ280">
        <v>2</v>
      </c>
      <c r="UI280" s="16">
        <v>3.54</v>
      </c>
      <c r="UJ280" s="16">
        <v>1</v>
      </c>
      <c r="UK280" s="16">
        <v>1</v>
      </c>
      <c r="UL280" s="16"/>
      <c r="UM280" s="16">
        <f>4+0.73*2+1.65</f>
        <v>7.1099999999999994</v>
      </c>
      <c r="UN280" s="16"/>
      <c r="UO280" s="16"/>
      <c r="UP280" s="16"/>
      <c r="UQ280" s="16"/>
      <c r="UR280" s="16"/>
      <c r="US280" s="16"/>
      <c r="UT280" s="16">
        <v>1.47</v>
      </c>
      <c r="UU280" s="16">
        <v>1.47</v>
      </c>
      <c r="UV280" s="16"/>
      <c r="UW280" s="16"/>
      <c r="UX280" s="16">
        <v>0</v>
      </c>
      <c r="UY280" s="16">
        <v>0</v>
      </c>
      <c r="UZ280" s="16">
        <v>0.22</v>
      </c>
      <c r="VA280">
        <v>0</v>
      </c>
      <c r="VB280" t="s">
        <v>841</v>
      </c>
      <c r="VC280">
        <v>18.5</v>
      </c>
      <c r="VD280" s="16">
        <v>91.6</v>
      </c>
      <c r="VE280" s="16">
        <v>83.4</v>
      </c>
      <c r="VF280" s="16">
        <v>7.5</v>
      </c>
      <c r="VG280">
        <v>96.33</v>
      </c>
      <c r="VH280">
        <v>0</v>
      </c>
      <c r="VI280">
        <v>0</v>
      </c>
      <c r="VJ280">
        <v>0</v>
      </c>
      <c r="VK280">
        <v>3.67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3.67</v>
      </c>
      <c r="VS280">
        <v>45.98</v>
      </c>
      <c r="VT280">
        <v>17.899999999999999</v>
      </c>
      <c r="VU280">
        <v>0</v>
      </c>
      <c r="VV280">
        <v>0</v>
      </c>
      <c r="VW280">
        <v>0</v>
      </c>
      <c r="VX280">
        <v>0</v>
      </c>
      <c r="WK280">
        <v>0</v>
      </c>
      <c r="WL280">
        <v>0</v>
      </c>
      <c r="WW280" s="18"/>
      <c r="XO280">
        <v>0</v>
      </c>
      <c r="XS280">
        <v>1</v>
      </c>
      <c r="XT280">
        <v>50</v>
      </c>
      <c r="XU280">
        <v>1</v>
      </c>
      <c r="XV280">
        <v>0.04</v>
      </c>
      <c r="XW280">
        <v>3</v>
      </c>
      <c r="YZ280" s="16">
        <v>1.44</v>
      </c>
      <c r="ZA280" s="16">
        <v>1</v>
      </c>
      <c r="ZB280" s="16">
        <v>1</v>
      </c>
      <c r="ZC280" s="16"/>
      <c r="ZD280" s="16">
        <f>1.65+0.18*2+9.17</f>
        <v>11.18</v>
      </c>
      <c r="ZE280" s="16"/>
      <c r="ZF280" s="16"/>
      <c r="ZG280" s="16"/>
      <c r="ZH280" s="16"/>
      <c r="ZI280" s="16"/>
      <c r="ZJ280" s="16"/>
      <c r="ZK280" s="16">
        <v>5.88</v>
      </c>
      <c r="ZL280" s="16">
        <v>13.5</v>
      </c>
      <c r="ZM280" s="16"/>
      <c r="ZN280" s="16"/>
      <c r="ZO280" s="16">
        <v>3.6</v>
      </c>
      <c r="ZP280" s="16">
        <v>1.1000000000000001</v>
      </c>
      <c r="ZQ280" s="16">
        <v>0</v>
      </c>
      <c r="ZR280">
        <v>0</v>
      </c>
      <c r="ZS280" t="s">
        <v>837</v>
      </c>
      <c r="ZT280">
        <v>30.5</v>
      </c>
      <c r="ZU280" s="16">
        <v>92</v>
      </c>
      <c r="ZV280" s="16">
        <v>83.4</v>
      </c>
      <c r="ZW280" s="16">
        <v>5.9</v>
      </c>
      <c r="ZX280">
        <v>98.99</v>
      </c>
      <c r="ZY280">
        <v>1.01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2.66</v>
      </c>
      <c r="AAJ280">
        <v>46.99</v>
      </c>
      <c r="AAK280">
        <v>16.89</v>
      </c>
      <c r="AAL280">
        <v>0</v>
      </c>
      <c r="AAM280">
        <v>0</v>
      </c>
      <c r="AAN280">
        <v>0</v>
      </c>
      <c r="AAO280">
        <v>0</v>
      </c>
      <c r="ABB280">
        <v>0</v>
      </c>
      <c r="ABC280">
        <v>0</v>
      </c>
      <c r="ABN280" s="18"/>
      <c r="ACF280">
        <v>0</v>
      </c>
      <c r="ADQ280" s="16">
        <v>8</v>
      </c>
      <c r="ADR280" s="16">
        <v>1</v>
      </c>
      <c r="ADS280" s="16">
        <v>1</v>
      </c>
      <c r="ADT280" s="16"/>
      <c r="ADU280" s="16">
        <f>1.65+0.18*2+9.17</f>
        <v>11.18</v>
      </c>
      <c r="ADV280" s="16"/>
      <c r="ADW280" s="16"/>
      <c r="ADX280" s="16"/>
      <c r="ADY280" s="16"/>
      <c r="ADZ280" s="16"/>
      <c r="AEA280" s="16"/>
      <c r="AEB280" s="16">
        <v>6.16</v>
      </c>
      <c r="AEC280" s="16">
        <v>16.16</v>
      </c>
      <c r="AED280" s="16"/>
      <c r="AEE280" s="16"/>
      <c r="AEF280" s="16">
        <v>10</v>
      </c>
      <c r="AEG280" s="16">
        <v>1.1000000000000001</v>
      </c>
      <c r="AEH280" s="16">
        <v>0</v>
      </c>
      <c r="AEI280">
        <v>1</v>
      </c>
      <c r="AEJ280" t="s">
        <v>838</v>
      </c>
      <c r="AEK280">
        <v>47.5</v>
      </c>
      <c r="AEL280" s="16">
        <v>86.8</v>
      </c>
      <c r="AEM280" s="16">
        <v>83.4</v>
      </c>
      <c r="AEN280" s="16">
        <v>26.7</v>
      </c>
      <c r="AEO280">
        <v>65.11</v>
      </c>
      <c r="AEP280">
        <v>0</v>
      </c>
      <c r="AEQ280">
        <v>2.75</v>
      </c>
      <c r="AER280">
        <v>0</v>
      </c>
      <c r="AES280">
        <v>32.14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24.37</v>
      </c>
      <c r="AFB280">
        <v>6.53</v>
      </c>
      <c r="AFC280">
        <v>31.2</v>
      </c>
      <c r="AFD280">
        <v>0</v>
      </c>
      <c r="AFE280">
        <v>13</v>
      </c>
      <c r="AFF280">
        <v>1</v>
      </c>
      <c r="AFG280">
        <v>7</v>
      </c>
      <c r="AFI280">
        <v>2</v>
      </c>
      <c r="AFS280">
        <v>0</v>
      </c>
      <c r="AFT280">
        <v>0</v>
      </c>
      <c r="AGE280" s="18"/>
      <c r="AGW280">
        <v>0</v>
      </c>
      <c r="AIH280" s="16">
        <v>2.27</v>
      </c>
      <c r="AII280" s="16">
        <v>1</v>
      </c>
      <c r="AIJ280" s="16">
        <v>1</v>
      </c>
      <c r="AIK280" s="16"/>
      <c r="AIL280" s="16">
        <f>3.3*3+0.36*4</f>
        <v>11.339999999999998</v>
      </c>
      <c r="AIM280" s="16"/>
      <c r="AIN280" s="16"/>
      <c r="AIO280" s="16"/>
      <c r="AIP280" s="16"/>
      <c r="AIQ280" s="16"/>
      <c r="AIR280" s="16"/>
      <c r="AIS280" s="16">
        <v>5.24</v>
      </c>
      <c r="AIT280" s="16">
        <v>7.31</v>
      </c>
      <c r="AIU280" s="16"/>
      <c r="AIV280" s="16"/>
      <c r="AIW280" s="16">
        <v>0</v>
      </c>
      <c r="AIX280" s="16">
        <v>0</v>
      </c>
      <c r="AIY280" s="16">
        <v>0</v>
      </c>
      <c r="AIZ280">
        <v>0</v>
      </c>
      <c r="AJA280" t="s">
        <v>839</v>
      </c>
      <c r="AJB280">
        <v>48</v>
      </c>
      <c r="AJC280" s="16">
        <v>84.6</v>
      </c>
      <c r="AJD280" s="16">
        <v>83.4</v>
      </c>
      <c r="AJE280" s="16">
        <v>5.9</v>
      </c>
      <c r="AJF280">
        <v>36.31</v>
      </c>
      <c r="AJG280">
        <v>0</v>
      </c>
      <c r="AJH280">
        <v>0</v>
      </c>
      <c r="AJI280">
        <v>0</v>
      </c>
      <c r="AJJ280">
        <v>63.69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2.5299999999999998</v>
      </c>
      <c r="AJR280">
        <v>8.33</v>
      </c>
      <c r="AJS280">
        <v>27.3</v>
      </c>
      <c r="AJT280">
        <v>39.369999999999997</v>
      </c>
      <c r="AJU280">
        <v>0</v>
      </c>
      <c r="AJV280">
        <v>0</v>
      </c>
      <c r="AJW280">
        <v>0</v>
      </c>
      <c r="AKJ280">
        <v>0</v>
      </c>
      <c r="AKK280">
        <v>0</v>
      </c>
      <c r="AKV280" s="18"/>
      <c r="ALN280">
        <v>0</v>
      </c>
    </row>
    <row r="281" spans="1:1018" x14ac:dyDescent="0.2">
      <c r="A281" s="1" t="s">
        <v>843</v>
      </c>
      <c r="B281" s="12">
        <v>42909</v>
      </c>
      <c r="C281">
        <v>2</v>
      </c>
      <c r="D281" s="13">
        <v>42828</v>
      </c>
      <c r="E281" s="12">
        <v>34743</v>
      </c>
      <c r="F281" s="14">
        <f t="shared" si="106"/>
        <v>22.357289527720738</v>
      </c>
      <c r="G281" s="14">
        <f t="shared" si="107"/>
        <v>0.22176591375770022</v>
      </c>
      <c r="H281" s="19" t="s">
        <v>306</v>
      </c>
      <c r="I281" s="15" t="s">
        <v>832</v>
      </c>
      <c r="J281" s="15" t="s">
        <v>181</v>
      </c>
      <c r="K281" s="15">
        <v>4</v>
      </c>
      <c r="L281" s="19">
        <v>70</v>
      </c>
      <c r="M281">
        <v>1.67</v>
      </c>
      <c r="N281" s="16">
        <f t="shared" si="108"/>
        <v>25.099501595611173</v>
      </c>
      <c r="O281" s="19">
        <v>0</v>
      </c>
      <c r="P281" s="19">
        <v>0</v>
      </c>
      <c r="Q281" s="19">
        <v>0</v>
      </c>
      <c r="R281" s="26">
        <v>0</v>
      </c>
      <c r="S281" s="26">
        <v>0</v>
      </c>
      <c r="T281" s="26">
        <v>0</v>
      </c>
      <c r="U281" s="19">
        <v>1</v>
      </c>
      <c r="V281" s="14">
        <v>3.5</v>
      </c>
      <c r="W281" s="19">
        <v>0</v>
      </c>
      <c r="X281" s="19">
        <v>0</v>
      </c>
      <c r="Y281" s="19">
        <v>1</v>
      </c>
      <c r="Z281" s="19">
        <v>2</v>
      </c>
      <c r="AA281" s="19">
        <v>180</v>
      </c>
      <c r="AB281" s="19" t="s">
        <v>844</v>
      </c>
      <c r="AC281" s="19">
        <v>1</v>
      </c>
      <c r="AD281" s="19">
        <v>10</v>
      </c>
      <c r="AE281" s="19">
        <v>0</v>
      </c>
      <c r="AF281" s="19">
        <v>0</v>
      </c>
      <c r="AG281" s="19">
        <v>0</v>
      </c>
      <c r="AH281" s="19">
        <v>0</v>
      </c>
      <c r="AI281" s="19">
        <v>0</v>
      </c>
      <c r="AJ281" s="19">
        <v>0</v>
      </c>
      <c r="AK281" s="19">
        <v>0</v>
      </c>
      <c r="AL281" s="19">
        <v>0</v>
      </c>
      <c r="AM281" s="26">
        <v>0</v>
      </c>
      <c r="AN281" s="19">
        <v>0</v>
      </c>
      <c r="AO281" s="19">
        <v>0</v>
      </c>
      <c r="AP281" s="19">
        <v>0</v>
      </c>
      <c r="AQ281" s="19">
        <v>0</v>
      </c>
      <c r="AR281" s="19">
        <v>0</v>
      </c>
      <c r="AS281" s="19">
        <v>0</v>
      </c>
      <c r="AT281" s="19">
        <v>0</v>
      </c>
      <c r="AU281" s="19">
        <v>0</v>
      </c>
      <c r="AV281" s="19">
        <v>0</v>
      </c>
      <c r="AW281" s="19">
        <v>0</v>
      </c>
      <c r="AX281" s="19">
        <v>0</v>
      </c>
      <c r="AY281" s="19">
        <v>0</v>
      </c>
      <c r="AZ281" s="19">
        <v>0</v>
      </c>
      <c r="BA281" s="19">
        <v>0</v>
      </c>
      <c r="BB281" s="19">
        <v>0</v>
      </c>
      <c r="BC281" s="19">
        <v>0</v>
      </c>
      <c r="BD281" s="19">
        <v>0</v>
      </c>
      <c r="BE281" s="19">
        <v>0</v>
      </c>
      <c r="BF281" s="19">
        <v>0</v>
      </c>
      <c r="BG281" s="19">
        <v>0</v>
      </c>
      <c r="BH281" s="19">
        <v>0</v>
      </c>
      <c r="BI281" s="19">
        <v>0</v>
      </c>
      <c r="BJ281" s="19">
        <v>0</v>
      </c>
      <c r="BK281" s="19">
        <v>0</v>
      </c>
      <c r="BL281" s="19">
        <v>0</v>
      </c>
      <c r="BM281" s="19">
        <v>0</v>
      </c>
      <c r="BN281" s="19">
        <v>0</v>
      </c>
      <c r="BO281" s="19">
        <v>0</v>
      </c>
      <c r="BP281" s="19">
        <v>0</v>
      </c>
      <c r="BQ281" s="19">
        <v>0</v>
      </c>
      <c r="BR281" s="19">
        <v>1</v>
      </c>
      <c r="BS281" s="19">
        <v>1</v>
      </c>
      <c r="BT281" s="19">
        <v>2</v>
      </c>
      <c r="BU281" s="19">
        <v>3</v>
      </c>
      <c r="BV281" s="19">
        <v>2</v>
      </c>
      <c r="BW281" s="19">
        <v>1</v>
      </c>
      <c r="BX281" s="19">
        <v>2</v>
      </c>
      <c r="BY281" s="19">
        <v>4</v>
      </c>
      <c r="BZ281" s="19">
        <v>4</v>
      </c>
      <c r="CA281" s="19">
        <v>5</v>
      </c>
      <c r="CB281" s="19">
        <v>5</v>
      </c>
      <c r="CC281" s="19">
        <v>5</v>
      </c>
      <c r="CD281" s="19">
        <v>5</v>
      </c>
      <c r="CE281" s="19">
        <v>5</v>
      </c>
      <c r="CF281" s="19">
        <v>5</v>
      </c>
      <c r="CG281" s="19">
        <v>5</v>
      </c>
      <c r="CH281" s="19">
        <v>5</v>
      </c>
      <c r="CI281" s="19">
        <v>5</v>
      </c>
      <c r="CJ281" s="19">
        <v>5</v>
      </c>
      <c r="CK281" s="19">
        <v>10</v>
      </c>
      <c r="CL281" t="s">
        <v>833</v>
      </c>
      <c r="CM281">
        <v>31</v>
      </c>
      <c r="CN281" s="16">
        <v>82.6</v>
      </c>
      <c r="CO281" s="16">
        <v>83.4</v>
      </c>
      <c r="CP281" s="16">
        <v>5.7</v>
      </c>
      <c r="CQ281">
        <v>99.97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7.3</v>
      </c>
      <c r="DC281">
        <v>53.74</v>
      </c>
      <c r="DD281">
        <v>0</v>
      </c>
      <c r="DE281">
        <v>0</v>
      </c>
      <c r="DF281">
        <v>0</v>
      </c>
      <c r="DG281">
        <v>17.600000000000001</v>
      </c>
      <c r="DH281">
        <v>1</v>
      </c>
      <c r="DI281">
        <v>4.5999999999999996</v>
      </c>
      <c r="DK281">
        <v>2</v>
      </c>
      <c r="DU281">
        <v>2.4</v>
      </c>
      <c r="DV281">
        <v>0</v>
      </c>
      <c r="EG281" s="18"/>
      <c r="EY281">
        <v>1</v>
      </c>
      <c r="EZ281">
        <v>60</v>
      </c>
      <c r="FA281">
        <f>4+6+1+3+1+3</f>
        <v>18</v>
      </c>
      <c r="FB281">
        <f>0.73+2.2+0.13+0.39+0.78+0.52</f>
        <v>4.75</v>
      </c>
      <c r="FC281">
        <v>3</v>
      </c>
      <c r="FD281">
        <v>50</v>
      </c>
      <c r="FE281">
        <f>14</f>
        <v>14</v>
      </c>
      <c r="FF281">
        <f>4.4+2.94+0.52</f>
        <v>7.8599999999999994</v>
      </c>
      <c r="FG281">
        <v>3</v>
      </c>
      <c r="GJ281" s="16">
        <v>0</v>
      </c>
      <c r="GK281" s="16">
        <v>0</v>
      </c>
      <c r="GL281" s="16"/>
      <c r="GM281" s="16"/>
      <c r="GN281" s="16"/>
      <c r="GO281" s="16"/>
      <c r="GP281" s="16"/>
      <c r="GQ281" s="16"/>
      <c r="GR281" s="16"/>
      <c r="GS281" s="16"/>
      <c r="GT281" s="16"/>
      <c r="GU281" s="16">
        <v>5.21</v>
      </c>
      <c r="GV281" s="16">
        <v>2.59</v>
      </c>
      <c r="GW281" s="16"/>
      <c r="GX281" s="16"/>
      <c r="GY281" s="16">
        <v>0</v>
      </c>
      <c r="GZ281" s="16">
        <v>0</v>
      </c>
      <c r="HA281" s="16">
        <v>0</v>
      </c>
      <c r="HB281">
        <v>0</v>
      </c>
      <c r="HC281" t="s">
        <v>834</v>
      </c>
      <c r="HD281">
        <v>30.5</v>
      </c>
      <c r="HE281" s="16">
        <v>73.400000000000006</v>
      </c>
      <c r="HF281" s="16">
        <v>83.4</v>
      </c>
      <c r="HG281" s="16">
        <v>5.7</v>
      </c>
      <c r="HH281">
        <v>100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7.69</v>
      </c>
      <c r="HT281">
        <v>47.61</v>
      </c>
      <c r="HU281">
        <v>0</v>
      </c>
      <c r="HV281">
        <v>0</v>
      </c>
      <c r="HW281">
        <v>0</v>
      </c>
      <c r="HX281">
        <v>16.399999999999999</v>
      </c>
      <c r="HY281">
        <v>1</v>
      </c>
      <c r="HZ281">
        <v>4.5999999999999996</v>
      </c>
      <c r="IB281">
        <v>2</v>
      </c>
      <c r="IL281">
        <v>1.4</v>
      </c>
      <c r="IM281">
        <v>0</v>
      </c>
      <c r="IX281" s="18"/>
      <c r="JP281">
        <v>1</v>
      </c>
      <c r="JQ281">
        <v>60</v>
      </c>
      <c r="JR281">
        <v>7</v>
      </c>
      <c r="JS281">
        <f>0.73+2.2+0.39</f>
        <v>3.3200000000000003</v>
      </c>
      <c r="JT281">
        <v>3</v>
      </c>
      <c r="JU281">
        <v>50</v>
      </c>
      <c r="JV281">
        <v>10</v>
      </c>
      <c r="JW281">
        <f>4.4+2.94</f>
        <v>7.34</v>
      </c>
      <c r="LA281" s="16">
        <v>0</v>
      </c>
      <c r="LB281" s="16">
        <v>0</v>
      </c>
      <c r="LC281" s="16"/>
      <c r="LD281" s="16"/>
      <c r="LE281" s="16"/>
      <c r="LF281" s="16"/>
      <c r="LG281" s="16"/>
      <c r="LH281" s="16"/>
      <c r="LI281" s="16"/>
      <c r="LJ281" s="16"/>
      <c r="LK281" s="16"/>
      <c r="LL281" s="16">
        <v>6.95</v>
      </c>
      <c r="LM281" s="16">
        <v>10.27</v>
      </c>
      <c r="LN281" s="16"/>
      <c r="LO281" s="16"/>
      <c r="LP281" s="16">
        <v>0</v>
      </c>
      <c r="LQ281" s="16">
        <v>0</v>
      </c>
      <c r="LR281" s="16">
        <v>0</v>
      </c>
      <c r="LS281">
        <v>0</v>
      </c>
      <c r="LT281">
        <v>94</v>
      </c>
      <c r="LU281">
        <v>24.5</v>
      </c>
      <c r="LV281" s="16">
        <v>88.7</v>
      </c>
      <c r="LW281" s="16">
        <v>83.4</v>
      </c>
      <c r="LX281" s="16">
        <v>23.1</v>
      </c>
      <c r="LY281">
        <v>69.95</v>
      </c>
      <c r="LZ281">
        <v>0</v>
      </c>
      <c r="MA281">
        <v>7.16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34.04</v>
      </c>
      <c r="ML281">
        <v>20.5</v>
      </c>
      <c r="MM281">
        <v>0</v>
      </c>
      <c r="MN281">
        <v>22.9</v>
      </c>
      <c r="MO281">
        <v>0</v>
      </c>
      <c r="MP281">
        <v>0</v>
      </c>
      <c r="NC281">
        <v>0</v>
      </c>
      <c r="ND281">
        <v>0</v>
      </c>
      <c r="NO281" s="18"/>
      <c r="OG281">
        <v>0</v>
      </c>
      <c r="PR281" s="16">
        <v>0</v>
      </c>
      <c r="PS281" s="16">
        <v>0</v>
      </c>
      <c r="PT281" s="16"/>
      <c r="PU281" s="16"/>
      <c r="PV281" s="16"/>
      <c r="PW281" s="16"/>
      <c r="PX281" s="16"/>
      <c r="PY281" s="16"/>
      <c r="PZ281" s="16"/>
      <c r="QA281" s="16"/>
      <c r="QB281" s="16"/>
      <c r="QC281" s="16">
        <v>0</v>
      </c>
      <c r="QD281" s="16">
        <v>0</v>
      </c>
      <c r="QE281" s="16"/>
      <c r="QF281" s="16"/>
      <c r="QG281" s="16">
        <v>0</v>
      </c>
      <c r="QH281" s="16">
        <v>0</v>
      </c>
      <c r="QI281" s="16">
        <v>1.44</v>
      </c>
      <c r="QJ281">
        <v>0</v>
      </c>
      <c r="QK281" t="s">
        <v>835</v>
      </c>
      <c r="QL281">
        <v>19</v>
      </c>
      <c r="QM281" s="16">
        <v>73.2</v>
      </c>
      <c r="QN281" s="16">
        <v>83.4</v>
      </c>
      <c r="QO281" s="16">
        <v>11.1</v>
      </c>
      <c r="QP281">
        <v>92.58</v>
      </c>
      <c r="QQ281">
        <v>0</v>
      </c>
      <c r="QR281">
        <v>1.25</v>
      </c>
      <c r="QS281">
        <v>0</v>
      </c>
      <c r="QT281">
        <v>5.34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4.7699999999999996</v>
      </c>
      <c r="RB281">
        <v>22.03</v>
      </c>
      <c r="RC281">
        <v>27.08</v>
      </c>
      <c r="RD281">
        <v>1.58</v>
      </c>
      <c r="RE281">
        <v>0.83</v>
      </c>
      <c r="RF281">
        <v>0</v>
      </c>
      <c r="RG281">
        <v>0</v>
      </c>
      <c r="RT281">
        <v>0.5</v>
      </c>
      <c r="RU281">
        <v>1</v>
      </c>
      <c r="RV281">
        <v>35</v>
      </c>
      <c r="RW281">
        <v>4</v>
      </c>
      <c r="RX281">
        <v>0.1</v>
      </c>
      <c r="RY281">
        <v>3</v>
      </c>
      <c r="SF281" s="18"/>
      <c r="SX281">
        <v>1</v>
      </c>
      <c r="SY281">
        <v>40</v>
      </c>
      <c r="SZ281">
        <v>1</v>
      </c>
      <c r="TA281">
        <v>1.25</v>
      </c>
      <c r="TB281">
        <v>3</v>
      </c>
      <c r="TC281">
        <v>50</v>
      </c>
      <c r="TD281">
        <v>1</v>
      </c>
      <c r="TE281">
        <v>0.05</v>
      </c>
      <c r="TF281">
        <v>3</v>
      </c>
      <c r="TG281">
        <v>60</v>
      </c>
      <c r="TH281">
        <f>18+9</f>
        <v>27</v>
      </c>
      <c r="TI281">
        <f>2.27+1.14</f>
        <v>3.41</v>
      </c>
      <c r="TJ281">
        <v>3</v>
      </c>
      <c r="UI281" s="16">
        <v>3.7</v>
      </c>
      <c r="UJ281" s="16">
        <v>1</v>
      </c>
      <c r="UK281" s="16">
        <v>1</v>
      </c>
      <c r="UL281" s="16"/>
      <c r="UM281" s="16">
        <f>4+0.13+0.01+0.73+1.65+0.02</f>
        <v>6.5399999999999991</v>
      </c>
      <c r="UN281" s="16">
        <v>2</v>
      </c>
      <c r="UO281" s="16"/>
      <c r="UP281" s="16">
        <f>0.18*2</f>
        <v>0.36</v>
      </c>
      <c r="UQ281" s="16"/>
      <c r="UR281" s="16"/>
      <c r="US281" s="16"/>
      <c r="UT281" s="16">
        <v>3.32</v>
      </c>
      <c r="UU281" s="16">
        <v>3.31</v>
      </c>
      <c r="UV281" s="16"/>
      <c r="UW281" s="16"/>
      <c r="UX281" s="16">
        <v>0</v>
      </c>
      <c r="UY281" s="16">
        <v>0</v>
      </c>
      <c r="UZ281" s="16">
        <v>0.22</v>
      </c>
      <c r="VA281">
        <v>0</v>
      </c>
      <c r="VB281" t="s">
        <v>836</v>
      </c>
      <c r="VC281">
        <v>26.5</v>
      </c>
      <c r="VD281" s="16">
        <v>70.7</v>
      </c>
      <c r="VE281" s="16">
        <v>83.4</v>
      </c>
      <c r="VF281" s="16">
        <v>8.8000000000000007</v>
      </c>
      <c r="VG281">
        <v>94.65</v>
      </c>
      <c r="VH281">
        <v>0</v>
      </c>
      <c r="VI281">
        <v>0.21</v>
      </c>
      <c r="VJ281">
        <v>0</v>
      </c>
      <c r="VK281">
        <v>4.3099999999999996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1.21</v>
      </c>
      <c r="VS281">
        <v>19.41</v>
      </c>
      <c r="VT281">
        <v>20.37</v>
      </c>
      <c r="VU281">
        <v>0.21</v>
      </c>
      <c r="VV281">
        <v>0.83</v>
      </c>
      <c r="VW281">
        <v>12.2</v>
      </c>
      <c r="VX281">
        <v>1</v>
      </c>
      <c r="VY281">
        <v>5</v>
      </c>
      <c r="WA281">
        <v>2</v>
      </c>
      <c r="WK281">
        <v>0</v>
      </c>
      <c r="WL281">
        <v>0</v>
      </c>
      <c r="WW281" s="18"/>
      <c r="XO281">
        <v>1</v>
      </c>
      <c r="XP281">
        <v>40</v>
      </c>
      <c r="XQ281">
        <v>1</v>
      </c>
      <c r="XR281">
        <v>0.21</v>
      </c>
      <c r="XS281">
        <v>3</v>
      </c>
      <c r="XT281">
        <v>80</v>
      </c>
      <c r="XU281">
        <v>4</v>
      </c>
      <c r="XV281">
        <v>0.5</v>
      </c>
      <c r="XW281">
        <v>2</v>
      </c>
      <c r="XX281">
        <v>60</v>
      </c>
      <c r="XY281">
        <f>18+9</f>
        <v>27</v>
      </c>
      <c r="XZ281">
        <f>2.27+1.14</f>
        <v>3.41</v>
      </c>
      <c r="YA281">
        <v>2</v>
      </c>
      <c r="YZ281" s="16">
        <v>3.54</v>
      </c>
      <c r="ZA281" s="16">
        <v>1</v>
      </c>
      <c r="ZB281" s="16">
        <v>1</v>
      </c>
      <c r="ZC281" s="16"/>
      <c r="ZD281" s="16">
        <f>4+0.73*2+1.65</f>
        <v>7.1099999999999994</v>
      </c>
      <c r="ZE281" s="16"/>
      <c r="ZF281" s="16"/>
      <c r="ZG281" s="16"/>
      <c r="ZH281" s="16"/>
      <c r="ZI281" s="16"/>
      <c r="ZJ281" s="16"/>
      <c r="ZK281" s="16">
        <v>1.47</v>
      </c>
      <c r="ZL281" s="16">
        <v>1.47</v>
      </c>
      <c r="ZM281" s="16"/>
      <c r="ZN281" s="16"/>
      <c r="ZO281" s="16">
        <v>0</v>
      </c>
      <c r="ZP281" s="16">
        <v>0</v>
      </c>
      <c r="ZQ281" s="16">
        <v>0.22</v>
      </c>
      <c r="ZR281">
        <v>0</v>
      </c>
      <c r="ZS281" t="s">
        <v>841</v>
      </c>
      <c r="ZT281">
        <v>18.5</v>
      </c>
      <c r="ZU281" s="16">
        <v>91.6</v>
      </c>
      <c r="ZV281" s="16">
        <v>83.4</v>
      </c>
      <c r="ZW281" s="16">
        <v>7.5</v>
      </c>
      <c r="ZX281">
        <v>96.33</v>
      </c>
      <c r="ZY281">
        <v>0</v>
      </c>
      <c r="ZZ281">
        <v>0</v>
      </c>
      <c r="AAA281">
        <v>0</v>
      </c>
      <c r="AAB281">
        <v>3.67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3.67</v>
      </c>
      <c r="AAJ281">
        <v>45.98</v>
      </c>
      <c r="AAK281">
        <v>17.899999999999999</v>
      </c>
      <c r="AAL281">
        <v>0</v>
      </c>
      <c r="AAM281">
        <v>0</v>
      </c>
      <c r="AAN281">
        <v>0</v>
      </c>
      <c r="AAO281">
        <v>0</v>
      </c>
      <c r="ABB281">
        <v>0</v>
      </c>
      <c r="ABC281">
        <v>0</v>
      </c>
      <c r="ABN281" s="18"/>
      <c r="ACF281">
        <v>0</v>
      </c>
      <c r="ACJ281">
        <v>1</v>
      </c>
      <c r="ACK281">
        <v>50</v>
      </c>
      <c r="ACL281">
        <v>1</v>
      </c>
      <c r="ACM281">
        <v>0.04</v>
      </c>
      <c r="ACN281">
        <v>3</v>
      </c>
      <c r="ADQ281" s="16">
        <v>1.44</v>
      </c>
      <c r="ADR281" s="16">
        <v>1</v>
      </c>
      <c r="ADS281" s="16">
        <v>1</v>
      </c>
      <c r="ADT281" s="16"/>
      <c r="ADU281" s="16">
        <f>1.65+0.18*2+9.17</f>
        <v>11.18</v>
      </c>
      <c r="ADV281" s="16"/>
      <c r="ADW281" s="16"/>
      <c r="ADX281" s="16"/>
      <c r="ADY281" s="16"/>
      <c r="ADZ281" s="16"/>
      <c r="AEA281" s="16"/>
      <c r="AEB281" s="16">
        <v>5.88</v>
      </c>
      <c r="AEC281" s="16">
        <v>13.5</v>
      </c>
      <c r="AED281" s="16"/>
      <c r="AEE281" s="16"/>
      <c r="AEF281" s="16">
        <v>3.6</v>
      </c>
      <c r="AEG281" s="16">
        <v>1.1000000000000001</v>
      </c>
      <c r="AEH281" s="16">
        <v>0</v>
      </c>
      <c r="AEI281">
        <v>0</v>
      </c>
      <c r="AEJ281" t="s">
        <v>837</v>
      </c>
      <c r="AEK281">
        <v>30.5</v>
      </c>
      <c r="AEL281" s="16">
        <v>92</v>
      </c>
      <c r="AEM281" s="16">
        <v>83.4</v>
      </c>
      <c r="AEN281" s="16">
        <v>5.9</v>
      </c>
      <c r="AEO281">
        <v>98.99</v>
      </c>
      <c r="AEP281">
        <v>1.01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2.66</v>
      </c>
      <c r="AFA281">
        <v>46.99</v>
      </c>
      <c r="AFB281">
        <v>16.89</v>
      </c>
      <c r="AFC281">
        <v>0</v>
      </c>
      <c r="AFD281">
        <v>0</v>
      </c>
      <c r="AFE281">
        <v>0</v>
      </c>
      <c r="AFF281">
        <v>0</v>
      </c>
      <c r="AFS281">
        <v>0</v>
      </c>
      <c r="AFT281">
        <v>0</v>
      </c>
      <c r="AGE281" s="18"/>
      <c r="AGW281">
        <v>0</v>
      </c>
      <c r="AIH281" s="16">
        <v>8</v>
      </c>
      <c r="AII281" s="16">
        <v>1</v>
      </c>
      <c r="AIJ281" s="16">
        <v>1</v>
      </c>
      <c r="AIK281" s="16"/>
      <c r="AIL281" s="16">
        <f>1.65+0.18*2+9.17</f>
        <v>11.18</v>
      </c>
      <c r="AIM281" s="16"/>
      <c r="AIN281" s="16"/>
      <c r="AIO281" s="16"/>
      <c r="AIP281" s="16"/>
      <c r="AIQ281" s="16"/>
      <c r="AIR281" s="16"/>
      <c r="AIS281" s="16">
        <v>6.16</v>
      </c>
      <c r="AIT281" s="16">
        <v>16.16</v>
      </c>
      <c r="AIU281" s="16"/>
      <c r="AIV281" s="16"/>
      <c r="AIW281" s="16">
        <v>10</v>
      </c>
      <c r="AIX281" s="16">
        <v>1.1000000000000001</v>
      </c>
      <c r="AIY281" s="16">
        <v>0</v>
      </c>
      <c r="AIZ281">
        <v>1</v>
      </c>
      <c r="AJA281" t="s">
        <v>838</v>
      </c>
      <c r="AJB281">
        <v>47.5</v>
      </c>
      <c r="AJC281" s="16">
        <v>86.8</v>
      </c>
      <c r="AJD281" s="16">
        <v>83.4</v>
      </c>
      <c r="AJE281" s="16">
        <v>26.7</v>
      </c>
      <c r="AJF281">
        <v>65.11</v>
      </c>
      <c r="AJG281">
        <v>0</v>
      </c>
      <c r="AJH281">
        <v>2.75</v>
      </c>
      <c r="AJI281">
        <v>0</v>
      </c>
      <c r="AJJ281">
        <v>32.14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24.37</v>
      </c>
      <c r="AJS281">
        <v>6.53</v>
      </c>
      <c r="AJT281">
        <v>31.2</v>
      </c>
      <c r="AJU281">
        <v>0</v>
      </c>
      <c r="AJV281">
        <v>13</v>
      </c>
      <c r="AJW281">
        <v>1</v>
      </c>
      <c r="AJX281">
        <v>7</v>
      </c>
      <c r="AJZ281">
        <v>2</v>
      </c>
      <c r="AKJ281">
        <v>0</v>
      </c>
      <c r="AKK281">
        <v>0</v>
      </c>
      <c r="AKV281" s="18"/>
      <c r="ALN281">
        <v>0</v>
      </c>
    </row>
    <row r="282" spans="1:1018" x14ac:dyDescent="0.2">
      <c r="A282" s="1" t="s">
        <v>845</v>
      </c>
      <c r="B282" s="12">
        <v>42908</v>
      </c>
      <c r="C282">
        <v>2</v>
      </c>
      <c r="D282" s="13">
        <v>42786</v>
      </c>
      <c r="E282" s="12">
        <v>32503</v>
      </c>
      <c r="F282" s="14">
        <f t="shared" si="106"/>
        <v>28.487337440109513</v>
      </c>
      <c r="G282" s="14">
        <f t="shared" si="107"/>
        <v>0.33401779603011633</v>
      </c>
      <c r="H282" s="19" t="s">
        <v>306</v>
      </c>
      <c r="I282" s="15" t="s">
        <v>832</v>
      </c>
      <c r="J282" s="15" t="s">
        <v>181</v>
      </c>
      <c r="K282" s="15">
        <v>4</v>
      </c>
      <c r="L282" s="19">
        <v>75</v>
      </c>
      <c r="N282" s="16" t="e">
        <f t="shared" si="108"/>
        <v>#DIV/0!</v>
      </c>
      <c r="O282" s="19">
        <v>0</v>
      </c>
      <c r="P282" s="19">
        <v>0</v>
      </c>
      <c r="Q282" s="19">
        <v>0</v>
      </c>
      <c r="R282" s="26">
        <v>0</v>
      </c>
      <c r="S282" s="26">
        <v>0</v>
      </c>
      <c r="T282" s="26">
        <v>0</v>
      </c>
      <c r="U282" s="19">
        <v>1</v>
      </c>
      <c r="V282" s="19">
        <v>3</v>
      </c>
      <c r="W282" s="19">
        <v>1</v>
      </c>
      <c r="X282" s="19">
        <v>0</v>
      </c>
      <c r="Y282" s="19">
        <v>1</v>
      </c>
      <c r="Z282" s="19">
        <v>1</v>
      </c>
      <c r="AA282" s="19"/>
      <c r="AB282" s="19" t="s">
        <v>349</v>
      </c>
      <c r="AC282" s="19">
        <v>0</v>
      </c>
      <c r="AD282" s="19">
        <v>0</v>
      </c>
      <c r="AE282" s="19">
        <v>0</v>
      </c>
      <c r="AF282" s="19">
        <v>0</v>
      </c>
      <c r="AG282" s="19">
        <v>0</v>
      </c>
      <c r="AH282" s="19">
        <v>0</v>
      </c>
      <c r="AI282" s="19">
        <v>0</v>
      </c>
      <c r="AJ282" s="19">
        <v>0</v>
      </c>
      <c r="AK282" s="19">
        <v>0</v>
      </c>
      <c r="AL282" s="19">
        <v>0</v>
      </c>
      <c r="AM282" s="26">
        <v>0</v>
      </c>
      <c r="AN282" s="19">
        <v>0</v>
      </c>
      <c r="AO282" s="19">
        <v>0</v>
      </c>
      <c r="AP282" s="19">
        <v>0</v>
      </c>
      <c r="AQ282" s="19">
        <v>0</v>
      </c>
      <c r="AR282" s="19">
        <v>0</v>
      </c>
      <c r="AS282" s="19">
        <v>1</v>
      </c>
      <c r="AT282" s="19"/>
      <c r="AU282" s="19">
        <v>1</v>
      </c>
      <c r="AV282" s="19">
        <v>3</v>
      </c>
      <c r="AW282" s="19">
        <v>0</v>
      </c>
      <c r="AX282" s="19">
        <v>0</v>
      </c>
      <c r="AY282" s="19">
        <v>0</v>
      </c>
      <c r="AZ282" s="19">
        <v>0</v>
      </c>
      <c r="BA282" s="19">
        <v>0</v>
      </c>
      <c r="BB282" s="19">
        <v>0</v>
      </c>
      <c r="BC282" s="19">
        <v>0</v>
      </c>
      <c r="BD282" s="19">
        <v>0</v>
      </c>
      <c r="BE282" s="19">
        <v>0</v>
      </c>
      <c r="BF282" s="19">
        <v>0</v>
      </c>
      <c r="BG282" s="19">
        <v>0</v>
      </c>
      <c r="BH282" s="19">
        <v>0</v>
      </c>
      <c r="BI282" s="19">
        <v>0</v>
      </c>
      <c r="BJ282" s="19">
        <v>0</v>
      </c>
      <c r="BK282" s="19">
        <v>0</v>
      </c>
      <c r="BL282" s="19">
        <v>0</v>
      </c>
      <c r="BM282" s="19">
        <v>0</v>
      </c>
      <c r="BN282" s="19">
        <v>0</v>
      </c>
      <c r="BO282" s="19">
        <v>0</v>
      </c>
      <c r="BP282" s="19">
        <v>0</v>
      </c>
      <c r="BQ282" s="19">
        <v>0</v>
      </c>
      <c r="BR282" s="19">
        <v>1</v>
      </c>
      <c r="BS282" s="19">
        <v>2</v>
      </c>
      <c r="BT282" s="19">
        <v>4</v>
      </c>
      <c r="BU282" s="19">
        <v>5</v>
      </c>
      <c r="BV282" s="19">
        <v>2</v>
      </c>
      <c r="BW282" s="19">
        <v>2</v>
      </c>
      <c r="BX282" s="19">
        <v>5</v>
      </c>
      <c r="BY282" s="19">
        <v>4</v>
      </c>
      <c r="BZ282" s="19">
        <v>5</v>
      </c>
      <c r="CA282" s="19">
        <v>4</v>
      </c>
      <c r="CB282" s="19">
        <v>5</v>
      </c>
      <c r="CC282" s="19">
        <v>5</v>
      </c>
      <c r="CD282" s="19">
        <v>5</v>
      </c>
      <c r="CE282" s="19">
        <v>4</v>
      </c>
      <c r="CF282" s="19">
        <v>4</v>
      </c>
      <c r="CG282" s="19">
        <v>5</v>
      </c>
      <c r="CH282" s="19"/>
      <c r="CI282" s="19"/>
      <c r="CJ282" s="19"/>
      <c r="CK282" s="19"/>
      <c r="CL282" t="s">
        <v>833</v>
      </c>
      <c r="CM282">
        <v>31</v>
      </c>
      <c r="CN282" s="16">
        <v>82.6</v>
      </c>
      <c r="CO282" s="16">
        <v>83.4</v>
      </c>
      <c r="CP282" s="16">
        <v>5.7</v>
      </c>
      <c r="CQ282">
        <v>99.97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7.3</v>
      </c>
      <c r="DC282">
        <v>53.74</v>
      </c>
      <c r="DD282">
        <v>0</v>
      </c>
      <c r="DE282">
        <v>0</v>
      </c>
      <c r="DF282">
        <v>0</v>
      </c>
      <c r="DG282">
        <v>17.600000000000001</v>
      </c>
      <c r="DH282">
        <v>1</v>
      </c>
      <c r="DI282">
        <v>4.5999999999999996</v>
      </c>
      <c r="DK282">
        <v>2</v>
      </c>
      <c r="DU282">
        <v>2.4</v>
      </c>
      <c r="DV282">
        <v>0</v>
      </c>
      <c r="EG282" s="18"/>
      <c r="EY282">
        <v>1</v>
      </c>
      <c r="EZ282">
        <v>60</v>
      </c>
      <c r="FA282">
        <f>4+6+1+3+1+3</f>
        <v>18</v>
      </c>
      <c r="FB282">
        <f>0.73+2.2+0.13+0.39+0.78+0.52</f>
        <v>4.75</v>
      </c>
      <c r="FC282">
        <v>3</v>
      </c>
      <c r="FD282">
        <v>50</v>
      </c>
      <c r="FE282">
        <f>14</f>
        <v>14</v>
      </c>
      <c r="FF282">
        <f>4.4+2.94+0.52</f>
        <v>7.8599999999999994</v>
      </c>
      <c r="FG282">
        <v>3</v>
      </c>
      <c r="GJ282" s="16">
        <v>0</v>
      </c>
      <c r="GK282" s="16">
        <v>0</v>
      </c>
      <c r="GL282" s="16"/>
      <c r="GM282" s="16"/>
      <c r="GN282" s="16"/>
      <c r="GO282" s="16"/>
      <c r="GP282" s="16"/>
      <c r="GQ282" s="16"/>
      <c r="GR282" s="16"/>
      <c r="GS282" s="16"/>
      <c r="GT282" s="16"/>
      <c r="GU282" s="16">
        <v>5.21</v>
      </c>
      <c r="GV282" s="16">
        <v>2.59</v>
      </c>
      <c r="GW282" s="16"/>
      <c r="GX282" s="16"/>
      <c r="GY282" s="16">
        <v>0</v>
      </c>
      <c r="GZ282" s="16">
        <v>0</v>
      </c>
      <c r="HA282" s="16">
        <v>0</v>
      </c>
      <c r="HB282">
        <v>0</v>
      </c>
      <c r="HC282" t="s">
        <v>834</v>
      </c>
      <c r="HD282">
        <v>30.5</v>
      </c>
      <c r="HE282" s="16">
        <v>73.400000000000006</v>
      </c>
      <c r="HF282" s="16">
        <v>83.4</v>
      </c>
      <c r="HG282" s="16">
        <v>5.7</v>
      </c>
      <c r="HH282">
        <v>100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7.69</v>
      </c>
      <c r="HT282">
        <v>47.61</v>
      </c>
      <c r="HU282">
        <v>0</v>
      </c>
      <c r="HV282">
        <v>0</v>
      </c>
      <c r="HW282">
        <v>0</v>
      </c>
      <c r="HX282">
        <v>16.399999999999999</v>
      </c>
      <c r="HY282">
        <v>1</v>
      </c>
      <c r="HZ282">
        <v>4.5999999999999996</v>
      </c>
      <c r="IB282">
        <v>2</v>
      </c>
      <c r="IL282">
        <v>1.4</v>
      </c>
      <c r="IM282">
        <v>0</v>
      </c>
      <c r="IX282" s="18"/>
      <c r="JP282">
        <v>1</v>
      </c>
      <c r="JQ282">
        <v>60</v>
      </c>
      <c r="JR282">
        <v>7</v>
      </c>
      <c r="JS282">
        <f>0.73+2.2+0.39</f>
        <v>3.3200000000000003</v>
      </c>
      <c r="JT282">
        <v>3</v>
      </c>
      <c r="JU282">
        <v>50</v>
      </c>
      <c r="JV282">
        <v>10</v>
      </c>
      <c r="JW282">
        <f>4.4+2.94</f>
        <v>7.34</v>
      </c>
      <c r="LA282" s="16">
        <v>0</v>
      </c>
      <c r="LB282" s="16">
        <v>0</v>
      </c>
      <c r="LC282" s="16"/>
      <c r="LD282" s="16"/>
      <c r="LE282" s="16"/>
      <c r="LF282" s="16"/>
      <c r="LG282" s="16"/>
      <c r="LH282" s="16"/>
      <c r="LI282" s="16"/>
      <c r="LJ282" s="16"/>
      <c r="LK282" s="16"/>
      <c r="LL282" s="16">
        <v>6.95</v>
      </c>
      <c r="LM282" s="16">
        <v>10.27</v>
      </c>
      <c r="LN282" s="16"/>
      <c r="LO282" s="16"/>
      <c r="LP282" s="16">
        <v>0</v>
      </c>
      <c r="LQ282" s="16">
        <v>0</v>
      </c>
      <c r="LR282" s="16">
        <v>0</v>
      </c>
      <c r="LS282">
        <v>0</v>
      </c>
      <c r="LT282">
        <v>94</v>
      </c>
      <c r="LU282">
        <v>24.5</v>
      </c>
      <c r="LV282" s="16">
        <v>88.7</v>
      </c>
      <c r="LW282" s="16">
        <v>83.4</v>
      </c>
      <c r="LX282" s="16">
        <v>23.1</v>
      </c>
      <c r="LY282">
        <v>69.95</v>
      </c>
      <c r="LZ282">
        <v>0</v>
      </c>
      <c r="MA282">
        <v>7.16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34.04</v>
      </c>
      <c r="ML282">
        <v>20.5</v>
      </c>
      <c r="MM282">
        <v>0</v>
      </c>
      <c r="MN282">
        <v>22.9</v>
      </c>
      <c r="MO282">
        <v>0</v>
      </c>
      <c r="MP282">
        <v>0</v>
      </c>
      <c r="NC282">
        <v>0</v>
      </c>
      <c r="ND282">
        <v>0</v>
      </c>
      <c r="NO282" s="18"/>
      <c r="OG282">
        <v>0</v>
      </c>
      <c r="PR282" s="16">
        <v>0</v>
      </c>
      <c r="PS282" s="16">
        <v>0</v>
      </c>
      <c r="PT282" s="16"/>
      <c r="PU282" s="16"/>
      <c r="PV282" s="16"/>
      <c r="PW282" s="16"/>
      <c r="PX282" s="16"/>
      <c r="PY282" s="16"/>
      <c r="PZ282" s="16"/>
      <c r="QA282" s="16"/>
      <c r="QB282" s="16"/>
      <c r="QC282" s="16">
        <v>0</v>
      </c>
      <c r="QD282" s="16">
        <v>0</v>
      </c>
      <c r="QE282" s="16"/>
      <c r="QF282" s="16"/>
      <c r="QG282" s="16">
        <v>0</v>
      </c>
      <c r="QH282" s="16">
        <v>0</v>
      </c>
      <c r="QI282" s="16">
        <v>1.44</v>
      </c>
      <c r="QJ282">
        <v>0</v>
      </c>
      <c r="QK282" t="s">
        <v>836</v>
      </c>
      <c r="QL282">
        <v>26.5</v>
      </c>
      <c r="QM282" s="16">
        <v>70.7</v>
      </c>
      <c r="QN282" s="16">
        <v>83.4</v>
      </c>
      <c r="QO282" s="16">
        <v>8.8000000000000007</v>
      </c>
      <c r="QP282">
        <v>94.65</v>
      </c>
      <c r="QQ282">
        <v>0</v>
      </c>
      <c r="QR282">
        <v>0.21</v>
      </c>
      <c r="QS282">
        <v>0</v>
      </c>
      <c r="QT282">
        <v>4.3099999999999996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1.21</v>
      </c>
      <c r="RB282">
        <v>19.41</v>
      </c>
      <c r="RC282">
        <v>20.37</v>
      </c>
      <c r="RD282">
        <v>0.21</v>
      </c>
      <c r="RE282">
        <v>0.83</v>
      </c>
      <c r="RF282">
        <v>12.2</v>
      </c>
      <c r="RG282">
        <v>1</v>
      </c>
      <c r="RH282">
        <v>5</v>
      </c>
      <c r="RJ282">
        <v>2</v>
      </c>
      <c r="RT282">
        <v>0</v>
      </c>
      <c r="RU282">
        <v>0</v>
      </c>
      <c r="SF282" s="18"/>
      <c r="SX282">
        <v>1</v>
      </c>
      <c r="SY282">
        <v>40</v>
      </c>
      <c r="SZ282">
        <v>1</v>
      </c>
      <c r="TA282">
        <v>0.21</v>
      </c>
      <c r="TB282">
        <v>3</v>
      </c>
      <c r="TC282">
        <v>80</v>
      </c>
      <c r="TD282">
        <v>4</v>
      </c>
      <c r="TE282">
        <v>0.5</v>
      </c>
      <c r="TF282">
        <v>2</v>
      </c>
      <c r="TG282">
        <v>60</v>
      </c>
      <c r="TH282">
        <f>18+9</f>
        <v>27</v>
      </c>
      <c r="TI282">
        <f>2.27+1.14</f>
        <v>3.41</v>
      </c>
      <c r="TJ282">
        <v>2</v>
      </c>
      <c r="UI282" s="16">
        <v>3.54</v>
      </c>
      <c r="UJ282" s="16">
        <v>1</v>
      </c>
      <c r="UK282" s="16">
        <v>1</v>
      </c>
      <c r="UL282" s="16"/>
      <c r="UM282" s="16">
        <f>4+0.73*2+1.65</f>
        <v>7.1099999999999994</v>
      </c>
      <c r="UN282" s="16"/>
      <c r="UO282" s="16"/>
      <c r="UP282" s="16"/>
      <c r="UQ282" s="16"/>
      <c r="UR282" s="16"/>
      <c r="US282" s="16"/>
      <c r="UT282" s="16">
        <v>1.47</v>
      </c>
      <c r="UU282" s="16">
        <v>1.47</v>
      </c>
      <c r="UV282" s="16"/>
      <c r="UW282" s="16"/>
      <c r="UX282" s="16">
        <v>0</v>
      </c>
      <c r="UY282" s="16">
        <v>0</v>
      </c>
      <c r="UZ282" s="16">
        <v>0.22</v>
      </c>
      <c r="VA282">
        <v>0</v>
      </c>
      <c r="VB282" t="s">
        <v>841</v>
      </c>
      <c r="VC282">
        <v>18.5</v>
      </c>
      <c r="VD282" s="16">
        <v>91.6</v>
      </c>
      <c r="VE282" s="16">
        <v>83.4</v>
      </c>
      <c r="VF282" s="16">
        <v>7.5</v>
      </c>
      <c r="VG282">
        <v>96.33</v>
      </c>
      <c r="VH282">
        <v>0</v>
      </c>
      <c r="VI282">
        <v>0</v>
      </c>
      <c r="VJ282">
        <v>0</v>
      </c>
      <c r="VK282">
        <v>3.67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3.67</v>
      </c>
      <c r="VS282">
        <v>45.98</v>
      </c>
      <c r="VT282">
        <v>17.899999999999999</v>
      </c>
      <c r="VU282">
        <v>0</v>
      </c>
      <c r="VV282">
        <v>0</v>
      </c>
      <c r="VW282">
        <v>0</v>
      </c>
      <c r="VX282">
        <v>0</v>
      </c>
      <c r="WK282">
        <v>0</v>
      </c>
      <c r="WL282">
        <v>0</v>
      </c>
      <c r="WW282" s="18"/>
      <c r="XO282">
        <v>0</v>
      </c>
      <c r="XS282">
        <v>1</v>
      </c>
      <c r="XT282">
        <v>50</v>
      </c>
      <c r="XU282">
        <v>1</v>
      </c>
      <c r="XV282">
        <v>0.04</v>
      </c>
      <c r="XW282">
        <v>3</v>
      </c>
      <c r="YZ282" s="16">
        <v>1.44</v>
      </c>
      <c r="ZA282" s="16">
        <v>1</v>
      </c>
      <c r="ZB282" s="16">
        <v>1</v>
      </c>
      <c r="ZC282" s="16"/>
      <c r="ZD282" s="16">
        <f>1.65+0.18*2+9.17</f>
        <v>11.18</v>
      </c>
      <c r="ZE282" s="16"/>
      <c r="ZF282" s="16"/>
      <c r="ZG282" s="16"/>
      <c r="ZH282" s="16"/>
      <c r="ZI282" s="16"/>
      <c r="ZJ282" s="16"/>
      <c r="ZK282" s="16">
        <v>5.88</v>
      </c>
      <c r="ZL282" s="16">
        <v>13.5</v>
      </c>
      <c r="ZM282" s="16"/>
      <c r="ZN282" s="16"/>
      <c r="ZO282" s="16">
        <v>3.6</v>
      </c>
      <c r="ZP282" s="16">
        <v>1.1000000000000001</v>
      </c>
      <c r="ZQ282" s="16">
        <v>0</v>
      </c>
      <c r="ZR282">
        <v>0</v>
      </c>
      <c r="ZS282" t="s">
        <v>837</v>
      </c>
      <c r="ZT282">
        <v>30.5</v>
      </c>
      <c r="ZU282" s="16">
        <v>92</v>
      </c>
      <c r="ZV282" s="16">
        <v>83.4</v>
      </c>
      <c r="ZW282" s="16">
        <v>5.9</v>
      </c>
      <c r="ZX282">
        <v>98.99</v>
      </c>
      <c r="ZY282">
        <v>1.01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2.66</v>
      </c>
      <c r="AAJ282">
        <v>46.99</v>
      </c>
      <c r="AAK282">
        <v>16.89</v>
      </c>
      <c r="AAL282">
        <v>0</v>
      </c>
      <c r="AAM282">
        <v>0</v>
      </c>
      <c r="AAN282">
        <v>0</v>
      </c>
      <c r="AAO282">
        <v>0</v>
      </c>
      <c r="ABB282">
        <v>0</v>
      </c>
      <c r="ABC282">
        <v>0</v>
      </c>
      <c r="ABN282" s="18"/>
      <c r="ACF282">
        <v>0</v>
      </c>
      <c r="ADQ282" s="16">
        <v>8</v>
      </c>
      <c r="ADR282" s="16">
        <v>1</v>
      </c>
      <c r="ADS282" s="16">
        <v>1</v>
      </c>
      <c r="ADT282" s="16"/>
      <c r="ADU282" s="16">
        <f>1.65+0.18*2+9.17</f>
        <v>11.18</v>
      </c>
      <c r="ADV282" s="16"/>
      <c r="ADW282" s="16"/>
      <c r="ADX282" s="16"/>
      <c r="ADY282" s="16"/>
      <c r="ADZ282" s="16"/>
      <c r="AEA282" s="16"/>
      <c r="AEB282" s="16">
        <v>6.16</v>
      </c>
      <c r="AEC282" s="16">
        <v>16.16</v>
      </c>
      <c r="AED282" s="16"/>
      <c r="AEE282" s="16"/>
      <c r="AEF282" s="16">
        <v>10</v>
      </c>
      <c r="AEG282" s="16">
        <v>1.1000000000000001</v>
      </c>
      <c r="AEH282" s="16">
        <v>0</v>
      </c>
      <c r="AEI282">
        <v>1</v>
      </c>
      <c r="AEJ282" t="s">
        <v>838</v>
      </c>
      <c r="AEK282">
        <v>47.5</v>
      </c>
      <c r="AEL282" s="16">
        <v>86.8</v>
      </c>
      <c r="AEM282" s="16">
        <v>83.4</v>
      </c>
      <c r="AEN282" s="16">
        <v>26.7</v>
      </c>
      <c r="AEO282">
        <v>65.11</v>
      </c>
      <c r="AEP282">
        <v>0</v>
      </c>
      <c r="AEQ282">
        <v>2.75</v>
      </c>
      <c r="AER282">
        <v>0</v>
      </c>
      <c r="AES282">
        <v>32.14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24.37</v>
      </c>
      <c r="AFB282">
        <v>6.53</v>
      </c>
      <c r="AFC282">
        <v>31.2</v>
      </c>
      <c r="AFD282">
        <v>0</v>
      </c>
      <c r="AFE282">
        <v>13</v>
      </c>
      <c r="AFF282">
        <v>1</v>
      </c>
      <c r="AFG282">
        <v>7</v>
      </c>
      <c r="AFI282">
        <v>2</v>
      </c>
      <c r="AFS282">
        <v>0</v>
      </c>
      <c r="AFT282">
        <v>0</v>
      </c>
      <c r="AGE282" s="18"/>
      <c r="AGW282">
        <v>0</v>
      </c>
      <c r="AIH282" s="16">
        <v>2.27</v>
      </c>
      <c r="AII282" s="16">
        <v>1</v>
      </c>
      <c r="AIJ282" s="16">
        <v>1</v>
      </c>
      <c r="AIK282" s="16"/>
      <c r="AIL282" s="16">
        <f>3.3*3+0.36*4</f>
        <v>11.339999999999998</v>
      </c>
      <c r="AIM282" s="16"/>
      <c r="AIN282" s="16"/>
      <c r="AIO282" s="16"/>
      <c r="AIP282" s="16"/>
      <c r="AIQ282" s="16"/>
      <c r="AIR282" s="16"/>
      <c r="AIS282" s="16">
        <v>5.24</v>
      </c>
      <c r="AIT282" s="16">
        <v>7.31</v>
      </c>
      <c r="AIU282" s="16"/>
      <c r="AIV282" s="16"/>
      <c r="AIW282" s="16">
        <v>0</v>
      </c>
      <c r="AIX282" s="16">
        <v>0</v>
      </c>
      <c r="AIY282" s="16">
        <v>0</v>
      </c>
      <c r="AIZ282">
        <v>0</v>
      </c>
      <c r="AJA282" t="s">
        <v>839</v>
      </c>
      <c r="AJB282">
        <v>48</v>
      </c>
      <c r="AJC282" s="16">
        <v>84.6</v>
      </c>
      <c r="AJD282" s="16">
        <v>83.4</v>
      </c>
      <c r="AJE282" s="16">
        <v>5.9</v>
      </c>
      <c r="AJF282">
        <v>36.31</v>
      </c>
      <c r="AJG282">
        <v>0</v>
      </c>
      <c r="AJH282">
        <v>0</v>
      </c>
      <c r="AJI282">
        <v>0</v>
      </c>
      <c r="AJJ282">
        <v>63.69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2.5299999999999998</v>
      </c>
      <c r="AJR282">
        <v>8.33</v>
      </c>
      <c r="AJS282">
        <v>27.3</v>
      </c>
      <c r="AJT282">
        <v>39.369999999999997</v>
      </c>
      <c r="AJU282">
        <v>0</v>
      </c>
      <c r="AJV282">
        <v>0</v>
      </c>
      <c r="AJW282">
        <v>0</v>
      </c>
      <c r="AKJ282">
        <v>0</v>
      </c>
      <c r="AKK282">
        <v>0</v>
      </c>
      <c r="AKV282" s="18"/>
      <c r="ALN282">
        <v>0</v>
      </c>
    </row>
    <row r="283" spans="1:1018" x14ac:dyDescent="0.2">
      <c r="A283" s="1" t="s">
        <v>846</v>
      </c>
      <c r="B283" s="12">
        <v>42908</v>
      </c>
      <c r="C283">
        <v>1</v>
      </c>
      <c r="D283" s="13">
        <v>42801</v>
      </c>
      <c r="E283" s="12">
        <v>34371</v>
      </c>
      <c r="F283" s="14">
        <f t="shared" si="106"/>
        <v>23.37303216974675</v>
      </c>
      <c r="G283" s="14">
        <f t="shared" si="107"/>
        <v>0.29295003422313481</v>
      </c>
      <c r="H283" s="19" t="s">
        <v>306</v>
      </c>
      <c r="I283" s="15" t="s">
        <v>832</v>
      </c>
      <c r="J283" s="15" t="s">
        <v>181</v>
      </c>
      <c r="K283" s="15">
        <v>4</v>
      </c>
      <c r="L283" s="19">
        <v>51</v>
      </c>
      <c r="M283">
        <v>1.65</v>
      </c>
      <c r="N283" s="16">
        <f t="shared" si="108"/>
        <v>18.732782369146008</v>
      </c>
      <c r="O283" s="19">
        <v>0</v>
      </c>
      <c r="P283" s="19">
        <v>0</v>
      </c>
      <c r="Q283" s="19">
        <v>0</v>
      </c>
      <c r="R283" s="26">
        <v>0</v>
      </c>
      <c r="S283" s="26">
        <v>0</v>
      </c>
      <c r="T283" s="26">
        <v>0</v>
      </c>
      <c r="U283" s="19">
        <v>0</v>
      </c>
      <c r="V283" s="19">
        <v>0</v>
      </c>
      <c r="W283" s="19">
        <v>0</v>
      </c>
      <c r="X283" s="19">
        <v>0</v>
      </c>
      <c r="Y283" s="19">
        <v>0</v>
      </c>
      <c r="Z283" s="19">
        <v>0</v>
      </c>
      <c r="AA283" s="19">
        <v>0</v>
      </c>
      <c r="AB283" s="19">
        <v>0</v>
      </c>
      <c r="AC283" s="19">
        <v>1</v>
      </c>
      <c r="AD283" s="19">
        <v>10</v>
      </c>
      <c r="AE283" s="19">
        <v>0</v>
      </c>
      <c r="AF283" s="19">
        <v>0</v>
      </c>
      <c r="AG283" s="19">
        <v>0</v>
      </c>
      <c r="AH283" s="19">
        <v>0</v>
      </c>
      <c r="AI283" s="19">
        <v>0</v>
      </c>
      <c r="AJ283" s="19">
        <v>0</v>
      </c>
      <c r="AK283" s="19">
        <v>0</v>
      </c>
      <c r="AL283" s="19">
        <v>0</v>
      </c>
      <c r="AM283" s="26">
        <v>0</v>
      </c>
      <c r="AN283" s="19">
        <v>0</v>
      </c>
      <c r="AO283" s="19">
        <v>0</v>
      </c>
      <c r="AP283" s="19">
        <v>0</v>
      </c>
      <c r="AQ283" s="19">
        <v>0</v>
      </c>
      <c r="AR283" s="19">
        <v>0</v>
      </c>
      <c r="AS283" s="19">
        <v>0</v>
      </c>
      <c r="AT283" s="19">
        <v>0</v>
      </c>
      <c r="AU283" s="19">
        <v>0</v>
      </c>
      <c r="AV283" s="19">
        <v>0</v>
      </c>
      <c r="AW283" s="19">
        <v>0</v>
      </c>
      <c r="AX283" s="19">
        <v>0</v>
      </c>
      <c r="AY283" s="19">
        <v>0</v>
      </c>
      <c r="AZ283" s="19">
        <v>0</v>
      </c>
      <c r="BA283" s="19">
        <v>0</v>
      </c>
      <c r="BB283" s="19">
        <v>0</v>
      </c>
      <c r="BC283" s="19">
        <v>0</v>
      </c>
      <c r="BD283" s="19">
        <v>0</v>
      </c>
      <c r="BE283" s="19">
        <v>0</v>
      </c>
      <c r="BF283" s="19">
        <v>0</v>
      </c>
      <c r="BG283" s="19">
        <v>0</v>
      </c>
      <c r="BH283" s="19">
        <v>0</v>
      </c>
      <c r="BI283" s="19">
        <v>0</v>
      </c>
      <c r="BJ283" s="19">
        <v>0</v>
      </c>
      <c r="BK283" s="19">
        <v>0</v>
      </c>
      <c r="BL283" s="19">
        <v>0</v>
      </c>
      <c r="BM283" s="19">
        <v>0</v>
      </c>
      <c r="BN283" s="19">
        <v>0</v>
      </c>
      <c r="BO283" s="19">
        <v>0</v>
      </c>
      <c r="BP283" s="19">
        <v>0</v>
      </c>
      <c r="BQ283" s="19">
        <v>0</v>
      </c>
      <c r="BR283" s="19">
        <v>1</v>
      </c>
      <c r="BS283" s="19">
        <v>1</v>
      </c>
      <c r="BT283" s="19">
        <v>2</v>
      </c>
      <c r="BU283" s="19">
        <v>5</v>
      </c>
      <c r="BV283" s="19">
        <v>1</v>
      </c>
      <c r="BW283" s="19">
        <v>2</v>
      </c>
      <c r="BX283" s="19">
        <v>1</v>
      </c>
      <c r="BY283" s="19">
        <v>3</v>
      </c>
      <c r="BZ283" s="19">
        <v>5</v>
      </c>
      <c r="CA283" s="19">
        <v>5</v>
      </c>
      <c r="CB283" s="19">
        <v>5</v>
      </c>
      <c r="CC283" s="19">
        <v>5</v>
      </c>
      <c r="CD283" s="19">
        <v>5</v>
      </c>
      <c r="CE283" s="19">
        <v>5</v>
      </c>
      <c r="CF283" s="19">
        <v>5</v>
      </c>
      <c r="CG283" s="19">
        <v>5</v>
      </c>
      <c r="CH283" s="19">
        <v>5</v>
      </c>
      <c r="CI283" s="19">
        <v>5</v>
      </c>
      <c r="CJ283" s="19">
        <v>5</v>
      </c>
      <c r="CK283" s="19">
        <v>8</v>
      </c>
      <c r="CL283">
        <v>92</v>
      </c>
      <c r="CM283">
        <v>38.5</v>
      </c>
      <c r="CN283" s="16">
        <v>77.5</v>
      </c>
      <c r="CO283" s="16">
        <v>83.4</v>
      </c>
      <c r="CP283" s="16">
        <v>19.100000000000001</v>
      </c>
      <c r="CQ283">
        <v>78.180000000000007</v>
      </c>
      <c r="CR283">
        <v>0</v>
      </c>
      <c r="CS283">
        <v>2.48</v>
      </c>
      <c r="CT283">
        <v>0</v>
      </c>
      <c r="CU283">
        <v>19.34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4.1100000000000003</v>
      </c>
      <c r="DD283">
        <v>21.82</v>
      </c>
      <c r="DE283">
        <v>10.65</v>
      </c>
      <c r="DF283">
        <v>0</v>
      </c>
      <c r="DG283">
        <v>16.899999999999999</v>
      </c>
      <c r="DH283">
        <v>1</v>
      </c>
      <c r="DI283">
        <v>6</v>
      </c>
      <c r="DK283">
        <v>1</v>
      </c>
      <c r="DU283">
        <v>0</v>
      </c>
      <c r="DV283">
        <v>0</v>
      </c>
      <c r="EG283" s="18"/>
      <c r="EY283">
        <v>0</v>
      </c>
      <c r="GJ283" s="16">
        <v>0</v>
      </c>
      <c r="GK283" s="16">
        <v>0</v>
      </c>
      <c r="GL283" s="16"/>
      <c r="GM283" s="16"/>
      <c r="GN283" s="16"/>
      <c r="GO283" s="16"/>
      <c r="GP283" s="16"/>
      <c r="GQ283" s="16"/>
      <c r="GR283" s="16"/>
      <c r="GS283" s="16"/>
      <c r="GT283" s="16"/>
      <c r="GU283" s="16">
        <v>2.48</v>
      </c>
      <c r="GV283" s="16">
        <v>2.48</v>
      </c>
      <c r="GW283" s="16"/>
      <c r="GX283" s="16"/>
      <c r="GY283" s="16">
        <v>0</v>
      </c>
      <c r="GZ283" s="16">
        <v>0</v>
      </c>
      <c r="HA283" s="16">
        <v>0</v>
      </c>
      <c r="HB283">
        <v>0</v>
      </c>
      <c r="HC283" t="s">
        <v>833</v>
      </c>
      <c r="HD283">
        <v>31</v>
      </c>
      <c r="HE283" s="16">
        <v>82.6</v>
      </c>
      <c r="HF283" s="16">
        <v>83.4</v>
      </c>
      <c r="HG283" s="16">
        <v>5.7</v>
      </c>
      <c r="HH283">
        <v>99.97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7.3</v>
      </c>
      <c r="HT283">
        <v>53.74</v>
      </c>
      <c r="HU283">
        <v>0</v>
      </c>
      <c r="HV283">
        <v>0</v>
      </c>
      <c r="HW283">
        <v>0</v>
      </c>
      <c r="HX283">
        <v>17.600000000000001</v>
      </c>
      <c r="HY283">
        <v>1</v>
      </c>
      <c r="HZ283">
        <v>4.5999999999999996</v>
      </c>
      <c r="IB283">
        <v>2</v>
      </c>
      <c r="IL283">
        <v>2.4</v>
      </c>
      <c r="IM283">
        <v>0</v>
      </c>
      <c r="IX283" s="18"/>
      <c r="JP283">
        <v>1</v>
      </c>
      <c r="JQ283">
        <v>60</v>
      </c>
      <c r="JR283">
        <f>4+6+1+3+1+3</f>
        <v>18</v>
      </c>
      <c r="JS283">
        <f>0.73+2.2+0.13+0.39+0.78+0.52</f>
        <v>4.75</v>
      </c>
      <c r="JT283">
        <v>3</v>
      </c>
      <c r="JU283">
        <v>50</v>
      </c>
      <c r="JV283">
        <f>14</f>
        <v>14</v>
      </c>
      <c r="JW283">
        <f>4.4+2.94+0.52</f>
        <v>7.8599999999999994</v>
      </c>
      <c r="JX283">
        <v>3</v>
      </c>
      <c r="LA283" s="16">
        <v>0</v>
      </c>
      <c r="LB283" s="16">
        <v>0</v>
      </c>
      <c r="LC283" s="16"/>
      <c r="LD283" s="16"/>
      <c r="LE283" s="16"/>
      <c r="LF283" s="16"/>
      <c r="LG283" s="16"/>
      <c r="LH283" s="16"/>
      <c r="LI283" s="16"/>
      <c r="LJ283" s="16"/>
      <c r="LK283" s="16"/>
      <c r="LL283" s="16">
        <v>5.21</v>
      </c>
      <c r="LM283" s="16">
        <v>2.59</v>
      </c>
      <c r="LN283" s="16"/>
      <c r="LO283" s="16"/>
      <c r="LP283" s="16">
        <v>0</v>
      </c>
      <c r="LQ283" s="16">
        <v>0</v>
      </c>
      <c r="LR283" s="16">
        <v>0</v>
      </c>
      <c r="LS283">
        <v>0</v>
      </c>
      <c r="LT283" t="s">
        <v>834</v>
      </c>
      <c r="LU283">
        <v>30.5</v>
      </c>
      <c r="LV283" s="16">
        <v>73.400000000000006</v>
      </c>
      <c r="LW283" s="16">
        <v>83.4</v>
      </c>
      <c r="LX283" s="16">
        <v>5.7</v>
      </c>
      <c r="LY283">
        <v>100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7.69</v>
      </c>
      <c r="MK283">
        <v>47.61</v>
      </c>
      <c r="ML283">
        <v>0</v>
      </c>
      <c r="MM283">
        <v>0</v>
      </c>
      <c r="MN283">
        <v>0</v>
      </c>
      <c r="MO283">
        <v>16.399999999999999</v>
      </c>
      <c r="MP283">
        <v>1</v>
      </c>
      <c r="MQ283">
        <v>4.5999999999999996</v>
      </c>
      <c r="MS283">
        <v>2</v>
      </c>
      <c r="NC283">
        <v>1.4</v>
      </c>
      <c r="ND283">
        <v>0</v>
      </c>
      <c r="NO283" s="18"/>
      <c r="OG283">
        <v>1</v>
      </c>
      <c r="OH283">
        <v>60</v>
      </c>
      <c r="OI283">
        <v>7</v>
      </c>
      <c r="OJ283">
        <f>0.73+2.2+0.39</f>
        <v>3.3200000000000003</v>
      </c>
      <c r="OK283">
        <v>3</v>
      </c>
      <c r="OL283">
        <v>50</v>
      </c>
      <c r="OM283">
        <v>10</v>
      </c>
      <c r="ON283">
        <f>4.4+2.94</f>
        <v>7.34</v>
      </c>
      <c r="PR283" s="16">
        <v>0</v>
      </c>
      <c r="PS283" s="16">
        <v>0</v>
      </c>
      <c r="PT283" s="16"/>
      <c r="PU283" s="16"/>
      <c r="PV283" s="16"/>
      <c r="PW283" s="16"/>
      <c r="PX283" s="16"/>
      <c r="PY283" s="16"/>
      <c r="PZ283" s="16"/>
      <c r="QA283" s="16"/>
      <c r="QB283" s="16"/>
      <c r="QC283" s="16">
        <v>6.95</v>
      </c>
      <c r="QD283" s="16">
        <v>10.27</v>
      </c>
      <c r="QE283" s="16"/>
      <c r="QF283" s="16"/>
      <c r="QG283" s="16">
        <v>0</v>
      </c>
      <c r="QH283" s="16">
        <v>0</v>
      </c>
      <c r="QI283" s="16">
        <v>0</v>
      </c>
      <c r="QJ283">
        <v>0</v>
      </c>
      <c r="QK283">
        <v>94</v>
      </c>
      <c r="QL283">
        <v>24.5</v>
      </c>
      <c r="QM283" s="16">
        <v>88.7</v>
      </c>
      <c r="QN283" s="16">
        <v>83.4</v>
      </c>
      <c r="QO283" s="16">
        <v>23.1</v>
      </c>
      <c r="QP283">
        <v>69.95</v>
      </c>
      <c r="QQ283">
        <v>0</v>
      </c>
      <c r="QR283">
        <v>7.16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34.04</v>
      </c>
      <c r="RC283">
        <v>20.5</v>
      </c>
      <c r="RD283">
        <v>0</v>
      </c>
      <c r="RE283">
        <v>22.9</v>
      </c>
      <c r="RF283">
        <v>0</v>
      </c>
      <c r="RG283">
        <v>0</v>
      </c>
      <c r="RT283">
        <v>0</v>
      </c>
      <c r="RU283">
        <v>0</v>
      </c>
      <c r="SF283" s="18"/>
      <c r="SX283">
        <v>0</v>
      </c>
      <c r="UI283" s="16">
        <v>0</v>
      </c>
      <c r="UJ283" s="16">
        <v>0</v>
      </c>
      <c r="UK283" s="16"/>
      <c r="UL283" s="16"/>
      <c r="UM283" s="16"/>
      <c r="UN283" s="16"/>
      <c r="UO283" s="16"/>
      <c r="UP283" s="16"/>
      <c r="UQ283" s="16"/>
      <c r="UR283" s="16"/>
      <c r="US283" s="16"/>
      <c r="UT283" s="16">
        <v>0</v>
      </c>
      <c r="UU283" s="16">
        <v>0</v>
      </c>
      <c r="UV283" s="16"/>
      <c r="UW283" s="16"/>
      <c r="UX283" s="16">
        <v>0</v>
      </c>
      <c r="UY283" s="16">
        <v>0</v>
      </c>
      <c r="UZ283" s="16">
        <v>1.44</v>
      </c>
      <c r="VA283">
        <v>0</v>
      </c>
      <c r="VB283" t="s">
        <v>835</v>
      </c>
      <c r="VC283">
        <v>19</v>
      </c>
      <c r="VD283" s="16">
        <v>73.2</v>
      </c>
      <c r="VE283" s="16">
        <v>83.4</v>
      </c>
      <c r="VF283" s="16">
        <v>11.1</v>
      </c>
      <c r="VG283">
        <v>92.58</v>
      </c>
      <c r="VH283">
        <v>0</v>
      </c>
      <c r="VI283">
        <v>1.25</v>
      </c>
      <c r="VJ283">
        <v>0</v>
      </c>
      <c r="VK283">
        <v>5.34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4.7699999999999996</v>
      </c>
      <c r="VS283">
        <v>22.03</v>
      </c>
      <c r="VT283">
        <v>27.08</v>
      </c>
      <c r="VU283">
        <v>1.58</v>
      </c>
      <c r="VV283">
        <v>0.83</v>
      </c>
      <c r="VW283">
        <v>0</v>
      </c>
      <c r="VX283">
        <v>0</v>
      </c>
      <c r="WK283">
        <v>0.5</v>
      </c>
      <c r="WL283">
        <v>1</v>
      </c>
      <c r="WM283">
        <v>35</v>
      </c>
      <c r="WN283">
        <v>4</v>
      </c>
      <c r="WO283">
        <v>0.1</v>
      </c>
      <c r="WP283">
        <v>3</v>
      </c>
      <c r="WW283" s="18"/>
      <c r="XO283">
        <v>1</v>
      </c>
      <c r="XP283">
        <v>40</v>
      </c>
      <c r="XQ283">
        <v>1</v>
      </c>
      <c r="XR283">
        <v>1.25</v>
      </c>
      <c r="XS283">
        <v>3</v>
      </c>
      <c r="XT283">
        <v>50</v>
      </c>
      <c r="XU283">
        <v>1</v>
      </c>
      <c r="XV283">
        <v>0.05</v>
      </c>
      <c r="XW283">
        <v>3</v>
      </c>
      <c r="XX283">
        <v>60</v>
      </c>
      <c r="XY283">
        <f>18+9</f>
        <v>27</v>
      </c>
      <c r="XZ283">
        <f>2.27+1.14</f>
        <v>3.41</v>
      </c>
      <c r="YA283">
        <v>3</v>
      </c>
      <c r="YZ283" s="16">
        <v>3.7</v>
      </c>
      <c r="ZA283" s="16">
        <v>1</v>
      </c>
      <c r="ZB283" s="16">
        <v>1</v>
      </c>
      <c r="ZC283" s="16"/>
      <c r="ZD283" s="16">
        <f>4+0.13+0.01+0.73+1.65+0.02</f>
        <v>6.5399999999999991</v>
      </c>
      <c r="ZE283" s="16">
        <v>2</v>
      </c>
      <c r="ZF283" s="16"/>
      <c r="ZG283" s="16">
        <f>0.18*2</f>
        <v>0.36</v>
      </c>
      <c r="ZH283" s="16"/>
      <c r="ZI283" s="16"/>
      <c r="ZJ283" s="16"/>
      <c r="ZK283" s="16">
        <v>3.32</v>
      </c>
      <c r="ZL283" s="16">
        <v>3.31</v>
      </c>
      <c r="ZM283" s="16"/>
      <c r="ZN283" s="16"/>
      <c r="ZO283" s="16">
        <v>0</v>
      </c>
      <c r="ZP283" s="16">
        <v>0</v>
      </c>
      <c r="ZQ283" s="16">
        <v>0.22</v>
      </c>
      <c r="ZR283">
        <v>0</v>
      </c>
      <c r="ZS283" t="s">
        <v>836</v>
      </c>
      <c r="ZT283">
        <v>26.5</v>
      </c>
      <c r="ZU283" s="16">
        <v>70.7</v>
      </c>
      <c r="ZV283" s="16">
        <v>83.4</v>
      </c>
      <c r="ZW283" s="16">
        <v>8.8000000000000007</v>
      </c>
      <c r="ZX283">
        <v>94.65</v>
      </c>
      <c r="ZY283">
        <v>0</v>
      </c>
      <c r="ZZ283">
        <v>0.21</v>
      </c>
      <c r="AAA283">
        <v>0</v>
      </c>
      <c r="AAB283">
        <v>4.3099999999999996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1.21</v>
      </c>
      <c r="AAJ283">
        <v>19.41</v>
      </c>
      <c r="AAK283">
        <v>20.37</v>
      </c>
      <c r="AAL283">
        <v>0.21</v>
      </c>
      <c r="AAM283">
        <v>0.83</v>
      </c>
      <c r="AAN283">
        <v>12.2</v>
      </c>
      <c r="AAO283">
        <v>1</v>
      </c>
      <c r="AAP283">
        <v>5</v>
      </c>
      <c r="AAR283">
        <v>2</v>
      </c>
      <c r="ABB283">
        <v>0</v>
      </c>
      <c r="ABC283">
        <v>0</v>
      </c>
      <c r="ABN283" s="18"/>
      <c r="ACF283">
        <v>1</v>
      </c>
      <c r="ACG283">
        <v>40</v>
      </c>
      <c r="ACH283">
        <v>1</v>
      </c>
      <c r="ACI283">
        <v>0.21</v>
      </c>
      <c r="ACJ283">
        <v>3</v>
      </c>
      <c r="ACK283">
        <v>80</v>
      </c>
      <c r="ACL283">
        <v>4</v>
      </c>
      <c r="ACM283">
        <v>0.5</v>
      </c>
      <c r="ACN283">
        <v>2</v>
      </c>
      <c r="ACO283">
        <v>60</v>
      </c>
      <c r="ACP283">
        <f>18+9</f>
        <v>27</v>
      </c>
      <c r="ACQ283">
        <f>2.27+1.14</f>
        <v>3.41</v>
      </c>
      <c r="ACR283">
        <v>2</v>
      </c>
      <c r="ADQ283" s="16">
        <v>3.54</v>
      </c>
      <c r="ADR283" s="16">
        <v>1</v>
      </c>
      <c r="ADS283" s="16">
        <v>1</v>
      </c>
      <c r="ADT283" s="16"/>
      <c r="ADU283" s="16">
        <f>4+0.73*2+1.65</f>
        <v>7.1099999999999994</v>
      </c>
      <c r="ADV283" s="16"/>
      <c r="ADW283" s="16"/>
      <c r="ADX283" s="16"/>
      <c r="ADY283" s="16"/>
      <c r="ADZ283" s="16"/>
      <c r="AEA283" s="16"/>
      <c r="AEB283" s="16">
        <v>1.47</v>
      </c>
      <c r="AEC283" s="16">
        <v>1.47</v>
      </c>
      <c r="AED283" s="16"/>
      <c r="AEE283" s="16"/>
      <c r="AEF283" s="16">
        <v>0</v>
      </c>
      <c r="AEG283" s="16">
        <v>0</v>
      </c>
      <c r="AEH283" s="16">
        <v>0.22</v>
      </c>
      <c r="AEI283">
        <v>0</v>
      </c>
      <c r="AEJ283" t="s">
        <v>841</v>
      </c>
      <c r="AEK283">
        <v>18.5</v>
      </c>
      <c r="AEL283" s="16">
        <v>91.6</v>
      </c>
      <c r="AEM283" s="16">
        <v>83.4</v>
      </c>
      <c r="AEN283" s="16">
        <v>7.5</v>
      </c>
      <c r="AEO283">
        <v>96.33</v>
      </c>
      <c r="AEP283">
        <v>0</v>
      </c>
      <c r="AEQ283">
        <v>0</v>
      </c>
      <c r="AER283">
        <v>0</v>
      </c>
      <c r="AES283">
        <v>3.67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3.67</v>
      </c>
      <c r="AFA283">
        <v>45.98</v>
      </c>
      <c r="AFB283">
        <v>17.899999999999999</v>
      </c>
      <c r="AFC283">
        <v>0</v>
      </c>
      <c r="AFD283">
        <v>0</v>
      </c>
      <c r="AFE283">
        <v>0</v>
      </c>
      <c r="AFF283">
        <v>0</v>
      </c>
      <c r="AFS283">
        <v>0</v>
      </c>
      <c r="AFT283">
        <v>0</v>
      </c>
      <c r="AGE283" s="18"/>
      <c r="AGW283">
        <v>0</v>
      </c>
      <c r="AHA283">
        <v>1</v>
      </c>
      <c r="AHB283">
        <v>50</v>
      </c>
      <c r="AHC283">
        <v>1</v>
      </c>
      <c r="AHD283">
        <v>0.04</v>
      </c>
      <c r="AHE283">
        <v>3</v>
      </c>
      <c r="AIH283" s="16">
        <v>1.44</v>
      </c>
      <c r="AII283" s="16">
        <v>1</v>
      </c>
      <c r="AIJ283" s="16">
        <v>1</v>
      </c>
      <c r="AIK283" s="16"/>
      <c r="AIL283" s="16">
        <f>1.65+0.18*2+9.17</f>
        <v>11.18</v>
      </c>
      <c r="AIM283" s="16"/>
      <c r="AIN283" s="16"/>
      <c r="AIO283" s="16"/>
      <c r="AIP283" s="16"/>
      <c r="AIQ283" s="16"/>
      <c r="AIR283" s="16"/>
      <c r="AIS283" s="16">
        <v>5.88</v>
      </c>
      <c r="AIT283" s="16">
        <v>13.5</v>
      </c>
      <c r="AIU283" s="16"/>
      <c r="AIV283" s="16"/>
      <c r="AIW283" s="16">
        <v>3.6</v>
      </c>
      <c r="AIX283" s="16">
        <v>1.1000000000000001</v>
      </c>
      <c r="AIY283" s="16">
        <v>0</v>
      </c>
      <c r="AIZ283">
        <v>0</v>
      </c>
      <c r="AJA283" t="s">
        <v>837</v>
      </c>
      <c r="AJB283">
        <v>30.5</v>
      </c>
      <c r="AJC283" s="16">
        <v>92</v>
      </c>
      <c r="AJD283" s="16">
        <v>83.4</v>
      </c>
      <c r="AJE283" s="16">
        <v>5.9</v>
      </c>
      <c r="AJF283">
        <v>98.99</v>
      </c>
      <c r="AJG283">
        <v>1.01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2.66</v>
      </c>
      <c r="AJR283">
        <v>46.99</v>
      </c>
      <c r="AJS283">
        <v>16.89</v>
      </c>
      <c r="AJT283">
        <v>0</v>
      </c>
      <c r="AJU283">
        <v>0</v>
      </c>
      <c r="AJV283">
        <v>0</v>
      </c>
      <c r="AJW283">
        <v>0</v>
      </c>
      <c r="AKJ283">
        <v>0</v>
      </c>
      <c r="AKK283">
        <v>0</v>
      </c>
      <c r="AKV283" s="18"/>
      <c r="ALN283">
        <v>0</v>
      </c>
    </row>
    <row r="284" spans="1:1018" x14ac:dyDescent="0.2">
      <c r="A284" s="1" t="s">
        <v>847</v>
      </c>
      <c r="B284" s="12">
        <v>42908</v>
      </c>
      <c r="C284">
        <v>1</v>
      </c>
      <c r="D284" s="13">
        <v>42804</v>
      </c>
      <c r="E284" s="12">
        <v>31293</v>
      </c>
      <c r="F284" s="14">
        <f t="shared" si="106"/>
        <v>31.800136892539356</v>
      </c>
      <c r="G284" s="14">
        <f t="shared" si="107"/>
        <v>0.28473648186173856</v>
      </c>
      <c r="H284" s="19" t="s">
        <v>306</v>
      </c>
      <c r="I284" s="15" t="s">
        <v>832</v>
      </c>
      <c r="J284" s="15" t="s">
        <v>181</v>
      </c>
      <c r="K284" s="15">
        <v>4</v>
      </c>
      <c r="L284" s="19">
        <v>62</v>
      </c>
      <c r="M284">
        <v>1.65</v>
      </c>
      <c r="N284" s="16">
        <f t="shared" si="108"/>
        <v>22.77318640955005</v>
      </c>
      <c r="O284" s="19">
        <v>0</v>
      </c>
      <c r="P284" s="19">
        <v>0</v>
      </c>
      <c r="Q284" s="19">
        <v>0</v>
      </c>
      <c r="R284" s="26">
        <v>0</v>
      </c>
      <c r="S284" s="26">
        <v>0</v>
      </c>
      <c r="T284" s="26">
        <v>0</v>
      </c>
      <c r="U284" s="19">
        <v>1</v>
      </c>
      <c r="V284" s="19">
        <v>5</v>
      </c>
      <c r="W284" s="19">
        <v>1</v>
      </c>
      <c r="X284" s="19">
        <v>0</v>
      </c>
      <c r="Y284" s="19">
        <v>1</v>
      </c>
      <c r="Z284" s="19">
        <v>1</v>
      </c>
      <c r="AA284" s="19">
        <v>120</v>
      </c>
      <c r="AB284" s="19" t="s">
        <v>848</v>
      </c>
      <c r="AC284" s="19">
        <v>0</v>
      </c>
      <c r="AD284" s="19">
        <v>0</v>
      </c>
      <c r="AE284" s="19">
        <v>1</v>
      </c>
      <c r="AF284" s="19">
        <v>0</v>
      </c>
      <c r="AG284" s="19">
        <v>0</v>
      </c>
      <c r="AH284" s="19">
        <v>0</v>
      </c>
      <c r="AI284" s="19">
        <v>1</v>
      </c>
      <c r="AJ284" s="19">
        <v>0</v>
      </c>
      <c r="AK284" s="19">
        <v>0</v>
      </c>
      <c r="AL284" s="19">
        <v>0</v>
      </c>
      <c r="AM284" s="26">
        <v>0</v>
      </c>
      <c r="AN284" s="19">
        <v>0</v>
      </c>
      <c r="AO284" s="19">
        <v>0</v>
      </c>
      <c r="AP284" s="19">
        <v>0</v>
      </c>
      <c r="AQ284" s="19">
        <v>0</v>
      </c>
      <c r="AR284" s="19">
        <v>0</v>
      </c>
      <c r="AS284" s="19">
        <v>1</v>
      </c>
      <c r="AT284" s="19">
        <v>0</v>
      </c>
      <c r="AU284" s="19">
        <v>1</v>
      </c>
      <c r="AV284" s="19">
        <v>6</v>
      </c>
      <c r="AW284" s="19">
        <v>0</v>
      </c>
      <c r="AX284" s="19">
        <v>0</v>
      </c>
      <c r="AY284" s="19">
        <v>0</v>
      </c>
      <c r="AZ284" s="19">
        <v>0</v>
      </c>
      <c r="BA284" s="19">
        <v>0</v>
      </c>
      <c r="BB284" s="19">
        <v>1</v>
      </c>
      <c r="BC284" s="19">
        <v>0</v>
      </c>
      <c r="BD284" s="19">
        <v>0</v>
      </c>
      <c r="BE284" s="19">
        <v>0</v>
      </c>
      <c r="BF284" s="19">
        <v>0</v>
      </c>
      <c r="BG284" s="19">
        <v>0</v>
      </c>
      <c r="BH284" s="19">
        <v>0</v>
      </c>
      <c r="BI284" s="19">
        <v>0</v>
      </c>
      <c r="BJ284" s="19">
        <v>0</v>
      </c>
      <c r="BK284" s="19">
        <v>0</v>
      </c>
      <c r="BL284" s="19">
        <v>0</v>
      </c>
      <c r="BM284" s="19">
        <v>0</v>
      </c>
      <c r="BN284" s="19">
        <v>1</v>
      </c>
      <c r="BO284" s="19">
        <v>0</v>
      </c>
      <c r="BP284" s="19">
        <v>0</v>
      </c>
      <c r="BQ284" s="19">
        <v>0</v>
      </c>
      <c r="BR284" s="19">
        <v>2</v>
      </c>
      <c r="BS284" s="19">
        <v>2</v>
      </c>
      <c r="BT284" s="19">
        <v>2</v>
      </c>
      <c r="BU284" s="19">
        <v>4</v>
      </c>
      <c r="BV284" s="19"/>
      <c r="BW284" s="19">
        <v>2</v>
      </c>
      <c r="BX284" s="19">
        <v>3</v>
      </c>
      <c r="BY284" s="19">
        <v>3</v>
      </c>
      <c r="BZ284" s="19">
        <v>5</v>
      </c>
      <c r="CA284" s="19">
        <v>5</v>
      </c>
      <c r="CB284" s="19">
        <v>5</v>
      </c>
      <c r="CC284" s="19">
        <v>5</v>
      </c>
      <c r="CD284" s="19">
        <v>5</v>
      </c>
      <c r="CE284" s="19">
        <v>5</v>
      </c>
      <c r="CF284" s="19">
        <v>5</v>
      </c>
      <c r="CG284" s="19">
        <v>5</v>
      </c>
      <c r="CH284" s="19">
        <v>5</v>
      </c>
      <c r="CI284" s="19">
        <v>5</v>
      </c>
      <c r="CJ284" s="19">
        <v>5</v>
      </c>
      <c r="CK284" s="19">
        <v>9</v>
      </c>
      <c r="CL284" t="s">
        <v>833</v>
      </c>
      <c r="CM284">
        <v>31</v>
      </c>
      <c r="CN284" s="16">
        <v>82.6</v>
      </c>
      <c r="CO284" s="16">
        <v>83.4</v>
      </c>
      <c r="CP284" s="16">
        <v>5.7</v>
      </c>
      <c r="CQ284">
        <v>99.97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7.3</v>
      </c>
      <c r="DC284">
        <v>53.74</v>
      </c>
      <c r="DD284">
        <v>0</v>
      </c>
      <c r="DE284">
        <v>0</v>
      </c>
      <c r="DF284">
        <v>0</v>
      </c>
      <c r="DG284">
        <v>17.600000000000001</v>
      </c>
      <c r="DH284">
        <v>1</v>
      </c>
      <c r="DI284">
        <v>4.5999999999999996</v>
      </c>
      <c r="DK284">
        <v>2</v>
      </c>
      <c r="DU284">
        <v>2.4</v>
      </c>
      <c r="DV284">
        <v>0</v>
      </c>
      <c r="EG284" s="18"/>
      <c r="EY284">
        <v>1</v>
      </c>
      <c r="EZ284">
        <v>60</v>
      </c>
      <c r="FA284">
        <f>4+6+1+3+1+3</f>
        <v>18</v>
      </c>
      <c r="FB284">
        <f>0.73+2.2+0.13+0.39+0.78+0.52</f>
        <v>4.75</v>
      </c>
      <c r="FC284">
        <v>3</v>
      </c>
      <c r="FD284">
        <v>50</v>
      </c>
      <c r="FE284">
        <f>14</f>
        <v>14</v>
      </c>
      <c r="FF284">
        <f>4.4+2.94+0.52</f>
        <v>7.8599999999999994</v>
      </c>
      <c r="FG284">
        <v>3</v>
      </c>
      <c r="GJ284" s="16">
        <v>0</v>
      </c>
      <c r="GK284" s="16">
        <v>0</v>
      </c>
      <c r="GL284" s="16"/>
      <c r="GM284" s="16"/>
      <c r="GN284" s="16"/>
      <c r="GO284" s="16"/>
      <c r="GP284" s="16"/>
      <c r="GQ284" s="16"/>
      <c r="GR284" s="16"/>
      <c r="GS284" s="16"/>
      <c r="GT284" s="16"/>
      <c r="GU284" s="16">
        <v>5.21</v>
      </c>
      <c r="GV284" s="16">
        <v>2.59</v>
      </c>
      <c r="GW284" s="16"/>
      <c r="GX284" s="16"/>
      <c r="GY284" s="16">
        <v>0</v>
      </c>
      <c r="GZ284" s="16">
        <v>0</v>
      </c>
      <c r="HA284" s="16">
        <v>0</v>
      </c>
      <c r="HB284">
        <v>0</v>
      </c>
      <c r="HC284" t="s">
        <v>834</v>
      </c>
      <c r="HD284">
        <v>30.5</v>
      </c>
      <c r="HE284" s="16">
        <v>73.400000000000006</v>
      </c>
      <c r="HF284" s="16">
        <v>83.4</v>
      </c>
      <c r="HG284" s="16">
        <v>5.7</v>
      </c>
      <c r="HH284">
        <v>100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7.69</v>
      </c>
      <c r="HT284">
        <v>47.61</v>
      </c>
      <c r="HU284">
        <v>0</v>
      </c>
      <c r="HV284">
        <v>0</v>
      </c>
      <c r="HW284">
        <v>0</v>
      </c>
      <c r="HX284">
        <v>16.399999999999999</v>
      </c>
      <c r="HY284">
        <v>1</v>
      </c>
      <c r="HZ284">
        <v>4.5999999999999996</v>
      </c>
      <c r="IB284">
        <v>2</v>
      </c>
      <c r="IL284">
        <v>1.4</v>
      </c>
      <c r="IM284">
        <v>0</v>
      </c>
      <c r="IX284" s="18"/>
      <c r="JP284">
        <v>1</v>
      </c>
      <c r="JQ284">
        <v>60</v>
      </c>
      <c r="JR284">
        <v>7</v>
      </c>
      <c r="JS284">
        <f>0.73+2.2+0.39</f>
        <v>3.3200000000000003</v>
      </c>
      <c r="JT284">
        <v>3</v>
      </c>
      <c r="JU284">
        <v>50</v>
      </c>
      <c r="JV284">
        <v>10</v>
      </c>
      <c r="JW284">
        <f>4.4+2.94</f>
        <v>7.34</v>
      </c>
      <c r="LA284" s="16">
        <v>0</v>
      </c>
      <c r="LB284" s="16">
        <v>0</v>
      </c>
      <c r="LC284" s="16"/>
      <c r="LD284" s="16"/>
      <c r="LE284" s="16"/>
      <c r="LF284" s="16"/>
      <c r="LG284" s="16"/>
      <c r="LH284" s="16"/>
      <c r="LI284" s="16"/>
      <c r="LJ284" s="16"/>
      <c r="LK284" s="16"/>
      <c r="LL284" s="16">
        <v>6.95</v>
      </c>
      <c r="LM284" s="16">
        <v>10.27</v>
      </c>
      <c r="LN284" s="16"/>
      <c r="LO284" s="16"/>
      <c r="LP284" s="16">
        <v>0</v>
      </c>
      <c r="LQ284" s="16">
        <v>0</v>
      </c>
      <c r="LR284" s="16">
        <v>0</v>
      </c>
      <c r="LS284">
        <v>0</v>
      </c>
      <c r="LT284">
        <v>94</v>
      </c>
      <c r="LU284">
        <v>24.5</v>
      </c>
      <c r="LV284" s="16">
        <v>88.7</v>
      </c>
      <c r="LW284" s="16">
        <v>83.4</v>
      </c>
      <c r="LX284" s="16">
        <v>23.1</v>
      </c>
      <c r="LY284">
        <v>69.95</v>
      </c>
      <c r="LZ284">
        <v>0</v>
      </c>
      <c r="MA284">
        <v>7.16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34.04</v>
      </c>
      <c r="ML284">
        <v>20.5</v>
      </c>
      <c r="MM284">
        <v>0</v>
      </c>
      <c r="MN284">
        <v>22.9</v>
      </c>
      <c r="MO284">
        <v>0</v>
      </c>
      <c r="MP284">
        <v>0</v>
      </c>
      <c r="NC284">
        <v>0</v>
      </c>
      <c r="ND284">
        <v>0</v>
      </c>
      <c r="NO284" s="18"/>
      <c r="OG284">
        <v>0</v>
      </c>
      <c r="PR284" s="16">
        <v>0</v>
      </c>
      <c r="PS284" s="16">
        <v>0</v>
      </c>
      <c r="PT284" s="16"/>
      <c r="PU284" s="16"/>
      <c r="PV284" s="16"/>
      <c r="PW284" s="16"/>
      <c r="PX284" s="16"/>
      <c r="PY284" s="16"/>
      <c r="PZ284" s="16"/>
      <c r="QA284" s="16"/>
      <c r="QB284" s="16"/>
      <c r="QC284" s="16">
        <v>0</v>
      </c>
      <c r="QD284" s="16">
        <v>0</v>
      </c>
      <c r="QE284" s="16"/>
      <c r="QF284" s="16"/>
      <c r="QG284" s="16">
        <v>0</v>
      </c>
      <c r="QH284" s="16">
        <v>0</v>
      </c>
      <c r="QI284" s="16">
        <v>1.44</v>
      </c>
      <c r="QJ284">
        <v>0</v>
      </c>
      <c r="QK284" t="s">
        <v>835</v>
      </c>
      <c r="QL284">
        <v>19</v>
      </c>
      <c r="QM284" s="16">
        <v>73.2</v>
      </c>
      <c r="QN284" s="16">
        <v>83.4</v>
      </c>
      <c r="QO284" s="16">
        <v>11.1</v>
      </c>
      <c r="QP284">
        <v>92.58</v>
      </c>
      <c r="QQ284">
        <v>0</v>
      </c>
      <c r="QR284">
        <v>1.25</v>
      </c>
      <c r="QS284">
        <v>0</v>
      </c>
      <c r="QT284">
        <v>5.34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4.7699999999999996</v>
      </c>
      <c r="RB284">
        <v>22.03</v>
      </c>
      <c r="RC284">
        <v>27.08</v>
      </c>
      <c r="RD284">
        <v>1.58</v>
      </c>
      <c r="RE284">
        <v>0.83</v>
      </c>
      <c r="RF284">
        <v>0</v>
      </c>
      <c r="RG284">
        <v>0</v>
      </c>
      <c r="RT284">
        <v>0.5</v>
      </c>
      <c r="RU284">
        <v>1</v>
      </c>
      <c r="RV284">
        <v>35</v>
      </c>
      <c r="RW284">
        <v>4</v>
      </c>
      <c r="RX284">
        <v>0.1</v>
      </c>
      <c r="RY284">
        <v>3</v>
      </c>
      <c r="SF284" s="18"/>
      <c r="SX284">
        <v>1</v>
      </c>
      <c r="SY284">
        <v>40</v>
      </c>
      <c r="SZ284">
        <v>1</v>
      </c>
      <c r="TA284">
        <v>1.25</v>
      </c>
      <c r="TB284">
        <v>3</v>
      </c>
      <c r="TC284">
        <v>50</v>
      </c>
      <c r="TD284">
        <v>1</v>
      </c>
      <c r="TE284">
        <v>0.05</v>
      </c>
      <c r="TF284">
        <v>3</v>
      </c>
      <c r="TG284">
        <v>60</v>
      </c>
      <c r="TH284">
        <f>18+9</f>
        <v>27</v>
      </c>
      <c r="TI284">
        <f>2.27+1.14</f>
        <v>3.41</v>
      </c>
      <c r="TJ284">
        <v>3</v>
      </c>
      <c r="UI284" s="16">
        <v>3.7</v>
      </c>
      <c r="UJ284" s="16">
        <v>1</v>
      </c>
      <c r="UK284" s="16">
        <v>1</v>
      </c>
      <c r="UL284" s="16"/>
      <c r="UM284" s="16">
        <f>4+0.13+0.01+0.73+1.65+0.02</f>
        <v>6.5399999999999991</v>
      </c>
      <c r="UN284" s="16">
        <v>2</v>
      </c>
      <c r="UO284" s="16"/>
      <c r="UP284" s="16">
        <f>0.18*2</f>
        <v>0.36</v>
      </c>
      <c r="UQ284" s="16"/>
      <c r="UR284" s="16"/>
      <c r="US284" s="16"/>
      <c r="UT284" s="16">
        <v>3.32</v>
      </c>
      <c r="UU284" s="16">
        <v>3.31</v>
      </c>
      <c r="UV284" s="16"/>
      <c r="UW284" s="16"/>
      <c r="UX284" s="16">
        <v>0</v>
      </c>
      <c r="UY284" s="16">
        <v>0</v>
      </c>
      <c r="UZ284" s="16">
        <v>0.22</v>
      </c>
      <c r="VA284">
        <v>0</v>
      </c>
      <c r="VB284" t="s">
        <v>836</v>
      </c>
      <c r="VC284">
        <v>26.5</v>
      </c>
      <c r="VD284" s="16">
        <v>70.7</v>
      </c>
      <c r="VE284" s="16">
        <v>83.4</v>
      </c>
      <c r="VF284" s="16">
        <v>8.8000000000000007</v>
      </c>
      <c r="VG284">
        <v>94.65</v>
      </c>
      <c r="VH284">
        <v>0</v>
      </c>
      <c r="VI284">
        <v>0.21</v>
      </c>
      <c r="VJ284">
        <v>0</v>
      </c>
      <c r="VK284">
        <v>4.3099999999999996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1.21</v>
      </c>
      <c r="VS284">
        <v>19.41</v>
      </c>
      <c r="VT284">
        <v>20.37</v>
      </c>
      <c r="VU284">
        <v>0.21</v>
      </c>
      <c r="VV284">
        <v>0.83</v>
      </c>
      <c r="VW284">
        <v>12.2</v>
      </c>
      <c r="VX284">
        <v>1</v>
      </c>
      <c r="VY284">
        <v>5</v>
      </c>
      <c r="WA284">
        <v>2</v>
      </c>
      <c r="WK284">
        <v>0</v>
      </c>
      <c r="WL284">
        <v>0</v>
      </c>
      <c r="WW284" s="18"/>
      <c r="XO284">
        <v>1</v>
      </c>
      <c r="XP284">
        <v>40</v>
      </c>
      <c r="XQ284">
        <v>1</v>
      </c>
      <c r="XR284">
        <v>0.21</v>
      </c>
      <c r="XS284">
        <v>3</v>
      </c>
      <c r="XT284">
        <v>80</v>
      </c>
      <c r="XU284">
        <v>4</v>
      </c>
      <c r="XV284">
        <v>0.5</v>
      </c>
      <c r="XW284">
        <v>2</v>
      </c>
      <c r="XX284">
        <v>60</v>
      </c>
      <c r="XY284">
        <f>18+9</f>
        <v>27</v>
      </c>
      <c r="XZ284">
        <f>2.27+1.14</f>
        <v>3.41</v>
      </c>
      <c r="YA284">
        <v>2</v>
      </c>
      <c r="YZ284" s="16">
        <v>3.54</v>
      </c>
      <c r="ZA284" s="16">
        <v>1</v>
      </c>
      <c r="ZB284" s="16">
        <v>1</v>
      </c>
      <c r="ZC284" s="16"/>
      <c r="ZD284" s="16">
        <f>4+0.73*2+1.65</f>
        <v>7.1099999999999994</v>
      </c>
      <c r="ZE284" s="16"/>
      <c r="ZF284" s="16"/>
      <c r="ZG284" s="16"/>
      <c r="ZH284" s="16"/>
      <c r="ZI284" s="16"/>
      <c r="ZJ284" s="16"/>
      <c r="ZK284" s="16">
        <v>1.47</v>
      </c>
      <c r="ZL284" s="16">
        <v>1.47</v>
      </c>
      <c r="ZM284" s="16"/>
      <c r="ZN284" s="16"/>
      <c r="ZO284" s="16">
        <v>0</v>
      </c>
      <c r="ZP284" s="16">
        <v>0</v>
      </c>
      <c r="ZQ284" s="16">
        <v>0.22</v>
      </c>
      <c r="ZR284">
        <v>0</v>
      </c>
      <c r="ZS284" t="s">
        <v>837</v>
      </c>
      <c r="ZT284">
        <v>30.5</v>
      </c>
      <c r="ZU284" s="16">
        <v>92</v>
      </c>
      <c r="ZV284" s="16">
        <v>83.4</v>
      </c>
      <c r="ZW284" s="16">
        <v>5.9</v>
      </c>
      <c r="ZX284">
        <v>98.99</v>
      </c>
      <c r="ZY284">
        <v>1.01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2.66</v>
      </c>
      <c r="AAJ284">
        <v>46.99</v>
      </c>
      <c r="AAK284">
        <v>16.89</v>
      </c>
      <c r="AAL284">
        <v>0</v>
      </c>
      <c r="AAM284">
        <v>0</v>
      </c>
      <c r="AAN284">
        <v>0</v>
      </c>
      <c r="AAO284">
        <v>0</v>
      </c>
      <c r="ABB284">
        <v>0</v>
      </c>
      <c r="ABC284">
        <v>0</v>
      </c>
      <c r="ABN284" s="18"/>
      <c r="ACF284">
        <v>0</v>
      </c>
      <c r="ADQ284" s="16">
        <v>8</v>
      </c>
      <c r="ADR284" s="16">
        <v>1</v>
      </c>
      <c r="ADS284" s="16">
        <v>1</v>
      </c>
      <c r="ADT284" s="16"/>
      <c r="ADU284" s="16">
        <f>1.65+0.18*2+9.17</f>
        <v>11.18</v>
      </c>
      <c r="ADV284" s="16"/>
      <c r="ADW284" s="16"/>
      <c r="ADX284" s="16"/>
      <c r="ADY284" s="16"/>
      <c r="ADZ284" s="16"/>
      <c r="AEA284" s="16"/>
      <c r="AEB284" s="16">
        <v>6.16</v>
      </c>
      <c r="AEC284" s="16">
        <v>16.16</v>
      </c>
      <c r="AED284" s="16"/>
      <c r="AEE284" s="16"/>
      <c r="AEF284" s="16">
        <v>10</v>
      </c>
      <c r="AEG284" s="16">
        <v>1.1000000000000001</v>
      </c>
      <c r="AEH284" s="16">
        <v>0</v>
      </c>
      <c r="AEI284">
        <v>1</v>
      </c>
      <c r="AEJ284" t="s">
        <v>838</v>
      </c>
      <c r="AEK284">
        <v>47.5</v>
      </c>
      <c r="AEL284" s="16">
        <v>86.8</v>
      </c>
      <c r="AEM284" s="16">
        <v>83.4</v>
      </c>
      <c r="AEN284" s="16">
        <v>26.7</v>
      </c>
      <c r="AEO284">
        <v>65.11</v>
      </c>
      <c r="AEP284">
        <v>0</v>
      </c>
      <c r="AEQ284">
        <v>2.75</v>
      </c>
      <c r="AER284">
        <v>0</v>
      </c>
      <c r="AES284">
        <v>32.14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24.37</v>
      </c>
      <c r="AFB284">
        <v>6.53</v>
      </c>
      <c r="AFC284">
        <v>31.2</v>
      </c>
      <c r="AFD284">
        <v>0</v>
      </c>
      <c r="AFE284">
        <v>13</v>
      </c>
      <c r="AFF284">
        <v>1</v>
      </c>
      <c r="AFG284">
        <v>7</v>
      </c>
      <c r="AFI284">
        <v>2</v>
      </c>
      <c r="AFS284">
        <v>0</v>
      </c>
      <c r="AFT284">
        <v>0</v>
      </c>
      <c r="AGE284" s="18"/>
      <c r="AGW284">
        <v>0</v>
      </c>
      <c r="AIH284" s="16">
        <v>2.27</v>
      </c>
      <c r="AII284" s="16">
        <v>1</v>
      </c>
      <c r="AIJ284" s="16">
        <v>1</v>
      </c>
      <c r="AIK284" s="16"/>
      <c r="AIL284" s="16">
        <f>3.3*3+0.36*4</f>
        <v>11.339999999999998</v>
      </c>
      <c r="AIM284" s="16"/>
      <c r="AIN284" s="16"/>
      <c r="AIO284" s="16"/>
      <c r="AIP284" s="16"/>
      <c r="AIQ284" s="16"/>
      <c r="AIR284" s="16"/>
      <c r="AIS284" s="16">
        <v>5.24</v>
      </c>
      <c r="AIT284" s="16">
        <v>7.31</v>
      </c>
      <c r="AIU284" s="16"/>
      <c r="AIV284" s="16"/>
      <c r="AIW284" s="16">
        <v>0</v>
      </c>
      <c r="AIX284" s="16">
        <v>0</v>
      </c>
      <c r="AIY284" s="16">
        <v>0</v>
      </c>
      <c r="AIZ284">
        <v>0</v>
      </c>
      <c r="AJA284" t="s">
        <v>839</v>
      </c>
      <c r="AJB284">
        <v>48</v>
      </c>
      <c r="AJC284" s="16">
        <v>84.6</v>
      </c>
      <c r="AJD284" s="16">
        <v>83.4</v>
      </c>
      <c r="AJE284" s="16">
        <v>5.9</v>
      </c>
      <c r="AJF284">
        <v>36.31</v>
      </c>
      <c r="AJG284">
        <v>0</v>
      </c>
      <c r="AJH284">
        <v>0</v>
      </c>
      <c r="AJI284">
        <v>0</v>
      </c>
      <c r="AJJ284">
        <v>63.69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2.5299999999999998</v>
      </c>
      <c r="AJR284">
        <v>8.33</v>
      </c>
      <c r="AJS284">
        <v>27.3</v>
      </c>
      <c r="AJT284">
        <v>39.369999999999997</v>
      </c>
      <c r="AJU284">
        <v>0</v>
      </c>
      <c r="AJV284">
        <v>0</v>
      </c>
      <c r="AJW284">
        <v>0</v>
      </c>
      <c r="AKJ284">
        <v>0</v>
      </c>
      <c r="AKK284">
        <v>0</v>
      </c>
      <c r="AKV284" s="18"/>
      <c r="ALN284">
        <v>0</v>
      </c>
    </row>
    <row r="285" spans="1:1018" x14ac:dyDescent="0.2">
      <c r="A285" s="1" t="s">
        <v>849</v>
      </c>
      <c r="B285" s="12">
        <v>42908</v>
      </c>
      <c r="C285">
        <v>2</v>
      </c>
      <c r="D285" s="13">
        <v>42804</v>
      </c>
      <c r="E285" s="12">
        <v>42767</v>
      </c>
      <c r="F285" s="14">
        <f t="shared" si="106"/>
        <v>0.38603696098562629</v>
      </c>
      <c r="G285" s="14">
        <f t="shared" si="107"/>
        <v>0.28473648186173856</v>
      </c>
      <c r="H285" s="19" t="s">
        <v>306</v>
      </c>
      <c r="I285" s="15" t="s">
        <v>832</v>
      </c>
      <c r="J285" s="15" t="s">
        <v>181</v>
      </c>
      <c r="K285" s="15">
        <v>4</v>
      </c>
      <c r="L285" s="19">
        <v>99.8</v>
      </c>
      <c r="M285">
        <v>1.74</v>
      </c>
      <c r="N285" s="16">
        <f t="shared" si="108"/>
        <v>32.963403355793368</v>
      </c>
      <c r="O285" s="19">
        <v>0</v>
      </c>
      <c r="P285" s="19">
        <v>0</v>
      </c>
      <c r="Q285" s="19">
        <v>0</v>
      </c>
      <c r="R285" s="26">
        <v>0</v>
      </c>
      <c r="S285" s="26">
        <v>0</v>
      </c>
      <c r="T285" s="26">
        <v>0</v>
      </c>
      <c r="U285" s="26">
        <v>0</v>
      </c>
      <c r="V285" s="26">
        <v>0</v>
      </c>
      <c r="W285" s="19">
        <v>0</v>
      </c>
      <c r="X285" s="19">
        <v>0</v>
      </c>
      <c r="Y285" s="19">
        <v>1</v>
      </c>
      <c r="Z285" s="19">
        <v>3</v>
      </c>
      <c r="AA285" s="19">
        <v>120</v>
      </c>
      <c r="AB285" s="19" t="s">
        <v>850</v>
      </c>
      <c r="AC285" s="19">
        <v>0</v>
      </c>
      <c r="AD285" s="19">
        <v>0</v>
      </c>
      <c r="AE285" s="19">
        <v>0</v>
      </c>
      <c r="AF285" s="19">
        <v>0</v>
      </c>
      <c r="AG285" s="19">
        <v>0</v>
      </c>
      <c r="AH285" s="19">
        <v>0</v>
      </c>
      <c r="AI285" s="19">
        <v>0</v>
      </c>
      <c r="AJ285" s="19">
        <v>0</v>
      </c>
      <c r="AK285" s="19">
        <v>0</v>
      </c>
      <c r="AL285" s="19">
        <v>0</v>
      </c>
      <c r="AM285" s="26">
        <v>0</v>
      </c>
      <c r="AN285" s="19"/>
      <c r="AO285" s="19"/>
      <c r="AP285" s="19"/>
      <c r="AQ285" s="19"/>
      <c r="AR285" s="19"/>
      <c r="AS285" s="19">
        <v>0</v>
      </c>
      <c r="AT285" s="19">
        <v>0</v>
      </c>
      <c r="AU285" s="19">
        <v>0</v>
      </c>
      <c r="AV285" s="19">
        <v>0</v>
      </c>
      <c r="AW285" s="19">
        <v>0</v>
      </c>
      <c r="AX285" s="19">
        <v>0</v>
      </c>
      <c r="AY285" s="19">
        <v>0</v>
      </c>
      <c r="AZ285" s="19">
        <v>0</v>
      </c>
      <c r="BA285" s="19">
        <v>0</v>
      </c>
      <c r="BB285" s="19">
        <v>0</v>
      </c>
      <c r="BC285" s="19">
        <v>0</v>
      </c>
      <c r="BD285" s="19">
        <v>0</v>
      </c>
      <c r="BE285" s="19">
        <v>0</v>
      </c>
      <c r="BF285" s="19">
        <v>0</v>
      </c>
      <c r="BG285" s="19">
        <v>0</v>
      </c>
      <c r="BH285" s="19">
        <v>0</v>
      </c>
      <c r="BI285" s="19">
        <v>0</v>
      </c>
      <c r="BJ285" s="19">
        <v>0</v>
      </c>
      <c r="BK285" s="19">
        <v>0</v>
      </c>
      <c r="BL285" s="19">
        <v>0</v>
      </c>
      <c r="BM285" s="19">
        <v>0</v>
      </c>
      <c r="BN285" s="19">
        <v>0</v>
      </c>
      <c r="BO285" s="19">
        <v>0</v>
      </c>
      <c r="BP285" s="19">
        <v>0</v>
      </c>
      <c r="BQ285" s="19">
        <v>0</v>
      </c>
      <c r="BR285" s="19">
        <v>1</v>
      </c>
      <c r="BS285" s="19">
        <v>2</v>
      </c>
      <c r="BT285" s="19">
        <v>2</v>
      </c>
      <c r="BU285" s="19">
        <v>4</v>
      </c>
      <c r="BV285" s="19">
        <v>2</v>
      </c>
      <c r="BW285" s="19">
        <v>1</v>
      </c>
      <c r="BX285" s="19">
        <v>2</v>
      </c>
      <c r="BY285" s="19">
        <v>3</v>
      </c>
      <c r="BZ285" s="19">
        <v>5</v>
      </c>
      <c r="CA285" s="19">
        <v>5</v>
      </c>
      <c r="CB285" s="19">
        <v>5</v>
      </c>
      <c r="CC285" s="19">
        <v>5</v>
      </c>
      <c r="CD285" s="19">
        <v>4</v>
      </c>
      <c r="CE285" s="19">
        <v>5</v>
      </c>
      <c r="CF285" s="19">
        <v>5</v>
      </c>
      <c r="CG285" s="19">
        <v>5</v>
      </c>
      <c r="CH285" s="19">
        <v>5</v>
      </c>
      <c r="CI285" s="19">
        <v>5</v>
      </c>
      <c r="CJ285" s="19">
        <v>5</v>
      </c>
      <c r="CK285" s="19">
        <v>9</v>
      </c>
      <c r="CL285" t="s">
        <v>833</v>
      </c>
      <c r="CM285">
        <v>31</v>
      </c>
      <c r="CN285" s="16">
        <v>82.6</v>
      </c>
      <c r="CO285" s="16">
        <v>83.4</v>
      </c>
      <c r="CP285" s="16">
        <v>5.7</v>
      </c>
      <c r="CQ285">
        <v>99.97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7.3</v>
      </c>
      <c r="DC285">
        <v>53.74</v>
      </c>
      <c r="DD285">
        <v>0</v>
      </c>
      <c r="DE285">
        <v>0</v>
      </c>
      <c r="DF285">
        <v>0</v>
      </c>
      <c r="DG285">
        <v>17.600000000000001</v>
      </c>
      <c r="DH285">
        <v>1</v>
      </c>
      <c r="DI285">
        <v>4.5999999999999996</v>
      </c>
      <c r="DK285">
        <v>2</v>
      </c>
      <c r="DU285">
        <v>2.4</v>
      </c>
      <c r="DV285">
        <v>0</v>
      </c>
      <c r="EG285" s="18"/>
      <c r="EY285">
        <v>1</v>
      </c>
      <c r="EZ285">
        <v>60</v>
      </c>
      <c r="FA285">
        <f>4+6+1+3+1+3</f>
        <v>18</v>
      </c>
      <c r="FB285">
        <f>0.73+2.2+0.13+0.39+0.78+0.52</f>
        <v>4.75</v>
      </c>
      <c r="FC285">
        <v>3</v>
      </c>
      <c r="FD285">
        <v>50</v>
      </c>
      <c r="FE285">
        <f>14</f>
        <v>14</v>
      </c>
      <c r="FF285">
        <f>4.4+2.94+0.52</f>
        <v>7.8599999999999994</v>
      </c>
      <c r="FG285">
        <v>3</v>
      </c>
      <c r="GJ285" s="16">
        <v>0</v>
      </c>
      <c r="GK285" s="16">
        <v>0</v>
      </c>
      <c r="GL285" s="16"/>
      <c r="GM285" s="16"/>
      <c r="GN285" s="16"/>
      <c r="GO285" s="16"/>
      <c r="GP285" s="16"/>
      <c r="GQ285" s="16"/>
      <c r="GR285" s="16"/>
      <c r="GS285" s="16"/>
      <c r="GT285" s="16"/>
      <c r="GU285" s="16">
        <v>5.21</v>
      </c>
      <c r="GV285" s="16">
        <v>2.59</v>
      </c>
      <c r="GW285" s="16"/>
      <c r="GX285" s="16"/>
      <c r="GY285" s="16">
        <v>0</v>
      </c>
      <c r="GZ285" s="16">
        <v>0</v>
      </c>
      <c r="HA285" s="16">
        <v>0</v>
      </c>
      <c r="HB285">
        <v>0</v>
      </c>
      <c r="HC285" t="s">
        <v>834</v>
      </c>
      <c r="HD285">
        <v>30.5</v>
      </c>
      <c r="HE285" s="16">
        <v>73.400000000000006</v>
      </c>
      <c r="HF285" s="16">
        <v>83.4</v>
      </c>
      <c r="HG285" s="16">
        <v>5.7</v>
      </c>
      <c r="HH285">
        <v>100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7.69</v>
      </c>
      <c r="HT285">
        <v>47.61</v>
      </c>
      <c r="HU285">
        <v>0</v>
      </c>
      <c r="HV285">
        <v>0</v>
      </c>
      <c r="HW285">
        <v>0</v>
      </c>
      <c r="HX285">
        <v>16.399999999999999</v>
      </c>
      <c r="HY285">
        <v>1</v>
      </c>
      <c r="HZ285">
        <v>4.5999999999999996</v>
      </c>
      <c r="IB285">
        <v>2</v>
      </c>
      <c r="IL285">
        <v>1.4</v>
      </c>
      <c r="IM285">
        <v>0</v>
      </c>
      <c r="IX285" s="18"/>
      <c r="JP285">
        <v>1</v>
      </c>
      <c r="JQ285">
        <v>60</v>
      </c>
      <c r="JR285">
        <v>7</v>
      </c>
      <c r="JS285">
        <f>0.73+2.2+0.39</f>
        <v>3.3200000000000003</v>
      </c>
      <c r="JT285">
        <v>3</v>
      </c>
      <c r="JU285">
        <v>50</v>
      </c>
      <c r="JV285">
        <v>10</v>
      </c>
      <c r="JW285">
        <f>4.4+2.94</f>
        <v>7.34</v>
      </c>
      <c r="LA285" s="16">
        <v>0</v>
      </c>
      <c r="LB285" s="16">
        <v>0</v>
      </c>
      <c r="LC285" s="16"/>
      <c r="LD285" s="16"/>
      <c r="LE285" s="16"/>
      <c r="LF285" s="16"/>
      <c r="LG285" s="16"/>
      <c r="LH285" s="16"/>
      <c r="LI285" s="16"/>
      <c r="LJ285" s="16"/>
      <c r="LK285" s="16"/>
      <c r="LL285" s="16">
        <v>6.95</v>
      </c>
      <c r="LM285" s="16">
        <v>10.27</v>
      </c>
      <c r="LN285" s="16"/>
      <c r="LO285" s="16"/>
      <c r="LP285" s="16">
        <v>0</v>
      </c>
      <c r="LQ285" s="16">
        <v>0</v>
      </c>
      <c r="LR285" s="16">
        <v>0</v>
      </c>
      <c r="LS285">
        <v>0</v>
      </c>
      <c r="LT285">
        <v>94</v>
      </c>
      <c r="LU285">
        <v>24.5</v>
      </c>
      <c r="LV285" s="16">
        <v>88.7</v>
      </c>
      <c r="LW285" s="16">
        <v>83.4</v>
      </c>
      <c r="LX285" s="16">
        <v>23.1</v>
      </c>
      <c r="LY285">
        <v>69.95</v>
      </c>
      <c r="LZ285">
        <v>0</v>
      </c>
      <c r="MA285">
        <v>7.16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34.04</v>
      </c>
      <c r="ML285">
        <v>20.5</v>
      </c>
      <c r="MM285">
        <v>0</v>
      </c>
      <c r="MN285">
        <v>22.9</v>
      </c>
      <c r="MO285">
        <v>0</v>
      </c>
      <c r="MP285">
        <v>0</v>
      </c>
      <c r="NC285">
        <v>0</v>
      </c>
      <c r="ND285">
        <v>0</v>
      </c>
      <c r="NO285" s="18"/>
      <c r="OG285">
        <v>0</v>
      </c>
      <c r="PR285" s="16">
        <v>0</v>
      </c>
      <c r="PS285" s="16">
        <v>0</v>
      </c>
      <c r="PT285" s="16"/>
      <c r="PU285" s="16"/>
      <c r="PV285" s="16"/>
      <c r="PW285" s="16"/>
      <c r="PX285" s="16"/>
      <c r="PY285" s="16"/>
      <c r="PZ285" s="16"/>
      <c r="QA285" s="16"/>
      <c r="QB285" s="16"/>
      <c r="QC285" s="16">
        <v>0</v>
      </c>
      <c r="QD285" s="16">
        <v>0</v>
      </c>
      <c r="QE285" s="16"/>
      <c r="QF285" s="16"/>
      <c r="QG285" s="16">
        <v>0</v>
      </c>
      <c r="QH285" s="16">
        <v>0</v>
      </c>
      <c r="QI285" s="16">
        <v>1.44</v>
      </c>
      <c r="QJ285">
        <v>0</v>
      </c>
      <c r="QK285" t="s">
        <v>835</v>
      </c>
      <c r="QL285">
        <v>19</v>
      </c>
      <c r="QM285" s="16">
        <v>73.2</v>
      </c>
      <c r="QN285" s="16">
        <v>83.4</v>
      </c>
      <c r="QO285" s="16">
        <v>11.1</v>
      </c>
      <c r="QP285">
        <v>92.58</v>
      </c>
      <c r="QQ285">
        <v>0</v>
      </c>
      <c r="QR285">
        <v>1.25</v>
      </c>
      <c r="QS285">
        <v>0</v>
      </c>
      <c r="QT285">
        <v>5.34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4.7699999999999996</v>
      </c>
      <c r="RB285">
        <v>22.03</v>
      </c>
      <c r="RC285">
        <v>27.08</v>
      </c>
      <c r="RD285">
        <v>1.58</v>
      </c>
      <c r="RE285">
        <v>0.83</v>
      </c>
      <c r="RF285">
        <v>0</v>
      </c>
      <c r="RG285">
        <v>0</v>
      </c>
      <c r="RT285">
        <v>0.5</v>
      </c>
      <c r="RU285">
        <v>1</v>
      </c>
      <c r="RV285">
        <v>35</v>
      </c>
      <c r="RW285">
        <v>4</v>
      </c>
      <c r="RX285">
        <v>0.1</v>
      </c>
      <c r="RY285">
        <v>3</v>
      </c>
      <c r="SF285" s="18"/>
      <c r="SX285">
        <v>1</v>
      </c>
      <c r="SY285">
        <v>40</v>
      </c>
      <c r="SZ285">
        <v>1</v>
      </c>
      <c r="TA285">
        <v>1.25</v>
      </c>
      <c r="TB285">
        <v>3</v>
      </c>
      <c r="TC285">
        <v>50</v>
      </c>
      <c r="TD285">
        <v>1</v>
      </c>
      <c r="TE285">
        <v>0.05</v>
      </c>
      <c r="TF285">
        <v>3</v>
      </c>
      <c r="TG285">
        <v>60</v>
      </c>
      <c r="TH285">
        <f>18+9</f>
        <v>27</v>
      </c>
      <c r="TI285">
        <f>2.27+1.14</f>
        <v>3.41</v>
      </c>
      <c r="TJ285">
        <v>3</v>
      </c>
      <c r="UI285" s="16">
        <v>3.7</v>
      </c>
      <c r="UJ285" s="16">
        <v>1</v>
      </c>
      <c r="UK285" s="16">
        <v>1</v>
      </c>
      <c r="UL285" s="16"/>
      <c r="UM285" s="16">
        <f>4+0.13+0.01+0.73+1.65+0.02</f>
        <v>6.5399999999999991</v>
      </c>
      <c r="UN285" s="16">
        <v>2</v>
      </c>
      <c r="UO285" s="16"/>
      <c r="UP285" s="16">
        <f>0.18*2</f>
        <v>0.36</v>
      </c>
      <c r="UQ285" s="16"/>
      <c r="UR285" s="16"/>
      <c r="US285" s="16"/>
      <c r="UT285" s="16">
        <v>3.32</v>
      </c>
      <c r="UU285" s="16">
        <v>3.31</v>
      </c>
      <c r="UV285" s="16"/>
      <c r="UW285" s="16"/>
      <c r="UX285" s="16">
        <v>0</v>
      </c>
      <c r="UY285" s="16">
        <v>0</v>
      </c>
      <c r="UZ285" s="16">
        <v>0.22</v>
      </c>
      <c r="VA285">
        <v>0</v>
      </c>
      <c r="VB285" t="s">
        <v>836</v>
      </c>
      <c r="VC285">
        <v>26.5</v>
      </c>
      <c r="VD285" s="16">
        <v>70.7</v>
      </c>
      <c r="VE285" s="16">
        <v>83.4</v>
      </c>
      <c r="VF285" s="16">
        <v>8.8000000000000007</v>
      </c>
      <c r="VG285">
        <v>94.65</v>
      </c>
      <c r="VH285">
        <v>0</v>
      </c>
      <c r="VI285">
        <v>0.21</v>
      </c>
      <c r="VJ285">
        <v>0</v>
      </c>
      <c r="VK285">
        <v>4.3099999999999996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1.21</v>
      </c>
      <c r="VS285">
        <v>19.41</v>
      </c>
      <c r="VT285">
        <v>20.37</v>
      </c>
      <c r="VU285">
        <v>0.21</v>
      </c>
      <c r="VV285">
        <v>0.83</v>
      </c>
      <c r="VW285">
        <v>12.2</v>
      </c>
      <c r="VX285">
        <v>1</v>
      </c>
      <c r="VY285">
        <v>5</v>
      </c>
      <c r="WA285">
        <v>2</v>
      </c>
      <c r="WK285">
        <v>0</v>
      </c>
      <c r="WL285">
        <v>0</v>
      </c>
      <c r="WW285" s="18"/>
      <c r="XO285">
        <v>1</v>
      </c>
      <c r="XP285">
        <v>40</v>
      </c>
      <c r="XQ285">
        <v>1</v>
      </c>
      <c r="XR285">
        <v>0.21</v>
      </c>
      <c r="XS285">
        <v>3</v>
      </c>
      <c r="XT285">
        <v>80</v>
      </c>
      <c r="XU285">
        <v>4</v>
      </c>
      <c r="XV285">
        <v>0.5</v>
      </c>
      <c r="XW285">
        <v>2</v>
      </c>
      <c r="XX285">
        <v>60</v>
      </c>
      <c r="XY285">
        <f>18+9</f>
        <v>27</v>
      </c>
      <c r="XZ285">
        <f>2.27+1.14</f>
        <v>3.41</v>
      </c>
      <c r="YA285">
        <v>2</v>
      </c>
      <c r="YZ285" s="16">
        <v>3.54</v>
      </c>
      <c r="ZA285" s="16">
        <v>1</v>
      </c>
      <c r="ZB285" s="16">
        <v>1</v>
      </c>
      <c r="ZC285" s="16"/>
      <c r="ZD285" s="16">
        <f>4+0.73*2+1.65</f>
        <v>7.1099999999999994</v>
      </c>
      <c r="ZE285" s="16"/>
      <c r="ZF285" s="16"/>
      <c r="ZG285" s="16"/>
      <c r="ZH285" s="16"/>
      <c r="ZI285" s="16"/>
      <c r="ZJ285" s="16"/>
      <c r="ZK285" s="16">
        <v>1.47</v>
      </c>
      <c r="ZL285" s="16">
        <v>1.47</v>
      </c>
      <c r="ZM285" s="16"/>
      <c r="ZN285" s="16"/>
      <c r="ZO285" s="16">
        <v>0</v>
      </c>
      <c r="ZP285" s="16">
        <v>0</v>
      </c>
      <c r="ZQ285" s="16">
        <v>0.22</v>
      </c>
      <c r="ZR285">
        <v>0</v>
      </c>
      <c r="ZS285" t="s">
        <v>841</v>
      </c>
      <c r="ZT285">
        <v>18.5</v>
      </c>
      <c r="ZU285" s="16">
        <v>91.6</v>
      </c>
      <c r="ZV285" s="16">
        <v>83.4</v>
      </c>
      <c r="ZW285" s="16">
        <v>7.5</v>
      </c>
      <c r="ZX285">
        <v>96.33</v>
      </c>
      <c r="ZY285">
        <v>0</v>
      </c>
      <c r="ZZ285">
        <v>0</v>
      </c>
      <c r="AAA285">
        <v>0</v>
      </c>
      <c r="AAB285">
        <v>3.67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3.67</v>
      </c>
      <c r="AAJ285">
        <v>45.98</v>
      </c>
      <c r="AAK285">
        <v>17.899999999999999</v>
      </c>
      <c r="AAL285">
        <v>0</v>
      </c>
      <c r="AAM285">
        <v>0</v>
      </c>
      <c r="AAN285">
        <v>0</v>
      </c>
      <c r="AAO285">
        <v>0</v>
      </c>
      <c r="ABB285">
        <v>0</v>
      </c>
      <c r="ABC285">
        <v>0</v>
      </c>
      <c r="ABN285" s="18"/>
      <c r="ACF285">
        <v>0</v>
      </c>
      <c r="ACJ285">
        <v>1</v>
      </c>
      <c r="ACK285">
        <v>50</v>
      </c>
      <c r="ACL285">
        <v>1</v>
      </c>
      <c r="ACM285">
        <v>0.04</v>
      </c>
      <c r="ACN285">
        <v>3</v>
      </c>
      <c r="ADQ285" s="16">
        <v>1.44</v>
      </c>
      <c r="ADR285" s="16">
        <v>1</v>
      </c>
      <c r="ADS285" s="16">
        <v>1</v>
      </c>
      <c r="ADT285" s="16"/>
      <c r="ADU285" s="16">
        <f>1.65+0.18*2+9.17</f>
        <v>11.18</v>
      </c>
      <c r="ADV285" s="16"/>
      <c r="ADW285" s="16"/>
      <c r="ADX285" s="16"/>
      <c r="ADY285" s="16"/>
      <c r="ADZ285" s="16"/>
      <c r="AEA285" s="16"/>
      <c r="AEB285" s="16">
        <v>5.88</v>
      </c>
      <c r="AEC285" s="16">
        <v>13.5</v>
      </c>
      <c r="AED285" s="16"/>
      <c r="AEE285" s="16"/>
      <c r="AEF285" s="16">
        <v>3.6</v>
      </c>
      <c r="AEG285" s="16">
        <v>1.1000000000000001</v>
      </c>
      <c r="AEH285" s="16">
        <v>0</v>
      </c>
      <c r="AEI285">
        <v>0</v>
      </c>
      <c r="AEJ285" t="s">
        <v>837</v>
      </c>
      <c r="AEK285">
        <v>30.5</v>
      </c>
      <c r="AEL285" s="16">
        <v>92</v>
      </c>
      <c r="AEM285" s="16">
        <v>83.4</v>
      </c>
      <c r="AEN285" s="16">
        <v>5.9</v>
      </c>
      <c r="AEO285">
        <v>98.99</v>
      </c>
      <c r="AEP285">
        <v>1.01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2.66</v>
      </c>
      <c r="AFA285">
        <v>46.99</v>
      </c>
      <c r="AFB285">
        <v>16.89</v>
      </c>
      <c r="AFC285">
        <v>0</v>
      </c>
      <c r="AFD285">
        <v>0</v>
      </c>
      <c r="AFE285">
        <v>0</v>
      </c>
      <c r="AFF285">
        <v>0</v>
      </c>
      <c r="AFS285">
        <v>0</v>
      </c>
      <c r="AFT285">
        <v>0</v>
      </c>
      <c r="AGE285" s="18"/>
      <c r="AGW285">
        <v>0</v>
      </c>
      <c r="AIH285" s="16">
        <v>8</v>
      </c>
      <c r="AII285" s="16">
        <v>1</v>
      </c>
      <c r="AIJ285" s="16">
        <v>1</v>
      </c>
      <c r="AIK285" s="16"/>
      <c r="AIL285" s="16">
        <f>1.65+0.18*2+9.17</f>
        <v>11.18</v>
      </c>
      <c r="AIM285" s="16"/>
      <c r="AIN285" s="16"/>
      <c r="AIO285" s="16"/>
      <c r="AIP285" s="16"/>
      <c r="AIQ285" s="16"/>
      <c r="AIR285" s="16"/>
      <c r="AIS285" s="16">
        <v>6.16</v>
      </c>
      <c r="AIT285" s="16">
        <v>16.16</v>
      </c>
      <c r="AIU285" s="16"/>
      <c r="AIV285" s="16"/>
      <c r="AIW285" s="16">
        <v>10</v>
      </c>
      <c r="AIX285" s="16">
        <v>1.1000000000000001</v>
      </c>
      <c r="AIY285" s="16">
        <v>0</v>
      </c>
      <c r="AIZ285">
        <v>1</v>
      </c>
      <c r="AJA285" t="s">
        <v>838</v>
      </c>
      <c r="AJB285">
        <v>47.5</v>
      </c>
      <c r="AJC285" s="16">
        <v>86.8</v>
      </c>
      <c r="AJD285" s="16">
        <v>83.4</v>
      </c>
      <c r="AJE285" s="16">
        <v>26.7</v>
      </c>
      <c r="AJF285">
        <v>65.11</v>
      </c>
      <c r="AJG285">
        <v>0</v>
      </c>
      <c r="AJH285">
        <v>2.75</v>
      </c>
      <c r="AJI285">
        <v>0</v>
      </c>
      <c r="AJJ285">
        <v>32.14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24.37</v>
      </c>
      <c r="AJS285">
        <v>6.53</v>
      </c>
      <c r="AJT285">
        <v>31.2</v>
      </c>
      <c r="AJU285">
        <v>0</v>
      </c>
      <c r="AJV285">
        <v>13</v>
      </c>
      <c r="AJW285">
        <v>1</v>
      </c>
      <c r="AJX285">
        <v>7</v>
      </c>
      <c r="AJZ285">
        <v>2</v>
      </c>
      <c r="AKJ285">
        <v>0</v>
      </c>
      <c r="AKK285">
        <v>0</v>
      </c>
      <c r="AKV285" s="18"/>
      <c r="ALN285">
        <v>0</v>
      </c>
    </row>
    <row r="286" spans="1:1018" x14ac:dyDescent="0.2">
      <c r="A286" s="1" t="s">
        <v>851</v>
      </c>
      <c r="B286" s="12">
        <v>42909</v>
      </c>
      <c r="C286">
        <v>1</v>
      </c>
      <c r="D286" s="13">
        <v>41038</v>
      </c>
      <c r="E286" s="12">
        <v>32200</v>
      </c>
      <c r="F286" s="14">
        <f t="shared" si="106"/>
        <v>29.319644079397673</v>
      </c>
      <c r="G286" s="14">
        <f t="shared" si="107"/>
        <v>5.1225188227241611</v>
      </c>
      <c r="H286" s="19" t="s">
        <v>306</v>
      </c>
      <c r="I286" s="15" t="s">
        <v>832</v>
      </c>
      <c r="J286" s="15" t="s">
        <v>181</v>
      </c>
      <c r="K286" s="15">
        <v>4</v>
      </c>
      <c r="L286" s="19">
        <v>66</v>
      </c>
      <c r="M286">
        <v>1.66</v>
      </c>
      <c r="N286" s="16">
        <f t="shared" si="108"/>
        <v>23.951226593119468</v>
      </c>
      <c r="O286" s="19">
        <v>0</v>
      </c>
      <c r="P286" s="19">
        <v>0</v>
      </c>
      <c r="Q286" s="19">
        <v>0</v>
      </c>
      <c r="R286" s="26">
        <v>0</v>
      </c>
      <c r="S286" s="26">
        <v>0</v>
      </c>
      <c r="T286" s="26">
        <v>0</v>
      </c>
      <c r="U286" s="26">
        <v>0</v>
      </c>
      <c r="V286" s="26">
        <v>0</v>
      </c>
      <c r="W286" s="19">
        <v>0</v>
      </c>
      <c r="X286" s="19">
        <v>0</v>
      </c>
      <c r="Y286" s="19">
        <v>1</v>
      </c>
      <c r="Z286" s="19">
        <v>2</v>
      </c>
      <c r="AA286" s="19">
        <v>60</v>
      </c>
      <c r="AB286" s="19" t="s">
        <v>308</v>
      </c>
      <c r="AC286" s="19">
        <v>0</v>
      </c>
      <c r="AD286" s="19">
        <v>0</v>
      </c>
      <c r="AE286" s="19">
        <v>0</v>
      </c>
      <c r="AF286" s="19">
        <v>0</v>
      </c>
      <c r="AG286" s="19">
        <v>0</v>
      </c>
      <c r="AH286" s="19">
        <v>0</v>
      </c>
      <c r="AI286" s="19">
        <v>3</v>
      </c>
      <c r="AJ286" s="19">
        <v>0</v>
      </c>
      <c r="AK286" s="19">
        <v>0</v>
      </c>
      <c r="AL286" s="19">
        <v>0</v>
      </c>
      <c r="AM286" s="26">
        <v>0</v>
      </c>
      <c r="AN286" s="19">
        <v>0</v>
      </c>
      <c r="AO286" s="19">
        <v>0</v>
      </c>
      <c r="AP286" s="19">
        <v>0</v>
      </c>
      <c r="AQ286" s="19">
        <v>0</v>
      </c>
      <c r="AR286" s="19">
        <v>0</v>
      </c>
      <c r="AS286" s="19">
        <v>3</v>
      </c>
      <c r="AT286" s="19">
        <v>0</v>
      </c>
      <c r="AU286" s="19">
        <v>0</v>
      </c>
      <c r="AV286" s="19">
        <v>0</v>
      </c>
      <c r="AW286" s="19">
        <v>0</v>
      </c>
      <c r="AX286" s="19">
        <v>0</v>
      </c>
      <c r="AY286" s="19">
        <v>0</v>
      </c>
      <c r="AZ286" s="19">
        <v>0</v>
      </c>
      <c r="BA286" s="19">
        <v>0</v>
      </c>
      <c r="BB286" s="19">
        <v>0</v>
      </c>
      <c r="BC286" s="19">
        <v>0</v>
      </c>
      <c r="BD286" s="19">
        <v>0</v>
      </c>
      <c r="BE286" s="19">
        <v>0</v>
      </c>
      <c r="BF286" s="19">
        <v>0</v>
      </c>
      <c r="BG286" s="19">
        <v>0</v>
      </c>
      <c r="BH286" s="19">
        <v>0</v>
      </c>
      <c r="BI286" s="19">
        <v>0</v>
      </c>
      <c r="BJ286" s="19">
        <v>0</v>
      </c>
      <c r="BK286" s="19">
        <v>0</v>
      </c>
      <c r="BL286" s="19">
        <v>0</v>
      </c>
      <c r="BM286" s="19">
        <v>0</v>
      </c>
      <c r="BN286" s="19">
        <v>0</v>
      </c>
      <c r="BO286" s="19">
        <v>0</v>
      </c>
      <c r="BP286" s="19">
        <v>0</v>
      </c>
      <c r="BQ286" s="19">
        <v>0</v>
      </c>
      <c r="BR286" s="19">
        <v>2</v>
      </c>
      <c r="BS286" s="19">
        <v>3</v>
      </c>
      <c r="BT286" s="19">
        <v>3</v>
      </c>
      <c r="BU286" s="19">
        <v>3</v>
      </c>
      <c r="BV286" s="19">
        <v>3</v>
      </c>
      <c r="BW286" s="19">
        <v>3</v>
      </c>
      <c r="BX286" s="19">
        <v>3</v>
      </c>
      <c r="BY286" s="19">
        <v>3</v>
      </c>
      <c r="BZ286" s="19">
        <v>3</v>
      </c>
      <c r="CA286" s="19">
        <v>3</v>
      </c>
      <c r="CB286" s="19">
        <v>3</v>
      </c>
      <c r="CC286" s="19">
        <v>5</v>
      </c>
      <c r="CD286" s="19">
        <v>4</v>
      </c>
      <c r="CE286" s="19">
        <v>5</v>
      </c>
      <c r="CF286" s="19">
        <v>5</v>
      </c>
      <c r="CG286" s="19">
        <v>5</v>
      </c>
      <c r="CH286" s="19">
        <v>5</v>
      </c>
      <c r="CI286" s="19">
        <v>5</v>
      </c>
      <c r="CJ286" s="19">
        <v>5</v>
      </c>
      <c r="CK286" s="19">
        <v>10</v>
      </c>
      <c r="CL286" t="s">
        <v>833</v>
      </c>
      <c r="CM286">
        <v>31</v>
      </c>
      <c r="CN286" s="16">
        <v>82.6</v>
      </c>
      <c r="CO286" s="16">
        <v>83.4</v>
      </c>
      <c r="CP286" s="16">
        <v>5.7</v>
      </c>
      <c r="CQ286">
        <v>99.97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7.3</v>
      </c>
      <c r="DC286">
        <v>53.74</v>
      </c>
      <c r="DD286">
        <v>0</v>
      </c>
      <c r="DE286">
        <v>0</v>
      </c>
      <c r="DF286">
        <v>0</v>
      </c>
      <c r="DG286">
        <v>17.600000000000001</v>
      </c>
      <c r="DH286">
        <v>1</v>
      </c>
      <c r="DI286">
        <v>4.5999999999999996</v>
      </c>
      <c r="DK286">
        <v>2</v>
      </c>
      <c r="DU286">
        <v>2.4</v>
      </c>
      <c r="DV286">
        <v>0</v>
      </c>
      <c r="EG286" s="18"/>
      <c r="EY286">
        <v>1</v>
      </c>
      <c r="EZ286">
        <v>60</v>
      </c>
      <c r="FA286">
        <f>4+6+1+3+1+3</f>
        <v>18</v>
      </c>
      <c r="FB286">
        <f>0.73+2.2+0.13+0.39+0.78+0.52</f>
        <v>4.75</v>
      </c>
      <c r="FC286">
        <v>3</v>
      </c>
      <c r="FD286">
        <v>50</v>
      </c>
      <c r="FE286">
        <f>14</f>
        <v>14</v>
      </c>
      <c r="FF286">
        <f>4.4+2.94+0.52</f>
        <v>7.8599999999999994</v>
      </c>
      <c r="FG286">
        <v>3</v>
      </c>
      <c r="GJ286" s="16">
        <v>0</v>
      </c>
      <c r="GK286" s="16">
        <v>0</v>
      </c>
      <c r="GL286" s="16"/>
      <c r="GM286" s="16"/>
      <c r="GN286" s="16"/>
      <c r="GO286" s="16"/>
      <c r="GP286" s="16"/>
      <c r="GQ286" s="16"/>
      <c r="GR286" s="16"/>
      <c r="GS286" s="16"/>
      <c r="GT286" s="16"/>
      <c r="GU286" s="16">
        <v>5.21</v>
      </c>
      <c r="GV286" s="16">
        <v>2.59</v>
      </c>
      <c r="GW286" s="16"/>
      <c r="GX286" s="16"/>
      <c r="GY286" s="16">
        <v>0</v>
      </c>
      <c r="GZ286" s="16">
        <v>0</v>
      </c>
      <c r="HA286" s="16">
        <v>0</v>
      </c>
      <c r="HB286">
        <v>0</v>
      </c>
      <c r="HC286" t="s">
        <v>834</v>
      </c>
      <c r="HD286">
        <v>30.5</v>
      </c>
      <c r="HE286" s="16">
        <v>73.400000000000006</v>
      </c>
      <c r="HF286" s="16">
        <v>83.4</v>
      </c>
      <c r="HG286" s="16">
        <v>5.7</v>
      </c>
      <c r="HH286">
        <v>100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7.69</v>
      </c>
      <c r="HT286">
        <v>47.61</v>
      </c>
      <c r="HU286">
        <v>0</v>
      </c>
      <c r="HV286">
        <v>0</v>
      </c>
      <c r="HW286">
        <v>0</v>
      </c>
      <c r="HX286">
        <v>16.399999999999999</v>
      </c>
      <c r="HY286">
        <v>1</v>
      </c>
      <c r="HZ286">
        <v>4.5999999999999996</v>
      </c>
      <c r="IB286">
        <v>2</v>
      </c>
      <c r="IL286">
        <v>1.4</v>
      </c>
      <c r="IM286">
        <v>0</v>
      </c>
      <c r="IX286" s="18"/>
      <c r="JP286">
        <v>1</v>
      </c>
      <c r="JQ286">
        <v>60</v>
      </c>
      <c r="JR286">
        <v>7</v>
      </c>
      <c r="JS286">
        <f>0.73+2.2+0.39</f>
        <v>3.3200000000000003</v>
      </c>
      <c r="JT286">
        <v>3</v>
      </c>
      <c r="JU286">
        <v>50</v>
      </c>
      <c r="JV286">
        <v>10</v>
      </c>
      <c r="JW286">
        <f>4.4+2.94</f>
        <v>7.34</v>
      </c>
      <c r="LA286" s="16">
        <v>0</v>
      </c>
      <c r="LB286" s="16">
        <v>0</v>
      </c>
      <c r="LC286" s="16"/>
      <c r="LD286" s="16"/>
      <c r="LE286" s="16"/>
      <c r="LF286" s="16"/>
      <c r="LG286" s="16"/>
      <c r="LH286" s="16"/>
      <c r="LI286" s="16"/>
      <c r="LJ286" s="16"/>
      <c r="LK286" s="16"/>
      <c r="LL286" s="16">
        <v>6.95</v>
      </c>
      <c r="LM286" s="16">
        <v>10.27</v>
      </c>
      <c r="LN286" s="16"/>
      <c r="LO286" s="16"/>
      <c r="LP286" s="16">
        <v>0</v>
      </c>
      <c r="LQ286" s="16">
        <v>0</v>
      </c>
      <c r="LR286" s="16">
        <v>0</v>
      </c>
      <c r="LS286">
        <v>0</v>
      </c>
      <c r="LT286">
        <v>94</v>
      </c>
      <c r="LU286">
        <v>24.5</v>
      </c>
      <c r="LV286" s="16">
        <v>88.7</v>
      </c>
      <c r="LW286" s="16">
        <v>83.4</v>
      </c>
      <c r="LX286" s="16">
        <v>23.1</v>
      </c>
      <c r="LY286">
        <v>69.95</v>
      </c>
      <c r="LZ286">
        <v>0</v>
      </c>
      <c r="MA286">
        <v>7.16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34.04</v>
      </c>
      <c r="ML286">
        <v>20.5</v>
      </c>
      <c r="MM286">
        <v>0</v>
      </c>
      <c r="MN286">
        <v>22.9</v>
      </c>
      <c r="MO286">
        <v>0</v>
      </c>
      <c r="MP286">
        <v>0</v>
      </c>
      <c r="NC286">
        <v>0</v>
      </c>
      <c r="ND286">
        <v>0</v>
      </c>
      <c r="NO286" s="18"/>
      <c r="OG286">
        <v>0</v>
      </c>
      <c r="PR286" s="16">
        <v>0</v>
      </c>
      <c r="PS286" s="16">
        <v>0</v>
      </c>
      <c r="PT286" s="16"/>
      <c r="PU286" s="16"/>
      <c r="PV286" s="16"/>
      <c r="PW286" s="16"/>
      <c r="PX286" s="16"/>
      <c r="PY286" s="16"/>
      <c r="PZ286" s="16"/>
      <c r="QA286" s="16"/>
      <c r="QB286" s="16"/>
      <c r="QC286" s="16">
        <v>0</v>
      </c>
      <c r="QD286" s="16">
        <v>0</v>
      </c>
      <c r="QE286" s="16"/>
      <c r="QF286" s="16"/>
      <c r="QG286" s="16">
        <v>0</v>
      </c>
      <c r="QH286" s="16">
        <v>0</v>
      </c>
      <c r="QI286" s="16">
        <v>1.44</v>
      </c>
      <c r="QJ286">
        <v>0</v>
      </c>
      <c r="QK286" t="s">
        <v>835</v>
      </c>
      <c r="QL286">
        <v>19</v>
      </c>
      <c r="QM286" s="16">
        <v>73.2</v>
      </c>
      <c r="QN286" s="16">
        <v>83.4</v>
      </c>
      <c r="QO286" s="16">
        <v>11.1</v>
      </c>
      <c r="QP286">
        <v>92.58</v>
      </c>
      <c r="QQ286">
        <v>0</v>
      </c>
      <c r="QR286">
        <v>1.25</v>
      </c>
      <c r="QS286">
        <v>0</v>
      </c>
      <c r="QT286">
        <v>5.34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4.7699999999999996</v>
      </c>
      <c r="RB286">
        <v>22.03</v>
      </c>
      <c r="RC286">
        <v>27.08</v>
      </c>
      <c r="RD286">
        <v>1.58</v>
      </c>
      <c r="RE286">
        <v>0.83</v>
      </c>
      <c r="RF286">
        <v>0</v>
      </c>
      <c r="RG286">
        <v>0</v>
      </c>
      <c r="RT286">
        <v>0.5</v>
      </c>
      <c r="RU286">
        <v>1</v>
      </c>
      <c r="RV286">
        <v>35</v>
      </c>
      <c r="RW286">
        <v>4</v>
      </c>
      <c r="RX286">
        <v>0.1</v>
      </c>
      <c r="RY286">
        <v>3</v>
      </c>
      <c r="SF286" s="18"/>
      <c r="SX286">
        <v>1</v>
      </c>
      <c r="SY286">
        <v>40</v>
      </c>
      <c r="SZ286">
        <v>1</v>
      </c>
      <c r="TA286">
        <v>1.25</v>
      </c>
      <c r="TB286">
        <v>3</v>
      </c>
      <c r="TC286">
        <v>50</v>
      </c>
      <c r="TD286">
        <v>1</v>
      </c>
      <c r="TE286">
        <v>0.05</v>
      </c>
      <c r="TF286">
        <v>3</v>
      </c>
      <c r="TG286">
        <v>60</v>
      </c>
      <c r="TH286">
        <f>18+9</f>
        <v>27</v>
      </c>
      <c r="TI286">
        <f>2.27+1.14</f>
        <v>3.41</v>
      </c>
      <c r="TJ286">
        <v>3</v>
      </c>
      <c r="UI286" s="16">
        <v>3.7</v>
      </c>
      <c r="UJ286" s="16">
        <v>1</v>
      </c>
      <c r="UK286" s="16">
        <v>1</v>
      </c>
      <c r="UL286" s="16"/>
      <c r="UM286" s="16">
        <f>4+0.13+0.01+0.73+1.65+0.02</f>
        <v>6.5399999999999991</v>
      </c>
      <c r="UN286" s="16">
        <v>2</v>
      </c>
      <c r="UO286" s="16"/>
      <c r="UP286" s="16">
        <f>0.18*2</f>
        <v>0.36</v>
      </c>
      <c r="UQ286" s="16"/>
      <c r="UR286" s="16"/>
      <c r="US286" s="16"/>
      <c r="UT286" s="16">
        <v>3.32</v>
      </c>
      <c r="UU286" s="16">
        <v>3.31</v>
      </c>
      <c r="UV286" s="16"/>
      <c r="UW286" s="16"/>
      <c r="UX286" s="16">
        <v>0</v>
      </c>
      <c r="UY286" s="16">
        <v>0</v>
      </c>
      <c r="UZ286" s="16">
        <v>0.22</v>
      </c>
      <c r="VA286">
        <v>0</v>
      </c>
      <c r="VB286" t="s">
        <v>836</v>
      </c>
      <c r="VC286">
        <v>26.5</v>
      </c>
      <c r="VD286" s="16">
        <v>70.7</v>
      </c>
      <c r="VE286" s="16">
        <v>83.4</v>
      </c>
      <c r="VF286" s="16">
        <v>8.8000000000000007</v>
      </c>
      <c r="VG286">
        <v>94.65</v>
      </c>
      <c r="VH286">
        <v>0</v>
      </c>
      <c r="VI286">
        <v>0.21</v>
      </c>
      <c r="VJ286">
        <v>0</v>
      </c>
      <c r="VK286">
        <v>4.3099999999999996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1.21</v>
      </c>
      <c r="VS286">
        <v>19.41</v>
      </c>
      <c r="VT286">
        <v>20.37</v>
      </c>
      <c r="VU286">
        <v>0.21</v>
      </c>
      <c r="VV286">
        <v>0.83</v>
      </c>
      <c r="VW286">
        <v>12.2</v>
      </c>
      <c r="VX286">
        <v>1</v>
      </c>
      <c r="VY286">
        <v>5</v>
      </c>
      <c r="WA286">
        <v>2</v>
      </c>
      <c r="WK286">
        <v>0</v>
      </c>
      <c r="WL286">
        <v>0</v>
      </c>
      <c r="WW286" s="18"/>
      <c r="XO286">
        <v>1</v>
      </c>
      <c r="XP286">
        <v>40</v>
      </c>
      <c r="XQ286">
        <v>1</v>
      </c>
      <c r="XR286">
        <v>0.21</v>
      </c>
      <c r="XS286">
        <v>3</v>
      </c>
      <c r="XT286">
        <v>80</v>
      </c>
      <c r="XU286">
        <v>4</v>
      </c>
      <c r="XV286">
        <v>0.5</v>
      </c>
      <c r="XW286">
        <v>2</v>
      </c>
      <c r="XX286">
        <v>60</v>
      </c>
      <c r="XY286">
        <f>18+9</f>
        <v>27</v>
      </c>
      <c r="XZ286">
        <f>2.27+1.14</f>
        <v>3.41</v>
      </c>
      <c r="YA286">
        <v>2</v>
      </c>
      <c r="YZ286" s="16">
        <v>3.54</v>
      </c>
      <c r="ZA286" s="16">
        <v>1</v>
      </c>
      <c r="ZB286" s="16">
        <v>1</v>
      </c>
      <c r="ZC286" s="16"/>
      <c r="ZD286" s="16">
        <f>4+0.73*2+1.65</f>
        <v>7.1099999999999994</v>
      </c>
      <c r="ZE286" s="16"/>
      <c r="ZF286" s="16"/>
      <c r="ZG286" s="16"/>
      <c r="ZH286" s="16"/>
      <c r="ZI286" s="16"/>
      <c r="ZJ286" s="16"/>
      <c r="ZK286" s="16">
        <v>1.47</v>
      </c>
      <c r="ZL286" s="16">
        <v>1.47</v>
      </c>
      <c r="ZM286" s="16"/>
      <c r="ZN286" s="16"/>
      <c r="ZO286" s="16">
        <v>0</v>
      </c>
      <c r="ZP286" s="16">
        <v>0</v>
      </c>
      <c r="ZQ286" s="16">
        <v>0.22</v>
      </c>
      <c r="ZR286">
        <v>0</v>
      </c>
      <c r="ZS286" t="s">
        <v>841</v>
      </c>
      <c r="ZT286">
        <v>18.5</v>
      </c>
      <c r="ZU286" s="16">
        <v>91.6</v>
      </c>
      <c r="ZV286" s="16">
        <v>83.4</v>
      </c>
      <c r="ZW286" s="16">
        <v>7.5</v>
      </c>
      <c r="ZX286">
        <v>96.33</v>
      </c>
      <c r="ZY286">
        <v>0</v>
      </c>
      <c r="ZZ286">
        <v>0</v>
      </c>
      <c r="AAA286">
        <v>0</v>
      </c>
      <c r="AAB286">
        <v>3.67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3.67</v>
      </c>
      <c r="AAJ286">
        <v>45.98</v>
      </c>
      <c r="AAK286">
        <v>17.899999999999999</v>
      </c>
      <c r="AAL286">
        <v>0</v>
      </c>
      <c r="AAM286">
        <v>0</v>
      </c>
      <c r="AAN286">
        <v>0</v>
      </c>
      <c r="AAO286">
        <v>0</v>
      </c>
      <c r="ABB286">
        <v>0</v>
      </c>
      <c r="ABC286">
        <v>0</v>
      </c>
      <c r="ABN286" s="18"/>
      <c r="ACF286">
        <v>0</v>
      </c>
      <c r="ACJ286">
        <v>1</v>
      </c>
      <c r="ACK286">
        <v>50</v>
      </c>
      <c r="ACL286">
        <v>1</v>
      </c>
      <c r="ACM286">
        <v>0.04</v>
      </c>
      <c r="ACN286">
        <v>3</v>
      </c>
      <c r="ADQ286" s="16">
        <v>1.44</v>
      </c>
      <c r="ADR286" s="16">
        <v>1</v>
      </c>
      <c r="ADS286" s="16">
        <v>1</v>
      </c>
      <c r="ADT286" s="16"/>
      <c r="ADU286" s="16">
        <f>1.65+0.18*2+9.17</f>
        <v>11.18</v>
      </c>
      <c r="ADV286" s="16"/>
      <c r="ADW286" s="16"/>
      <c r="ADX286" s="16"/>
      <c r="ADY286" s="16"/>
      <c r="ADZ286" s="16"/>
      <c r="AEA286" s="16"/>
      <c r="AEB286" s="16">
        <v>5.88</v>
      </c>
      <c r="AEC286" s="16">
        <v>13.5</v>
      </c>
      <c r="AED286" s="16"/>
      <c r="AEE286" s="16"/>
      <c r="AEF286" s="16">
        <v>3.6</v>
      </c>
      <c r="AEG286" s="16">
        <v>1.1000000000000001</v>
      </c>
      <c r="AEH286" s="16">
        <v>0</v>
      </c>
      <c r="AEI286">
        <v>0</v>
      </c>
      <c r="AEJ286" t="s">
        <v>837</v>
      </c>
      <c r="AEK286">
        <v>30.5</v>
      </c>
      <c r="AEL286" s="16">
        <v>92</v>
      </c>
      <c r="AEM286" s="16">
        <v>83.4</v>
      </c>
      <c r="AEN286" s="16">
        <v>5.9</v>
      </c>
      <c r="AEO286">
        <v>98.99</v>
      </c>
      <c r="AEP286">
        <v>1.01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2.66</v>
      </c>
      <c r="AFA286">
        <v>46.99</v>
      </c>
      <c r="AFB286">
        <v>16.89</v>
      </c>
      <c r="AFC286">
        <v>0</v>
      </c>
      <c r="AFD286">
        <v>0</v>
      </c>
      <c r="AFE286">
        <v>0</v>
      </c>
      <c r="AFF286">
        <v>0</v>
      </c>
      <c r="AFS286">
        <v>0</v>
      </c>
      <c r="AFT286">
        <v>0</v>
      </c>
      <c r="AGE286" s="18"/>
      <c r="AGW286">
        <v>0</v>
      </c>
      <c r="AIH286" s="16">
        <v>8</v>
      </c>
      <c r="AII286" s="16">
        <v>1</v>
      </c>
      <c r="AIJ286" s="16">
        <v>1</v>
      </c>
      <c r="AIK286" s="16"/>
      <c r="AIL286" s="16">
        <f>1.65+0.18*2+9.17</f>
        <v>11.18</v>
      </c>
      <c r="AIM286" s="16"/>
      <c r="AIN286" s="16"/>
      <c r="AIO286" s="16"/>
      <c r="AIP286" s="16"/>
      <c r="AIQ286" s="16"/>
      <c r="AIR286" s="16"/>
      <c r="AIS286" s="16">
        <v>6.16</v>
      </c>
      <c r="AIT286" s="16">
        <v>16.16</v>
      </c>
      <c r="AIU286" s="16"/>
      <c r="AIV286" s="16"/>
      <c r="AIW286" s="16">
        <v>10</v>
      </c>
      <c r="AIX286" s="16">
        <v>1.1000000000000001</v>
      </c>
      <c r="AIY286" s="16">
        <v>0</v>
      </c>
      <c r="AIZ286">
        <v>1</v>
      </c>
      <c r="AJA286" t="s">
        <v>838</v>
      </c>
      <c r="AJB286">
        <v>47.5</v>
      </c>
      <c r="AJC286" s="16">
        <v>86.8</v>
      </c>
      <c r="AJD286" s="16">
        <v>83.4</v>
      </c>
      <c r="AJE286" s="16">
        <v>26.7</v>
      </c>
      <c r="AJF286">
        <v>65.11</v>
      </c>
      <c r="AJG286">
        <v>0</v>
      </c>
      <c r="AJH286">
        <v>2.75</v>
      </c>
      <c r="AJI286">
        <v>0</v>
      </c>
      <c r="AJJ286">
        <v>32.14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24.37</v>
      </c>
      <c r="AJS286">
        <v>6.53</v>
      </c>
      <c r="AJT286">
        <v>31.2</v>
      </c>
      <c r="AJU286">
        <v>0</v>
      </c>
      <c r="AJV286">
        <v>13</v>
      </c>
      <c r="AJW286">
        <v>1</v>
      </c>
      <c r="AJX286">
        <v>7</v>
      </c>
      <c r="AJZ286">
        <v>2</v>
      </c>
      <c r="AKJ286">
        <v>0</v>
      </c>
      <c r="AKK286">
        <v>0</v>
      </c>
      <c r="AKV286" s="18"/>
      <c r="ALN286">
        <v>0</v>
      </c>
    </row>
    <row r="287" spans="1:1018" x14ac:dyDescent="0.2">
      <c r="A287" s="1" t="s">
        <v>852</v>
      </c>
      <c r="B287" s="12">
        <v>42909</v>
      </c>
      <c r="C287">
        <v>1</v>
      </c>
      <c r="D287" s="13">
        <v>42811</v>
      </c>
      <c r="E287" s="12">
        <v>34949</v>
      </c>
      <c r="F287" s="14">
        <f t="shared" si="106"/>
        <v>21.793292265571527</v>
      </c>
      <c r="G287" s="14">
        <f t="shared" si="107"/>
        <v>0.26830937713894593</v>
      </c>
      <c r="H287" s="19" t="s">
        <v>306</v>
      </c>
      <c r="I287" s="15" t="s">
        <v>832</v>
      </c>
      <c r="J287" s="15" t="s">
        <v>181</v>
      </c>
      <c r="K287" s="15">
        <v>4</v>
      </c>
      <c r="L287" s="19">
        <v>68</v>
      </c>
      <c r="M287">
        <v>1.63</v>
      </c>
      <c r="N287" s="16">
        <f t="shared" si="108"/>
        <v>25.59373706198954</v>
      </c>
      <c r="O287" s="19">
        <v>0</v>
      </c>
      <c r="P287" s="19">
        <v>0</v>
      </c>
      <c r="Q287" s="19">
        <v>0</v>
      </c>
      <c r="R287" s="26">
        <v>0</v>
      </c>
      <c r="S287" s="26">
        <v>0</v>
      </c>
      <c r="T287" s="26">
        <v>0</v>
      </c>
      <c r="U287" s="26">
        <v>0</v>
      </c>
      <c r="V287" s="26">
        <v>0</v>
      </c>
      <c r="W287" s="19">
        <v>0</v>
      </c>
      <c r="X287" s="19"/>
      <c r="Y287" s="19">
        <v>0</v>
      </c>
      <c r="Z287" s="19">
        <v>0</v>
      </c>
      <c r="AA287" s="19">
        <v>0</v>
      </c>
      <c r="AB287" s="19">
        <v>0</v>
      </c>
      <c r="AC287" s="19">
        <v>1</v>
      </c>
      <c r="AD287" s="19">
        <v>2</v>
      </c>
      <c r="AE287" s="19">
        <v>0</v>
      </c>
      <c r="AF287" s="19">
        <v>0</v>
      </c>
      <c r="AG287" s="19">
        <v>0</v>
      </c>
      <c r="AH287" s="19">
        <v>0</v>
      </c>
      <c r="AI287" s="19">
        <v>0</v>
      </c>
      <c r="AJ287" s="19">
        <v>0</v>
      </c>
      <c r="AK287" s="19">
        <v>0</v>
      </c>
      <c r="AL287" s="19">
        <v>0</v>
      </c>
      <c r="AM287" s="26">
        <v>0</v>
      </c>
      <c r="AN287" s="19">
        <v>0</v>
      </c>
      <c r="AO287" s="19">
        <v>0</v>
      </c>
      <c r="AP287" s="19">
        <v>0</v>
      </c>
      <c r="AQ287" s="19">
        <v>0</v>
      </c>
      <c r="AR287" s="19">
        <v>0</v>
      </c>
      <c r="AS287" s="19">
        <v>3</v>
      </c>
      <c r="AT287" s="19">
        <v>0</v>
      </c>
      <c r="AU287" s="19">
        <v>0</v>
      </c>
      <c r="AV287" s="19">
        <v>0</v>
      </c>
      <c r="AW287" s="19">
        <v>0</v>
      </c>
      <c r="AX287" s="19">
        <v>0</v>
      </c>
      <c r="AY287" s="19">
        <v>0</v>
      </c>
      <c r="AZ287" s="19">
        <v>0</v>
      </c>
      <c r="BA287" s="19">
        <v>0</v>
      </c>
      <c r="BB287" s="19">
        <v>0</v>
      </c>
      <c r="BC287" s="19">
        <v>0</v>
      </c>
      <c r="BD287" s="19">
        <v>0</v>
      </c>
      <c r="BE287" s="19">
        <v>0</v>
      </c>
      <c r="BF287" s="19">
        <v>0</v>
      </c>
      <c r="BG287" s="19">
        <v>0</v>
      </c>
      <c r="BH287" s="19">
        <v>0</v>
      </c>
      <c r="BI287" s="19">
        <v>0</v>
      </c>
      <c r="BJ287" s="19">
        <v>0</v>
      </c>
      <c r="BK287" s="19">
        <v>0</v>
      </c>
      <c r="BL287" s="19">
        <v>0</v>
      </c>
      <c r="BM287" s="19">
        <v>0</v>
      </c>
      <c r="BN287" s="19">
        <v>1</v>
      </c>
      <c r="BO287" s="19">
        <v>0</v>
      </c>
      <c r="BP287" s="19">
        <v>0</v>
      </c>
      <c r="BQ287" s="19">
        <v>0</v>
      </c>
      <c r="BR287" s="19">
        <v>2</v>
      </c>
      <c r="BS287" s="19">
        <v>2</v>
      </c>
      <c r="BT287" s="19">
        <v>3</v>
      </c>
      <c r="BU287" s="19">
        <v>5</v>
      </c>
      <c r="BV287" s="19">
        <v>2</v>
      </c>
      <c r="BW287" s="19">
        <v>2</v>
      </c>
      <c r="BX287" s="19">
        <v>3</v>
      </c>
      <c r="BY287" s="19">
        <v>3</v>
      </c>
      <c r="BZ287" s="19">
        <v>4</v>
      </c>
      <c r="CA287" s="19">
        <v>4</v>
      </c>
      <c r="CB287" s="19">
        <v>5</v>
      </c>
      <c r="CC287" s="19">
        <v>5</v>
      </c>
      <c r="CD287" s="19">
        <v>4</v>
      </c>
      <c r="CE287" s="19">
        <v>5</v>
      </c>
      <c r="CF287" s="19">
        <v>5</v>
      </c>
      <c r="CG287" s="19">
        <v>5</v>
      </c>
      <c r="CH287" s="19">
        <v>5</v>
      </c>
      <c r="CI287" s="19">
        <v>5</v>
      </c>
      <c r="CJ287" s="19">
        <v>4</v>
      </c>
      <c r="CK287" s="19">
        <v>7</v>
      </c>
      <c r="CL287" t="s">
        <v>833</v>
      </c>
      <c r="CM287">
        <v>31</v>
      </c>
      <c r="CN287" s="16">
        <v>82.6</v>
      </c>
      <c r="CO287" s="16">
        <v>83.4</v>
      </c>
      <c r="CP287" s="16">
        <v>5.7</v>
      </c>
      <c r="CQ287">
        <v>99.97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7.3</v>
      </c>
      <c r="DC287">
        <v>53.74</v>
      </c>
      <c r="DD287">
        <v>0</v>
      </c>
      <c r="DE287">
        <v>0</v>
      </c>
      <c r="DF287">
        <v>0</v>
      </c>
      <c r="DG287">
        <v>17.600000000000001</v>
      </c>
      <c r="DH287">
        <v>1</v>
      </c>
      <c r="DI287">
        <v>4.5999999999999996</v>
      </c>
      <c r="DK287">
        <v>2</v>
      </c>
      <c r="DU287">
        <v>2.4</v>
      </c>
      <c r="DV287">
        <v>0</v>
      </c>
      <c r="EG287" s="18"/>
      <c r="EY287">
        <v>1</v>
      </c>
      <c r="EZ287">
        <v>60</v>
      </c>
      <c r="FA287">
        <f>4+6+1+3+1+3</f>
        <v>18</v>
      </c>
      <c r="FB287">
        <f>0.73+2.2+0.13+0.39+0.78+0.52</f>
        <v>4.75</v>
      </c>
      <c r="FC287">
        <v>3</v>
      </c>
      <c r="FD287">
        <v>50</v>
      </c>
      <c r="FE287">
        <f>14</f>
        <v>14</v>
      </c>
      <c r="FF287">
        <f>4.4+2.94+0.52</f>
        <v>7.8599999999999994</v>
      </c>
      <c r="FG287">
        <v>3</v>
      </c>
      <c r="GJ287" s="16">
        <v>0</v>
      </c>
      <c r="GK287" s="16">
        <v>0</v>
      </c>
      <c r="GL287" s="16"/>
      <c r="GM287" s="16"/>
      <c r="GN287" s="16"/>
      <c r="GO287" s="16"/>
      <c r="GP287" s="16"/>
      <c r="GQ287" s="16"/>
      <c r="GR287" s="16"/>
      <c r="GS287" s="16"/>
      <c r="GT287" s="16"/>
      <c r="GU287" s="16">
        <v>5.21</v>
      </c>
      <c r="GV287" s="16">
        <v>2.59</v>
      </c>
      <c r="GW287" s="16"/>
      <c r="GX287" s="16"/>
      <c r="GY287" s="16">
        <v>0</v>
      </c>
      <c r="GZ287" s="16">
        <v>0</v>
      </c>
      <c r="HA287" s="16">
        <v>0</v>
      </c>
      <c r="HB287">
        <v>0</v>
      </c>
      <c r="HC287" t="s">
        <v>834</v>
      </c>
      <c r="HD287">
        <v>30.5</v>
      </c>
      <c r="HE287" s="16">
        <v>73.400000000000006</v>
      </c>
      <c r="HF287" s="16">
        <v>83.4</v>
      </c>
      <c r="HG287" s="16">
        <v>5.7</v>
      </c>
      <c r="HH287">
        <v>100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7.69</v>
      </c>
      <c r="HT287">
        <v>47.61</v>
      </c>
      <c r="HU287">
        <v>0</v>
      </c>
      <c r="HV287">
        <v>0</v>
      </c>
      <c r="HW287">
        <v>0</v>
      </c>
      <c r="HX287">
        <v>16.399999999999999</v>
      </c>
      <c r="HY287">
        <v>1</v>
      </c>
      <c r="HZ287">
        <v>4.5999999999999996</v>
      </c>
      <c r="IB287">
        <v>2</v>
      </c>
      <c r="IL287">
        <v>1.4</v>
      </c>
      <c r="IM287">
        <v>0</v>
      </c>
      <c r="IX287" s="18"/>
      <c r="JP287">
        <v>1</v>
      </c>
      <c r="JQ287">
        <v>60</v>
      </c>
      <c r="JR287">
        <v>7</v>
      </c>
      <c r="JS287">
        <f>0.73+2.2+0.39</f>
        <v>3.3200000000000003</v>
      </c>
      <c r="JT287">
        <v>3</v>
      </c>
      <c r="JU287">
        <v>50</v>
      </c>
      <c r="JV287">
        <v>10</v>
      </c>
      <c r="JW287">
        <f>4.4+2.94</f>
        <v>7.34</v>
      </c>
      <c r="LA287" s="16">
        <v>0</v>
      </c>
      <c r="LB287" s="16">
        <v>0</v>
      </c>
      <c r="LC287" s="16"/>
      <c r="LD287" s="16"/>
      <c r="LE287" s="16"/>
      <c r="LF287" s="16"/>
      <c r="LG287" s="16"/>
      <c r="LH287" s="16"/>
      <c r="LI287" s="16"/>
      <c r="LJ287" s="16"/>
      <c r="LK287" s="16"/>
      <c r="LL287" s="16">
        <v>6.95</v>
      </c>
      <c r="LM287" s="16">
        <v>10.27</v>
      </c>
      <c r="LN287" s="16"/>
      <c r="LO287" s="16"/>
      <c r="LP287" s="16">
        <v>0</v>
      </c>
      <c r="LQ287" s="16">
        <v>0</v>
      </c>
      <c r="LR287" s="16">
        <v>0</v>
      </c>
      <c r="LS287">
        <v>0</v>
      </c>
      <c r="LT287">
        <v>94</v>
      </c>
      <c r="LU287">
        <v>24.5</v>
      </c>
      <c r="LV287" s="16">
        <v>88.7</v>
      </c>
      <c r="LW287" s="16">
        <v>83.4</v>
      </c>
      <c r="LX287" s="16">
        <v>23.1</v>
      </c>
      <c r="LY287">
        <v>69.95</v>
      </c>
      <c r="LZ287">
        <v>0</v>
      </c>
      <c r="MA287">
        <v>7.16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34.04</v>
      </c>
      <c r="ML287">
        <v>20.5</v>
      </c>
      <c r="MM287">
        <v>0</v>
      </c>
      <c r="MN287">
        <v>22.9</v>
      </c>
      <c r="MO287">
        <v>0</v>
      </c>
      <c r="MP287">
        <v>0</v>
      </c>
      <c r="NC287">
        <v>0</v>
      </c>
      <c r="ND287">
        <v>0</v>
      </c>
      <c r="NO287" s="18"/>
      <c r="OG287">
        <v>0</v>
      </c>
      <c r="PR287" s="16">
        <v>0</v>
      </c>
      <c r="PS287" s="16">
        <v>0</v>
      </c>
      <c r="PT287" s="16"/>
      <c r="PU287" s="16"/>
      <c r="PV287" s="16"/>
      <c r="PW287" s="16"/>
      <c r="PX287" s="16"/>
      <c r="PY287" s="16"/>
      <c r="PZ287" s="16"/>
      <c r="QA287" s="16"/>
      <c r="QB287" s="16"/>
      <c r="QC287" s="16">
        <v>0</v>
      </c>
      <c r="QD287" s="16">
        <v>0</v>
      </c>
      <c r="QE287" s="16"/>
      <c r="QF287" s="16"/>
      <c r="QG287" s="16">
        <v>0</v>
      </c>
      <c r="QH287" s="16">
        <v>0</v>
      </c>
      <c r="QI287" s="16">
        <v>1.44</v>
      </c>
      <c r="QJ287">
        <v>0</v>
      </c>
      <c r="QK287" t="s">
        <v>835</v>
      </c>
      <c r="QL287">
        <v>19</v>
      </c>
      <c r="QM287" s="16">
        <v>73.2</v>
      </c>
      <c r="QN287" s="16">
        <v>83.4</v>
      </c>
      <c r="QO287" s="16">
        <v>11.1</v>
      </c>
      <c r="QP287">
        <v>92.58</v>
      </c>
      <c r="QQ287">
        <v>0</v>
      </c>
      <c r="QR287">
        <v>1.25</v>
      </c>
      <c r="QS287">
        <v>0</v>
      </c>
      <c r="QT287">
        <v>5.34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4.7699999999999996</v>
      </c>
      <c r="RB287">
        <v>22.03</v>
      </c>
      <c r="RC287">
        <v>27.08</v>
      </c>
      <c r="RD287">
        <v>1.58</v>
      </c>
      <c r="RE287">
        <v>0.83</v>
      </c>
      <c r="RF287">
        <v>0</v>
      </c>
      <c r="RG287">
        <v>0</v>
      </c>
      <c r="RT287">
        <v>0.5</v>
      </c>
      <c r="RU287">
        <v>1</v>
      </c>
      <c r="RV287">
        <v>35</v>
      </c>
      <c r="RW287">
        <v>4</v>
      </c>
      <c r="RX287">
        <v>0.1</v>
      </c>
      <c r="RY287">
        <v>3</v>
      </c>
      <c r="SF287" s="18"/>
      <c r="SX287">
        <v>1</v>
      </c>
      <c r="SY287">
        <v>40</v>
      </c>
      <c r="SZ287">
        <v>1</v>
      </c>
      <c r="TA287">
        <v>1.25</v>
      </c>
      <c r="TB287">
        <v>3</v>
      </c>
      <c r="TC287">
        <v>50</v>
      </c>
      <c r="TD287">
        <v>1</v>
      </c>
      <c r="TE287">
        <v>0.05</v>
      </c>
      <c r="TF287">
        <v>3</v>
      </c>
      <c r="TG287">
        <v>60</v>
      </c>
      <c r="TH287">
        <f>18+9</f>
        <v>27</v>
      </c>
      <c r="TI287">
        <f>2.27+1.14</f>
        <v>3.41</v>
      </c>
      <c r="TJ287">
        <v>3</v>
      </c>
      <c r="UI287" s="16">
        <v>3.7</v>
      </c>
      <c r="UJ287" s="16">
        <v>1</v>
      </c>
      <c r="UK287" s="16">
        <v>1</v>
      </c>
      <c r="UL287" s="16"/>
      <c r="UM287" s="16">
        <f>4+0.13+0.01+0.73+1.65+0.02</f>
        <v>6.5399999999999991</v>
      </c>
      <c r="UN287" s="16">
        <v>2</v>
      </c>
      <c r="UO287" s="16"/>
      <c r="UP287" s="16">
        <f>0.18*2</f>
        <v>0.36</v>
      </c>
      <c r="UQ287" s="16"/>
      <c r="UR287" s="16"/>
      <c r="US287" s="16"/>
      <c r="UT287" s="16">
        <v>3.32</v>
      </c>
      <c r="UU287" s="16">
        <v>3.31</v>
      </c>
      <c r="UV287" s="16"/>
      <c r="UW287" s="16"/>
      <c r="UX287" s="16">
        <v>0</v>
      </c>
      <c r="UY287" s="16">
        <v>0</v>
      </c>
      <c r="UZ287" s="16">
        <v>0.22</v>
      </c>
      <c r="VA287">
        <v>0</v>
      </c>
      <c r="VB287" t="s">
        <v>836</v>
      </c>
      <c r="VC287">
        <v>26.5</v>
      </c>
      <c r="VD287" s="16">
        <v>70.7</v>
      </c>
      <c r="VE287" s="16">
        <v>83.4</v>
      </c>
      <c r="VF287" s="16">
        <v>8.8000000000000007</v>
      </c>
      <c r="VG287">
        <v>94.65</v>
      </c>
      <c r="VH287">
        <v>0</v>
      </c>
      <c r="VI287">
        <v>0.21</v>
      </c>
      <c r="VJ287">
        <v>0</v>
      </c>
      <c r="VK287">
        <v>4.3099999999999996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1.21</v>
      </c>
      <c r="VS287">
        <v>19.41</v>
      </c>
      <c r="VT287">
        <v>20.37</v>
      </c>
      <c r="VU287">
        <v>0.21</v>
      </c>
      <c r="VV287">
        <v>0.83</v>
      </c>
      <c r="VW287">
        <v>12.2</v>
      </c>
      <c r="VX287">
        <v>1</v>
      </c>
      <c r="VY287">
        <v>5</v>
      </c>
      <c r="WA287">
        <v>2</v>
      </c>
      <c r="WK287">
        <v>0</v>
      </c>
      <c r="WL287">
        <v>0</v>
      </c>
      <c r="WW287" s="18"/>
      <c r="XO287">
        <v>1</v>
      </c>
      <c r="XP287">
        <v>40</v>
      </c>
      <c r="XQ287">
        <v>1</v>
      </c>
      <c r="XR287">
        <v>0.21</v>
      </c>
      <c r="XS287">
        <v>3</v>
      </c>
      <c r="XT287">
        <v>80</v>
      </c>
      <c r="XU287">
        <v>4</v>
      </c>
      <c r="XV287">
        <v>0.5</v>
      </c>
      <c r="XW287">
        <v>2</v>
      </c>
      <c r="XX287">
        <v>60</v>
      </c>
      <c r="XY287">
        <f>18+9</f>
        <v>27</v>
      </c>
      <c r="XZ287">
        <f>2.27+1.14</f>
        <v>3.41</v>
      </c>
      <c r="YA287">
        <v>2</v>
      </c>
      <c r="YZ287" s="16">
        <v>3.54</v>
      </c>
      <c r="ZA287" s="16">
        <v>1</v>
      </c>
      <c r="ZB287" s="16">
        <v>1</v>
      </c>
      <c r="ZC287" s="16"/>
      <c r="ZD287" s="16">
        <f>4+0.73*2+1.65</f>
        <v>7.1099999999999994</v>
      </c>
      <c r="ZE287" s="16"/>
      <c r="ZF287" s="16"/>
      <c r="ZG287" s="16"/>
      <c r="ZH287" s="16"/>
      <c r="ZI287" s="16"/>
      <c r="ZJ287" s="16"/>
      <c r="ZK287" s="16">
        <v>1.47</v>
      </c>
      <c r="ZL287" s="16">
        <v>1.47</v>
      </c>
      <c r="ZM287" s="16"/>
      <c r="ZN287" s="16"/>
      <c r="ZO287" s="16">
        <v>0</v>
      </c>
      <c r="ZP287" s="16">
        <v>0</v>
      </c>
      <c r="ZQ287" s="16">
        <v>0.22</v>
      </c>
      <c r="ZR287">
        <v>0</v>
      </c>
      <c r="ZS287" t="s">
        <v>841</v>
      </c>
      <c r="ZT287">
        <v>18.5</v>
      </c>
      <c r="ZU287" s="16">
        <v>91.6</v>
      </c>
      <c r="ZV287" s="16">
        <v>83.4</v>
      </c>
      <c r="ZW287" s="16">
        <v>7.5</v>
      </c>
      <c r="ZX287">
        <v>96.33</v>
      </c>
      <c r="ZY287">
        <v>0</v>
      </c>
      <c r="ZZ287">
        <v>0</v>
      </c>
      <c r="AAA287">
        <v>0</v>
      </c>
      <c r="AAB287">
        <v>3.67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3.67</v>
      </c>
      <c r="AAJ287">
        <v>45.98</v>
      </c>
      <c r="AAK287">
        <v>17.899999999999999</v>
      </c>
      <c r="AAL287">
        <v>0</v>
      </c>
      <c r="AAM287">
        <v>0</v>
      </c>
      <c r="AAN287">
        <v>0</v>
      </c>
      <c r="AAO287">
        <v>0</v>
      </c>
      <c r="ABB287">
        <v>0</v>
      </c>
      <c r="ABC287">
        <v>0</v>
      </c>
      <c r="ABN287" s="18"/>
      <c r="ACF287">
        <v>0</v>
      </c>
      <c r="ACJ287">
        <v>1</v>
      </c>
      <c r="ACK287">
        <v>50</v>
      </c>
      <c r="ACL287">
        <v>1</v>
      </c>
      <c r="ACM287">
        <v>0.04</v>
      </c>
      <c r="ACN287">
        <v>3</v>
      </c>
      <c r="ADQ287" s="16">
        <v>1.44</v>
      </c>
      <c r="ADR287" s="16">
        <v>1</v>
      </c>
      <c r="ADS287" s="16">
        <v>1</v>
      </c>
      <c r="ADT287" s="16"/>
      <c r="ADU287" s="16">
        <f>1.65+0.18*2+9.17</f>
        <v>11.18</v>
      </c>
      <c r="ADV287" s="16"/>
      <c r="ADW287" s="16"/>
      <c r="ADX287" s="16"/>
      <c r="ADY287" s="16"/>
      <c r="ADZ287" s="16"/>
      <c r="AEA287" s="16"/>
      <c r="AEB287" s="16">
        <v>5.88</v>
      </c>
      <c r="AEC287" s="16">
        <v>13.5</v>
      </c>
      <c r="AED287" s="16"/>
      <c r="AEE287" s="16"/>
      <c r="AEF287" s="16">
        <v>3.6</v>
      </c>
      <c r="AEG287" s="16">
        <v>1.1000000000000001</v>
      </c>
      <c r="AEH287" s="16">
        <v>0</v>
      </c>
      <c r="AEI287">
        <v>0</v>
      </c>
      <c r="AEJ287" t="s">
        <v>837</v>
      </c>
      <c r="AEK287">
        <v>30.5</v>
      </c>
      <c r="AEL287" s="16">
        <v>92</v>
      </c>
      <c r="AEM287" s="16">
        <v>83.4</v>
      </c>
      <c r="AEN287" s="16">
        <v>5.9</v>
      </c>
      <c r="AEO287">
        <v>98.99</v>
      </c>
      <c r="AEP287">
        <v>1.01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2.66</v>
      </c>
      <c r="AFA287">
        <v>46.99</v>
      </c>
      <c r="AFB287">
        <v>16.89</v>
      </c>
      <c r="AFC287">
        <v>0</v>
      </c>
      <c r="AFD287">
        <v>0</v>
      </c>
      <c r="AFE287">
        <v>0</v>
      </c>
      <c r="AFF287">
        <v>0</v>
      </c>
      <c r="AFS287">
        <v>0</v>
      </c>
      <c r="AFT287">
        <v>0</v>
      </c>
      <c r="AGE287" s="18"/>
      <c r="AGW287">
        <v>0</v>
      </c>
      <c r="AIH287" s="16">
        <v>8</v>
      </c>
      <c r="AII287" s="16">
        <v>1</v>
      </c>
      <c r="AIJ287" s="16">
        <v>1</v>
      </c>
      <c r="AIK287" s="16"/>
      <c r="AIL287" s="16">
        <f>1.65+0.18*2+9.17</f>
        <v>11.18</v>
      </c>
      <c r="AIM287" s="16"/>
      <c r="AIN287" s="16"/>
      <c r="AIO287" s="16"/>
      <c r="AIP287" s="16"/>
      <c r="AIQ287" s="16"/>
      <c r="AIR287" s="16"/>
      <c r="AIS287" s="16">
        <v>6.16</v>
      </c>
      <c r="AIT287" s="16">
        <v>16.16</v>
      </c>
      <c r="AIU287" s="16"/>
      <c r="AIV287" s="16"/>
      <c r="AIW287" s="16">
        <v>10</v>
      </c>
      <c r="AIX287" s="16">
        <v>1.1000000000000001</v>
      </c>
      <c r="AIY287" s="16">
        <v>0</v>
      </c>
      <c r="AIZ287">
        <v>1</v>
      </c>
      <c r="AJA287" t="s">
        <v>838</v>
      </c>
      <c r="AJB287">
        <v>47.5</v>
      </c>
      <c r="AJC287" s="16">
        <v>86.8</v>
      </c>
      <c r="AJD287" s="16">
        <v>83.4</v>
      </c>
      <c r="AJE287" s="16">
        <v>26.7</v>
      </c>
      <c r="AJF287">
        <v>65.11</v>
      </c>
      <c r="AJG287">
        <v>0</v>
      </c>
      <c r="AJH287">
        <v>2.75</v>
      </c>
      <c r="AJI287">
        <v>0</v>
      </c>
      <c r="AJJ287">
        <v>32.14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24.37</v>
      </c>
      <c r="AJS287">
        <v>6.53</v>
      </c>
      <c r="AJT287">
        <v>31.2</v>
      </c>
      <c r="AJU287">
        <v>0</v>
      </c>
      <c r="AJV287">
        <v>13</v>
      </c>
      <c r="AJW287">
        <v>1</v>
      </c>
      <c r="AJX287">
        <v>7</v>
      </c>
      <c r="AJZ287">
        <v>2</v>
      </c>
      <c r="AKJ287">
        <v>0</v>
      </c>
      <c r="AKK287">
        <v>0</v>
      </c>
      <c r="AKV287" s="18"/>
      <c r="ALN287">
        <v>0</v>
      </c>
    </row>
    <row r="288" spans="1:1018" s="24" customFormat="1" x14ac:dyDescent="0.2">
      <c r="A288" s="22" t="s">
        <v>853</v>
      </c>
      <c r="B288" s="23">
        <v>42908</v>
      </c>
      <c r="C288" s="24">
        <v>2</v>
      </c>
      <c r="D288" s="25">
        <v>40672</v>
      </c>
      <c r="E288" s="23">
        <v>29791</v>
      </c>
      <c r="F288" s="14">
        <f t="shared" si="106"/>
        <v>35.912388774811774</v>
      </c>
      <c r="G288" s="14">
        <f t="shared" si="107"/>
        <v>6.1218343600273784</v>
      </c>
      <c r="H288" s="26" t="s">
        <v>306</v>
      </c>
      <c r="I288" s="21" t="s">
        <v>689</v>
      </c>
      <c r="J288" s="21" t="s">
        <v>183</v>
      </c>
      <c r="K288" s="21">
        <v>8</v>
      </c>
      <c r="L288" s="26">
        <v>74</v>
      </c>
      <c r="M288" s="24">
        <v>1.84</v>
      </c>
      <c r="N288" s="27">
        <f t="shared" si="108"/>
        <v>21.857277882797732</v>
      </c>
      <c r="O288" s="26">
        <v>1</v>
      </c>
      <c r="P288" s="26">
        <v>1</v>
      </c>
      <c r="Q288" s="26" t="s">
        <v>854</v>
      </c>
      <c r="R288" s="26">
        <v>0</v>
      </c>
      <c r="S288" s="26">
        <v>0</v>
      </c>
      <c r="T288" s="26">
        <v>0</v>
      </c>
      <c r="U288" s="26">
        <v>0</v>
      </c>
      <c r="V288" s="26">
        <v>0</v>
      </c>
      <c r="W288" s="26">
        <v>0</v>
      </c>
      <c r="X288" s="26">
        <v>0</v>
      </c>
      <c r="Y288" s="26">
        <v>1</v>
      </c>
      <c r="Z288" s="26">
        <v>2</v>
      </c>
      <c r="AA288" s="26">
        <v>90</v>
      </c>
      <c r="AB288" s="26" t="s">
        <v>855</v>
      </c>
      <c r="AC288" s="26">
        <v>1</v>
      </c>
      <c r="AD288" s="26">
        <v>15</v>
      </c>
      <c r="AE288" s="26">
        <v>0</v>
      </c>
      <c r="AF288" s="26">
        <v>0</v>
      </c>
      <c r="AG288" s="26">
        <v>0</v>
      </c>
      <c r="AH288" s="26">
        <v>0</v>
      </c>
      <c r="AI288" s="26">
        <v>0</v>
      </c>
      <c r="AJ288" s="26">
        <v>0</v>
      </c>
      <c r="AK288" s="26">
        <v>0</v>
      </c>
      <c r="AL288" s="26">
        <v>0</v>
      </c>
      <c r="AM288" s="26">
        <v>0</v>
      </c>
      <c r="AN288" s="26">
        <v>0</v>
      </c>
      <c r="AO288" s="26">
        <v>0</v>
      </c>
      <c r="AP288" s="26">
        <v>0</v>
      </c>
      <c r="AQ288" s="26">
        <v>0</v>
      </c>
      <c r="AR288" s="26">
        <v>0</v>
      </c>
      <c r="AS288" s="26">
        <v>0</v>
      </c>
      <c r="AT288" s="26">
        <v>0</v>
      </c>
      <c r="AU288" s="26">
        <v>0</v>
      </c>
      <c r="AV288" s="26">
        <v>0</v>
      </c>
      <c r="AW288" s="26">
        <v>0</v>
      </c>
      <c r="AX288" s="26">
        <v>0</v>
      </c>
      <c r="AY288" s="26">
        <v>0</v>
      </c>
      <c r="AZ288" s="26">
        <v>0</v>
      </c>
      <c r="BA288" s="26">
        <v>0</v>
      </c>
      <c r="BB288" s="26">
        <v>1</v>
      </c>
      <c r="BC288" s="26">
        <v>0</v>
      </c>
      <c r="BD288" s="26">
        <v>0</v>
      </c>
      <c r="BE288" s="26">
        <v>0</v>
      </c>
      <c r="BF288" s="26">
        <v>0</v>
      </c>
      <c r="BG288" s="26">
        <v>0</v>
      </c>
      <c r="BH288" s="26">
        <v>0</v>
      </c>
      <c r="BI288" s="26">
        <v>0</v>
      </c>
      <c r="BJ288" s="26">
        <v>1</v>
      </c>
      <c r="BK288" s="26">
        <v>0</v>
      </c>
      <c r="BL288" s="26">
        <v>0</v>
      </c>
      <c r="BM288" s="26">
        <v>0</v>
      </c>
      <c r="BN288" s="26">
        <v>0</v>
      </c>
      <c r="BO288" s="26">
        <v>0</v>
      </c>
      <c r="BP288" s="26">
        <v>0</v>
      </c>
      <c r="BQ288" s="26">
        <v>0</v>
      </c>
      <c r="BR288" s="26">
        <v>3</v>
      </c>
      <c r="BS288" s="26">
        <v>1</v>
      </c>
      <c r="BT288" s="26">
        <v>3</v>
      </c>
      <c r="BU288" s="26">
        <v>4</v>
      </c>
      <c r="BV288" s="26">
        <v>2</v>
      </c>
      <c r="BW288" s="26">
        <v>1</v>
      </c>
      <c r="BX288" s="26">
        <v>3</v>
      </c>
      <c r="BY288" s="26">
        <v>4</v>
      </c>
      <c r="BZ288" s="26">
        <v>3</v>
      </c>
      <c r="CA288" s="26">
        <v>3</v>
      </c>
      <c r="CB288" s="26">
        <v>4</v>
      </c>
      <c r="CC288" s="26">
        <v>5</v>
      </c>
      <c r="CD288" s="26">
        <v>2</v>
      </c>
      <c r="CE288" s="26">
        <v>3</v>
      </c>
      <c r="CF288" s="26">
        <v>3</v>
      </c>
      <c r="CG288" s="26">
        <v>4</v>
      </c>
      <c r="CH288" s="26">
        <v>3</v>
      </c>
      <c r="CI288" s="26">
        <v>4</v>
      </c>
      <c r="CJ288" s="26">
        <v>4</v>
      </c>
      <c r="CK288" s="26">
        <v>10</v>
      </c>
      <c r="CL288" s="24" t="s">
        <v>690</v>
      </c>
      <c r="CM288" s="24">
        <v>38</v>
      </c>
      <c r="CN288" s="27">
        <v>85.5</v>
      </c>
      <c r="CO288" s="27">
        <v>83.4</v>
      </c>
      <c r="CP288" s="27">
        <v>28.7</v>
      </c>
      <c r="CQ288" s="24">
        <v>61.84</v>
      </c>
      <c r="CR288" s="24">
        <v>0</v>
      </c>
      <c r="CS288" s="24">
        <v>0</v>
      </c>
      <c r="CT288" s="24">
        <v>0</v>
      </c>
      <c r="CU288" s="24">
        <v>37.42</v>
      </c>
      <c r="CV288" s="24">
        <v>0</v>
      </c>
      <c r="CW288" s="24">
        <v>0.73</v>
      </c>
      <c r="CX288" s="24">
        <v>0</v>
      </c>
      <c r="CY288" s="24">
        <v>0</v>
      </c>
      <c r="CZ288" s="24">
        <v>0.74</v>
      </c>
      <c r="DA288" s="24">
        <v>0</v>
      </c>
      <c r="DB288" s="24">
        <v>7.34</v>
      </c>
      <c r="DC288" s="24">
        <v>25.37</v>
      </c>
      <c r="DD288" s="24">
        <v>15.03</v>
      </c>
      <c r="DE288" s="24">
        <v>30.09</v>
      </c>
      <c r="DF288" s="24">
        <v>0</v>
      </c>
      <c r="DG288" s="24">
        <v>0</v>
      </c>
      <c r="DH288" s="24">
        <v>0</v>
      </c>
      <c r="DU288" s="24">
        <v>1.7</v>
      </c>
      <c r="DV288" s="24">
        <v>0</v>
      </c>
      <c r="EG288" s="28"/>
      <c r="EY288" s="24">
        <v>1</v>
      </c>
      <c r="EZ288" s="24">
        <v>50</v>
      </c>
      <c r="FA288" s="24">
        <v>4</v>
      </c>
      <c r="FB288" s="24">
        <v>0.46</v>
      </c>
      <c r="FC288" s="24">
        <v>6</v>
      </c>
      <c r="FD288" s="24">
        <v>40</v>
      </c>
      <c r="FE288" s="24">
        <v>10</v>
      </c>
      <c r="FF288" s="24">
        <f t="shared" ref="FF288:FF297" si="115">0.17*2+0.06+0.07</f>
        <v>0.47000000000000003</v>
      </c>
      <c r="FG288" s="24">
        <v>1</v>
      </c>
      <c r="FH288" s="24">
        <v>40</v>
      </c>
      <c r="FI288" s="24">
        <v>10</v>
      </c>
      <c r="FJ288" s="24">
        <f t="shared" ref="FJ288:FJ297" si="116">0.17*2+0.07*2+0.03</f>
        <v>0.51</v>
      </c>
      <c r="FK288" s="24">
        <v>6</v>
      </c>
      <c r="FL288" s="24">
        <v>60</v>
      </c>
      <c r="FM288" s="24">
        <v>6</v>
      </c>
      <c r="FN288" s="24">
        <f t="shared" ref="FN288:FN297" si="117">4.4*2+0.39*2+0.26</f>
        <v>9.84</v>
      </c>
      <c r="FO288" s="24">
        <v>3</v>
      </c>
      <c r="GJ288" s="27">
        <v>1.55</v>
      </c>
      <c r="GK288" s="27">
        <v>1</v>
      </c>
      <c r="GL288" s="27">
        <v>1</v>
      </c>
      <c r="GM288" s="27"/>
      <c r="GN288" s="27">
        <f t="shared" ref="GN288:GN297" si="118">1.65*2</f>
        <v>3.3</v>
      </c>
      <c r="GO288" s="27">
        <v>2</v>
      </c>
      <c r="GP288" s="27"/>
      <c r="GQ288" s="27">
        <v>0.54</v>
      </c>
      <c r="GR288" s="27"/>
      <c r="GS288" s="27"/>
      <c r="GT288" s="27"/>
      <c r="GU288" s="27">
        <v>5.74</v>
      </c>
      <c r="GV288" s="27">
        <v>3.64</v>
      </c>
      <c r="GW288" s="27"/>
      <c r="GX288" s="27"/>
      <c r="GY288" s="27">
        <v>0</v>
      </c>
      <c r="GZ288" s="27">
        <v>0</v>
      </c>
      <c r="HA288" s="27">
        <v>0</v>
      </c>
      <c r="HB288" s="24">
        <v>0</v>
      </c>
      <c r="HC288" s="24" t="s">
        <v>691</v>
      </c>
      <c r="HD288" s="24">
        <v>63.5</v>
      </c>
      <c r="HE288" s="27">
        <v>98.9</v>
      </c>
      <c r="HF288" s="27">
        <v>83.4</v>
      </c>
      <c r="HG288" s="27">
        <v>51</v>
      </c>
      <c r="HH288" s="24">
        <v>53.65</v>
      </c>
      <c r="HI288" s="24">
        <v>0</v>
      </c>
      <c r="HJ288" s="24">
        <v>11.99</v>
      </c>
      <c r="HK288" s="24">
        <v>24.1</v>
      </c>
      <c r="HL288" s="24">
        <v>10.26</v>
      </c>
      <c r="HM288" s="24">
        <v>0</v>
      </c>
      <c r="HN288" s="24">
        <v>0</v>
      </c>
      <c r="HO288" s="24">
        <v>0</v>
      </c>
      <c r="HP288" s="24">
        <v>0</v>
      </c>
      <c r="HQ288" s="24">
        <v>0</v>
      </c>
      <c r="HR288" s="24">
        <v>0</v>
      </c>
      <c r="HS288" s="24">
        <v>9.1</v>
      </c>
      <c r="HT288" s="24">
        <v>26.31</v>
      </c>
      <c r="HU288" s="24">
        <v>5.53</v>
      </c>
      <c r="HV288" s="24">
        <v>0.94</v>
      </c>
      <c r="HW288" s="24">
        <v>0</v>
      </c>
      <c r="HX288" s="24">
        <v>0</v>
      </c>
      <c r="HY288" s="24">
        <v>0</v>
      </c>
      <c r="IL288" s="24">
        <v>6.1</v>
      </c>
      <c r="IM288" s="24">
        <v>0</v>
      </c>
      <c r="IX288" s="28"/>
      <c r="JP288" s="24">
        <v>1</v>
      </c>
      <c r="JQ288" s="24">
        <v>50</v>
      </c>
      <c r="JR288" s="24">
        <v>1</v>
      </c>
      <c r="JS288" s="24">
        <v>0.39</v>
      </c>
      <c r="JT288" s="24">
        <v>3</v>
      </c>
      <c r="JU288" s="24">
        <v>50</v>
      </c>
      <c r="JV288" s="24">
        <v>2</v>
      </c>
      <c r="JW288" s="24">
        <f>0.19+0.23</f>
        <v>0.42000000000000004</v>
      </c>
      <c r="JX288" s="24">
        <v>4</v>
      </c>
      <c r="JY288" s="24">
        <v>60</v>
      </c>
      <c r="JZ288" s="24">
        <v>12</v>
      </c>
      <c r="KA288" s="24">
        <f>0.78*2</f>
        <v>1.56</v>
      </c>
      <c r="KB288" s="24">
        <v>6</v>
      </c>
      <c r="LA288" s="27">
        <v>5.39</v>
      </c>
      <c r="LB288" s="27">
        <v>1</v>
      </c>
      <c r="LC288" s="27">
        <v>1</v>
      </c>
      <c r="LD288" s="27"/>
      <c r="LE288" s="27">
        <f>2.04*3+0.36*2</f>
        <v>6.84</v>
      </c>
      <c r="LF288" s="27">
        <v>2</v>
      </c>
      <c r="LG288" s="27"/>
      <c r="LH288" s="27">
        <f>0.72*2+0.36</f>
        <v>1.7999999999999998</v>
      </c>
      <c r="LI288" s="27">
        <v>3</v>
      </c>
      <c r="LJ288" s="27"/>
      <c r="LK288" s="27">
        <v>0.5</v>
      </c>
      <c r="LL288" s="27">
        <v>0.94</v>
      </c>
      <c r="LM288" s="27">
        <v>0.94</v>
      </c>
      <c r="LN288" s="27"/>
      <c r="LO288" s="27"/>
      <c r="LP288" s="27">
        <v>0</v>
      </c>
      <c r="LQ288" s="27">
        <v>0</v>
      </c>
      <c r="LR288" s="27">
        <v>0</v>
      </c>
      <c r="LS288" s="24">
        <v>0</v>
      </c>
      <c r="LT288" s="24" t="s">
        <v>691</v>
      </c>
      <c r="LU288" s="24">
        <v>63.5</v>
      </c>
      <c r="LV288" s="27">
        <v>98.9</v>
      </c>
      <c r="LW288" s="27">
        <v>83.4</v>
      </c>
      <c r="LX288" s="27">
        <v>51</v>
      </c>
      <c r="LY288" s="24">
        <v>53.65</v>
      </c>
      <c r="LZ288" s="24">
        <v>0</v>
      </c>
      <c r="MA288" s="24">
        <v>11.99</v>
      </c>
      <c r="MB288" s="24">
        <v>24.1</v>
      </c>
      <c r="MC288" s="24">
        <v>10.26</v>
      </c>
      <c r="MD288" s="24">
        <v>0</v>
      </c>
      <c r="ME288" s="24">
        <v>0</v>
      </c>
      <c r="MF288" s="24">
        <v>0</v>
      </c>
      <c r="MG288" s="24">
        <v>0</v>
      </c>
      <c r="MH288" s="24">
        <v>0</v>
      </c>
      <c r="MI288" s="24">
        <v>0</v>
      </c>
      <c r="MJ288" s="24">
        <v>9.1</v>
      </c>
      <c r="MK288" s="24">
        <v>26.31</v>
      </c>
      <c r="ML288" s="24">
        <v>5.53</v>
      </c>
      <c r="MM288" s="24">
        <v>0.94</v>
      </c>
      <c r="MN288" s="24">
        <v>0</v>
      </c>
      <c r="MO288" s="24">
        <v>0</v>
      </c>
      <c r="MP288" s="24">
        <v>0</v>
      </c>
      <c r="NC288" s="24">
        <v>6.1</v>
      </c>
      <c r="ND288" s="24">
        <v>0</v>
      </c>
      <c r="NO288" s="28"/>
      <c r="OG288" s="24">
        <v>1</v>
      </c>
      <c r="OH288" s="24">
        <v>50</v>
      </c>
      <c r="OI288" s="24">
        <v>1</v>
      </c>
      <c r="OJ288" s="24">
        <v>0.39</v>
      </c>
      <c r="OK288" s="24">
        <v>3</v>
      </c>
      <c r="OL288" s="24">
        <v>50</v>
      </c>
      <c r="OM288" s="24">
        <v>2</v>
      </c>
      <c r="ON288" s="24">
        <f>0.19+0.23</f>
        <v>0.42000000000000004</v>
      </c>
      <c r="OO288" s="24">
        <v>4</v>
      </c>
      <c r="OP288" s="24">
        <v>60</v>
      </c>
      <c r="OQ288" s="24">
        <v>12</v>
      </c>
      <c r="OR288" s="24">
        <f>0.78*2</f>
        <v>1.56</v>
      </c>
      <c r="OS288" s="24">
        <v>6</v>
      </c>
      <c r="PR288" s="27">
        <v>5.39</v>
      </c>
      <c r="PS288" s="27">
        <v>1</v>
      </c>
      <c r="PT288" s="27">
        <v>1</v>
      </c>
      <c r="PU288" s="27"/>
      <c r="PV288" s="27">
        <f>2.04*3+0.36*2</f>
        <v>6.84</v>
      </c>
      <c r="PW288" s="27">
        <v>2</v>
      </c>
      <c r="PX288" s="27"/>
      <c r="PY288" s="27">
        <f>0.72*2+0.36</f>
        <v>1.7999999999999998</v>
      </c>
      <c r="PZ288" s="27">
        <v>3</v>
      </c>
      <c r="QA288" s="27"/>
      <c r="QB288" s="27">
        <v>0.5</v>
      </c>
      <c r="QC288" s="27">
        <v>0.94</v>
      </c>
      <c r="QD288" s="27">
        <v>0.94</v>
      </c>
      <c r="QE288" s="27"/>
      <c r="QF288" s="27"/>
      <c r="QG288" s="27">
        <v>0</v>
      </c>
      <c r="QH288" s="27">
        <v>0</v>
      </c>
      <c r="QI288" s="27">
        <v>0</v>
      </c>
      <c r="QJ288" s="24">
        <v>0</v>
      </c>
      <c r="QK288" s="24" t="s">
        <v>692</v>
      </c>
      <c r="QL288" s="24">
        <v>30.5</v>
      </c>
      <c r="QM288" s="27">
        <v>69.11</v>
      </c>
      <c r="QN288" s="27">
        <v>83.4</v>
      </c>
      <c r="QO288" s="27">
        <v>18.100000000000001</v>
      </c>
      <c r="QP288" s="24">
        <v>79.03</v>
      </c>
      <c r="QQ288" s="24">
        <v>0.45</v>
      </c>
      <c r="QR288" s="24">
        <v>0</v>
      </c>
      <c r="QS288" s="24">
        <v>0</v>
      </c>
      <c r="QT288" s="24">
        <v>20.52</v>
      </c>
      <c r="QU288" s="24">
        <v>0</v>
      </c>
      <c r="QV288" s="24">
        <v>0</v>
      </c>
      <c r="QW288" s="24">
        <v>0</v>
      </c>
      <c r="QX288" s="24">
        <v>0</v>
      </c>
      <c r="QY288" s="24">
        <v>0</v>
      </c>
      <c r="QZ288" s="24">
        <v>0</v>
      </c>
      <c r="RA288" s="24">
        <v>0</v>
      </c>
      <c r="RB288" s="24">
        <v>12.58</v>
      </c>
      <c r="RC288" s="24">
        <v>17.940000000000001</v>
      </c>
      <c r="RD288" s="24">
        <v>18.04</v>
      </c>
      <c r="RE288" s="24">
        <v>0</v>
      </c>
      <c r="RF288" s="24">
        <v>0</v>
      </c>
      <c r="RG288" s="24">
        <v>0</v>
      </c>
      <c r="RT288" s="24">
        <v>8.1</v>
      </c>
      <c r="RU288" s="24">
        <v>1</v>
      </c>
      <c r="RV288" s="24">
        <v>35</v>
      </c>
      <c r="RW288" s="24">
        <v>4</v>
      </c>
      <c r="RX288" s="24">
        <f>2.2+0.39</f>
        <v>2.5900000000000003</v>
      </c>
      <c r="RY288" s="24">
        <v>3</v>
      </c>
      <c r="SF288" s="28"/>
      <c r="SX288" s="24">
        <v>1</v>
      </c>
      <c r="SY288" s="24">
        <v>60</v>
      </c>
      <c r="SZ288" s="24">
        <v>1</v>
      </c>
      <c r="TA288" s="24">
        <v>0.73</v>
      </c>
      <c r="TB288" s="24">
        <v>3</v>
      </c>
      <c r="UI288" s="27">
        <v>3.89</v>
      </c>
      <c r="UJ288" s="27">
        <v>1</v>
      </c>
      <c r="UK288" s="27">
        <v>1</v>
      </c>
      <c r="UL288" s="27"/>
      <c r="UM288" s="27">
        <f>0.14*2+0.21*2</f>
        <v>0.7</v>
      </c>
      <c r="UN288" s="27">
        <v>2</v>
      </c>
      <c r="UO288" s="27"/>
      <c r="UP288" s="27">
        <f>1.65*2</f>
        <v>3.3</v>
      </c>
      <c r="UQ288" s="27"/>
      <c r="UR288" s="27"/>
      <c r="US288" s="27"/>
      <c r="UT288" s="27">
        <v>0</v>
      </c>
      <c r="UU288" s="27">
        <v>0</v>
      </c>
      <c r="UV288" s="27"/>
      <c r="UW288" s="27"/>
      <c r="UX288" s="27">
        <v>0</v>
      </c>
      <c r="UY288" s="27">
        <v>0</v>
      </c>
      <c r="UZ288" s="27">
        <v>0</v>
      </c>
      <c r="VA288" s="24">
        <v>0</v>
      </c>
      <c r="VB288" s="24" t="s">
        <v>697</v>
      </c>
      <c r="VC288" s="24">
        <v>42.5</v>
      </c>
      <c r="VD288" s="27">
        <v>92.2</v>
      </c>
      <c r="VE288" s="27">
        <v>83.4</v>
      </c>
      <c r="VF288" s="27">
        <v>33.5</v>
      </c>
      <c r="VG288" s="24">
        <v>25.89</v>
      </c>
      <c r="VH288" s="24">
        <v>0</v>
      </c>
      <c r="VI288" s="24">
        <v>0</v>
      </c>
      <c r="VJ288" s="24">
        <v>0</v>
      </c>
      <c r="VK288" s="24">
        <v>0</v>
      </c>
      <c r="VL288" s="24">
        <v>0</v>
      </c>
      <c r="VM288" s="24">
        <v>74.11</v>
      </c>
      <c r="VN288" s="24">
        <v>25.43</v>
      </c>
      <c r="VO288" s="24">
        <v>9.7200000000000006</v>
      </c>
      <c r="VP288" s="24">
        <v>2.94</v>
      </c>
      <c r="VQ288" s="24">
        <v>0</v>
      </c>
      <c r="VR288" s="24">
        <v>11.38</v>
      </c>
      <c r="VS288" s="24">
        <v>16.89</v>
      </c>
      <c r="VT288" s="24">
        <v>27.26</v>
      </c>
      <c r="VU288" s="24">
        <v>0</v>
      </c>
      <c r="VV288" s="24">
        <v>0</v>
      </c>
      <c r="VW288" s="24">
        <v>0</v>
      </c>
      <c r="VX288" s="24">
        <v>0</v>
      </c>
      <c r="WK288" s="24">
        <v>3.6</v>
      </c>
      <c r="WL288" s="24">
        <v>1</v>
      </c>
      <c r="WM288" s="24">
        <v>35</v>
      </c>
      <c r="WN288" s="24">
        <v>6</v>
      </c>
      <c r="WO288" s="24">
        <f>0.13*4</f>
        <v>0.52</v>
      </c>
      <c r="WP288" s="24">
        <v>3</v>
      </c>
      <c r="WQ288" s="24">
        <v>25</v>
      </c>
      <c r="WR288" s="24">
        <v>2</v>
      </c>
      <c r="WS288" s="24">
        <f>0.13*2</f>
        <v>0.26</v>
      </c>
      <c r="WT288" s="24">
        <v>4</v>
      </c>
      <c r="WW288" s="28"/>
      <c r="XO288" s="24">
        <v>0</v>
      </c>
      <c r="YZ288" s="27">
        <v>3.01</v>
      </c>
      <c r="ZA288" s="27">
        <v>1</v>
      </c>
      <c r="ZB288" s="27">
        <v>1</v>
      </c>
      <c r="ZC288" s="27"/>
      <c r="ZD288" s="27">
        <f>1.65*5+0.13*2+0.36+0.18</f>
        <v>9.0499999999999989</v>
      </c>
      <c r="ZE288" s="27"/>
      <c r="ZF288" s="27"/>
      <c r="ZG288" s="27"/>
      <c r="ZH288" s="27"/>
      <c r="ZI288" s="27"/>
      <c r="ZJ288" s="27"/>
      <c r="ZK288" s="27">
        <v>2.16</v>
      </c>
      <c r="ZL288" s="27">
        <v>0.52</v>
      </c>
      <c r="ZM288" s="27"/>
      <c r="ZN288" s="27"/>
      <c r="ZO288" s="27">
        <v>0</v>
      </c>
      <c r="ZP288" s="27">
        <v>0</v>
      </c>
      <c r="ZQ288" s="27">
        <v>0</v>
      </c>
      <c r="ZR288" s="24">
        <v>0</v>
      </c>
      <c r="ZS288" s="24" t="s">
        <v>698</v>
      </c>
      <c r="ZT288" s="24">
        <v>37</v>
      </c>
      <c r="ZU288" s="27">
        <v>86.3</v>
      </c>
      <c r="ZV288" s="27">
        <v>83.4</v>
      </c>
      <c r="ZW288" s="27">
        <v>31.3</v>
      </c>
      <c r="ZX288" s="24">
        <v>24.09</v>
      </c>
      <c r="ZY288" s="24">
        <v>0</v>
      </c>
      <c r="ZZ288" s="24">
        <v>0</v>
      </c>
      <c r="AAA288" s="24">
        <v>0</v>
      </c>
      <c r="AAB288" s="24">
        <v>0</v>
      </c>
      <c r="AAC288" s="24">
        <v>0</v>
      </c>
      <c r="AAD288" s="24">
        <v>75.91</v>
      </c>
      <c r="AAE288" s="24">
        <v>21.83</v>
      </c>
      <c r="AAF288" s="24">
        <v>8.6300000000000008</v>
      </c>
      <c r="AAG288" s="24">
        <v>2.94</v>
      </c>
      <c r="AAH288" s="24">
        <v>0</v>
      </c>
      <c r="AAI288" s="24">
        <v>13.66</v>
      </c>
      <c r="AAJ288" s="24">
        <v>10.54</v>
      </c>
      <c r="AAK288" s="24">
        <v>28.39</v>
      </c>
      <c r="AAL288" s="24">
        <v>0</v>
      </c>
      <c r="AAM288" s="24">
        <v>0</v>
      </c>
      <c r="AAN288" s="24">
        <v>0</v>
      </c>
      <c r="AAO288" s="24">
        <v>0</v>
      </c>
      <c r="ABB288" s="24">
        <v>2.7</v>
      </c>
      <c r="ABC288" s="24">
        <v>1</v>
      </c>
      <c r="ABD288" s="24">
        <v>52</v>
      </c>
      <c r="ABE288" s="24">
        <v>1</v>
      </c>
      <c r="ABF288" s="24">
        <v>0.39</v>
      </c>
      <c r="ABG288" s="24">
        <v>2</v>
      </c>
      <c r="ABH288" s="24">
        <v>35</v>
      </c>
      <c r="ABI288" s="24">
        <v>4</v>
      </c>
      <c r="ABJ288" s="24">
        <v>0.26</v>
      </c>
      <c r="ABK288" s="24">
        <v>3</v>
      </c>
      <c r="ABN288" s="28"/>
      <c r="ACF288" s="24">
        <v>0</v>
      </c>
      <c r="ADQ288" s="27">
        <v>2.83</v>
      </c>
      <c r="ADR288" s="27">
        <v>1</v>
      </c>
      <c r="ADS288" s="27">
        <v>1</v>
      </c>
      <c r="ADT288" s="27"/>
      <c r="ADU288" s="27">
        <f>1.65*5</f>
        <v>8.25</v>
      </c>
      <c r="ADV288" s="27"/>
      <c r="ADW288" s="27"/>
      <c r="ADX288" s="27"/>
      <c r="ADY288" s="27"/>
      <c r="ADZ288" s="27"/>
      <c r="AEA288" s="27"/>
      <c r="AEB288" s="27">
        <v>0</v>
      </c>
      <c r="AEC288" s="27">
        <v>0</v>
      </c>
      <c r="AED288" s="27"/>
      <c r="AEE288" s="27"/>
      <c r="AEF288" s="27">
        <v>0</v>
      </c>
      <c r="AEG288" s="27">
        <v>0</v>
      </c>
      <c r="AEH288" s="27">
        <v>0</v>
      </c>
      <c r="AEI288" s="24">
        <v>0</v>
      </c>
      <c r="AEJ288" s="24" t="s">
        <v>702</v>
      </c>
      <c r="AEK288" s="24">
        <v>43.5</v>
      </c>
      <c r="AEL288" s="27">
        <v>73.8</v>
      </c>
      <c r="AEM288" s="27">
        <v>83.4</v>
      </c>
      <c r="AEN288" s="27">
        <v>26.5</v>
      </c>
      <c r="AEO288" s="24">
        <v>20.2</v>
      </c>
      <c r="AEP288" s="24">
        <v>0</v>
      </c>
      <c r="AEQ288" s="24">
        <v>26.95</v>
      </c>
      <c r="AER288" s="24">
        <v>0</v>
      </c>
      <c r="AES288" s="24">
        <v>0.39</v>
      </c>
      <c r="AET288" s="24">
        <v>0</v>
      </c>
      <c r="AEU288" s="24">
        <v>79.41</v>
      </c>
      <c r="AEV288" s="24">
        <v>26.95</v>
      </c>
      <c r="AEW288" s="24">
        <v>0</v>
      </c>
      <c r="AEX288" s="24">
        <v>0</v>
      </c>
      <c r="AEY288" s="24">
        <v>0</v>
      </c>
      <c r="AEZ288" s="24">
        <v>35.200000000000003</v>
      </c>
      <c r="AFA288" s="24">
        <v>15.96</v>
      </c>
      <c r="AFB288" s="24">
        <v>39.090000000000003</v>
      </c>
      <c r="AFC288" s="24">
        <v>0.32</v>
      </c>
      <c r="AFD288" s="24">
        <v>0</v>
      </c>
      <c r="AFE288" s="24">
        <v>0</v>
      </c>
      <c r="AFF288" s="24">
        <v>0</v>
      </c>
      <c r="AFS288" s="24">
        <v>14.4</v>
      </c>
      <c r="AFT288" s="24">
        <v>1</v>
      </c>
      <c r="AFU288" s="24">
        <v>30</v>
      </c>
      <c r="AFV288" s="24">
        <v>5</v>
      </c>
      <c r="AFW288" s="24">
        <f>2.94+0.6</f>
        <v>3.54</v>
      </c>
      <c r="AFX288" s="24">
        <v>3</v>
      </c>
      <c r="AFY288" s="24">
        <v>34</v>
      </c>
      <c r="AFZ288" s="24">
        <v>1</v>
      </c>
      <c r="AGA288" s="24">
        <v>1.65</v>
      </c>
      <c r="AGB288" s="24">
        <v>1</v>
      </c>
      <c r="AGC288" s="24">
        <v>52</v>
      </c>
      <c r="AGD288" s="24">
        <v>6</v>
      </c>
      <c r="AGE288" s="28">
        <f>0.7+0.77+0.08+0.05</f>
        <v>1.6</v>
      </c>
      <c r="AGF288" s="24">
        <v>2</v>
      </c>
      <c r="AGG288" s="24">
        <v>35</v>
      </c>
      <c r="AGH288" s="24">
        <v>1</v>
      </c>
      <c r="AGI288" s="24">
        <v>0.19</v>
      </c>
      <c r="AGJ288" s="24">
        <v>3</v>
      </c>
      <c r="AGK288" s="24">
        <v>23</v>
      </c>
      <c r="AGL288" s="24">
        <v>3</v>
      </c>
      <c r="AGM288" s="24">
        <f>0.39+0.77</f>
        <v>1.1600000000000001</v>
      </c>
      <c r="AGN288" s="24">
        <v>3</v>
      </c>
      <c r="AGW288" s="24">
        <v>0</v>
      </c>
      <c r="AIH288" s="27">
        <v>1.22</v>
      </c>
      <c r="AII288" s="27">
        <v>1</v>
      </c>
      <c r="AIJ288" s="27">
        <v>1</v>
      </c>
      <c r="AIK288" s="27"/>
      <c r="AIL288" s="27">
        <f>0.97*2+1.07*2</f>
        <v>4.08</v>
      </c>
      <c r="AIM288" s="27"/>
      <c r="AIN288" s="27"/>
      <c r="AIO288" s="27"/>
      <c r="AIP288" s="27"/>
      <c r="AIQ288" s="27"/>
      <c r="AIR288" s="27"/>
      <c r="AIS288" s="27">
        <v>0</v>
      </c>
      <c r="AIT288" s="27">
        <v>0</v>
      </c>
      <c r="AIU288" s="27"/>
      <c r="AIV288" s="27"/>
      <c r="AIW288" s="27">
        <v>0</v>
      </c>
      <c r="AIX288" s="27">
        <v>0</v>
      </c>
      <c r="AIY288" s="27">
        <v>1.22</v>
      </c>
      <c r="AIZ288" s="24">
        <v>0</v>
      </c>
      <c r="AJA288" s="24" t="s">
        <v>693</v>
      </c>
      <c r="AJB288" s="24">
        <v>33.5</v>
      </c>
      <c r="AJC288" s="27">
        <v>92.3</v>
      </c>
      <c r="AJD288" s="27">
        <v>83.4</v>
      </c>
      <c r="AJE288" s="27">
        <v>19.8</v>
      </c>
      <c r="AJF288" s="24">
        <v>72.02</v>
      </c>
      <c r="AJG288" s="24">
        <v>2.2000000000000002</v>
      </c>
      <c r="AJH288" s="24">
        <v>7.75</v>
      </c>
      <c r="AJI288" s="24">
        <v>0</v>
      </c>
      <c r="AJJ288" s="24">
        <v>5.49</v>
      </c>
      <c r="AJK288" s="24">
        <v>0</v>
      </c>
      <c r="AJL288" s="24">
        <v>6.84</v>
      </c>
      <c r="AJM288" s="24">
        <v>0</v>
      </c>
      <c r="AJN288" s="24">
        <v>0</v>
      </c>
      <c r="AJO288" s="24">
        <v>0</v>
      </c>
      <c r="AJP288" s="24">
        <v>0</v>
      </c>
      <c r="AJQ288" s="24">
        <v>7.13</v>
      </c>
      <c r="AJR288" s="24">
        <v>54.84</v>
      </c>
      <c r="AJS288" s="24">
        <v>10.130000000000001</v>
      </c>
      <c r="AJT288" s="24">
        <v>3.36</v>
      </c>
      <c r="AJU288" s="24">
        <v>5.7</v>
      </c>
      <c r="AJV288" s="24">
        <v>0</v>
      </c>
      <c r="AJW288" s="24">
        <v>0</v>
      </c>
      <c r="AKF288" s="24">
        <v>2</v>
      </c>
      <c r="AKJ288" s="24">
        <v>3.4</v>
      </c>
      <c r="AKK288" s="24">
        <v>1</v>
      </c>
      <c r="AKL288" s="24">
        <v>34</v>
      </c>
      <c r="AKM288" s="24">
        <v>1</v>
      </c>
      <c r="AKN288" s="24">
        <v>1.28</v>
      </c>
      <c r="AKO288" s="24">
        <v>1</v>
      </c>
      <c r="AKP288" s="24">
        <v>52</v>
      </c>
      <c r="AKQ288" s="24">
        <v>1</v>
      </c>
      <c r="AKR288" s="24">
        <v>0.73</v>
      </c>
      <c r="AKS288" s="24">
        <v>2</v>
      </c>
      <c r="AKT288" s="24">
        <v>30</v>
      </c>
      <c r="AKU288" s="24">
        <v>1</v>
      </c>
      <c r="AKV288" s="28">
        <v>0.13</v>
      </c>
      <c r="AKW288" s="24">
        <v>3</v>
      </c>
      <c r="ALN288" s="24">
        <v>1</v>
      </c>
      <c r="ALO288" s="24">
        <v>40</v>
      </c>
      <c r="ALP288" s="24">
        <v>1</v>
      </c>
      <c r="ALQ288" s="24">
        <v>1.83</v>
      </c>
      <c r="ALR288" s="24">
        <v>6</v>
      </c>
      <c r="ALS288" s="24">
        <v>40</v>
      </c>
      <c r="ALT288" s="24">
        <v>1</v>
      </c>
      <c r="ALU288" s="24">
        <v>1.65</v>
      </c>
      <c r="ALV288" s="24">
        <v>3</v>
      </c>
      <c r="ALW288" s="24">
        <v>40</v>
      </c>
      <c r="ALX288" s="24">
        <v>1</v>
      </c>
      <c r="ALY288" s="24">
        <v>1.83</v>
      </c>
      <c r="ALZ288" s="24">
        <v>4</v>
      </c>
      <c r="AMA288" s="24">
        <v>40</v>
      </c>
      <c r="AMB288" s="24">
        <v>4</v>
      </c>
      <c r="AMC288" s="24">
        <v>0.26</v>
      </c>
      <c r="AMD288" s="24">
        <v>1</v>
      </c>
    </row>
    <row r="289" spans="1:1024" s="24" customFormat="1" x14ac:dyDescent="0.2">
      <c r="A289" s="22" t="s">
        <v>856</v>
      </c>
      <c r="B289" s="23">
        <v>42908</v>
      </c>
      <c r="C289" s="24">
        <v>1</v>
      </c>
      <c r="D289" s="25">
        <v>40700</v>
      </c>
      <c r="E289" s="23">
        <v>24553</v>
      </c>
      <c r="F289" s="14">
        <f t="shared" si="106"/>
        <v>50.253251197809718</v>
      </c>
      <c r="G289" s="14">
        <f t="shared" si="107"/>
        <v>6.0451745379876796</v>
      </c>
      <c r="H289" s="26" t="s">
        <v>306</v>
      </c>
      <c r="I289" s="21" t="s">
        <v>689</v>
      </c>
      <c r="J289" s="21" t="s">
        <v>183</v>
      </c>
      <c r="K289" s="21">
        <v>8</v>
      </c>
      <c r="L289" s="26">
        <v>67</v>
      </c>
      <c r="M289" s="24">
        <v>1.56</v>
      </c>
      <c r="N289" s="27">
        <f t="shared" si="108"/>
        <v>27.531229454306374</v>
      </c>
      <c r="O289" s="26">
        <v>1</v>
      </c>
      <c r="P289" s="26">
        <v>1</v>
      </c>
      <c r="Q289" s="26" t="s">
        <v>857</v>
      </c>
      <c r="R289" s="26">
        <v>0</v>
      </c>
      <c r="S289" s="26">
        <v>0</v>
      </c>
      <c r="T289" s="26">
        <v>0</v>
      </c>
      <c r="U289" s="26">
        <v>0</v>
      </c>
      <c r="V289" s="26">
        <v>0</v>
      </c>
      <c r="W289" s="26">
        <v>1</v>
      </c>
      <c r="X289" s="26">
        <v>0</v>
      </c>
      <c r="Y289" s="26">
        <v>1</v>
      </c>
      <c r="Z289" s="26">
        <v>1</v>
      </c>
      <c r="AA289" s="26">
        <v>60</v>
      </c>
      <c r="AB289" s="26" t="s">
        <v>215</v>
      </c>
      <c r="AC289" s="26">
        <v>0</v>
      </c>
      <c r="AD289" s="26">
        <v>0</v>
      </c>
      <c r="AE289" s="26">
        <v>1</v>
      </c>
      <c r="AF289" s="26">
        <v>0</v>
      </c>
      <c r="AG289" s="26">
        <v>1</v>
      </c>
      <c r="AH289" s="26">
        <v>7</v>
      </c>
      <c r="AI289" s="26">
        <v>3</v>
      </c>
      <c r="AJ289" s="26">
        <v>3</v>
      </c>
      <c r="AK289" s="26">
        <v>3</v>
      </c>
      <c r="AL289" s="26">
        <v>7</v>
      </c>
      <c r="AM289" s="26">
        <v>7</v>
      </c>
      <c r="AN289" s="26">
        <v>0</v>
      </c>
      <c r="AO289" s="26">
        <v>0</v>
      </c>
      <c r="AP289" s="26">
        <v>0</v>
      </c>
      <c r="AQ289" s="26">
        <v>0</v>
      </c>
      <c r="AR289" s="26">
        <v>0</v>
      </c>
      <c r="AS289" s="26">
        <v>0</v>
      </c>
      <c r="AT289" s="26">
        <v>0</v>
      </c>
      <c r="AU289" s="26">
        <v>0</v>
      </c>
      <c r="AV289" s="26">
        <v>0</v>
      </c>
      <c r="AW289" s="26">
        <v>0</v>
      </c>
      <c r="AX289" s="26">
        <v>0</v>
      </c>
      <c r="AY289" s="26">
        <v>0</v>
      </c>
      <c r="AZ289" s="26">
        <v>0</v>
      </c>
      <c r="BA289" s="26">
        <v>0</v>
      </c>
      <c r="BB289" s="26">
        <v>0</v>
      </c>
      <c r="BC289" s="26">
        <v>0</v>
      </c>
      <c r="BD289" s="26">
        <v>0</v>
      </c>
      <c r="BE289" s="26">
        <v>0</v>
      </c>
      <c r="BF289" s="26">
        <v>0</v>
      </c>
      <c r="BG289" s="26">
        <v>0</v>
      </c>
      <c r="BH289" s="26">
        <v>0</v>
      </c>
      <c r="BI289" s="26">
        <v>0</v>
      </c>
      <c r="BJ289" s="26">
        <v>0</v>
      </c>
      <c r="BK289" s="26">
        <v>0</v>
      </c>
      <c r="BL289" s="26">
        <v>0</v>
      </c>
      <c r="BM289" s="26">
        <v>0</v>
      </c>
      <c r="BN289" s="26">
        <v>0</v>
      </c>
      <c r="BO289" s="26">
        <v>0</v>
      </c>
      <c r="BP289" s="26">
        <v>0</v>
      </c>
      <c r="BQ289" s="26">
        <v>0</v>
      </c>
      <c r="BR289" s="26">
        <v>3</v>
      </c>
      <c r="BS289" s="26">
        <v>2</v>
      </c>
      <c r="BT289" s="26">
        <v>4</v>
      </c>
      <c r="BU289" s="26">
        <v>5</v>
      </c>
      <c r="BV289" s="26">
        <v>3</v>
      </c>
      <c r="BW289" s="26">
        <v>3</v>
      </c>
      <c r="BX289" s="26">
        <v>3</v>
      </c>
      <c r="BY289" s="26">
        <v>3</v>
      </c>
      <c r="BZ289" s="26">
        <v>3</v>
      </c>
      <c r="CA289" s="26">
        <v>3</v>
      </c>
      <c r="CB289" s="26">
        <v>3</v>
      </c>
      <c r="CC289" s="26">
        <v>5</v>
      </c>
      <c r="CD289" s="26">
        <v>3</v>
      </c>
      <c r="CE289" s="26">
        <v>3</v>
      </c>
      <c r="CF289" s="26">
        <v>3</v>
      </c>
      <c r="CG289" s="26">
        <v>5</v>
      </c>
      <c r="CH289" s="26">
        <v>2</v>
      </c>
      <c r="CI289" s="26">
        <v>3</v>
      </c>
      <c r="CJ289" s="26">
        <v>3</v>
      </c>
      <c r="CK289" s="26">
        <v>5</v>
      </c>
      <c r="CL289" s="24" t="s">
        <v>690</v>
      </c>
      <c r="CM289" s="24">
        <v>38</v>
      </c>
      <c r="CN289" s="27">
        <v>85.5</v>
      </c>
      <c r="CO289" s="27">
        <v>83.4</v>
      </c>
      <c r="CP289" s="27">
        <v>28.7</v>
      </c>
      <c r="CQ289" s="24">
        <v>61.84</v>
      </c>
      <c r="CR289" s="24">
        <v>0</v>
      </c>
      <c r="CS289" s="24">
        <v>0</v>
      </c>
      <c r="CT289" s="24">
        <v>0</v>
      </c>
      <c r="CU289" s="24">
        <v>37.42</v>
      </c>
      <c r="CV289" s="24">
        <v>0</v>
      </c>
      <c r="CW289" s="24">
        <v>0.73</v>
      </c>
      <c r="CX289" s="24">
        <v>0</v>
      </c>
      <c r="CY289" s="24">
        <v>0</v>
      </c>
      <c r="CZ289" s="24">
        <v>0.74</v>
      </c>
      <c r="DA289" s="24">
        <v>0</v>
      </c>
      <c r="DB289" s="24">
        <v>7.34</v>
      </c>
      <c r="DC289" s="24">
        <v>25.37</v>
      </c>
      <c r="DD289" s="24">
        <v>15.03</v>
      </c>
      <c r="DE289" s="24">
        <v>30.09</v>
      </c>
      <c r="DF289" s="24">
        <v>0</v>
      </c>
      <c r="DG289" s="24">
        <v>0</v>
      </c>
      <c r="DH289" s="24">
        <v>0</v>
      </c>
      <c r="DU289" s="24">
        <v>1.7</v>
      </c>
      <c r="DV289" s="24">
        <v>0</v>
      </c>
      <c r="EG289" s="28"/>
      <c r="EY289" s="24">
        <v>1</v>
      </c>
      <c r="EZ289" s="24">
        <v>50</v>
      </c>
      <c r="FA289" s="24">
        <v>4</v>
      </c>
      <c r="FB289" s="24">
        <v>0.46</v>
      </c>
      <c r="FC289" s="24">
        <v>6</v>
      </c>
      <c r="FD289" s="24">
        <v>40</v>
      </c>
      <c r="FE289" s="24">
        <v>10</v>
      </c>
      <c r="FF289" s="24">
        <f t="shared" si="115"/>
        <v>0.47000000000000003</v>
      </c>
      <c r="FG289" s="24">
        <v>1</v>
      </c>
      <c r="FH289" s="24">
        <v>40</v>
      </c>
      <c r="FI289" s="24">
        <v>10</v>
      </c>
      <c r="FJ289" s="24">
        <f t="shared" si="116"/>
        <v>0.51</v>
      </c>
      <c r="FK289" s="24">
        <v>6</v>
      </c>
      <c r="FL289" s="24">
        <v>60</v>
      </c>
      <c r="FM289" s="24">
        <v>6</v>
      </c>
      <c r="FN289" s="24">
        <f t="shared" si="117"/>
        <v>9.84</v>
      </c>
      <c r="FO289" s="24">
        <v>3</v>
      </c>
      <c r="GJ289" s="27">
        <v>1.55</v>
      </c>
      <c r="GK289" s="27">
        <v>1</v>
      </c>
      <c r="GL289" s="27">
        <v>1</v>
      </c>
      <c r="GM289" s="27"/>
      <c r="GN289" s="27">
        <f t="shared" si="118"/>
        <v>3.3</v>
      </c>
      <c r="GO289" s="27">
        <v>2</v>
      </c>
      <c r="GP289" s="27"/>
      <c r="GQ289" s="27">
        <v>0.54</v>
      </c>
      <c r="GR289" s="27"/>
      <c r="GS289" s="27"/>
      <c r="GT289" s="27"/>
      <c r="GU289" s="27">
        <v>5.74</v>
      </c>
      <c r="GV289" s="27">
        <v>3.64</v>
      </c>
      <c r="GW289" s="27"/>
      <c r="GX289" s="27"/>
      <c r="GY289" s="27">
        <v>0</v>
      </c>
      <c r="GZ289" s="27">
        <v>0</v>
      </c>
      <c r="HA289" s="27">
        <v>0</v>
      </c>
      <c r="HB289" s="24">
        <v>0</v>
      </c>
      <c r="HC289" s="24" t="s">
        <v>691</v>
      </c>
      <c r="HD289" s="24">
        <v>63.5</v>
      </c>
      <c r="HE289" s="27">
        <v>98.9</v>
      </c>
      <c r="HF289" s="27">
        <v>83.4</v>
      </c>
      <c r="HG289" s="27">
        <v>51</v>
      </c>
      <c r="HH289" s="24">
        <v>53.65</v>
      </c>
      <c r="HI289" s="24">
        <v>0</v>
      </c>
      <c r="HJ289" s="24">
        <v>11.99</v>
      </c>
      <c r="HK289" s="24">
        <v>24.1</v>
      </c>
      <c r="HL289" s="24">
        <v>10.26</v>
      </c>
      <c r="HM289" s="24">
        <v>0</v>
      </c>
      <c r="HN289" s="24">
        <v>0</v>
      </c>
      <c r="HO289" s="24">
        <v>0</v>
      </c>
      <c r="HP289" s="24">
        <v>0</v>
      </c>
      <c r="HQ289" s="24">
        <v>0</v>
      </c>
      <c r="HR289" s="24">
        <v>0</v>
      </c>
      <c r="HS289" s="24">
        <v>9.1</v>
      </c>
      <c r="HT289" s="24">
        <v>26.31</v>
      </c>
      <c r="HU289" s="24">
        <v>5.53</v>
      </c>
      <c r="HV289" s="24">
        <v>0.94</v>
      </c>
      <c r="HW289" s="24">
        <v>0</v>
      </c>
      <c r="HX289" s="24">
        <v>0</v>
      </c>
      <c r="HY289" s="24">
        <v>0</v>
      </c>
      <c r="IL289" s="24">
        <v>6.1</v>
      </c>
      <c r="IM289" s="24">
        <v>0</v>
      </c>
      <c r="IX289" s="28"/>
      <c r="JP289" s="24">
        <v>1</v>
      </c>
      <c r="JQ289" s="24">
        <v>50</v>
      </c>
      <c r="JR289" s="24">
        <v>1</v>
      </c>
      <c r="JS289" s="24">
        <v>0.39</v>
      </c>
      <c r="JT289" s="24">
        <v>3</v>
      </c>
      <c r="JU289" s="24">
        <v>50</v>
      </c>
      <c r="JV289" s="24">
        <v>2</v>
      </c>
      <c r="JW289" s="24">
        <f>0.19+0.23</f>
        <v>0.42000000000000004</v>
      </c>
      <c r="JX289" s="24">
        <v>4</v>
      </c>
      <c r="JY289" s="24">
        <v>60</v>
      </c>
      <c r="JZ289" s="24">
        <v>12</v>
      </c>
      <c r="KA289" s="24">
        <f>0.78*2</f>
        <v>1.56</v>
      </c>
      <c r="KB289" s="24">
        <v>6</v>
      </c>
      <c r="LA289" s="27">
        <v>5.39</v>
      </c>
      <c r="LB289" s="27">
        <v>1</v>
      </c>
      <c r="LC289" s="27">
        <v>1</v>
      </c>
      <c r="LD289" s="27"/>
      <c r="LE289" s="27">
        <f>2.04*3+0.36*2</f>
        <v>6.84</v>
      </c>
      <c r="LF289" s="27">
        <v>2</v>
      </c>
      <c r="LG289" s="27"/>
      <c r="LH289" s="27">
        <f>0.72*2+0.36</f>
        <v>1.7999999999999998</v>
      </c>
      <c r="LI289" s="27">
        <v>3</v>
      </c>
      <c r="LJ289" s="27"/>
      <c r="LK289" s="27">
        <v>0.5</v>
      </c>
      <c r="LL289" s="27">
        <v>0.94</v>
      </c>
      <c r="LM289" s="27">
        <v>0.94</v>
      </c>
      <c r="LN289" s="27"/>
      <c r="LO289" s="27"/>
      <c r="LP289" s="27">
        <v>0</v>
      </c>
      <c r="LQ289" s="27">
        <v>0</v>
      </c>
      <c r="LR289" s="27">
        <v>0</v>
      </c>
      <c r="LS289" s="24">
        <v>0</v>
      </c>
      <c r="LT289" s="24" t="s">
        <v>691</v>
      </c>
      <c r="LU289" s="24">
        <v>63.5</v>
      </c>
      <c r="LV289" s="27">
        <v>98.9</v>
      </c>
      <c r="LW289" s="27">
        <v>83.4</v>
      </c>
      <c r="LX289" s="27">
        <v>51</v>
      </c>
      <c r="LY289" s="24">
        <v>53.65</v>
      </c>
      <c r="LZ289" s="24">
        <v>0</v>
      </c>
      <c r="MA289" s="24">
        <v>11.99</v>
      </c>
      <c r="MB289" s="24">
        <v>24.1</v>
      </c>
      <c r="MC289" s="24">
        <v>10.26</v>
      </c>
      <c r="MD289" s="24">
        <v>0</v>
      </c>
      <c r="ME289" s="24">
        <v>0</v>
      </c>
      <c r="MF289" s="24">
        <v>0</v>
      </c>
      <c r="MG289" s="24">
        <v>0</v>
      </c>
      <c r="MH289" s="24">
        <v>0</v>
      </c>
      <c r="MI289" s="24">
        <v>0</v>
      </c>
      <c r="MJ289" s="24">
        <v>9.1</v>
      </c>
      <c r="MK289" s="24">
        <v>26.31</v>
      </c>
      <c r="ML289" s="24">
        <v>5.53</v>
      </c>
      <c r="MM289" s="24">
        <v>0.94</v>
      </c>
      <c r="MN289" s="24">
        <v>0</v>
      </c>
      <c r="MO289" s="24">
        <v>0</v>
      </c>
      <c r="MP289" s="24">
        <v>0</v>
      </c>
      <c r="NC289" s="24">
        <v>6.1</v>
      </c>
      <c r="ND289" s="24">
        <v>0</v>
      </c>
      <c r="NO289" s="28"/>
      <c r="OG289" s="24">
        <v>1</v>
      </c>
      <c r="OH289" s="24">
        <v>50</v>
      </c>
      <c r="OI289" s="24">
        <v>1</v>
      </c>
      <c r="OJ289" s="24">
        <v>0.39</v>
      </c>
      <c r="OK289" s="24">
        <v>3</v>
      </c>
      <c r="OL289" s="24">
        <v>50</v>
      </c>
      <c r="OM289" s="24">
        <v>2</v>
      </c>
      <c r="ON289" s="24">
        <f>0.19+0.23</f>
        <v>0.42000000000000004</v>
      </c>
      <c r="OO289" s="24">
        <v>4</v>
      </c>
      <c r="OP289" s="24">
        <v>60</v>
      </c>
      <c r="OQ289" s="24">
        <v>12</v>
      </c>
      <c r="OR289" s="24">
        <f>0.78*2</f>
        <v>1.56</v>
      </c>
      <c r="OS289" s="24">
        <v>6</v>
      </c>
      <c r="PR289" s="27">
        <v>5.39</v>
      </c>
      <c r="PS289" s="27">
        <v>1</v>
      </c>
      <c r="PT289" s="27">
        <v>1</v>
      </c>
      <c r="PU289" s="27"/>
      <c r="PV289" s="27">
        <f>2.04*3+0.36*2</f>
        <v>6.84</v>
      </c>
      <c r="PW289" s="27">
        <v>2</v>
      </c>
      <c r="PX289" s="27"/>
      <c r="PY289" s="27">
        <f>0.72*2+0.36</f>
        <v>1.7999999999999998</v>
      </c>
      <c r="PZ289" s="27">
        <v>3</v>
      </c>
      <c r="QA289" s="27"/>
      <c r="QB289" s="27">
        <v>0.5</v>
      </c>
      <c r="QC289" s="27">
        <v>0.94</v>
      </c>
      <c r="QD289" s="27">
        <v>0.94</v>
      </c>
      <c r="QE289" s="27"/>
      <c r="QF289" s="27"/>
      <c r="QG289" s="27">
        <v>0</v>
      </c>
      <c r="QH289" s="27">
        <v>0</v>
      </c>
      <c r="QI289" s="27">
        <v>0</v>
      </c>
      <c r="QJ289" s="24">
        <v>0</v>
      </c>
      <c r="QK289" s="24" t="s">
        <v>692</v>
      </c>
      <c r="QL289" s="24">
        <v>30.5</v>
      </c>
      <c r="QM289" s="27">
        <v>69.11</v>
      </c>
      <c r="QN289" s="27">
        <v>83.4</v>
      </c>
      <c r="QO289" s="27">
        <v>18.100000000000001</v>
      </c>
      <c r="QP289" s="24">
        <v>79.03</v>
      </c>
      <c r="QQ289" s="24">
        <v>0.45</v>
      </c>
      <c r="QR289" s="24">
        <v>0</v>
      </c>
      <c r="QS289" s="24">
        <v>0</v>
      </c>
      <c r="QT289" s="24">
        <v>20.52</v>
      </c>
      <c r="QU289" s="24">
        <v>0</v>
      </c>
      <c r="QV289" s="24">
        <v>0</v>
      </c>
      <c r="QW289" s="24">
        <v>0</v>
      </c>
      <c r="QX289" s="24">
        <v>0</v>
      </c>
      <c r="QY289" s="24">
        <v>0</v>
      </c>
      <c r="QZ289" s="24">
        <v>0</v>
      </c>
      <c r="RA289" s="24">
        <v>0</v>
      </c>
      <c r="RB289" s="24">
        <v>12.58</v>
      </c>
      <c r="RC289" s="24">
        <v>17.940000000000001</v>
      </c>
      <c r="RD289" s="24">
        <v>18.04</v>
      </c>
      <c r="RE289" s="24">
        <v>0</v>
      </c>
      <c r="RF289" s="24">
        <v>0</v>
      </c>
      <c r="RG289" s="24">
        <v>0</v>
      </c>
      <c r="RT289" s="24">
        <v>8.1</v>
      </c>
      <c r="RU289" s="24">
        <v>1</v>
      </c>
      <c r="RV289" s="24">
        <v>35</v>
      </c>
      <c r="RW289" s="24">
        <v>4</v>
      </c>
      <c r="RX289" s="24">
        <f>2.2+0.39</f>
        <v>2.5900000000000003</v>
      </c>
      <c r="RY289" s="24">
        <v>3</v>
      </c>
      <c r="SF289" s="28"/>
      <c r="SX289" s="24">
        <v>1</v>
      </c>
      <c r="SY289" s="24">
        <v>60</v>
      </c>
      <c r="SZ289" s="24">
        <v>1</v>
      </c>
      <c r="TA289" s="24">
        <v>0.73</v>
      </c>
      <c r="TB289" s="24">
        <v>3</v>
      </c>
      <c r="UI289" s="27">
        <v>3.89</v>
      </c>
      <c r="UJ289" s="27">
        <v>1</v>
      </c>
      <c r="UK289" s="27">
        <v>1</v>
      </c>
      <c r="UL289" s="27"/>
      <c r="UM289" s="27">
        <f>0.14*2+0.21*2</f>
        <v>0.7</v>
      </c>
      <c r="UN289" s="27">
        <v>2</v>
      </c>
      <c r="UO289" s="27"/>
      <c r="UP289" s="27">
        <f>1.65*2</f>
        <v>3.3</v>
      </c>
      <c r="UQ289" s="27"/>
      <c r="UR289" s="27"/>
      <c r="US289" s="27"/>
      <c r="UT289" s="27">
        <v>0</v>
      </c>
      <c r="UU289" s="27">
        <v>0</v>
      </c>
      <c r="UV289" s="27"/>
      <c r="UW289" s="27"/>
      <c r="UX289" s="27">
        <v>0</v>
      </c>
      <c r="UY289" s="27">
        <v>0</v>
      </c>
      <c r="UZ289" s="27">
        <v>0</v>
      </c>
      <c r="VA289" s="24">
        <v>0</v>
      </c>
      <c r="VB289" s="24" t="s">
        <v>697</v>
      </c>
      <c r="VC289" s="24">
        <v>42.5</v>
      </c>
      <c r="VD289" s="27">
        <v>92.2</v>
      </c>
      <c r="VE289" s="27">
        <v>83.4</v>
      </c>
      <c r="VF289" s="27">
        <v>33.5</v>
      </c>
      <c r="VG289" s="24">
        <v>25.89</v>
      </c>
      <c r="VH289" s="24">
        <v>0</v>
      </c>
      <c r="VI289" s="24">
        <v>0</v>
      </c>
      <c r="VJ289" s="24">
        <v>0</v>
      </c>
      <c r="VK289" s="24">
        <v>0</v>
      </c>
      <c r="VL289" s="24">
        <v>0</v>
      </c>
      <c r="VM289" s="24">
        <v>74.11</v>
      </c>
      <c r="VN289" s="24">
        <v>25.43</v>
      </c>
      <c r="VO289" s="24">
        <v>9.7200000000000006</v>
      </c>
      <c r="VP289" s="24">
        <v>2.94</v>
      </c>
      <c r="VQ289" s="24">
        <v>0</v>
      </c>
      <c r="VR289" s="24">
        <v>11.38</v>
      </c>
      <c r="VS289" s="24">
        <v>16.89</v>
      </c>
      <c r="VT289" s="24">
        <v>27.26</v>
      </c>
      <c r="VU289" s="24">
        <v>0</v>
      </c>
      <c r="VV289" s="24">
        <v>0</v>
      </c>
      <c r="VW289" s="24">
        <v>0</v>
      </c>
      <c r="VX289" s="24">
        <v>0</v>
      </c>
      <c r="WK289" s="24">
        <v>3.6</v>
      </c>
      <c r="WL289" s="24">
        <v>1</v>
      </c>
      <c r="WM289" s="24">
        <v>35</v>
      </c>
      <c r="WN289" s="24">
        <v>6</v>
      </c>
      <c r="WO289" s="24">
        <f>0.13*4</f>
        <v>0.52</v>
      </c>
      <c r="WP289" s="24">
        <v>3</v>
      </c>
      <c r="WQ289" s="24">
        <v>25</v>
      </c>
      <c r="WR289" s="24">
        <v>2</v>
      </c>
      <c r="WS289" s="24">
        <f>0.13*2</f>
        <v>0.26</v>
      </c>
      <c r="WT289" s="24">
        <v>4</v>
      </c>
      <c r="WW289" s="28"/>
      <c r="XO289" s="24">
        <v>0</v>
      </c>
      <c r="YZ289" s="27">
        <v>3.01</v>
      </c>
      <c r="ZA289" s="27">
        <v>1</v>
      </c>
      <c r="ZB289" s="27">
        <v>1</v>
      </c>
      <c r="ZC289" s="27"/>
      <c r="ZD289" s="27">
        <f>1.65*5+0.13*2+0.36+0.18</f>
        <v>9.0499999999999989</v>
      </c>
      <c r="ZE289" s="27"/>
      <c r="ZF289" s="27"/>
      <c r="ZG289" s="27"/>
      <c r="ZH289" s="27"/>
      <c r="ZI289" s="27"/>
      <c r="ZJ289" s="27"/>
      <c r="ZK289" s="27">
        <v>2.16</v>
      </c>
      <c r="ZL289" s="27">
        <v>0.52</v>
      </c>
      <c r="ZM289" s="27"/>
      <c r="ZN289" s="27"/>
      <c r="ZO289" s="27">
        <v>0</v>
      </c>
      <c r="ZP289" s="27">
        <v>0</v>
      </c>
      <c r="ZQ289" s="27">
        <v>0</v>
      </c>
      <c r="ZR289" s="24">
        <v>0</v>
      </c>
      <c r="ZS289" s="24" t="s">
        <v>698</v>
      </c>
      <c r="ZT289" s="24">
        <v>37</v>
      </c>
      <c r="ZU289" s="27">
        <v>86.3</v>
      </c>
      <c r="ZV289" s="27">
        <v>83.4</v>
      </c>
      <c r="ZW289" s="27">
        <v>31.3</v>
      </c>
      <c r="ZX289" s="24">
        <v>24.09</v>
      </c>
      <c r="ZY289" s="24">
        <v>0</v>
      </c>
      <c r="ZZ289" s="24">
        <v>0</v>
      </c>
      <c r="AAA289" s="24">
        <v>0</v>
      </c>
      <c r="AAB289" s="24">
        <v>0</v>
      </c>
      <c r="AAC289" s="24">
        <v>0</v>
      </c>
      <c r="AAD289" s="24">
        <v>75.91</v>
      </c>
      <c r="AAE289" s="24">
        <v>21.83</v>
      </c>
      <c r="AAF289" s="24">
        <v>8.6300000000000008</v>
      </c>
      <c r="AAG289" s="24">
        <v>2.94</v>
      </c>
      <c r="AAH289" s="24">
        <v>0</v>
      </c>
      <c r="AAI289" s="24">
        <v>13.66</v>
      </c>
      <c r="AAJ289" s="24">
        <v>10.54</v>
      </c>
      <c r="AAK289" s="24">
        <v>28.39</v>
      </c>
      <c r="AAL289" s="24">
        <v>0</v>
      </c>
      <c r="AAM289" s="24">
        <v>0</v>
      </c>
      <c r="AAN289" s="24">
        <v>0</v>
      </c>
      <c r="AAO289" s="24">
        <v>0</v>
      </c>
      <c r="ABB289" s="24">
        <v>2.7</v>
      </c>
      <c r="ABC289" s="24">
        <v>1</v>
      </c>
      <c r="ABD289" s="24">
        <v>52</v>
      </c>
      <c r="ABE289" s="24">
        <v>1</v>
      </c>
      <c r="ABF289" s="24">
        <v>0.39</v>
      </c>
      <c r="ABG289" s="24">
        <v>2</v>
      </c>
      <c r="ABH289" s="24">
        <v>35</v>
      </c>
      <c r="ABI289" s="24">
        <v>4</v>
      </c>
      <c r="ABJ289" s="24">
        <v>0.26</v>
      </c>
      <c r="ABK289" s="24">
        <v>3</v>
      </c>
      <c r="ABN289" s="28"/>
      <c r="ACF289" s="24">
        <v>0</v>
      </c>
      <c r="ADQ289" s="27">
        <v>2.83</v>
      </c>
      <c r="ADR289" s="27">
        <v>1</v>
      </c>
      <c r="ADS289" s="27">
        <v>1</v>
      </c>
      <c r="ADT289" s="27"/>
      <c r="ADU289" s="27">
        <f>1.65*5</f>
        <v>8.25</v>
      </c>
      <c r="ADV289" s="27"/>
      <c r="ADW289" s="27"/>
      <c r="ADX289" s="27"/>
      <c r="ADY289" s="27"/>
      <c r="ADZ289" s="27"/>
      <c r="AEA289" s="27"/>
      <c r="AEB289" s="27">
        <v>0</v>
      </c>
      <c r="AEC289" s="27">
        <v>0</v>
      </c>
      <c r="AED289" s="27"/>
      <c r="AEE289" s="27"/>
      <c r="AEF289" s="27">
        <v>0</v>
      </c>
      <c r="AEG289" s="27">
        <v>0</v>
      </c>
      <c r="AEH289" s="27">
        <v>0</v>
      </c>
      <c r="AEI289" s="24">
        <v>0</v>
      </c>
      <c r="AEJ289" s="24" t="s">
        <v>702</v>
      </c>
      <c r="AEK289" s="24">
        <v>43.5</v>
      </c>
      <c r="AEL289" s="27">
        <v>73.8</v>
      </c>
      <c r="AEM289" s="27">
        <v>83.4</v>
      </c>
      <c r="AEN289" s="27">
        <v>26.5</v>
      </c>
      <c r="AEO289" s="24">
        <v>20.2</v>
      </c>
      <c r="AEP289" s="24">
        <v>0</v>
      </c>
      <c r="AEQ289" s="24">
        <v>26.95</v>
      </c>
      <c r="AER289" s="24">
        <v>0</v>
      </c>
      <c r="AES289" s="24">
        <v>0.39</v>
      </c>
      <c r="AET289" s="24">
        <v>0</v>
      </c>
      <c r="AEU289" s="24">
        <v>79.41</v>
      </c>
      <c r="AEV289" s="24">
        <v>26.95</v>
      </c>
      <c r="AEW289" s="24">
        <v>0</v>
      </c>
      <c r="AEX289" s="24">
        <v>0</v>
      </c>
      <c r="AEY289" s="24">
        <v>0</v>
      </c>
      <c r="AEZ289" s="24">
        <v>35.200000000000003</v>
      </c>
      <c r="AFA289" s="24">
        <v>15.96</v>
      </c>
      <c r="AFB289" s="24">
        <v>39.090000000000003</v>
      </c>
      <c r="AFC289" s="24">
        <v>0.32</v>
      </c>
      <c r="AFD289" s="24">
        <v>0</v>
      </c>
      <c r="AFE289" s="24">
        <v>0</v>
      </c>
      <c r="AFF289" s="24">
        <v>0</v>
      </c>
      <c r="AFS289" s="24">
        <v>14.4</v>
      </c>
      <c r="AFT289" s="24">
        <v>1</v>
      </c>
      <c r="AFU289" s="24">
        <v>30</v>
      </c>
      <c r="AFV289" s="24">
        <v>5</v>
      </c>
      <c r="AFW289" s="24">
        <f>2.94+0.6</f>
        <v>3.54</v>
      </c>
      <c r="AFX289" s="24">
        <v>3</v>
      </c>
      <c r="AFY289" s="24">
        <v>34</v>
      </c>
      <c r="AFZ289" s="24">
        <v>1</v>
      </c>
      <c r="AGA289" s="24">
        <v>1.65</v>
      </c>
      <c r="AGB289" s="24">
        <v>1</v>
      </c>
      <c r="AGC289" s="24">
        <v>52</v>
      </c>
      <c r="AGD289" s="24">
        <v>6</v>
      </c>
      <c r="AGE289" s="28">
        <f>0.7+0.77+0.08+0.05</f>
        <v>1.6</v>
      </c>
      <c r="AGF289" s="24">
        <v>2</v>
      </c>
      <c r="AGG289" s="24">
        <v>35</v>
      </c>
      <c r="AGH289" s="24">
        <v>1</v>
      </c>
      <c r="AGI289" s="24">
        <v>0.19</v>
      </c>
      <c r="AGJ289" s="24">
        <v>3</v>
      </c>
      <c r="AGK289" s="24">
        <v>23</v>
      </c>
      <c r="AGL289" s="24">
        <v>3</v>
      </c>
      <c r="AGM289" s="24">
        <f>0.39+0.77</f>
        <v>1.1600000000000001</v>
      </c>
      <c r="AGN289" s="24">
        <v>3</v>
      </c>
      <c r="AGW289" s="24">
        <v>0</v>
      </c>
      <c r="AIH289" s="27">
        <v>1.22</v>
      </c>
      <c r="AII289" s="27">
        <v>1</v>
      </c>
      <c r="AIJ289" s="27">
        <v>1</v>
      </c>
      <c r="AIK289" s="27"/>
      <c r="AIL289" s="27">
        <f>0.97*2+1.07*2</f>
        <v>4.08</v>
      </c>
      <c r="AIM289" s="27"/>
      <c r="AIN289" s="27"/>
      <c r="AIO289" s="27"/>
      <c r="AIP289" s="27"/>
      <c r="AIQ289" s="27"/>
      <c r="AIR289" s="27"/>
      <c r="AIS289" s="27">
        <v>0</v>
      </c>
      <c r="AIT289" s="27">
        <v>0</v>
      </c>
      <c r="AIU289" s="27"/>
      <c r="AIV289" s="27"/>
      <c r="AIW289" s="27">
        <v>0</v>
      </c>
      <c r="AIX289" s="27">
        <v>0</v>
      </c>
      <c r="AIY289" s="27">
        <v>1.22</v>
      </c>
      <c r="AIZ289" s="24">
        <v>0</v>
      </c>
      <c r="AJA289" s="24" t="s">
        <v>693</v>
      </c>
      <c r="AJB289" s="24">
        <v>33.5</v>
      </c>
      <c r="AJC289" s="27">
        <v>92.3</v>
      </c>
      <c r="AJD289" s="27">
        <v>83.4</v>
      </c>
      <c r="AJE289" s="27">
        <v>19.8</v>
      </c>
      <c r="AJF289" s="24">
        <v>72.02</v>
      </c>
      <c r="AJG289" s="24">
        <v>2.2000000000000002</v>
      </c>
      <c r="AJH289" s="24">
        <v>7.75</v>
      </c>
      <c r="AJI289" s="24">
        <v>0</v>
      </c>
      <c r="AJJ289" s="24">
        <v>5.49</v>
      </c>
      <c r="AJK289" s="24">
        <v>0</v>
      </c>
      <c r="AJL289" s="24">
        <v>6.84</v>
      </c>
      <c r="AJM289" s="24">
        <v>0</v>
      </c>
      <c r="AJN289" s="24">
        <v>0</v>
      </c>
      <c r="AJO289" s="24">
        <v>0</v>
      </c>
      <c r="AJP289" s="24">
        <v>0</v>
      </c>
      <c r="AJQ289" s="24">
        <v>7.13</v>
      </c>
      <c r="AJR289" s="24">
        <v>54.84</v>
      </c>
      <c r="AJS289" s="24">
        <v>10.130000000000001</v>
      </c>
      <c r="AJT289" s="24">
        <v>3.36</v>
      </c>
      <c r="AJU289" s="24">
        <v>5.7</v>
      </c>
      <c r="AJV289" s="24">
        <v>0</v>
      </c>
      <c r="AJW289" s="24">
        <v>0</v>
      </c>
      <c r="AKF289" s="24">
        <v>2</v>
      </c>
      <c r="AKJ289" s="24">
        <v>3.4</v>
      </c>
      <c r="AKK289" s="24">
        <v>1</v>
      </c>
      <c r="AKL289" s="24">
        <v>34</v>
      </c>
      <c r="AKM289" s="24">
        <v>1</v>
      </c>
      <c r="AKN289" s="24">
        <v>1.28</v>
      </c>
      <c r="AKO289" s="24">
        <v>1</v>
      </c>
      <c r="AKP289" s="24">
        <v>52</v>
      </c>
      <c r="AKQ289" s="24">
        <v>1</v>
      </c>
      <c r="AKR289" s="24">
        <v>0.73</v>
      </c>
      <c r="AKS289" s="24">
        <v>2</v>
      </c>
      <c r="AKT289" s="24">
        <v>30</v>
      </c>
      <c r="AKU289" s="24">
        <v>1</v>
      </c>
      <c r="AKV289" s="28">
        <v>0.13</v>
      </c>
      <c r="AKW289" s="24">
        <v>3</v>
      </c>
      <c r="ALN289" s="24">
        <v>1</v>
      </c>
      <c r="ALO289" s="24">
        <v>40</v>
      </c>
      <c r="ALP289" s="24">
        <v>1</v>
      </c>
      <c r="ALQ289" s="24">
        <v>1.83</v>
      </c>
      <c r="ALR289" s="24">
        <v>6</v>
      </c>
      <c r="ALS289" s="24">
        <v>40</v>
      </c>
      <c r="ALT289" s="24">
        <v>1</v>
      </c>
      <c r="ALU289" s="24">
        <v>1.65</v>
      </c>
      <c r="ALV289" s="24">
        <v>3</v>
      </c>
      <c r="ALW289" s="24">
        <v>40</v>
      </c>
      <c r="ALX289" s="24">
        <v>1</v>
      </c>
      <c r="ALY289" s="24">
        <v>1.83</v>
      </c>
      <c r="ALZ289" s="24">
        <v>4</v>
      </c>
      <c r="AMA289" s="24">
        <v>40</v>
      </c>
      <c r="AMB289" s="24">
        <v>4</v>
      </c>
      <c r="AMC289" s="24">
        <v>0.26</v>
      </c>
      <c r="AMD289" s="24">
        <v>1</v>
      </c>
    </row>
    <row r="290" spans="1:1024" x14ac:dyDescent="0.2">
      <c r="A290" s="22" t="s">
        <v>858</v>
      </c>
      <c r="B290" s="23">
        <v>42909</v>
      </c>
      <c r="C290" s="24">
        <v>1</v>
      </c>
      <c r="D290" s="25">
        <v>42793</v>
      </c>
      <c r="E290" s="23">
        <v>28665</v>
      </c>
      <c r="F290" s="14">
        <f t="shared" si="106"/>
        <v>38.997946611909654</v>
      </c>
      <c r="G290" s="14">
        <f t="shared" si="107"/>
        <v>0.31759069130732376</v>
      </c>
      <c r="H290" s="26" t="s">
        <v>306</v>
      </c>
      <c r="I290" s="21" t="s">
        <v>689</v>
      </c>
      <c r="J290" s="21" t="s">
        <v>183</v>
      </c>
      <c r="K290" s="21">
        <v>8</v>
      </c>
      <c r="L290" s="26">
        <v>90</v>
      </c>
      <c r="M290" s="24">
        <v>1.65</v>
      </c>
      <c r="N290" s="27">
        <f t="shared" si="108"/>
        <v>33.057851239669425</v>
      </c>
      <c r="O290" s="26">
        <v>0</v>
      </c>
      <c r="P290" s="26">
        <v>0</v>
      </c>
      <c r="Q290" s="26">
        <v>0</v>
      </c>
      <c r="R290" s="26">
        <v>0</v>
      </c>
      <c r="S290" s="26">
        <v>0</v>
      </c>
      <c r="T290" s="26">
        <v>0</v>
      </c>
      <c r="U290" s="26">
        <v>0</v>
      </c>
      <c r="V290" s="26">
        <v>0</v>
      </c>
      <c r="W290" s="26">
        <v>0</v>
      </c>
      <c r="X290" s="26">
        <v>0</v>
      </c>
      <c r="Y290" s="26">
        <v>0</v>
      </c>
      <c r="Z290" s="26">
        <v>0</v>
      </c>
      <c r="AA290" s="26">
        <v>0</v>
      </c>
      <c r="AB290" s="26">
        <v>0</v>
      </c>
      <c r="AC290" s="26">
        <v>0</v>
      </c>
      <c r="AD290" s="26">
        <v>0</v>
      </c>
      <c r="AE290" s="26">
        <v>0</v>
      </c>
      <c r="AF290" s="26">
        <v>0</v>
      </c>
      <c r="AG290" s="26">
        <v>0</v>
      </c>
      <c r="AH290" s="26">
        <v>0</v>
      </c>
      <c r="AI290" s="26">
        <v>0</v>
      </c>
      <c r="AJ290" s="26">
        <v>0</v>
      </c>
      <c r="AK290" s="26">
        <v>0</v>
      </c>
      <c r="AL290" s="26">
        <v>0</v>
      </c>
      <c r="AM290" s="26">
        <v>0</v>
      </c>
      <c r="AN290" s="26">
        <v>0</v>
      </c>
      <c r="AO290" s="26">
        <v>0</v>
      </c>
      <c r="AP290" s="26">
        <v>0</v>
      </c>
      <c r="AQ290" s="26">
        <v>0</v>
      </c>
      <c r="AR290" s="26">
        <v>0</v>
      </c>
      <c r="AS290" s="26">
        <v>0</v>
      </c>
      <c r="AT290" s="26">
        <v>0</v>
      </c>
      <c r="AU290" s="26">
        <v>0</v>
      </c>
      <c r="AV290" s="26">
        <v>0</v>
      </c>
      <c r="AW290" s="26">
        <v>0</v>
      </c>
      <c r="AX290" s="26">
        <v>0</v>
      </c>
      <c r="AY290" s="26">
        <v>0</v>
      </c>
      <c r="AZ290" s="26">
        <v>0</v>
      </c>
      <c r="BA290" s="26">
        <v>0</v>
      </c>
      <c r="BB290" s="26">
        <v>0</v>
      </c>
      <c r="BC290" s="26">
        <v>0</v>
      </c>
      <c r="BD290" s="26">
        <v>0</v>
      </c>
      <c r="BE290" s="26">
        <v>0</v>
      </c>
      <c r="BF290" s="26">
        <v>0</v>
      </c>
      <c r="BG290" s="26">
        <v>0</v>
      </c>
      <c r="BH290" s="26">
        <v>0</v>
      </c>
      <c r="BI290" s="26">
        <v>0</v>
      </c>
      <c r="BJ290" s="26">
        <v>0</v>
      </c>
      <c r="BK290" s="26">
        <v>0</v>
      </c>
      <c r="BL290" s="26">
        <v>0</v>
      </c>
      <c r="BM290" s="26">
        <v>0</v>
      </c>
      <c r="BN290" s="26">
        <v>0</v>
      </c>
      <c r="BO290" s="26">
        <v>0</v>
      </c>
      <c r="BP290" s="26">
        <v>0</v>
      </c>
      <c r="BQ290" s="26">
        <v>0</v>
      </c>
      <c r="BR290" s="26">
        <v>2</v>
      </c>
      <c r="BS290" s="26">
        <v>2</v>
      </c>
      <c r="BT290" s="26">
        <v>4</v>
      </c>
      <c r="BU290" s="26">
        <v>4</v>
      </c>
      <c r="BV290" s="26">
        <v>4</v>
      </c>
      <c r="BW290" s="26">
        <v>4</v>
      </c>
      <c r="BX290" s="26">
        <v>2</v>
      </c>
      <c r="BY290" s="26">
        <v>2</v>
      </c>
      <c r="BZ290" s="26">
        <v>4</v>
      </c>
      <c r="CA290" s="26">
        <v>4</v>
      </c>
      <c r="CB290" s="26">
        <v>3</v>
      </c>
      <c r="CC290" s="26">
        <v>3</v>
      </c>
      <c r="CD290" s="26">
        <v>3</v>
      </c>
      <c r="CE290" s="26">
        <v>3</v>
      </c>
      <c r="CF290" s="26">
        <v>4</v>
      </c>
      <c r="CG290" s="26">
        <v>4</v>
      </c>
      <c r="CH290" s="26">
        <v>3</v>
      </c>
      <c r="CI290" s="26">
        <v>4</v>
      </c>
      <c r="CJ290" s="26">
        <v>4</v>
      </c>
      <c r="CK290" s="26">
        <v>10</v>
      </c>
      <c r="CL290" s="24" t="s">
        <v>690</v>
      </c>
      <c r="CM290" s="24">
        <v>38</v>
      </c>
      <c r="CN290" s="27">
        <v>85.5</v>
      </c>
      <c r="CO290" s="27">
        <v>83.4</v>
      </c>
      <c r="CP290" s="27">
        <v>28.7</v>
      </c>
      <c r="CQ290" s="24">
        <v>61.84</v>
      </c>
      <c r="CR290" s="24">
        <v>0</v>
      </c>
      <c r="CS290" s="24">
        <v>0</v>
      </c>
      <c r="CT290" s="24">
        <v>0</v>
      </c>
      <c r="CU290" s="24">
        <v>37.42</v>
      </c>
      <c r="CV290" s="24">
        <v>0</v>
      </c>
      <c r="CW290" s="24">
        <v>0.73</v>
      </c>
      <c r="CX290" s="24">
        <v>0</v>
      </c>
      <c r="CY290" s="24">
        <v>0</v>
      </c>
      <c r="CZ290" s="24">
        <v>0.74</v>
      </c>
      <c r="DA290" s="24">
        <v>0</v>
      </c>
      <c r="DB290" s="24">
        <v>7.34</v>
      </c>
      <c r="DC290" s="24">
        <v>25.37</v>
      </c>
      <c r="DD290" s="24">
        <v>15.03</v>
      </c>
      <c r="DE290" s="24">
        <v>30.09</v>
      </c>
      <c r="DF290" s="24">
        <v>0</v>
      </c>
      <c r="DG290" s="24">
        <v>0</v>
      </c>
      <c r="DH290" s="24">
        <v>0</v>
      </c>
      <c r="DI290" s="24"/>
      <c r="DJ290" s="24"/>
      <c r="DK290" s="24"/>
      <c r="DL290" s="24"/>
      <c r="DM290" s="24"/>
      <c r="DN290" s="24"/>
      <c r="DO290" s="24"/>
      <c r="DP290" s="24"/>
      <c r="DQ290" s="24"/>
      <c r="DR290" s="24"/>
      <c r="DS290" s="24"/>
      <c r="DT290" s="24"/>
      <c r="DU290" s="24">
        <v>1.7</v>
      </c>
      <c r="DV290" s="24">
        <v>0</v>
      </c>
      <c r="DW290" s="24"/>
      <c r="DX290" s="24"/>
      <c r="DY290" s="24"/>
      <c r="DZ290" s="24"/>
      <c r="EA290" s="24"/>
      <c r="EB290" s="24"/>
      <c r="EC290" s="24"/>
      <c r="ED290" s="24"/>
      <c r="EE290" s="24"/>
      <c r="EF290" s="24"/>
      <c r="EG290" s="28"/>
      <c r="EH290" s="24"/>
      <c r="EI290" s="24"/>
      <c r="EJ290" s="24"/>
      <c r="EK290" s="24"/>
      <c r="EL290" s="24"/>
      <c r="EM290" s="24"/>
      <c r="EN290" s="24"/>
      <c r="EO290" s="24"/>
      <c r="EP290" s="24"/>
      <c r="EQ290" s="24"/>
      <c r="ER290" s="24"/>
      <c r="ES290" s="24"/>
      <c r="ET290" s="24"/>
      <c r="EU290" s="24"/>
      <c r="EV290" s="24"/>
      <c r="EW290" s="24"/>
      <c r="EX290" s="24"/>
      <c r="EY290" s="24">
        <v>1</v>
      </c>
      <c r="EZ290" s="24">
        <v>50</v>
      </c>
      <c r="FA290" s="24">
        <v>4</v>
      </c>
      <c r="FB290" s="24">
        <v>0.46</v>
      </c>
      <c r="FC290" s="24">
        <v>6</v>
      </c>
      <c r="FD290" s="24">
        <v>40</v>
      </c>
      <c r="FE290" s="24">
        <v>10</v>
      </c>
      <c r="FF290" s="24">
        <f t="shared" si="115"/>
        <v>0.47000000000000003</v>
      </c>
      <c r="FG290" s="24">
        <v>1</v>
      </c>
      <c r="FH290" s="24">
        <v>40</v>
      </c>
      <c r="FI290" s="24">
        <v>10</v>
      </c>
      <c r="FJ290" s="24">
        <f t="shared" si="116"/>
        <v>0.51</v>
      </c>
      <c r="FK290" s="24">
        <v>6</v>
      </c>
      <c r="FL290" s="24">
        <v>60</v>
      </c>
      <c r="FM290" s="24">
        <v>6</v>
      </c>
      <c r="FN290" s="24">
        <f t="shared" si="117"/>
        <v>9.84</v>
      </c>
      <c r="FO290" s="24">
        <v>3</v>
      </c>
      <c r="FP290" s="24"/>
      <c r="FQ290" s="24"/>
      <c r="FR290" s="24"/>
      <c r="FS290" s="24"/>
      <c r="FT290" s="24"/>
      <c r="FU290" s="24"/>
      <c r="FV290" s="24"/>
      <c r="FW290" s="24"/>
      <c r="FX290" s="24"/>
      <c r="FY290" s="24"/>
      <c r="FZ290" s="24"/>
      <c r="GA290" s="24"/>
      <c r="GB290" s="24"/>
      <c r="GC290" s="24"/>
      <c r="GD290" s="24"/>
      <c r="GE290" s="24"/>
      <c r="GF290" s="24"/>
      <c r="GG290" s="24"/>
      <c r="GH290" s="24"/>
      <c r="GI290" s="24"/>
      <c r="GJ290" s="27">
        <v>1.55</v>
      </c>
      <c r="GK290" s="27">
        <v>1</v>
      </c>
      <c r="GL290" s="27">
        <v>1</v>
      </c>
      <c r="GM290" s="27"/>
      <c r="GN290" s="27">
        <f t="shared" si="118"/>
        <v>3.3</v>
      </c>
      <c r="GO290" s="27">
        <v>2</v>
      </c>
      <c r="GP290" s="27"/>
      <c r="GQ290" s="27">
        <v>0.54</v>
      </c>
      <c r="GR290" s="27"/>
      <c r="GS290" s="27"/>
      <c r="GT290" s="27"/>
      <c r="GU290" s="27">
        <v>5.74</v>
      </c>
      <c r="GV290" s="27">
        <v>3.64</v>
      </c>
      <c r="GW290" s="27"/>
      <c r="GX290" s="27"/>
      <c r="GY290" s="27">
        <v>0</v>
      </c>
      <c r="GZ290" s="27">
        <v>0</v>
      </c>
      <c r="HA290" s="27">
        <v>0</v>
      </c>
      <c r="HB290" s="24">
        <v>0</v>
      </c>
      <c r="HC290" s="24" t="s">
        <v>692</v>
      </c>
      <c r="HD290" s="24">
        <v>30.5</v>
      </c>
      <c r="HE290" s="27">
        <v>69.11</v>
      </c>
      <c r="HF290" s="27">
        <v>83.4</v>
      </c>
      <c r="HG290" s="27">
        <v>18.100000000000001</v>
      </c>
      <c r="HH290" s="24">
        <v>79.03</v>
      </c>
      <c r="HI290" s="24">
        <v>0.45</v>
      </c>
      <c r="HJ290" s="24">
        <v>0</v>
      </c>
      <c r="HK290" s="24">
        <v>0</v>
      </c>
      <c r="HL290" s="24">
        <v>20.52</v>
      </c>
      <c r="HM290" s="24">
        <v>0</v>
      </c>
      <c r="HN290" s="24">
        <v>0</v>
      </c>
      <c r="HO290" s="24">
        <v>0</v>
      </c>
      <c r="HP290" s="24">
        <v>0</v>
      </c>
      <c r="HQ290" s="24">
        <v>0</v>
      </c>
      <c r="HR290" s="24">
        <v>0</v>
      </c>
      <c r="HS290" s="24">
        <v>0</v>
      </c>
      <c r="HT290" s="24">
        <v>12.58</v>
      </c>
      <c r="HU290" s="24">
        <v>17.940000000000001</v>
      </c>
      <c r="HV290" s="24">
        <v>18.04</v>
      </c>
      <c r="HW290" s="24">
        <v>0</v>
      </c>
      <c r="HX290" s="24">
        <v>0</v>
      </c>
      <c r="HY290" s="24">
        <v>0</v>
      </c>
      <c r="HZ290" s="24"/>
      <c r="IA290" s="24"/>
      <c r="IB290" s="24"/>
      <c r="IC290" s="24"/>
      <c r="ID290" s="24"/>
      <c r="IE290" s="24"/>
      <c r="IF290" s="24"/>
      <c r="IG290" s="24"/>
      <c r="IH290" s="24"/>
      <c r="II290" s="24"/>
      <c r="IJ290" s="24"/>
      <c r="IK290" s="24"/>
      <c r="IL290" s="24">
        <v>8.1</v>
      </c>
      <c r="IM290" s="24">
        <v>1</v>
      </c>
      <c r="IN290" s="24">
        <v>35</v>
      </c>
      <c r="IO290" s="24">
        <v>4</v>
      </c>
      <c r="IP290" s="24">
        <f>2.2+0.39</f>
        <v>2.5900000000000003</v>
      </c>
      <c r="IQ290" s="24">
        <v>3</v>
      </c>
      <c r="IX290" s="28"/>
      <c r="JP290" s="24">
        <v>1</v>
      </c>
      <c r="JQ290" s="24">
        <v>60</v>
      </c>
      <c r="JR290" s="24">
        <v>1</v>
      </c>
      <c r="JS290" s="24">
        <v>0.73</v>
      </c>
      <c r="JT290" s="24">
        <v>3</v>
      </c>
      <c r="LA290" s="27">
        <v>3.89</v>
      </c>
      <c r="LB290" s="27">
        <v>1</v>
      </c>
      <c r="LC290" s="27">
        <v>1</v>
      </c>
      <c r="LD290" s="27"/>
      <c r="LE290" s="27">
        <f>0.14*2+0.21*2</f>
        <v>0.7</v>
      </c>
      <c r="LF290" s="27">
        <v>2</v>
      </c>
      <c r="LG290" s="27"/>
      <c r="LH290" s="27">
        <f>1.65*2</f>
        <v>3.3</v>
      </c>
      <c r="LI290" s="27"/>
      <c r="LJ290" s="27"/>
      <c r="LK290" s="27"/>
      <c r="LL290" s="27">
        <v>0</v>
      </c>
      <c r="LM290" s="27">
        <v>0</v>
      </c>
      <c r="LN290" s="27"/>
      <c r="LO290" s="27"/>
      <c r="LP290" s="27">
        <v>0</v>
      </c>
      <c r="LQ290" s="27">
        <v>0</v>
      </c>
      <c r="LR290" s="27">
        <v>0</v>
      </c>
      <c r="LS290" s="24">
        <v>0</v>
      </c>
      <c r="LT290" s="24" t="s">
        <v>697</v>
      </c>
      <c r="LU290" s="24">
        <v>42.5</v>
      </c>
      <c r="LV290" s="27">
        <v>92.2</v>
      </c>
      <c r="LW290" s="27">
        <v>83.4</v>
      </c>
      <c r="LX290" s="27">
        <v>33.5</v>
      </c>
      <c r="LY290" s="24">
        <v>25.89</v>
      </c>
      <c r="LZ290" s="24">
        <v>0</v>
      </c>
      <c r="MA290" s="24">
        <v>0</v>
      </c>
      <c r="MB290" s="24">
        <v>0</v>
      </c>
      <c r="MC290" s="24">
        <v>0</v>
      </c>
      <c r="MD290" s="24">
        <v>0</v>
      </c>
      <c r="ME290" s="24">
        <v>74.11</v>
      </c>
      <c r="MF290" s="24">
        <v>25.43</v>
      </c>
      <c r="MG290" s="24">
        <v>9.7200000000000006</v>
      </c>
      <c r="MH290" s="24">
        <v>2.94</v>
      </c>
      <c r="MI290" s="24">
        <v>0</v>
      </c>
      <c r="MJ290" s="24">
        <v>11.38</v>
      </c>
      <c r="MK290" s="24">
        <v>16.89</v>
      </c>
      <c r="ML290" s="24">
        <v>27.26</v>
      </c>
      <c r="MM290" s="24">
        <v>0</v>
      </c>
      <c r="MN290" s="24">
        <v>0</v>
      </c>
      <c r="MO290" s="24">
        <v>0</v>
      </c>
      <c r="MP290" s="24">
        <v>0</v>
      </c>
      <c r="NC290" s="24">
        <v>3.6</v>
      </c>
      <c r="ND290" s="24">
        <v>1</v>
      </c>
      <c r="NE290" s="24">
        <v>35</v>
      </c>
      <c r="NF290" s="24">
        <v>6</v>
      </c>
      <c r="NG290" s="24">
        <f>0.13*4</f>
        <v>0.52</v>
      </c>
      <c r="NH290" s="24">
        <v>3</v>
      </c>
      <c r="NI290" s="24">
        <v>25</v>
      </c>
      <c r="NJ290" s="24">
        <v>2</v>
      </c>
      <c r="NK290" s="24">
        <f>0.13*2</f>
        <v>0.26</v>
      </c>
      <c r="NL290" s="24">
        <v>4</v>
      </c>
      <c r="NO290" s="28"/>
      <c r="OG290" s="24">
        <v>0</v>
      </c>
      <c r="PR290" s="27">
        <v>3.01</v>
      </c>
      <c r="PS290" s="27">
        <v>1</v>
      </c>
      <c r="PT290" s="27">
        <v>1</v>
      </c>
      <c r="PU290" s="27"/>
      <c r="PV290" s="27">
        <f>1.65*5+0.13*2+0.36+0.18</f>
        <v>9.0499999999999989</v>
      </c>
      <c r="PW290" s="27"/>
      <c r="PX290" s="27"/>
      <c r="PY290" s="27"/>
      <c r="PZ290" s="27"/>
      <c r="QA290" s="27"/>
      <c r="QB290" s="27"/>
      <c r="QC290" s="27">
        <v>2.16</v>
      </c>
      <c r="QD290" s="27">
        <v>0.52</v>
      </c>
      <c r="QE290" s="27"/>
      <c r="QF290" s="27"/>
      <c r="QG290" s="27">
        <v>0</v>
      </c>
      <c r="QH290" s="27">
        <v>0</v>
      </c>
      <c r="QI290" s="27">
        <v>0</v>
      </c>
      <c r="QJ290" s="24">
        <v>0</v>
      </c>
      <c r="QK290" s="24" t="s">
        <v>698</v>
      </c>
      <c r="QL290" s="24">
        <v>37</v>
      </c>
      <c r="QM290" s="27">
        <v>86.3</v>
      </c>
      <c r="QN290" s="27">
        <v>83.4</v>
      </c>
      <c r="QO290" s="27">
        <v>31.3</v>
      </c>
      <c r="QP290" s="24">
        <v>24.09</v>
      </c>
      <c r="QQ290" s="24">
        <v>0</v>
      </c>
      <c r="QR290" s="24">
        <v>0</v>
      </c>
      <c r="QS290" s="24">
        <v>0</v>
      </c>
      <c r="QT290" s="24">
        <v>0</v>
      </c>
      <c r="QU290" s="24">
        <v>0</v>
      </c>
      <c r="QV290" s="24">
        <v>75.91</v>
      </c>
      <c r="QW290" s="24">
        <v>21.83</v>
      </c>
      <c r="QX290" s="24">
        <v>8.6300000000000008</v>
      </c>
      <c r="QY290" s="24">
        <v>2.94</v>
      </c>
      <c r="QZ290" s="24">
        <v>0</v>
      </c>
      <c r="RA290" s="24">
        <v>13.66</v>
      </c>
      <c r="RB290" s="24">
        <v>10.54</v>
      </c>
      <c r="RC290" s="24">
        <v>28.39</v>
      </c>
      <c r="RD290" s="24">
        <v>0</v>
      </c>
      <c r="RE290" s="24">
        <v>0</v>
      </c>
      <c r="RF290" s="24">
        <v>0</v>
      </c>
      <c r="RG290" s="24">
        <v>0</v>
      </c>
      <c r="RT290" s="24">
        <v>2.7</v>
      </c>
      <c r="RU290" s="24">
        <v>1</v>
      </c>
      <c r="RV290" s="24">
        <v>52</v>
      </c>
      <c r="RW290" s="24">
        <v>1</v>
      </c>
      <c r="RX290" s="24">
        <v>0.39</v>
      </c>
      <c r="RY290" s="24">
        <v>2</v>
      </c>
      <c r="RZ290" s="24">
        <v>35</v>
      </c>
      <c r="SA290" s="24">
        <v>4</v>
      </c>
      <c r="SB290" s="24">
        <v>0.26</v>
      </c>
      <c r="SC290" s="24">
        <v>3</v>
      </c>
      <c r="SF290" s="28"/>
      <c r="SX290" s="24">
        <v>0</v>
      </c>
      <c r="UI290" s="27">
        <v>2.83</v>
      </c>
      <c r="UJ290" s="27">
        <v>1</v>
      </c>
      <c r="UK290" s="27">
        <v>1</v>
      </c>
      <c r="UL290" s="27"/>
      <c r="UM290" s="27">
        <f>1.65*5</f>
        <v>8.25</v>
      </c>
      <c r="UN290" s="27"/>
      <c r="UO290" s="27"/>
      <c r="UP290" s="27"/>
      <c r="UQ290" s="27"/>
      <c r="UR290" s="27"/>
      <c r="US290" s="27"/>
      <c r="UT290" s="27">
        <v>0</v>
      </c>
      <c r="UU290" s="27">
        <v>0</v>
      </c>
      <c r="UV290" s="27"/>
      <c r="UW290" s="27"/>
      <c r="UX290" s="27">
        <v>0</v>
      </c>
      <c r="UY290" s="27">
        <v>0</v>
      </c>
      <c r="UZ290" s="27">
        <v>0</v>
      </c>
      <c r="VA290" s="24">
        <v>0</v>
      </c>
      <c r="VB290" s="24" t="s">
        <v>702</v>
      </c>
      <c r="VC290" s="24">
        <v>43.5</v>
      </c>
      <c r="VD290" s="27">
        <v>73.8</v>
      </c>
      <c r="VE290" s="27">
        <v>83.4</v>
      </c>
      <c r="VF290" s="27">
        <v>26.5</v>
      </c>
      <c r="VG290" s="24">
        <v>20.2</v>
      </c>
      <c r="VH290" s="24">
        <v>0</v>
      </c>
      <c r="VI290" s="24">
        <v>26.95</v>
      </c>
      <c r="VJ290" s="24">
        <v>0</v>
      </c>
      <c r="VK290" s="24">
        <v>0.39</v>
      </c>
      <c r="VL290" s="24">
        <v>0</v>
      </c>
      <c r="VM290" s="24">
        <v>79.41</v>
      </c>
      <c r="VN290" s="24">
        <v>26.95</v>
      </c>
      <c r="VO290" s="24">
        <v>0</v>
      </c>
      <c r="VP290" s="24">
        <v>0</v>
      </c>
      <c r="VQ290" s="24">
        <v>0</v>
      </c>
      <c r="VR290" s="24">
        <v>35.200000000000003</v>
      </c>
      <c r="VS290" s="24">
        <v>15.96</v>
      </c>
      <c r="VT290" s="24">
        <v>39.090000000000003</v>
      </c>
      <c r="VU290" s="24">
        <v>0.32</v>
      </c>
      <c r="VV290" s="24">
        <v>0</v>
      </c>
      <c r="VW290" s="24">
        <v>0</v>
      </c>
      <c r="VX290" s="24">
        <v>0</v>
      </c>
      <c r="WK290" s="24">
        <v>14.4</v>
      </c>
      <c r="WL290" s="24">
        <v>1</v>
      </c>
      <c r="WM290" s="24">
        <v>30</v>
      </c>
      <c r="WN290" s="24">
        <v>5</v>
      </c>
      <c r="WO290" s="24">
        <f>2.94+0.6</f>
        <v>3.54</v>
      </c>
      <c r="WP290" s="24">
        <v>3</v>
      </c>
      <c r="WQ290" s="24">
        <v>34</v>
      </c>
      <c r="WR290" s="24">
        <v>1</v>
      </c>
      <c r="WS290" s="24">
        <v>1.65</v>
      </c>
      <c r="WT290" s="24">
        <v>1</v>
      </c>
      <c r="WU290" s="24">
        <v>52</v>
      </c>
      <c r="WV290" s="24">
        <v>6</v>
      </c>
      <c r="WW290" s="28">
        <f>0.7+0.77+0.08+0.05</f>
        <v>1.6</v>
      </c>
      <c r="WX290" s="24">
        <v>2</v>
      </c>
      <c r="WY290" s="24">
        <v>35</v>
      </c>
      <c r="WZ290" s="24">
        <v>1</v>
      </c>
      <c r="XA290" s="24">
        <v>0.19</v>
      </c>
      <c r="XB290" s="24">
        <v>3</v>
      </c>
      <c r="XC290" s="24">
        <v>23</v>
      </c>
      <c r="XD290" s="24">
        <v>3</v>
      </c>
      <c r="XE290" s="24">
        <f>0.39+0.77</f>
        <v>1.1600000000000001</v>
      </c>
      <c r="XF290" s="24">
        <v>3</v>
      </c>
      <c r="XO290" s="24">
        <v>0</v>
      </c>
      <c r="YZ290" s="27">
        <v>1.22</v>
      </c>
      <c r="ZA290" s="27">
        <v>1</v>
      </c>
      <c r="ZB290" s="27">
        <v>1</v>
      </c>
      <c r="ZC290" s="27"/>
      <c r="ZD290" s="27">
        <f>0.97*2+1.07*2</f>
        <v>4.08</v>
      </c>
      <c r="ZE290" s="27"/>
      <c r="ZF290" s="27"/>
      <c r="ZG290" s="27"/>
      <c r="ZH290" s="27"/>
      <c r="ZI290" s="27"/>
      <c r="ZJ290" s="27"/>
      <c r="ZK290" s="27">
        <v>0</v>
      </c>
      <c r="ZL290" s="27">
        <v>0</v>
      </c>
      <c r="ZM290" s="27"/>
      <c r="ZN290" s="27"/>
      <c r="ZO290" s="27">
        <v>0</v>
      </c>
      <c r="ZP290" s="27">
        <v>0</v>
      </c>
      <c r="ZQ290" s="27">
        <v>1.22</v>
      </c>
      <c r="ZR290" s="24">
        <v>0</v>
      </c>
      <c r="ZS290" s="24" t="s">
        <v>693</v>
      </c>
      <c r="ZT290" s="24">
        <v>33.5</v>
      </c>
      <c r="ZU290" s="27">
        <v>92.3</v>
      </c>
      <c r="ZV290" s="27">
        <v>83.4</v>
      </c>
      <c r="ZW290" s="27">
        <v>19.8</v>
      </c>
      <c r="ZX290" s="24">
        <v>72.02</v>
      </c>
      <c r="ZY290" s="24">
        <v>2.2000000000000002</v>
      </c>
      <c r="ZZ290" s="24">
        <v>7.75</v>
      </c>
      <c r="AAA290" s="24">
        <v>0</v>
      </c>
      <c r="AAB290" s="24">
        <v>5.49</v>
      </c>
      <c r="AAC290" s="24">
        <v>0</v>
      </c>
      <c r="AAD290" s="24">
        <v>6.84</v>
      </c>
      <c r="AAE290" s="24">
        <v>0</v>
      </c>
      <c r="AAF290" s="24">
        <v>0</v>
      </c>
      <c r="AAG290" s="24">
        <v>0</v>
      </c>
      <c r="AAH290" s="24">
        <v>0</v>
      </c>
      <c r="AAI290" s="24">
        <v>7.13</v>
      </c>
      <c r="AAJ290" s="24">
        <v>54.84</v>
      </c>
      <c r="AAK290" s="24">
        <v>10.130000000000001</v>
      </c>
      <c r="AAL290" s="24">
        <v>3.36</v>
      </c>
      <c r="AAM290" s="24">
        <v>5.7</v>
      </c>
      <c r="AAN290" s="24">
        <v>0</v>
      </c>
      <c r="AAO290" s="24">
        <v>0</v>
      </c>
      <c r="AAX290" s="24">
        <v>2</v>
      </c>
      <c r="ABB290" s="24">
        <v>3.4</v>
      </c>
      <c r="ABC290" s="24">
        <v>1</v>
      </c>
      <c r="ABD290" s="24">
        <v>34</v>
      </c>
      <c r="ABE290" s="24">
        <v>1</v>
      </c>
      <c r="ABF290" s="24">
        <v>1.28</v>
      </c>
      <c r="ABG290" s="24">
        <v>1</v>
      </c>
      <c r="ABH290" s="24">
        <v>52</v>
      </c>
      <c r="ABI290" s="24">
        <v>1</v>
      </c>
      <c r="ABJ290" s="24">
        <v>0.73</v>
      </c>
      <c r="ABK290" s="24">
        <v>2</v>
      </c>
      <c r="ABL290" s="24">
        <v>30</v>
      </c>
      <c r="ABM290" s="24">
        <v>1</v>
      </c>
      <c r="ABN290" s="28">
        <v>0.13</v>
      </c>
      <c r="ABO290" s="24">
        <v>3</v>
      </c>
      <c r="ACF290" s="24">
        <v>1</v>
      </c>
      <c r="ACG290" s="24">
        <v>40</v>
      </c>
      <c r="ACH290" s="24">
        <v>1</v>
      </c>
      <c r="ACI290" s="24">
        <v>1.83</v>
      </c>
      <c r="ACJ290" s="24">
        <v>6</v>
      </c>
      <c r="ACK290" s="24">
        <v>40</v>
      </c>
      <c r="ACL290" s="24">
        <v>1</v>
      </c>
      <c r="ACM290" s="24">
        <v>1.65</v>
      </c>
      <c r="ACN290" s="24">
        <v>3</v>
      </c>
      <c r="ACO290" s="24">
        <v>40</v>
      </c>
      <c r="ACP290" s="24">
        <v>1</v>
      </c>
      <c r="ACQ290" s="24">
        <v>1.83</v>
      </c>
      <c r="ACR290" s="24">
        <v>4</v>
      </c>
      <c r="ACS290" s="24">
        <v>40</v>
      </c>
      <c r="ACT290" s="24">
        <v>4</v>
      </c>
      <c r="ACU290" s="24">
        <v>0.26</v>
      </c>
      <c r="ACV290" s="24">
        <v>1</v>
      </c>
      <c r="ADQ290" s="27">
        <v>3.89</v>
      </c>
      <c r="ADR290" s="27">
        <v>1</v>
      </c>
      <c r="ADS290" s="27">
        <v>1</v>
      </c>
      <c r="ADT290" s="27"/>
      <c r="ADU290" s="27">
        <f>0.36*2</f>
        <v>0.72</v>
      </c>
      <c r="ADV290" s="27">
        <v>2</v>
      </c>
      <c r="ADW290" s="27"/>
      <c r="ADX290" s="27">
        <f>2.04*2</f>
        <v>4.08</v>
      </c>
      <c r="ADY290" s="27"/>
      <c r="ADZ290" s="27"/>
      <c r="AEA290" s="27"/>
      <c r="AEB290" s="27">
        <v>3.27</v>
      </c>
      <c r="AEC290" s="27">
        <v>2.46</v>
      </c>
      <c r="AED290" s="27"/>
      <c r="AEE290" s="27"/>
      <c r="AEF290" s="27">
        <v>2.88</v>
      </c>
      <c r="AEG290" s="27">
        <v>4.1399999999999997</v>
      </c>
      <c r="AEH290" s="27">
        <v>0</v>
      </c>
      <c r="AEI290" s="24">
        <v>0</v>
      </c>
      <c r="AEJ290" s="24" t="s">
        <v>699</v>
      </c>
      <c r="AEK290" s="24">
        <v>44.5</v>
      </c>
      <c r="AEL290" s="27">
        <v>101.7</v>
      </c>
      <c r="AEM290" s="27">
        <v>83.4</v>
      </c>
      <c r="AEN290" s="27">
        <v>22.5</v>
      </c>
      <c r="AEO290" s="24">
        <v>75.78</v>
      </c>
      <c r="AEP290" s="24">
        <v>0</v>
      </c>
      <c r="AEQ290" s="24">
        <v>2.04</v>
      </c>
      <c r="AER290" s="24">
        <v>0</v>
      </c>
      <c r="AES290" s="24">
        <v>8.57</v>
      </c>
      <c r="AET290" s="24">
        <v>0</v>
      </c>
      <c r="AEU290" s="24">
        <v>2.21</v>
      </c>
      <c r="AEV290" s="24">
        <v>0</v>
      </c>
      <c r="AEW290" s="24">
        <v>1.1000000000000001</v>
      </c>
      <c r="AEX290" s="24">
        <v>0</v>
      </c>
      <c r="AEY290" s="24">
        <v>0</v>
      </c>
      <c r="AEZ290" s="24">
        <v>1.61</v>
      </c>
      <c r="AFA290" s="24">
        <v>54.76</v>
      </c>
      <c r="AFB290" s="24">
        <v>16</v>
      </c>
      <c r="AFC290" s="24">
        <v>6.05</v>
      </c>
      <c r="AFD290" s="24">
        <v>10.83</v>
      </c>
      <c r="AFE290" s="24">
        <v>10.1</v>
      </c>
      <c r="AFF290" s="24">
        <v>1</v>
      </c>
      <c r="AFG290" s="24">
        <v>2</v>
      </c>
      <c r="AFI290" s="24">
        <v>3</v>
      </c>
      <c r="AFJ290" s="24">
        <v>5</v>
      </c>
      <c r="AFL290" s="24">
        <v>1</v>
      </c>
      <c r="AFM290" s="24">
        <v>3</v>
      </c>
      <c r="AFO290" s="24">
        <v>1</v>
      </c>
      <c r="AFS290" s="24">
        <v>3</v>
      </c>
      <c r="AFT290" s="24">
        <v>1</v>
      </c>
      <c r="AFU290" s="24">
        <v>52</v>
      </c>
      <c r="AFV290" s="24">
        <v>1</v>
      </c>
      <c r="AFW290" s="24">
        <v>0.73</v>
      </c>
      <c r="AFX290" s="24">
        <v>2</v>
      </c>
      <c r="AFY290" s="24">
        <v>34</v>
      </c>
      <c r="AFZ290" s="24">
        <v>1</v>
      </c>
      <c r="AGA290" s="24">
        <v>1.28</v>
      </c>
      <c r="AGB290" s="24">
        <v>1</v>
      </c>
      <c r="AGE290" s="28"/>
      <c r="AGW290" s="24">
        <v>1</v>
      </c>
      <c r="AGX290" s="24">
        <v>40</v>
      </c>
      <c r="AGY290" s="24">
        <v>1</v>
      </c>
      <c r="AGZ290" s="24">
        <v>1.83</v>
      </c>
      <c r="AHA290" s="24">
        <v>6</v>
      </c>
      <c r="AHB290" s="24">
        <v>40</v>
      </c>
      <c r="AHC290" s="24">
        <v>1</v>
      </c>
      <c r="AHD290" s="24">
        <v>1.65</v>
      </c>
      <c r="AHE290" s="24">
        <v>3</v>
      </c>
      <c r="AHF290" s="24">
        <v>40</v>
      </c>
      <c r="AHG290" s="24">
        <v>3</v>
      </c>
      <c r="AHH290" s="24">
        <f>0.26+1.83</f>
        <v>2.09</v>
      </c>
      <c r="AHI290" s="24">
        <v>4</v>
      </c>
      <c r="AIH290" s="27">
        <v>3.87</v>
      </c>
      <c r="AII290" s="27">
        <v>1</v>
      </c>
      <c r="AIJ290" s="27">
        <v>1</v>
      </c>
      <c r="AIK290" s="27"/>
      <c r="AIL290" s="27">
        <f>0.46*2+0.08</f>
        <v>1</v>
      </c>
      <c r="AIM290" s="27">
        <v>2</v>
      </c>
      <c r="AIN290" s="27"/>
      <c r="AIO290" s="27">
        <f>4.08</f>
        <v>4.08</v>
      </c>
      <c r="AIP290" s="27"/>
      <c r="AIQ290" s="27"/>
      <c r="AIR290" s="27"/>
      <c r="AIS290" s="27">
        <v>2.2000000000000002</v>
      </c>
      <c r="AIT290" s="27">
        <v>2.2000000000000002</v>
      </c>
      <c r="AIU290" s="27"/>
      <c r="AIV290" s="27"/>
      <c r="AIW290" s="27">
        <v>2.88</v>
      </c>
      <c r="AIX290" s="27">
        <v>3.04</v>
      </c>
      <c r="AIY290" s="27">
        <v>0</v>
      </c>
      <c r="AIZ290" s="24">
        <v>0</v>
      </c>
      <c r="AJA290" s="24" t="s">
        <v>694</v>
      </c>
      <c r="AJB290" s="24">
        <v>40</v>
      </c>
      <c r="AJC290" s="27">
        <v>78.099999999999994</v>
      </c>
      <c r="AJD290" s="27">
        <v>83.4</v>
      </c>
      <c r="AJE290" s="27">
        <v>34.6</v>
      </c>
      <c r="AJF290" s="24">
        <v>66.599999999999994</v>
      </c>
      <c r="AJG290" s="24">
        <v>0</v>
      </c>
      <c r="AJH290" s="24">
        <v>18.54</v>
      </c>
      <c r="AJI290" s="24">
        <v>7.52</v>
      </c>
      <c r="AJJ290" s="24">
        <v>0</v>
      </c>
      <c r="AJK290" s="24">
        <v>0</v>
      </c>
      <c r="AJL290" s="24">
        <v>0</v>
      </c>
      <c r="AJM290" s="24">
        <v>0</v>
      </c>
      <c r="AJN290" s="24">
        <v>0</v>
      </c>
      <c r="AJO290" s="24">
        <v>0</v>
      </c>
      <c r="AJP290" s="24">
        <v>0</v>
      </c>
      <c r="AJQ290" s="24">
        <v>0</v>
      </c>
      <c r="AJR290" s="24">
        <v>28.45</v>
      </c>
      <c r="AJS290" s="24">
        <v>20.45</v>
      </c>
      <c r="AJT290" s="24">
        <v>0.01</v>
      </c>
      <c r="AJU290" s="24">
        <v>7.34</v>
      </c>
      <c r="AJV290" s="24">
        <v>0</v>
      </c>
      <c r="AJW290" s="24">
        <v>0</v>
      </c>
      <c r="AKJ290" s="24">
        <v>0</v>
      </c>
      <c r="AKK290" s="24">
        <v>0</v>
      </c>
      <c r="AKV290" s="28"/>
      <c r="ALN290" s="24">
        <v>1</v>
      </c>
      <c r="ALO290" s="24">
        <v>40</v>
      </c>
      <c r="ALP290" s="24">
        <v>1</v>
      </c>
      <c r="ALQ290" s="24">
        <v>0.73</v>
      </c>
      <c r="ALR290" s="24">
        <v>3</v>
      </c>
    </row>
    <row r="291" spans="1:1024" x14ac:dyDescent="0.2">
      <c r="A291" s="22" t="s">
        <v>859</v>
      </c>
      <c r="B291" s="23">
        <v>42909</v>
      </c>
      <c r="C291" s="24">
        <v>2</v>
      </c>
      <c r="D291" s="25">
        <v>42793</v>
      </c>
      <c r="E291" s="23">
        <v>33451</v>
      </c>
      <c r="F291" s="14">
        <f t="shared" si="106"/>
        <v>25.894592744695416</v>
      </c>
      <c r="G291" s="14">
        <f t="shared" si="107"/>
        <v>0.31759069130732376</v>
      </c>
      <c r="H291" s="26" t="s">
        <v>306</v>
      </c>
      <c r="I291" s="21" t="s">
        <v>689</v>
      </c>
      <c r="J291" s="21" t="s">
        <v>183</v>
      </c>
      <c r="K291" s="21">
        <v>8</v>
      </c>
      <c r="L291" s="26">
        <v>69</v>
      </c>
      <c r="M291" s="24">
        <v>1.75</v>
      </c>
      <c r="N291" s="27">
        <f t="shared" si="108"/>
        <v>22.530612244897959</v>
      </c>
      <c r="O291" s="26">
        <v>0</v>
      </c>
      <c r="P291" s="26">
        <v>0</v>
      </c>
      <c r="Q291" s="26">
        <v>0</v>
      </c>
      <c r="R291" s="26">
        <v>0</v>
      </c>
      <c r="S291" s="26">
        <v>0</v>
      </c>
      <c r="T291" s="26">
        <v>0</v>
      </c>
      <c r="U291" s="26">
        <v>0</v>
      </c>
      <c r="V291" s="26">
        <v>0</v>
      </c>
      <c r="W291" s="26">
        <v>0</v>
      </c>
      <c r="X291" s="26">
        <v>0</v>
      </c>
      <c r="Y291" s="26">
        <v>0</v>
      </c>
      <c r="Z291" s="26">
        <v>0</v>
      </c>
      <c r="AA291" s="26">
        <v>0</v>
      </c>
      <c r="AB291" s="26">
        <v>0</v>
      </c>
      <c r="AC291" s="26">
        <v>1</v>
      </c>
      <c r="AD291" s="26">
        <v>7</v>
      </c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>
        <v>1</v>
      </c>
      <c r="AT291" s="26">
        <v>0</v>
      </c>
      <c r="AU291" s="26">
        <v>0</v>
      </c>
      <c r="AV291" s="26">
        <v>0</v>
      </c>
      <c r="AW291" s="26">
        <v>0</v>
      </c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>
        <v>2</v>
      </c>
      <c r="BS291" s="26">
        <v>1</v>
      </c>
      <c r="BT291" s="26">
        <v>3</v>
      </c>
      <c r="BU291" s="26">
        <v>5</v>
      </c>
      <c r="BV291" s="26">
        <v>3</v>
      </c>
      <c r="BW291" s="26">
        <v>1</v>
      </c>
      <c r="BX291" s="26">
        <v>5</v>
      </c>
      <c r="BY291" s="26">
        <v>5</v>
      </c>
      <c r="BZ291" s="26">
        <v>5</v>
      </c>
      <c r="CA291" s="26">
        <v>3</v>
      </c>
      <c r="CB291" s="26">
        <v>4</v>
      </c>
      <c r="CC291" s="26">
        <v>5</v>
      </c>
      <c r="CD291" s="26">
        <v>3</v>
      </c>
      <c r="CE291" s="26">
        <v>5</v>
      </c>
      <c r="CF291" s="26">
        <v>5</v>
      </c>
      <c r="CG291" s="26">
        <v>5</v>
      </c>
      <c r="CH291" s="26">
        <v>5</v>
      </c>
      <c r="CI291" s="26">
        <v>5</v>
      </c>
      <c r="CJ291" s="26">
        <v>5</v>
      </c>
      <c r="CK291" s="26">
        <v>10</v>
      </c>
      <c r="CL291" s="24" t="s">
        <v>690</v>
      </c>
      <c r="CM291" s="24">
        <v>38</v>
      </c>
      <c r="CN291" s="27">
        <v>85.5</v>
      </c>
      <c r="CO291" s="27">
        <v>83.4</v>
      </c>
      <c r="CP291" s="27">
        <v>28.7</v>
      </c>
      <c r="CQ291" s="24">
        <v>61.84</v>
      </c>
      <c r="CR291" s="24">
        <v>0</v>
      </c>
      <c r="CS291" s="24">
        <v>0</v>
      </c>
      <c r="CT291" s="24">
        <v>0</v>
      </c>
      <c r="CU291" s="24">
        <v>37.42</v>
      </c>
      <c r="CV291" s="24">
        <v>0</v>
      </c>
      <c r="CW291" s="24">
        <v>0.73</v>
      </c>
      <c r="CX291" s="24">
        <v>0</v>
      </c>
      <c r="CY291" s="24">
        <v>0</v>
      </c>
      <c r="CZ291" s="24">
        <v>0.74</v>
      </c>
      <c r="DA291" s="24">
        <v>0</v>
      </c>
      <c r="DB291" s="24">
        <v>7.34</v>
      </c>
      <c r="DC291" s="24">
        <v>25.37</v>
      </c>
      <c r="DD291" s="24">
        <v>15.03</v>
      </c>
      <c r="DE291" s="24">
        <v>30.09</v>
      </c>
      <c r="DF291" s="24">
        <v>0</v>
      </c>
      <c r="DG291" s="24">
        <v>0</v>
      </c>
      <c r="DH291" s="24">
        <v>0</v>
      </c>
      <c r="DU291" s="24">
        <v>1.7</v>
      </c>
      <c r="DV291" s="24">
        <v>0</v>
      </c>
      <c r="EG291" s="28"/>
      <c r="EY291" s="24">
        <v>1</v>
      </c>
      <c r="EZ291" s="24">
        <v>50</v>
      </c>
      <c r="FA291" s="24">
        <v>4</v>
      </c>
      <c r="FB291" s="24">
        <v>0.46</v>
      </c>
      <c r="FC291" s="24">
        <v>6</v>
      </c>
      <c r="FD291" s="24">
        <v>40</v>
      </c>
      <c r="FE291" s="24">
        <v>10</v>
      </c>
      <c r="FF291" s="24">
        <f t="shared" si="115"/>
        <v>0.47000000000000003</v>
      </c>
      <c r="FG291" s="24">
        <v>1</v>
      </c>
      <c r="FH291" s="24">
        <v>40</v>
      </c>
      <c r="FI291" s="24">
        <v>10</v>
      </c>
      <c r="FJ291" s="24">
        <f t="shared" si="116"/>
        <v>0.51</v>
      </c>
      <c r="FK291" s="24">
        <v>6</v>
      </c>
      <c r="FL291" s="24">
        <v>60</v>
      </c>
      <c r="FM291" s="24">
        <v>6</v>
      </c>
      <c r="FN291" s="24">
        <f t="shared" si="117"/>
        <v>9.84</v>
      </c>
      <c r="FO291" s="24">
        <v>3</v>
      </c>
      <c r="GJ291" s="27">
        <v>1.55</v>
      </c>
      <c r="GK291" s="27">
        <v>1</v>
      </c>
      <c r="GL291" s="27">
        <v>1</v>
      </c>
      <c r="GM291" s="27"/>
      <c r="GN291" s="27">
        <f t="shared" si="118"/>
        <v>3.3</v>
      </c>
      <c r="GO291" s="27">
        <v>2</v>
      </c>
      <c r="GP291" s="27"/>
      <c r="GQ291" s="27">
        <v>0.54</v>
      </c>
      <c r="GR291" s="27"/>
      <c r="GS291" s="27"/>
      <c r="GT291" s="27"/>
      <c r="GU291" s="27">
        <v>5.74</v>
      </c>
      <c r="GV291" s="27">
        <v>3.64</v>
      </c>
      <c r="GW291" s="27"/>
      <c r="GX291" s="27"/>
      <c r="GY291" s="27">
        <v>0</v>
      </c>
      <c r="GZ291" s="27">
        <v>0</v>
      </c>
      <c r="HA291" s="27">
        <v>0</v>
      </c>
      <c r="HB291" s="24">
        <v>0</v>
      </c>
      <c r="HC291" s="24" t="s">
        <v>691</v>
      </c>
      <c r="HD291" s="24">
        <v>63.5</v>
      </c>
      <c r="HE291" s="27">
        <v>98.9</v>
      </c>
      <c r="HF291" s="27">
        <v>83.4</v>
      </c>
      <c r="HG291" s="27">
        <v>51</v>
      </c>
      <c r="HH291" s="24">
        <v>53.65</v>
      </c>
      <c r="HI291" s="24">
        <v>0</v>
      </c>
      <c r="HJ291" s="24">
        <v>11.99</v>
      </c>
      <c r="HK291" s="24">
        <v>24.1</v>
      </c>
      <c r="HL291" s="24">
        <v>10.26</v>
      </c>
      <c r="HM291" s="24">
        <v>0</v>
      </c>
      <c r="HN291" s="24">
        <v>0</v>
      </c>
      <c r="HO291" s="24">
        <v>0</v>
      </c>
      <c r="HP291" s="24">
        <v>0</v>
      </c>
      <c r="HQ291" s="24">
        <v>0</v>
      </c>
      <c r="HR291" s="24">
        <v>0</v>
      </c>
      <c r="HS291" s="24">
        <v>9.1</v>
      </c>
      <c r="HT291" s="24">
        <v>26.31</v>
      </c>
      <c r="HU291" s="24">
        <v>5.53</v>
      </c>
      <c r="HV291" s="24">
        <v>0.94</v>
      </c>
      <c r="HW291" s="24">
        <v>0</v>
      </c>
      <c r="HX291" s="24">
        <v>0</v>
      </c>
      <c r="HY291" s="24">
        <v>0</v>
      </c>
      <c r="IL291" s="24">
        <v>6.1</v>
      </c>
      <c r="IM291" s="24">
        <v>0</v>
      </c>
      <c r="IX291" s="28"/>
      <c r="JP291" s="24">
        <v>1</v>
      </c>
      <c r="JQ291" s="24">
        <v>50</v>
      </c>
      <c r="JR291" s="24">
        <v>1</v>
      </c>
      <c r="JS291" s="24">
        <v>0.39</v>
      </c>
      <c r="JT291" s="24">
        <v>3</v>
      </c>
      <c r="JU291" s="24">
        <v>50</v>
      </c>
      <c r="JV291" s="24">
        <v>2</v>
      </c>
      <c r="JW291" s="24">
        <f>0.19+0.23</f>
        <v>0.42000000000000004</v>
      </c>
      <c r="JX291" s="24">
        <v>4</v>
      </c>
      <c r="JY291" s="24">
        <v>60</v>
      </c>
      <c r="JZ291" s="24">
        <v>12</v>
      </c>
      <c r="KA291" s="24">
        <f>0.78*2</f>
        <v>1.56</v>
      </c>
      <c r="KB291" s="24">
        <v>6</v>
      </c>
      <c r="LA291" s="27">
        <v>5.39</v>
      </c>
      <c r="LB291" s="27">
        <v>1</v>
      </c>
      <c r="LC291" s="27">
        <v>1</v>
      </c>
      <c r="LD291" s="27"/>
      <c r="LE291" s="27">
        <f>2.04*3+0.36*2</f>
        <v>6.84</v>
      </c>
      <c r="LF291" s="27">
        <v>2</v>
      </c>
      <c r="LG291" s="27"/>
      <c r="LH291" s="27">
        <f>0.72*2+0.36</f>
        <v>1.7999999999999998</v>
      </c>
      <c r="LI291" s="27">
        <v>3</v>
      </c>
      <c r="LJ291" s="27"/>
      <c r="LK291" s="27">
        <v>0.5</v>
      </c>
      <c r="LL291" s="27">
        <v>0.94</v>
      </c>
      <c r="LM291" s="27">
        <v>0.94</v>
      </c>
      <c r="LN291" s="27"/>
      <c r="LO291" s="27"/>
      <c r="LP291" s="27">
        <v>0</v>
      </c>
      <c r="LQ291" s="27">
        <v>0</v>
      </c>
      <c r="LR291" s="27">
        <v>0</v>
      </c>
      <c r="LS291" s="24">
        <v>0</v>
      </c>
      <c r="LT291" s="24" t="s">
        <v>692</v>
      </c>
      <c r="LU291" s="24">
        <v>30.5</v>
      </c>
      <c r="LV291" s="27">
        <v>69.11</v>
      </c>
      <c r="LW291" s="27">
        <v>83.4</v>
      </c>
      <c r="LX291" s="27">
        <v>18.100000000000001</v>
      </c>
      <c r="LY291" s="24">
        <v>79.03</v>
      </c>
      <c r="LZ291" s="24">
        <v>0.45</v>
      </c>
      <c r="MA291" s="24">
        <v>0</v>
      </c>
      <c r="MB291" s="24">
        <v>0</v>
      </c>
      <c r="MC291" s="24">
        <v>20.52</v>
      </c>
      <c r="MD291" s="24">
        <v>0</v>
      </c>
      <c r="ME291" s="24">
        <v>0</v>
      </c>
      <c r="MF291" s="24">
        <v>0</v>
      </c>
      <c r="MG291" s="24">
        <v>0</v>
      </c>
      <c r="MH291" s="24">
        <v>0</v>
      </c>
      <c r="MI291" s="24">
        <v>0</v>
      </c>
      <c r="MJ291" s="24">
        <v>0</v>
      </c>
      <c r="MK291" s="24">
        <v>12.58</v>
      </c>
      <c r="ML291" s="24">
        <v>17.940000000000001</v>
      </c>
      <c r="MM291" s="24">
        <v>18.04</v>
      </c>
      <c r="MN291" s="24">
        <v>0</v>
      </c>
      <c r="MO291" s="24">
        <v>0</v>
      </c>
      <c r="MP291" s="24">
        <v>0</v>
      </c>
      <c r="NC291" s="24">
        <v>8.1</v>
      </c>
      <c r="ND291" s="24">
        <v>1</v>
      </c>
      <c r="NE291" s="24">
        <v>35</v>
      </c>
      <c r="NF291" s="24">
        <v>4</v>
      </c>
      <c r="NG291" s="24">
        <f>2.2+0.39</f>
        <v>2.5900000000000003</v>
      </c>
      <c r="NH291" s="24">
        <v>3</v>
      </c>
      <c r="NO291" s="28"/>
      <c r="OG291" s="24">
        <v>1</v>
      </c>
      <c r="OH291" s="24">
        <v>60</v>
      </c>
      <c r="OI291" s="24">
        <v>1</v>
      </c>
      <c r="OJ291" s="24">
        <v>0.73</v>
      </c>
      <c r="OK291" s="24">
        <v>3</v>
      </c>
      <c r="PR291" s="27">
        <v>3.89</v>
      </c>
      <c r="PS291" s="27">
        <v>1</v>
      </c>
      <c r="PT291" s="27">
        <v>1</v>
      </c>
      <c r="PU291" s="27"/>
      <c r="PV291" s="27">
        <f>0.14*2+0.21*2</f>
        <v>0.7</v>
      </c>
      <c r="PW291" s="27">
        <v>2</v>
      </c>
      <c r="PX291" s="27"/>
      <c r="PY291" s="27">
        <f>1.65*2</f>
        <v>3.3</v>
      </c>
      <c r="PZ291" s="27"/>
      <c r="QA291" s="27"/>
      <c r="QB291" s="27"/>
      <c r="QC291" s="27">
        <v>0</v>
      </c>
      <c r="QD291" s="27">
        <v>0</v>
      </c>
      <c r="QE291" s="27"/>
      <c r="QF291" s="27"/>
      <c r="QG291" s="27">
        <v>0</v>
      </c>
      <c r="QH291" s="27">
        <v>0</v>
      </c>
      <c r="QI291" s="27">
        <v>0</v>
      </c>
      <c r="QJ291" s="24">
        <v>0</v>
      </c>
      <c r="QK291" s="24" t="s">
        <v>697</v>
      </c>
      <c r="QL291" s="24">
        <v>42.5</v>
      </c>
      <c r="QM291" s="27">
        <v>92.2</v>
      </c>
      <c r="QN291" s="27">
        <v>83.4</v>
      </c>
      <c r="QO291" s="27">
        <v>33.5</v>
      </c>
      <c r="QP291" s="24">
        <v>25.89</v>
      </c>
      <c r="QQ291" s="24">
        <v>0</v>
      </c>
      <c r="QR291" s="24">
        <v>0</v>
      </c>
      <c r="QS291" s="24">
        <v>0</v>
      </c>
      <c r="QT291" s="24">
        <v>0</v>
      </c>
      <c r="QU291" s="24">
        <v>0</v>
      </c>
      <c r="QV291" s="24">
        <v>74.11</v>
      </c>
      <c r="QW291" s="24">
        <v>25.43</v>
      </c>
      <c r="QX291" s="24">
        <v>9.7200000000000006</v>
      </c>
      <c r="QY291" s="24">
        <v>2.94</v>
      </c>
      <c r="QZ291" s="24">
        <v>0</v>
      </c>
      <c r="RA291" s="24">
        <v>11.38</v>
      </c>
      <c r="RB291" s="24">
        <v>16.89</v>
      </c>
      <c r="RC291" s="24">
        <v>27.26</v>
      </c>
      <c r="RD291" s="24">
        <v>0</v>
      </c>
      <c r="RE291" s="24">
        <v>0</v>
      </c>
      <c r="RF291" s="24">
        <v>0</v>
      </c>
      <c r="RG291" s="24">
        <v>0</v>
      </c>
      <c r="RT291" s="24">
        <v>3.6</v>
      </c>
      <c r="RU291" s="24">
        <v>1</v>
      </c>
      <c r="RV291" s="24">
        <v>35</v>
      </c>
      <c r="RW291" s="24">
        <v>6</v>
      </c>
      <c r="RX291" s="24">
        <f>0.13*4</f>
        <v>0.52</v>
      </c>
      <c r="RY291" s="24">
        <v>3</v>
      </c>
      <c r="RZ291" s="24">
        <v>25</v>
      </c>
      <c r="SA291" s="24">
        <v>2</v>
      </c>
      <c r="SB291" s="24">
        <f>0.13*2</f>
        <v>0.26</v>
      </c>
      <c r="SC291" s="24">
        <v>4</v>
      </c>
      <c r="SF291" s="28"/>
      <c r="SX291" s="24">
        <v>0</v>
      </c>
      <c r="UI291" s="27">
        <v>3.01</v>
      </c>
      <c r="UJ291" s="27">
        <v>1</v>
      </c>
      <c r="UK291" s="27">
        <v>1</v>
      </c>
      <c r="UL291" s="27"/>
      <c r="UM291" s="27">
        <f>1.65*5+0.13*2+0.36+0.18</f>
        <v>9.0499999999999989</v>
      </c>
      <c r="UN291" s="27"/>
      <c r="UO291" s="27"/>
      <c r="UP291" s="27"/>
      <c r="UQ291" s="27"/>
      <c r="UR291" s="27"/>
      <c r="US291" s="27"/>
      <c r="UT291" s="27">
        <v>2.16</v>
      </c>
      <c r="UU291" s="27">
        <v>0.52</v>
      </c>
      <c r="UV291" s="27"/>
      <c r="UW291" s="27"/>
      <c r="UX291" s="27">
        <v>0</v>
      </c>
      <c r="UY291" s="27">
        <v>0</v>
      </c>
      <c r="UZ291" s="27">
        <v>0</v>
      </c>
      <c r="VA291" s="24">
        <v>0</v>
      </c>
      <c r="VB291" s="24" t="s">
        <v>698</v>
      </c>
      <c r="VC291" s="24">
        <v>37</v>
      </c>
      <c r="VD291" s="27">
        <v>86.3</v>
      </c>
      <c r="VE291" s="27">
        <v>83.4</v>
      </c>
      <c r="VF291" s="27">
        <v>31.3</v>
      </c>
      <c r="VG291" s="24">
        <v>24.09</v>
      </c>
      <c r="VH291" s="24">
        <v>0</v>
      </c>
      <c r="VI291" s="24">
        <v>0</v>
      </c>
      <c r="VJ291" s="24">
        <v>0</v>
      </c>
      <c r="VK291" s="24">
        <v>0</v>
      </c>
      <c r="VL291" s="24">
        <v>0</v>
      </c>
      <c r="VM291" s="24">
        <v>75.91</v>
      </c>
      <c r="VN291" s="24">
        <v>21.83</v>
      </c>
      <c r="VO291" s="24">
        <v>8.6300000000000008</v>
      </c>
      <c r="VP291" s="24">
        <v>2.94</v>
      </c>
      <c r="VQ291" s="24">
        <v>0</v>
      </c>
      <c r="VR291" s="24">
        <v>13.66</v>
      </c>
      <c r="VS291" s="24">
        <v>10.54</v>
      </c>
      <c r="VT291" s="24">
        <v>28.39</v>
      </c>
      <c r="VU291" s="24">
        <v>0</v>
      </c>
      <c r="VV291" s="24">
        <v>0</v>
      </c>
      <c r="VW291" s="24">
        <v>0</v>
      </c>
      <c r="VX291" s="24">
        <v>0</v>
      </c>
      <c r="WK291" s="24">
        <v>2.7</v>
      </c>
      <c r="WL291" s="24">
        <v>1</v>
      </c>
      <c r="WM291" s="24">
        <v>52</v>
      </c>
      <c r="WN291" s="24">
        <v>1</v>
      </c>
      <c r="WO291" s="24">
        <v>0.39</v>
      </c>
      <c r="WP291" s="24">
        <v>2</v>
      </c>
      <c r="WQ291" s="24">
        <v>35</v>
      </c>
      <c r="WR291" s="24">
        <v>4</v>
      </c>
      <c r="WS291" s="24">
        <v>0.26</v>
      </c>
      <c r="WT291" s="24">
        <v>3</v>
      </c>
      <c r="WW291" s="28"/>
      <c r="XO291" s="24">
        <v>0</v>
      </c>
      <c r="YZ291" s="27">
        <v>2.83</v>
      </c>
      <c r="ZA291" s="27">
        <v>1</v>
      </c>
      <c r="ZB291" s="27">
        <v>1</v>
      </c>
      <c r="ZC291" s="27"/>
      <c r="ZD291" s="27">
        <f>1.65*5</f>
        <v>8.25</v>
      </c>
      <c r="ZE291" s="27"/>
      <c r="ZF291" s="27"/>
      <c r="ZG291" s="27"/>
      <c r="ZH291" s="27"/>
      <c r="ZI291" s="27"/>
      <c r="ZJ291" s="27"/>
      <c r="ZK291" s="27">
        <v>0</v>
      </c>
      <c r="ZL291" s="27">
        <v>0</v>
      </c>
      <c r="ZM291" s="27"/>
      <c r="ZN291" s="27"/>
      <c r="ZO291" s="27">
        <v>0</v>
      </c>
      <c r="ZP291" s="27">
        <v>0</v>
      </c>
      <c r="ZQ291" s="27">
        <v>0</v>
      </c>
      <c r="ZR291" s="24">
        <v>0</v>
      </c>
      <c r="ZS291" s="24" t="s">
        <v>702</v>
      </c>
      <c r="ZT291" s="24">
        <v>43.5</v>
      </c>
      <c r="ZU291" s="27">
        <v>73.8</v>
      </c>
      <c r="ZV291" s="27">
        <v>83.4</v>
      </c>
      <c r="ZW291" s="27">
        <v>26.5</v>
      </c>
      <c r="ZX291" s="24">
        <v>20.2</v>
      </c>
      <c r="ZY291" s="24">
        <v>0</v>
      </c>
      <c r="ZZ291" s="24">
        <v>26.95</v>
      </c>
      <c r="AAA291" s="24">
        <v>0</v>
      </c>
      <c r="AAB291" s="24">
        <v>0.39</v>
      </c>
      <c r="AAC291" s="24">
        <v>0</v>
      </c>
      <c r="AAD291" s="24">
        <v>79.41</v>
      </c>
      <c r="AAE291" s="24">
        <v>26.95</v>
      </c>
      <c r="AAF291" s="24">
        <v>0</v>
      </c>
      <c r="AAG291" s="24">
        <v>0</v>
      </c>
      <c r="AAH291" s="24">
        <v>0</v>
      </c>
      <c r="AAI291" s="24">
        <v>35.200000000000003</v>
      </c>
      <c r="AAJ291" s="24">
        <v>15.96</v>
      </c>
      <c r="AAK291" s="24">
        <v>39.090000000000003</v>
      </c>
      <c r="AAL291" s="24">
        <v>0.32</v>
      </c>
      <c r="AAM291" s="24">
        <v>0</v>
      </c>
      <c r="AAN291" s="24">
        <v>0</v>
      </c>
      <c r="AAO291" s="24">
        <v>0</v>
      </c>
      <c r="ABB291" s="24">
        <v>14.4</v>
      </c>
      <c r="ABC291" s="24">
        <v>1</v>
      </c>
      <c r="ABD291" s="24">
        <v>30</v>
      </c>
      <c r="ABE291" s="24">
        <v>5</v>
      </c>
      <c r="ABF291" s="24">
        <f>2.94+0.6</f>
        <v>3.54</v>
      </c>
      <c r="ABG291" s="24">
        <v>3</v>
      </c>
      <c r="ABH291" s="24">
        <v>34</v>
      </c>
      <c r="ABI291" s="24">
        <v>1</v>
      </c>
      <c r="ABJ291" s="24">
        <v>1.65</v>
      </c>
      <c r="ABK291" s="24">
        <v>1</v>
      </c>
      <c r="ABL291" s="24">
        <v>52</v>
      </c>
      <c r="ABM291" s="24">
        <v>6</v>
      </c>
      <c r="ABN291" s="28">
        <f>0.7+0.77+0.08+0.05</f>
        <v>1.6</v>
      </c>
      <c r="ABO291" s="24">
        <v>2</v>
      </c>
      <c r="ABP291" s="24">
        <v>35</v>
      </c>
      <c r="ABQ291" s="24">
        <v>1</v>
      </c>
      <c r="ABR291" s="24">
        <v>0.19</v>
      </c>
      <c r="ABS291" s="24">
        <v>3</v>
      </c>
      <c r="ABT291" s="24">
        <v>23</v>
      </c>
      <c r="ABU291" s="24">
        <v>3</v>
      </c>
      <c r="ABV291" s="24">
        <f>0.39+0.77</f>
        <v>1.1600000000000001</v>
      </c>
      <c r="ABW291" s="24">
        <v>3</v>
      </c>
      <c r="ACF291" s="24">
        <v>0</v>
      </c>
      <c r="ADQ291" s="27">
        <v>1.22</v>
      </c>
      <c r="ADR291" s="27">
        <v>1</v>
      </c>
      <c r="ADS291" s="27">
        <v>1</v>
      </c>
      <c r="ADT291" s="27"/>
      <c r="ADU291" s="27">
        <f>0.97*2+1.07*2</f>
        <v>4.08</v>
      </c>
      <c r="ADV291" s="27"/>
      <c r="ADW291" s="27"/>
      <c r="ADX291" s="27"/>
      <c r="ADY291" s="27"/>
      <c r="ADZ291" s="27"/>
      <c r="AEA291" s="27"/>
      <c r="AEB291" s="27">
        <v>0</v>
      </c>
      <c r="AEC291" s="27">
        <v>0</v>
      </c>
      <c r="AED291" s="27"/>
      <c r="AEE291" s="27"/>
      <c r="AEF291" s="27">
        <v>0</v>
      </c>
      <c r="AEG291" s="27">
        <v>0</v>
      </c>
      <c r="AEH291" s="27">
        <v>1.22</v>
      </c>
      <c r="AEI291" s="24">
        <v>0</v>
      </c>
      <c r="AEJ291" s="24" t="s">
        <v>693</v>
      </c>
      <c r="AEK291" s="24">
        <v>33.5</v>
      </c>
      <c r="AEL291" s="27">
        <v>92.3</v>
      </c>
      <c r="AEM291" s="27">
        <v>83.4</v>
      </c>
      <c r="AEN291" s="27">
        <v>19.8</v>
      </c>
      <c r="AEO291" s="24">
        <v>72.02</v>
      </c>
      <c r="AEP291" s="24">
        <v>2.2000000000000002</v>
      </c>
      <c r="AEQ291" s="24">
        <v>7.75</v>
      </c>
      <c r="AER291" s="24">
        <v>0</v>
      </c>
      <c r="AES291" s="24">
        <v>5.49</v>
      </c>
      <c r="AET291" s="24">
        <v>0</v>
      </c>
      <c r="AEU291" s="24">
        <v>6.84</v>
      </c>
      <c r="AEV291" s="24">
        <v>0</v>
      </c>
      <c r="AEW291" s="24">
        <v>0</v>
      </c>
      <c r="AEX291" s="24">
        <v>0</v>
      </c>
      <c r="AEY291" s="24">
        <v>0</v>
      </c>
      <c r="AEZ291" s="24">
        <v>7.13</v>
      </c>
      <c r="AFA291" s="24">
        <v>54.84</v>
      </c>
      <c r="AFB291" s="24">
        <v>10.130000000000001</v>
      </c>
      <c r="AFC291" s="24">
        <v>3.36</v>
      </c>
      <c r="AFD291" s="24">
        <v>5.7</v>
      </c>
      <c r="AFE291" s="24">
        <v>0</v>
      </c>
      <c r="AFF291" s="24">
        <v>0</v>
      </c>
      <c r="AFO291" s="24">
        <v>2</v>
      </c>
      <c r="AFS291" s="24">
        <v>3.4</v>
      </c>
      <c r="AFT291" s="24">
        <v>1</v>
      </c>
      <c r="AFU291" s="24">
        <v>34</v>
      </c>
      <c r="AFV291" s="24">
        <v>1</v>
      </c>
      <c r="AFW291" s="24">
        <v>1.28</v>
      </c>
      <c r="AFX291" s="24">
        <v>1</v>
      </c>
      <c r="AFY291" s="24">
        <v>52</v>
      </c>
      <c r="AFZ291" s="24">
        <v>1</v>
      </c>
      <c r="AGA291" s="24">
        <v>0.73</v>
      </c>
      <c r="AGB291" s="24">
        <v>2</v>
      </c>
      <c r="AGC291" s="24">
        <v>30</v>
      </c>
      <c r="AGD291" s="24">
        <v>1</v>
      </c>
      <c r="AGE291" s="28">
        <v>0.13</v>
      </c>
      <c r="AGF291" s="24">
        <v>3</v>
      </c>
      <c r="AGW291" s="24">
        <v>1</v>
      </c>
      <c r="AGX291" s="24">
        <v>40</v>
      </c>
      <c r="AGY291" s="24">
        <v>1</v>
      </c>
      <c r="AGZ291" s="24">
        <v>1.83</v>
      </c>
      <c r="AHA291" s="24">
        <v>6</v>
      </c>
      <c r="AHB291" s="24">
        <v>40</v>
      </c>
      <c r="AHC291" s="24">
        <v>1</v>
      </c>
      <c r="AHD291" s="24">
        <v>1.65</v>
      </c>
      <c r="AHE291" s="24">
        <v>3</v>
      </c>
      <c r="AHF291" s="24">
        <v>40</v>
      </c>
      <c r="AHG291" s="24">
        <v>1</v>
      </c>
      <c r="AHH291" s="24">
        <v>1.83</v>
      </c>
      <c r="AHI291" s="24">
        <v>4</v>
      </c>
      <c r="AHJ291" s="24">
        <v>40</v>
      </c>
      <c r="AHK291" s="24">
        <v>4</v>
      </c>
      <c r="AHL291" s="24">
        <v>0.26</v>
      </c>
      <c r="AHM291" s="24">
        <v>1</v>
      </c>
      <c r="AIH291" s="27">
        <v>3.89</v>
      </c>
      <c r="AII291" s="27">
        <v>1</v>
      </c>
      <c r="AIJ291" s="27">
        <v>1</v>
      </c>
      <c r="AIK291" s="27"/>
      <c r="AIL291" s="27">
        <f>0.36*2</f>
        <v>0.72</v>
      </c>
      <c r="AIM291" s="27">
        <v>2</v>
      </c>
      <c r="AIN291" s="27"/>
      <c r="AIO291" s="27">
        <f>2.04*2</f>
        <v>4.08</v>
      </c>
      <c r="AIP291" s="27"/>
      <c r="AIQ291" s="27"/>
      <c r="AIR291" s="27"/>
      <c r="AIS291" s="27">
        <v>3.27</v>
      </c>
      <c r="AIT291" s="27">
        <v>2.46</v>
      </c>
      <c r="AIU291" s="27"/>
      <c r="AIV291" s="27"/>
      <c r="AIW291" s="27">
        <v>2.88</v>
      </c>
      <c r="AIX291" s="27">
        <v>4.1399999999999997</v>
      </c>
      <c r="AIY291" s="27">
        <v>0</v>
      </c>
      <c r="AIZ291" s="24">
        <v>0</v>
      </c>
      <c r="AJA291" s="24" t="s">
        <v>699</v>
      </c>
      <c r="AJB291" s="24">
        <v>44.5</v>
      </c>
      <c r="AJC291" s="27">
        <v>101.7</v>
      </c>
      <c r="AJD291" s="27">
        <v>83.4</v>
      </c>
      <c r="AJE291" s="27">
        <v>22.5</v>
      </c>
      <c r="AJF291" s="24">
        <v>75.78</v>
      </c>
      <c r="AJG291" s="24">
        <v>0</v>
      </c>
      <c r="AJH291" s="24">
        <v>2.04</v>
      </c>
      <c r="AJI291" s="24">
        <v>0</v>
      </c>
      <c r="AJJ291" s="24">
        <v>8.57</v>
      </c>
      <c r="AJK291" s="24">
        <v>0</v>
      </c>
      <c r="AJL291" s="24">
        <v>2.21</v>
      </c>
      <c r="AJM291" s="24">
        <v>0</v>
      </c>
      <c r="AJN291" s="24">
        <v>1.1000000000000001</v>
      </c>
      <c r="AJO291" s="24">
        <v>0</v>
      </c>
      <c r="AJP291" s="24">
        <v>0</v>
      </c>
      <c r="AJQ291" s="24">
        <v>1.61</v>
      </c>
      <c r="AJR291" s="24">
        <v>54.76</v>
      </c>
      <c r="AJS291" s="24">
        <v>16</v>
      </c>
      <c r="AJT291" s="24">
        <v>6.05</v>
      </c>
      <c r="AJU291" s="24">
        <v>10.83</v>
      </c>
      <c r="AJV291" s="24">
        <v>10.1</v>
      </c>
      <c r="AJW291" s="24">
        <v>1</v>
      </c>
      <c r="AJX291" s="24">
        <v>2</v>
      </c>
      <c r="AJZ291" s="24">
        <v>3</v>
      </c>
      <c r="AKA291" s="24">
        <v>5</v>
      </c>
      <c r="AKC291" s="24">
        <v>1</v>
      </c>
      <c r="AKD291" s="24">
        <v>3</v>
      </c>
      <c r="AKF291" s="24">
        <v>1</v>
      </c>
      <c r="AKJ291" s="24">
        <v>3</v>
      </c>
      <c r="AKK291" s="24">
        <v>1</v>
      </c>
      <c r="AKL291" s="24">
        <v>52</v>
      </c>
      <c r="AKM291" s="24">
        <v>1</v>
      </c>
      <c r="AKN291" s="24">
        <v>0.73</v>
      </c>
      <c r="AKO291" s="24">
        <v>2</v>
      </c>
      <c r="AKP291" s="24">
        <v>34</v>
      </c>
      <c r="AKQ291" s="24">
        <v>1</v>
      </c>
      <c r="AKR291" s="24">
        <v>1.28</v>
      </c>
      <c r="AKS291" s="24">
        <v>1</v>
      </c>
      <c r="AKV291" s="28"/>
      <c r="ALN291" s="24">
        <v>1</v>
      </c>
      <c r="ALO291" s="24">
        <v>40</v>
      </c>
      <c r="ALP291" s="24">
        <v>1</v>
      </c>
      <c r="ALQ291" s="24">
        <v>1.83</v>
      </c>
      <c r="ALR291" s="24">
        <v>6</v>
      </c>
      <c r="ALS291" s="24">
        <v>40</v>
      </c>
      <c r="ALT291" s="24">
        <v>1</v>
      </c>
      <c r="ALU291" s="24">
        <v>1.65</v>
      </c>
      <c r="ALV291" s="24">
        <v>3</v>
      </c>
      <c r="ALW291" s="24">
        <v>40</v>
      </c>
      <c r="ALX291" s="24">
        <v>3</v>
      </c>
      <c r="ALY291" s="24">
        <f>0.26+1.83</f>
        <v>2.09</v>
      </c>
      <c r="ALZ291" s="24">
        <v>4</v>
      </c>
    </row>
    <row r="292" spans="1:1024" x14ac:dyDescent="0.2">
      <c r="A292" s="22" t="s">
        <v>860</v>
      </c>
      <c r="B292" s="23">
        <v>42909</v>
      </c>
      <c r="C292" s="24">
        <v>2</v>
      </c>
      <c r="D292" s="25">
        <v>39118</v>
      </c>
      <c r="E292" s="23">
        <v>30925</v>
      </c>
      <c r="F292" s="14">
        <f t="shared" si="106"/>
        <v>32.810403832991099</v>
      </c>
      <c r="G292" s="14">
        <f t="shared" si="107"/>
        <v>10.379192334017796</v>
      </c>
      <c r="H292" s="26" t="s">
        <v>306</v>
      </c>
      <c r="I292" s="21" t="s">
        <v>689</v>
      </c>
      <c r="J292" s="21" t="s">
        <v>183</v>
      </c>
      <c r="K292" s="21">
        <v>8</v>
      </c>
      <c r="L292" s="26">
        <v>95</v>
      </c>
      <c r="M292" s="24">
        <v>1.88</v>
      </c>
      <c r="N292" s="27">
        <f t="shared" si="108"/>
        <v>26.878678134902671</v>
      </c>
      <c r="O292" s="26">
        <v>0</v>
      </c>
      <c r="P292" s="26">
        <v>0</v>
      </c>
      <c r="Q292" s="26">
        <v>0</v>
      </c>
      <c r="R292" s="26">
        <v>0</v>
      </c>
      <c r="S292" s="26">
        <v>0</v>
      </c>
      <c r="T292" s="26">
        <v>0</v>
      </c>
      <c r="U292" s="26">
        <v>1</v>
      </c>
      <c r="V292" s="26">
        <v>10</v>
      </c>
      <c r="W292" s="26">
        <v>1</v>
      </c>
      <c r="X292" s="26">
        <v>1</v>
      </c>
      <c r="Y292" s="26">
        <v>0</v>
      </c>
      <c r="Z292" s="26">
        <v>0</v>
      </c>
      <c r="AA292" s="26">
        <v>0</v>
      </c>
      <c r="AB292" s="26">
        <v>0</v>
      </c>
      <c r="AC292" s="26">
        <v>1</v>
      </c>
      <c r="AD292" s="26">
        <v>20</v>
      </c>
      <c r="AE292" s="26">
        <v>0</v>
      </c>
      <c r="AF292" s="26">
        <v>0</v>
      </c>
      <c r="AG292" s="26">
        <v>0</v>
      </c>
      <c r="AH292" s="26">
        <v>0</v>
      </c>
      <c r="AI292" s="26">
        <v>3</v>
      </c>
      <c r="AJ292" s="26">
        <v>3</v>
      </c>
      <c r="AK292" s="26">
        <v>3</v>
      </c>
      <c r="AL292" s="26"/>
      <c r="AM292" s="26"/>
      <c r="AN292" s="26">
        <v>0</v>
      </c>
      <c r="AO292" s="26">
        <v>0</v>
      </c>
      <c r="AP292" s="26">
        <v>0</v>
      </c>
      <c r="AQ292" s="26">
        <v>0</v>
      </c>
      <c r="AR292" s="26">
        <v>0</v>
      </c>
      <c r="AS292" s="26">
        <v>1</v>
      </c>
      <c r="AT292" s="26">
        <v>1</v>
      </c>
      <c r="AU292" s="26">
        <v>1</v>
      </c>
      <c r="AV292" s="26">
        <v>5</v>
      </c>
      <c r="AW292" s="26">
        <v>0</v>
      </c>
      <c r="AX292" s="26">
        <v>1</v>
      </c>
      <c r="AY292" s="26">
        <v>0</v>
      </c>
      <c r="AZ292" s="26">
        <v>1</v>
      </c>
      <c r="BA292" s="26">
        <v>5</v>
      </c>
      <c r="BB292" s="26">
        <v>1</v>
      </c>
      <c r="BC292" s="26">
        <v>1</v>
      </c>
      <c r="BD292" s="26">
        <v>1</v>
      </c>
      <c r="BE292" s="26">
        <v>9</v>
      </c>
      <c r="BF292" s="26">
        <v>1</v>
      </c>
      <c r="BG292" s="26">
        <v>1</v>
      </c>
      <c r="BH292" s="26">
        <v>1</v>
      </c>
      <c r="BI292" s="26">
        <v>9</v>
      </c>
      <c r="BJ292" s="26">
        <v>0</v>
      </c>
      <c r="BK292" s="26">
        <v>0</v>
      </c>
      <c r="BL292" s="26">
        <v>0</v>
      </c>
      <c r="BM292" s="26">
        <v>0</v>
      </c>
      <c r="BN292" s="26">
        <v>0</v>
      </c>
      <c r="BO292" s="26">
        <v>0</v>
      </c>
      <c r="BP292" s="26">
        <v>0</v>
      </c>
      <c r="BQ292" s="26">
        <v>0</v>
      </c>
      <c r="BR292" s="26">
        <v>5</v>
      </c>
      <c r="BS292" s="26">
        <v>4</v>
      </c>
      <c r="BT292" s="26">
        <v>5</v>
      </c>
      <c r="BU292" s="26">
        <v>5</v>
      </c>
      <c r="BV292" s="26">
        <v>4</v>
      </c>
      <c r="BW292" s="26">
        <v>5</v>
      </c>
      <c r="BX292" s="26">
        <v>5</v>
      </c>
      <c r="BY292" s="26">
        <v>5</v>
      </c>
      <c r="BZ292" s="26">
        <v>1</v>
      </c>
      <c r="CA292" s="26">
        <v>2</v>
      </c>
      <c r="CB292" s="26">
        <v>1</v>
      </c>
      <c r="CC292" s="26">
        <v>5</v>
      </c>
      <c r="CD292" s="26">
        <v>1</v>
      </c>
      <c r="CE292" s="26">
        <v>1</v>
      </c>
      <c r="CF292" s="26">
        <v>3</v>
      </c>
      <c r="CG292" s="26">
        <v>4</v>
      </c>
      <c r="CH292" s="26">
        <v>4</v>
      </c>
      <c r="CI292" s="26">
        <v>5</v>
      </c>
      <c r="CJ292" s="26">
        <v>2</v>
      </c>
      <c r="CK292" s="26">
        <v>10</v>
      </c>
      <c r="CL292" s="24" t="s">
        <v>690</v>
      </c>
      <c r="CM292" s="24">
        <v>38</v>
      </c>
      <c r="CN292" s="27">
        <v>85.5</v>
      </c>
      <c r="CO292" s="27">
        <v>83.4</v>
      </c>
      <c r="CP292" s="27">
        <v>28.7</v>
      </c>
      <c r="CQ292" s="24">
        <v>61.84</v>
      </c>
      <c r="CR292" s="24">
        <v>0</v>
      </c>
      <c r="CS292" s="24">
        <v>0</v>
      </c>
      <c r="CT292" s="24">
        <v>0</v>
      </c>
      <c r="CU292" s="24">
        <v>37.42</v>
      </c>
      <c r="CV292" s="24">
        <v>0</v>
      </c>
      <c r="CW292" s="24">
        <v>0.73</v>
      </c>
      <c r="CX292" s="24">
        <v>0</v>
      </c>
      <c r="CY292" s="24">
        <v>0</v>
      </c>
      <c r="CZ292" s="24">
        <v>0.74</v>
      </c>
      <c r="DA292" s="24">
        <v>0</v>
      </c>
      <c r="DB292" s="24">
        <v>7.34</v>
      </c>
      <c r="DC292" s="24">
        <v>25.37</v>
      </c>
      <c r="DD292" s="24">
        <v>15.03</v>
      </c>
      <c r="DE292" s="24">
        <v>30.09</v>
      </c>
      <c r="DF292" s="24">
        <v>0</v>
      </c>
      <c r="DG292" s="24">
        <v>0</v>
      </c>
      <c r="DH292" s="24">
        <v>0</v>
      </c>
      <c r="DU292" s="24">
        <v>1.7</v>
      </c>
      <c r="DV292" s="24">
        <v>0</v>
      </c>
      <c r="EG292" s="28"/>
      <c r="EY292" s="24">
        <v>1</v>
      </c>
      <c r="EZ292" s="24">
        <v>50</v>
      </c>
      <c r="FA292" s="24">
        <v>4</v>
      </c>
      <c r="FB292" s="24">
        <v>0.46</v>
      </c>
      <c r="FC292" s="24">
        <v>6</v>
      </c>
      <c r="FD292" s="24">
        <v>40</v>
      </c>
      <c r="FE292" s="24">
        <v>10</v>
      </c>
      <c r="FF292" s="24">
        <f t="shared" si="115"/>
        <v>0.47000000000000003</v>
      </c>
      <c r="FG292" s="24">
        <v>1</v>
      </c>
      <c r="FH292" s="24">
        <v>40</v>
      </c>
      <c r="FI292" s="24">
        <v>10</v>
      </c>
      <c r="FJ292" s="24">
        <f t="shared" si="116"/>
        <v>0.51</v>
      </c>
      <c r="FK292" s="24">
        <v>6</v>
      </c>
      <c r="FL292" s="24">
        <v>60</v>
      </c>
      <c r="FM292" s="24">
        <v>6</v>
      </c>
      <c r="FN292" s="24">
        <f t="shared" si="117"/>
        <v>9.84</v>
      </c>
      <c r="FO292" s="24">
        <v>3</v>
      </c>
      <c r="GJ292" s="27">
        <v>1.55</v>
      </c>
      <c r="GK292" s="27">
        <v>1</v>
      </c>
      <c r="GL292" s="27">
        <v>1</v>
      </c>
      <c r="GM292" s="27"/>
      <c r="GN292" s="27">
        <f t="shared" si="118"/>
        <v>3.3</v>
      </c>
      <c r="GO292" s="27">
        <v>2</v>
      </c>
      <c r="GP292" s="27"/>
      <c r="GQ292" s="27">
        <v>0.54</v>
      </c>
      <c r="GR292" s="27"/>
      <c r="GS292" s="27"/>
      <c r="GT292" s="27"/>
      <c r="GU292" s="27">
        <v>5.74</v>
      </c>
      <c r="GV292" s="27">
        <v>3.64</v>
      </c>
      <c r="GW292" s="27"/>
      <c r="GX292" s="27"/>
      <c r="GY292" s="27">
        <v>0</v>
      </c>
      <c r="GZ292" s="27">
        <v>0</v>
      </c>
      <c r="HA292" s="27">
        <v>0</v>
      </c>
      <c r="HB292" s="24">
        <v>0</v>
      </c>
      <c r="HC292" s="24" t="s">
        <v>691</v>
      </c>
      <c r="HD292" s="24">
        <v>63.5</v>
      </c>
      <c r="HE292" s="27">
        <v>98.9</v>
      </c>
      <c r="HF292" s="27">
        <v>83.4</v>
      </c>
      <c r="HG292" s="27">
        <v>51</v>
      </c>
      <c r="HH292" s="24">
        <v>53.65</v>
      </c>
      <c r="HI292" s="24">
        <v>0</v>
      </c>
      <c r="HJ292" s="24">
        <v>11.99</v>
      </c>
      <c r="HK292" s="24">
        <v>24.1</v>
      </c>
      <c r="HL292" s="24">
        <v>10.26</v>
      </c>
      <c r="HM292" s="24">
        <v>0</v>
      </c>
      <c r="HN292" s="24">
        <v>0</v>
      </c>
      <c r="HO292" s="24">
        <v>0</v>
      </c>
      <c r="HP292" s="24">
        <v>0</v>
      </c>
      <c r="HQ292" s="24">
        <v>0</v>
      </c>
      <c r="HR292" s="24">
        <v>0</v>
      </c>
      <c r="HS292" s="24">
        <v>9.1</v>
      </c>
      <c r="HT292" s="24">
        <v>26.31</v>
      </c>
      <c r="HU292" s="24">
        <v>5.53</v>
      </c>
      <c r="HV292" s="24">
        <v>0.94</v>
      </c>
      <c r="HW292" s="24">
        <v>0</v>
      </c>
      <c r="HX292" s="24">
        <v>0</v>
      </c>
      <c r="HY292" s="24">
        <v>0</v>
      </c>
      <c r="IL292" s="24">
        <v>6.1</v>
      </c>
      <c r="IM292" s="24">
        <v>0</v>
      </c>
      <c r="IX292" s="28"/>
      <c r="JP292" s="24">
        <v>1</v>
      </c>
      <c r="JQ292" s="24">
        <v>50</v>
      </c>
      <c r="JR292" s="24">
        <v>1</v>
      </c>
      <c r="JS292" s="24">
        <v>0.39</v>
      </c>
      <c r="JT292" s="24">
        <v>3</v>
      </c>
      <c r="JU292" s="24">
        <v>50</v>
      </c>
      <c r="JV292" s="24">
        <v>2</v>
      </c>
      <c r="JW292" s="24">
        <f>0.19+0.23</f>
        <v>0.42000000000000004</v>
      </c>
      <c r="JX292" s="24">
        <v>4</v>
      </c>
      <c r="JY292" s="24">
        <v>60</v>
      </c>
      <c r="JZ292" s="24">
        <v>12</v>
      </c>
      <c r="KA292" s="24">
        <f>0.78*2</f>
        <v>1.56</v>
      </c>
      <c r="KB292" s="24">
        <v>6</v>
      </c>
      <c r="LA292" s="27">
        <v>5.39</v>
      </c>
      <c r="LB292" s="27">
        <v>1</v>
      </c>
      <c r="LC292" s="27">
        <v>1</v>
      </c>
      <c r="LD292" s="27"/>
      <c r="LE292" s="27">
        <f>2.04*3+0.36*2</f>
        <v>6.84</v>
      </c>
      <c r="LF292" s="27">
        <v>2</v>
      </c>
      <c r="LG292" s="27"/>
      <c r="LH292" s="27">
        <f>0.72*2+0.36</f>
        <v>1.7999999999999998</v>
      </c>
      <c r="LI292" s="27">
        <v>3</v>
      </c>
      <c r="LJ292" s="27"/>
      <c r="LK292" s="27">
        <v>0.5</v>
      </c>
      <c r="LL292" s="27">
        <v>0.94</v>
      </c>
      <c r="LM292" s="27">
        <v>0.94</v>
      </c>
      <c r="LN292" s="27"/>
      <c r="LO292" s="27"/>
      <c r="LP292" s="27">
        <v>0</v>
      </c>
      <c r="LQ292" s="27">
        <v>0</v>
      </c>
      <c r="LR292" s="27">
        <v>0</v>
      </c>
      <c r="LS292" s="24">
        <v>0</v>
      </c>
      <c r="LT292" s="24" t="s">
        <v>692</v>
      </c>
      <c r="LU292" s="24">
        <v>30.5</v>
      </c>
      <c r="LV292" s="27">
        <v>69.11</v>
      </c>
      <c r="LW292" s="27">
        <v>83.4</v>
      </c>
      <c r="LX292" s="27">
        <v>18.100000000000001</v>
      </c>
      <c r="LY292" s="24">
        <v>79.03</v>
      </c>
      <c r="LZ292" s="24">
        <v>0.45</v>
      </c>
      <c r="MA292" s="24">
        <v>0</v>
      </c>
      <c r="MB292" s="24">
        <v>0</v>
      </c>
      <c r="MC292" s="24">
        <v>20.52</v>
      </c>
      <c r="MD292" s="24">
        <v>0</v>
      </c>
      <c r="ME292" s="24">
        <v>0</v>
      </c>
      <c r="MF292" s="24">
        <v>0</v>
      </c>
      <c r="MG292" s="24">
        <v>0</v>
      </c>
      <c r="MH292" s="24">
        <v>0</v>
      </c>
      <c r="MI292" s="24">
        <v>0</v>
      </c>
      <c r="MJ292" s="24">
        <v>0</v>
      </c>
      <c r="MK292" s="24">
        <v>12.58</v>
      </c>
      <c r="ML292" s="24">
        <v>17.940000000000001</v>
      </c>
      <c r="MM292" s="24">
        <v>18.04</v>
      </c>
      <c r="MN292" s="24">
        <v>0</v>
      </c>
      <c r="MO292" s="24">
        <v>0</v>
      </c>
      <c r="MP292" s="24">
        <v>0</v>
      </c>
      <c r="NC292" s="24">
        <v>8.1</v>
      </c>
      <c r="ND292" s="24">
        <v>1</v>
      </c>
      <c r="NE292" s="24">
        <v>35</v>
      </c>
      <c r="NF292" s="24">
        <v>4</v>
      </c>
      <c r="NG292" s="24">
        <f>2.2+0.39</f>
        <v>2.5900000000000003</v>
      </c>
      <c r="NH292" s="24">
        <v>3</v>
      </c>
      <c r="NO292" s="28"/>
      <c r="OG292" s="24">
        <v>1</v>
      </c>
      <c r="OH292" s="24">
        <v>60</v>
      </c>
      <c r="OI292" s="24">
        <v>1</v>
      </c>
      <c r="OJ292" s="24">
        <v>0.73</v>
      </c>
      <c r="OK292" s="24">
        <v>3</v>
      </c>
      <c r="PR292" s="27">
        <v>3.89</v>
      </c>
      <c r="PS292" s="27">
        <v>1</v>
      </c>
      <c r="PT292" s="27">
        <v>1</v>
      </c>
      <c r="PU292" s="27"/>
      <c r="PV292" s="27">
        <f>0.14*2+0.21*2</f>
        <v>0.7</v>
      </c>
      <c r="PW292" s="27">
        <v>2</v>
      </c>
      <c r="PX292" s="27"/>
      <c r="PY292" s="27">
        <f>1.65*2</f>
        <v>3.3</v>
      </c>
      <c r="PZ292" s="27"/>
      <c r="QA292" s="27"/>
      <c r="QB292" s="27"/>
      <c r="QC292" s="27">
        <v>0</v>
      </c>
      <c r="QD292" s="27">
        <v>0</v>
      </c>
      <c r="QE292" s="27"/>
      <c r="QF292" s="27"/>
      <c r="QG292" s="27">
        <v>0</v>
      </c>
      <c r="QH292" s="27">
        <v>0</v>
      </c>
      <c r="QI292" s="27">
        <v>0</v>
      </c>
      <c r="QJ292" s="24">
        <v>0</v>
      </c>
      <c r="QK292" s="24" t="s">
        <v>697</v>
      </c>
      <c r="QL292" s="24">
        <v>42.5</v>
      </c>
      <c r="QM292" s="27">
        <v>92.2</v>
      </c>
      <c r="QN292" s="27">
        <v>83.4</v>
      </c>
      <c r="QO292" s="27">
        <v>33.5</v>
      </c>
      <c r="QP292" s="24">
        <v>25.89</v>
      </c>
      <c r="QQ292" s="24">
        <v>0</v>
      </c>
      <c r="QR292" s="24">
        <v>0</v>
      </c>
      <c r="QS292" s="24">
        <v>0</v>
      </c>
      <c r="QT292" s="24">
        <v>0</v>
      </c>
      <c r="QU292" s="24">
        <v>0</v>
      </c>
      <c r="QV292" s="24">
        <v>74.11</v>
      </c>
      <c r="QW292" s="24">
        <v>25.43</v>
      </c>
      <c r="QX292" s="24">
        <v>9.7200000000000006</v>
      </c>
      <c r="QY292" s="24">
        <v>2.94</v>
      </c>
      <c r="QZ292" s="24">
        <v>0</v>
      </c>
      <c r="RA292" s="24">
        <v>11.38</v>
      </c>
      <c r="RB292" s="24">
        <v>16.89</v>
      </c>
      <c r="RC292" s="24">
        <v>27.26</v>
      </c>
      <c r="RD292" s="24">
        <v>0</v>
      </c>
      <c r="RE292" s="24">
        <v>0</v>
      </c>
      <c r="RF292" s="24">
        <v>0</v>
      </c>
      <c r="RG292" s="24">
        <v>0</v>
      </c>
      <c r="RT292" s="24">
        <v>3.6</v>
      </c>
      <c r="RU292" s="24">
        <v>1</v>
      </c>
      <c r="RV292" s="24">
        <v>35</v>
      </c>
      <c r="RW292" s="24">
        <v>6</v>
      </c>
      <c r="RX292" s="24">
        <f>0.13*4</f>
        <v>0.52</v>
      </c>
      <c r="RY292" s="24">
        <v>3</v>
      </c>
      <c r="RZ292" s="24">
        <v>25</v>
      </c>
      <c r="SA292" s="24">
        <v>2</v>
      </c>
      <c r="SB292" s="24">
        <f>0.13*2</f>
        <v>0.26</v>
      </c>
      <c r="SC292" s="24">
        <v>4</v>
      </c>
      <c r="SF292" s="28"/>
      <c r="SX292" s="24">
        <v>0</v>
      </c>
      <c r="UI292" s="27">
        <v>3.01</v>
      </c>
      <c r="UJ292" s="27">
        <v>1</v>
      </c>
      <c r="UK292" s="27">
        <v>1</v>
      </c>
      <c r="UL292" s="27"/>
      <c r="UM292" s="27">
        <f>1.65*5+0.13*2+0.36+0.18</f>
        <v>9.0499999999999989</v>
      </c>
      <c r="UN292" s="27"/>
      <c r="UO292" s="27"/>
      <c r="UP292" s="27"/>
      <c r="UQ292" s="27"/>
      <c r="UR292" s="27"/>
      <c r="US292" s="27"/>
      <c r="UT292" s="27">
        <v>2.16</v>
      </c>
      <c r="UU292" s="27">
        <v>0.52</v>
      </c>
      <c r="UV292" s="27"/>
      <c r="UW292" s="27"/>
      <c r="UX292" s="27">
        <v>0</v>
      </c>
      <c r="UY292" s="27">
        <v>0</v>
      </c>
      <c r="UZ292" s="27">
        <v>0</v>
      </c>
      <c r="VA292" s="24">
        <v>0</v>
      </c>
      <c r="VB292" s="24" t="s">
        <v>698</v>
      </c>
      <c r="VC292" s="24">
        <v>37</v>
      </c>
      <c r="VD292" s="27">
        <v>86.3</v>
      </c>
      <c r="VE292" s="27">
        <v>83.4</v>
      </c>
      <c r="VF292" s="27">
        <v>31.3</v>
      </c>
      <c r="VG292" s="24">
        <v>24.09</v>
      </c>
      <c r="VH292" s="24">
        <v>0</v>
      </c>
      <c r="VI292" s="24">
        <v>0</v>
      </c>
      <c r="VJ292" s="24">
        <v>0</v>
      </c>
      <c r="VK292" s="24">
        <v>0</v>
      </c>
      <c r="VL292" s="24">
        <v>0</v>
      </c>
      <c r="VM292" s="24">
        <v>75.91</v>
      </c>
      <c r="VN292" s="24">
        <v>21.83</v>
      </c>
      <c r="VO292" s="24">
        <v>8.6300000000000008</v>
      </c>
      <c r="VP292" s="24">
        <v>2.94</v>
      </c>
      <c r="VQ292" s="24">
        <v>0</v>
      </c>
      <c r="VR292" s="24">
        <v>13.66</v>
      </c>
      <c r="VS292" s="24">
        <v>10.54</v>
      </c>
      <c r="VT292" s="24">
        <v>28.39</v>
      </c>
      <c r="VU292" s="24">
        <v>0</v>
      </c>
      <c r="VV292" s="24">
        <v>0</v>
      </c>
      <c r="VW292" s="24">
        <v>0</v>
      </c>
      <c r="VX292" s="24">
        <v>0</v>
      </c>
      <c r="WK292" s="24">
        <v>2.7</v>
      </c>
      <c r="WL292" s="24">
        <v>1</v>
      </c>
      <c r="WM292" s="24">
        <v>52</v>
      </c>
      <c r="WN292" s="24">
        <v>1</v>
      </c>
      <c r="WO292" s="24">
        <v>0.39</v>
      </c>
      <c r="WP292" s="24">
        <v>2</v>
      </c>
      <c r="WQ292" s="24">
        <v>35</v>
      </c>
      <c r="WR292" s="24">
        <v>4</v>
      </c>
      <c r="WS292" s="24">
        <v>0.26</v>
      </c>
      <c r="WT292" s="24">
        <v>3</v>
      </c>
      <c r="WW292" s="28"/>
      <c r="XO292" s="24">
        <v>0</v>
      </c>
      <c r="YZ292" s="27">
        <v>2.83</v>
      </c>
      <c r="ZA292" s="27">
        <v>1</v>
      </c>
      <c r="ZB292" s="27">
        <v>1</v>
      </c>
      <c r="ZC292" s="27"/>
      <c r="ZD292" s="27">
        <f>1.65*5</f>
        <v>8.25</v>
      </c>
      <c r="ZE292" s="27"/>
      <c r="ZF292" s="27"/>
      <c r="ZG292" s="27"/>
      <c r="ZH292" s="27"/>
      <c r="ZI292" s="27"/>
      <c r="ZJ292" s="27"/>
      <c r="ZK292" s="27">
        <v>0</v>
      </c>
      <c r="ZL292" s="27">
        <v>0</v>
      </c>
      <c r="ZM292" s="27"/>
      <c r="ZN292" s="27"/>
      <c r="ZO292" s="27">
        <v>0</v>
      </c>
      <c r="ZP292" s="27">
        <v>0</v>
      </c>
      <c r="ZQ292" s="27">
        <v>0</v>
      </c>
      <c r="ZR292" s="24">
        <v>0</v>
      </c>
      <c r="ZS292" s="24" t="s">
        <v>702</v>
      </c>
      <c r="ZT292" s="24">
        <v>43.5</v>
      </c>
      <c r="ZU292" s="27">
        <v>73.8</v>
      </c>
      <c r="ZV292" s="27">
        <v>83.4</v>
      </c>
      <c r="ZW292" s="27">
        <v>26.5</v>
      </c>
      <c r="ZX292" s="24">
        <v>20.2</v>
      </c>
      <c r="ZY292" s="24">
        <v>0</v>
      </c>
      <c r="ZZ292" s="24">
        <v>26.95</v>
      </c>
      <c r="AAA292" s="24">
        <v>0</v>
      </c>
      <c r="AAB292" s="24">
        <v>0.39</v>
      </c>
      <c r="AAC292" s="24">
        <v>0</v>
      </c>
      <c r="AAD292" s="24">
        <v>79.41</v>
      </c>
      <c r="AAE292" s="24">
        <v>26.95</v>
      </c>
      <c r="AAF292" s="24">
        <v>0</v>
      </c>
      <c r="AAG292" s="24">
        <v>0</v>
      </c>
      <c r="AAH292" s="24">
        <v>0</v>
      </c>
      <c r="AAI292" s="24">
        <v>35.200000000000003</v>
      </c>
      <c r="AAJ292" s="24">
        <v>15.96</v>
      </c>
      <c r="AAK292" s="24">
        <v>39.090000000000003</v>
      </c>
      <c r="AAL292" s="24">
        <v>0.32</v>
      </c>
      <c r="AAM292" s="24">
        <v>0</v>
      </c>
      <c r="AAN292" s="24">
        <v>0</v>
      </c>
      <c r="AAO292" s="24">
        <v>0</v>
      </c>
      <c r="ABB292" s="24">
        <v>14.4</v>
      </c>
      <c r="ABC292" s="24">
        <v>1</v>
      </c>
      <c r="ABD292" s="24">
        <v>30</v>
      </c>
      <c r="ABE292" s="24">
        <v>5</v>
      </c>
      <c r="ABF292" s="24">
        <f>2.94+0.6</f>
        <v>3.54</v>
      </c>
      <c r="ABG292" s="24">
        <v>3</v>
      </c>
      <c r="ABH292" s="24">
        <v>34</v>
      </c>
      <c r="ABI292" s="24">
        <v>1</v>
      </c>
      <c r="ABJ292" s="24">
        <v>1.65</v>
      </c>
      <c r="ABK292" s="24">
        <v>1</v>
      </c>
      <c r="ABL292" s="24">
        <v>52</v>
      </c>
      <c r="ABM292" s="24">
        <v>6</v>
      </c>
      <c r="ABN292" s="28">
        <f>0.7+0.77+0.08+0.05</f>
        <v>1.6</v>
      </c>
      <c r="ABO292" s="24">
        <v>2</v>
      </c>
      <c r="ABP292" s="24">
        <v>35</v>
      </c>
      <c r="ABQ292" s="24">
        <v>1</v>
      </c>
      <c r="ABR292" s="24">
        <v>0.19</v>
      </c>
      <c r="ABS292" s="24">
        <v>3</v>
      </c>
      <c r="ABT292" s="24">
        <v>23</v>
      </c>
      <c r="ABU292" s="24">
        <v>3</v>
      </c>
      <c r="ABV292" s="24">
        <f>0.39+0.77</f>
        <v>1.1600000000000001</v>
      </c>
      <c r="ABW292" s="24">
        <v>3</v>
      </c>
      <c r="ACF292" s="24">
        <v>0</v>
      </c>
      <c r="ADQ292" s="27">
        <v>1.22</v>
      </c>
      <c r="ADR292" s="27">
        <v>1</v>
      </c>
      <c r="ADS292" s="27">
        <v>1</v>
      </c>
      <c r="ADT292" s="27"/>
      <c r="ADU292" s="27">
        <f>0.97*2+1.07*2</f>
        <v>4.08</v>
      </c>
      <c r="ADV292" s="27"/>
      <c r="ADW292" s="27"/>
      <c r="ADX292" s="27"/>
      <c r="ADY292" s="27"/>
      <c r="ADZ292" s="27"/>
      <c r="AEA292" s="27"/>
      <c r="AEB292" s="27">
        <v>0</v>
      </c>
      <c r="AEC292" s="27">
        <v>0</v>
      </c>
      <c r="AED292" s="27"/>
      <c r="AEE292" s="27"/>
      <c r="AEF292" s="27">
        <v>0</v>
      </c>
      <c r="AEG292" s="27">
        <v>0</v>
      </c>
      <c r="AEH292" s="27">
        <v>1.22</v>
      </c>
      <c r="AEI292" s="24">
        <v>0</v>
      </c>
      <c r="AEJ292" s="24" t="s">
        <v>693</v>
      </c>
      <c r="AEK292" s="24">
        <v>33.5</v>
      </c>
      <c r="AEL292" s="27">
        <v>92.3</v>
      </c>
      <c r="AEM292" s="27">
        <v>83.4</v>
      </c>
      <c r="AEN292" s="27">
        <v>19.8</v>
      </c>
      <c r="AEO292" s="24">
        <v>72.02</v>
      </c>
      <c r="AEP292" s="24">
        <v>2.2000000000000002</v>
      </c>
      <c r="AEQ292" s="24">
        <v>7.75</v>
      </c>
      <c r="AER292" s="24">
        <v>0</v>
      </c>
      <c r="AES292" s="24">
        <v>5.49</v>
      </c>
      <c r="AET292" s="24">
        <v>0</v>
      </c>
      <c r="AEU292" s="24">
        <v>6.84</v>
      </c>
      <c r="AEV292" s="24">
        <v>0</v>
      </c>
      <c r="AEW292" s="24">
        <v>0</v>
      </c>
      <c r="AEX292" s="24">
        <v>0</v>
      </c>
      <c r="AEY292" s="24">
        <v>0</v>
      </c>
      <c r="AEZ292" s="24">
        <v>7.13</v>
      </c>
      <c r="AFA292" s="24">
        <v>54.84</v>
      </c>
      <c r="AFB292" s="24">
        <v>10.130000000000001</v>
      </c>
      <c r="AFC292" s="24">
        <v>3.36</v>
      </c>
      <c r="AFD292" s="24">
        <v>5.7</v>
      </c>
      <c r="AFE292" s="24">
        <v>0</v>
      </c>
      <c r="AFF292" s="24">
        <v>0</v>
      </c>
      <c r="AFO292" s="24">
        <v>2</v>
      </c>
      <c r="AFS292" s="24">
        <v>3.4</v>
      </c>
      <c r="AFT292" s="24">
        <v>1</v>
      </c>
      <c r="AFU292" s="24">
        <v>34</v>
      </c>
      <c r="AFV292" s="24">
        <v>1</v>
      </c>
      <c r="AFW292" s="24">
        <v>1.28</v>
      </c>
      <c r="AFX292" s="24">
        <v>1</v>
      </c>
      <c r="AFY292" s="24">
        <v>52</v>
      </c>
      <c r="AFZ292" s="24">
        <v>1</v>
      </c>
      <c r="AGA292" s="24">
        <v>0.73</v>
      </c>
      <c r="AGB292" s="24">
        <v>2</v>
      </c>
      <c r="AGC292" s="24">
        <v>30</v>
      </c>
      <c r="AGD292" s="24">
        <v>1</v>
      </c>
      <c r="AGE292" s="28">
        <v>0.13</v>
      </c>
      <c r="AGF292" s="24">
        <v>3</v>
      </c>
      <c r="AGW292" s="24">
        <v>1</v>
      </c>
      <c r="AGX292" s="24">
        <v>40</v>
      </c>
      <c r="AGY292" s="24">
        <v>1</v>
      </c>
      <c r="AGZ292" s="24">
        <v>1.83</v>
      </c>
      <c r="AHA292" s="24">
        <v>6</v>
      </c>
      <c r="AHB292" s="24">
        <v>40</v>
      </c>
      <c r="AHC292" s="24">
        <v>1</v>
      </c>
      <c r="AHD292" s="24">
        <v>1.65</v>
      </c>
      <c r="AHE292" s="24">
        <v>3</v>
      </c>
      <c r="AHF292" s="24">
        <v>40</v>
      </c>
      <c r="AHG292" s="24">
        <v>1</v>
      </c>
      <c r="AHH292" s="24">
        <v>1.83</v>
      </c>
      <c r="AHI292" s="24">
        <v>4</v>
      </c>
      <c r="AHJ292" s="24">
        <v>40</v>
      </c>
      <c r="AHK292" s="24">
        <v>4</v>
      </c>
      <c r="AHL292" s="24">
        <v>0.26</v>
      </c>
      <c r="AHM292" s="24">
        <v>1</v>
      </c>
      <c r="AIH292" s="27">
        <v>3.89</v>
      </c>
      <c r="AII292" s="27">
        <v>1</v>
      </c>
      <c r="AIJ292" s="27">
        <v>1</v>
      </c>
      <c r="AIK292" s="27"/>
      <c r="AIL292" s="27">
        <f>0.36*2</f>
        <v>0.72</v>
      </c>
      <c r="AIM292" s="27">
        <v>2</v>
      </c>
      <c r="AIN292" s="27"/>
      <c r="AIO292" s="27">
        <f>2.04*2</f>
        <v>4.08</v>
      </c>
      <c r="AIP292" s="27"/>
      <c r="AIQ292" s="27"/>
      <c r="AIR292" s="27"/>
      <c r="AIS292" s="27">
        <v>3.27</v>
      </c>
      <c r="AIT292" s="27">
        <v>2.46</v>
      </c>
      <c r="AIU292" s="27"/>
      <c r="AIV292" s="27"/>
      <c r="AIW292" s="27">
        <v>2.88</v>
      </c>
      <c r="AIX292" s="27">
        <v>4.1399999999999997</v>
      </c>
      <c r="AIY292" s="27">
        <v>0</v>
      </c>
      <c r="AIZ292" s="24">
        <v>0</v>
      </c>
      <c r="AJA292" s="24" t="s">
        <v>699</v>
      </c>
      <c r="AJB292" s="24">
        <v>44.5</v>
      </c>
      <c r="AJC292" s="27">
        <v>101.7</v>
      </c>
      <c r="AJD292" s="27">
        <v>83.4</v>
      </c>
      <c r="AJE292" s="27">
        <v>22.5</v>
      </c>
      <c r="AJF292" s="24">
        <v>75.78</v>
      </c>
      <c r="AJG292" s="24">
        <v>0</v>
      </c>
      <c r="AJH292" s="24">
        <v>2.04</v>
      </c>
      <c r="AJI292" s="24">
        <v>0</v>
      </c>
      <c r="AJJ292" s="24">
        <v>8.57</v>
      </c>
      <c r="AJK292" s="24">
        <v>0</v>
      </c>
      <c r="AJL292" s="24">
        <v>2.21</v>
      </c>
      <c r="AJM292" s="24">
        <v>0</v>
      </c>
      <c r="AJN292" s="24">
        <v>1.1000000000000001</v>
      </c>
      <c r="AJO292" s="24">
        <v>0</v>
      </c>
      <c r="AJP292" s="24">
        <v>0</v>
      </c>
      <c r="AJQ292" s="24">
        <v>1.61</v>
      </c>
      <c r="AJR292" s="24">
        <v>54.76</v>
      </c>
      <c r="AJS292" s="24">
        <v>16</v>
      </c>
      <c r="AJT292" s="24">
        <v>6.05</v>
      </c>
      <c r="AJU292" s="24">
        <v>10.83</v>
      </c>
      <c r="AJV292" s="24">
        <v>10.1</v>
      </c>
      <c r="AJW292" s="24">
        <v>1</v>
      </c>
      <c r="AJX292" s="24">
        <v>2</v>
      </c>
      <c r="AJZ292" s="24">
        <v>3</v>
      </c>
      <c r="AKA292" s="24">
        <v>5</v>
      </c>
      <c r="AKC292" s="24">
        <v>1</v>
      </c>
      <c r="AKD292" s="24">
        <v>3</v>
      </c>
      <c r="AKF292" s="24">
        <v>1</v>
      </c>
      <c r="AKJ292" s="24">
        <v>3</v>
      </c>
      <c r="AKK292" s="24">
        <v>1</v>
      </c>
      <c r="AKL292" s="24">
        <v>52</v>
      </c>
      <c r="AKM292" s="24">
        <v>1</v>
      </c>
      <c r="AKN292" s="24">
        <v>0.73</v>
      </c>
      <c r="AKO292" s="24">
        <v>2</v>
      </c>
      <c r="AKP292" s="24">
        <v>34</v>
      </c>
      <c r="AKQ292" s="24">
        <v>1</v>
      </c>
      <c r="AKR292" s="24">
        <v>1.28</v>
      </c>
      <c r="AKS292" s="24">
        <v>1</v>
      </c>
      <c r="AKV292" s="28"/>
      <c r="ALN292" s="24">
        <v>1</v>
      </c>
      <c r="ALO292" s="24">
        <v>40</v>
      </c>
      <c r="ALP292" s="24">
        <v>1</v>
      </c>
      <c r="ALQ292" s="24">
        <v>1.83</v>
      </c>
      <c r="ALR292" s="24">
        <v>6</v>
      </c>
      <c r="ALS292" s="24">
        <v>40</v>
      </c>
      <c r="ALT292" s="24">
        <v>1</v>
      </c>
      <c r="ALU292" s="24">
        <v>1.65</v>
      </c>
      <c r="ALV292" s="24">
        <v>3</v>
      </c>
      <c r="ALW292" s="24">
        <v>40</v>
      </c>
      <c r="ALX292" s="24">
        <v>3</v>
      </c>
      <c r="ALY292" s="24">
        <f>0.26+1.83</f>
        <v>2.09</v>
      </c>
      <c r="ALZ292" s="24">
        <v>4</v>
      </c>
    </row>
    <row r="293" spans="1:1024" x14ac:dyDescent="0.2">
      <c r="A293" s="22" t="s">
        <v>861</v>
      </c>
      <c r="B293" s="23">
        <v>42908</v>
      </c>
      <c r="C293" s="24">
        <v>1</v>
      </c>
      <c r="D293" s="25">
        <v>42811</v>
      </c>
      <c r="E293" s="23">
        <v>33831</v>
      </c>
      <c r="F293" s="14">
        <f t="shared" si="106"/>
        <v>24.851471594798085</v>
      </c>
      <c r="G293" s="14">
        <f t="shared" si="107"/>
        <v>0.2655715263518138</v>
      </c>
      <c r="H293" s="26" t="s">
        <v>306</v>
      </c>
      <c r="I293" s="21" t="s">
        <v>689</v>
      </c>
      <c r="J293" s="21" t="s">
        <v>183</v>
      </c>
      <c r="K293" s="21">
        <v>8</v>
      </c>
      <c r="L293" s="26">
        <v>64</v>
      </c>
      <c r="M293" s="24">
        <v>1.64</v>
      </c>
      <c r="N293" s="27">
        <f t="shared" si="108"/>
        <v>23.795359904818564</v>
      </c>
      <c r="O293" s="26">
        <v>0</v>
      </c>
      <c r="P293" s="26">
        <v>0</v>
      </c>
      <c r="Q293" s="26">
        <v>0</v>
      </c>
      <c r="R293" s="26">
        <v>0</v>
      </c>
      <c r="S293" s="26">
        <v>0</v>
      </c>
      <c r="T293" s="26">
        <v>0</v>
      </c>
      <c r="U293" s="26">
        <v>0</v>
      </c>
      <c r="V293" s="26">
        <v>0</v>
      </c>
      <c r="W293" s="26">
        <v>0</v>
      </c>
      <c r="X293" s="26">
        <v>0</v>
      </c>
      <c r="Y293" s="26">
        <v>0</v>
      </c>
      <c r="Z293" s="26">
        <v>0</v>
      </c>
      <c r="AA293" s="26">
        <v>0</v>
      </c>
      <c r="AB293" s="26">
        <v>0</v>
      </c>
      <c r="AC293" s="26">
        <v>1</v>
      </c>
      <c r="AD293" s="26">
        <v>10</v>
      </c>
      <c r="AE293" s="26">
        <v>0</v>
      </c>
      <c r="AF293" s="26">
        <v>0</v>
      </c>
      <c r="AG293" s="26">
        <v>0</v>
      </c>
      <c r="AH293" s="26">
        <v>0</v>
      </c>
      <c r="AI293" s="26">
        <v>3</v>
      </c>
      <c r="AJ293" s="26">
        <v>0</v>
      </c>
      <c r="AK293" s="26">
        <v>1</v>
      </c>
      <c r="AL293" s="26">
        <v>7</v>
      </c>
      <c r="AM293" s="19">
        <v>0</v>
      </c>
      <c r="AN293" s="26">
        <v>0</v>
      </c>
      <c r="AO293" s="26">
        <v>0</v>
      </c>
      <c r="AP293" s="26">
        <v>0</v>
      </c>
      <c r="AQ293" s="26">
        <v>0</v>
      </c>
      <c r="AR293" s="26">
        <v>0</v>
      </c>
      <c r="AS293" s="26">
        <v>1</v>
      </c>
      <c r="AT293" s="26">
        <v>0</v>
      </c>
      <c r="AU293" s="26">
        <v>0</v>
      </c>
      <c r="AV293" s="26">
        <v>0</v>
      </c>
      <c r="AW293" s="26">
        <v>0</v>
      </c>
      <c r="AX293" s="26">
        <v>1</v>
      </c>
      <c r="AY293" s="26">
        <v>0</v>
      </c>
      <c r="AZ293" s="26">
        <v>1</v>
      </c>
      <c r="BA293" s="26">
        <v>7</v>
      </c>
      <c r="BB293" s="26">
        <v>1</v>
      </c>
      <c r="BC293" s="26">
        <v>0</v>
      </c>
      <c r="BD293" s="26">
        <v>0</v>
      </c>
      <c r="BE293" s="26">
        <v>0</v>
      </c>
      <c r="BF293" s="26">
        <v>0</v>
      </c>
      <c r="BG293" s="26">
        <v>0</v>
      </c>
      <c r="BH293" s="26">
        <v>0</v>
      </c>
      <c r="BI293" s="26">
        <v>0</v>
      </c>
      <c r="BJ293" s="26">
        <v>0</v>
      </c>
      <c r="BK293" s="26">
        <v>0</v>
      </c>
      <c r="BL293" s="26">
        <v>0</v>
      </c>
      <c r="BM293" s="26">
        <v>0</v>
      </c>
      <c r="BN293" s="26">
        <v>0</v>
      </c>
      <c r="BO293" s="26">
        <v>0</v>
      </c>
      <c r="BP293" s="26">
        <v>0</v>
      </c>
      <c r="BQ293" s="26">
        <v>0</v>
      </c>
      <c r="BR293" s="26">
        <v>2</v>
      </c>
      <c r="BS293" s="26">
        <v>2</v>
      </c>
      <c r="BT293" s="26">
        <v>4</v>
      </c>
      <c r="BU293" s="26">
        <v>5</v>
      </c>
      <c r="BV293" s="26">
        <v>1</v>
      </c>
      <c r="BW293" s="26">
        <v>1</v>
      </c>
      <c r="BX293" s="26">
        <v>3</v>
      </c>
      <c r="BY293" s="26">
        <v>2</v>
      </c>
      <c r="BZ293" s="26">
        <v>4</v>
      </c>
      <c r="CA293" s="26">
        <v>4</v>
      </c>
      <c r="CB293" s="26">
        <v>5</v>
      </c>
      <c r="CC293" s="26">
        <v>5</v>
      </c>
      <c r="CD293" s="26">
        <v>4</v>
      </c>
      <c r="CE293" s="26">
        <v>5</v>
      </c>
      <c r="CF293" s="26">
        <v>4</v>
      </c>
      <c r="CG293" s="26">
        <v>4</v>
      </c>
      <c r="CH293" s="26">
        <v>4</v>
      </c>
      <c r="CI293" s="26">
        <v>5</v>
      </c>
      <c r="CJ293" s="26">
        <v>4</v>
      </c>
      <c r="CK293" s="26">
        <v>10</v>
      </c>
      <c r="CL293" s="24" t="s">
        <v>690</v>
      </c>
      <c r="CM293" s="24">
        <v>38</v>
      </c>
      <c r="CN293" s="27">
        <v>85.5</v>
      </c>
      <c r="CO293" s="27">
        <v>83.4</v>
      </c>
      <c r="CP293" s="27">
        <v>28.7</v>
      </c>
      <c r="CQ293" s="24">
        <v>61.84</v>
      </c>
      <c r="CR293" s="24">
        <v>0</v>
      </c>
      <c r="CS293" s="24">
        <v>0</v>
      </c>
      <c r="CT293" s="24">
        <v>0</v>
      </c>
      <c r="CU293" s="24">
        <v>37.42</v>
      </c>
      <c r="CV293" s="24">
        <v>0</v>
      </c>
      <c r="CW293" s="24">
        <v>0.73</v>
      </c>
      <c r="CX293" s="24">
        <v>0</v>
      </c>
      <c r="CY293" s="24">
        <v>0</v>
      </c>
      <c r="CZ293" s="24">
        <v>0.74</v>
      </c>
      <c r="DA293" s="24">
        <v>0</v>
      </c>
      <c r="DB293" s="24">
        <v>7.34</v>
      </c>
      <c r="DC293" s="24">
        <v>25.37</v>
      </c>
      <c r="DD293" s="24">
        <v>15.03</v>
      </c>
      <c r="DE293" s="24">
        <v>30.09</v>
      </c>
      <c r="DF293" s="24">
        <v>0</v>
      </c>
      <c r="DG293" s="24">
        <v>0</v>
      </c>
      <c r="DH293" s="24">
        <v>0</v>
      </c>
      <c r="DU293" s="24">
        <v>1.7</v>
      </c>
      <c r="DV293" s="24">
        <v>0</v>
      </c>
      <c r="EG293" s="28"/>
      <c r="EY293" s="24">
        <v>1</v>
      </c>
      <c r="EZ293" s="24">
        <v>50</v>
      </c>
      <c r="FA293" s="24">
        <v>4</v>
      </c>
      <c r="FB293" s="24">
        <v>0.46</v>
      </c>
      <c r="FC293" s="24">
        <v>6</v>
      </c>
      <c r="FD293" s="24">
        <v>40</v>
      </c>
      <c r="FE293" s="24">
        <v>10</v>
      </c>
      <c r="FF293" s="24">
        <f t="shared" si="115"/>
        <v>0.47000000000000003</v>
      </c>
      <c r="FG293" s="24">
        <v>1</v>
      </c>
      <c r="FH293" s="24">
        <v>40</v>
      </c>
      <c r="FI293" s="24">
        <v>10</v>
      </c>
      <c r="FJ293" s="24">
        <f t="shared" si="116"/>
        <v>0.51</v>
      </c>
      <c r="FK293" s="24">
        <v>6</v>
      </c>
      <c r="FL293" s="24">
        <v>60</v>
      </c>
      <c r="FM293" s="24">
        <v>6</v>
      </c>
      <c r="FN293" s="24">
        <f t="shared" si="117"/>
        <v>9.84</v>
      </c>
      <c r="FO293" s="24">
        <v>3</v>
      </c>
      <c r="GJ293" s="27">
        <v>1.55</v>
      </c>
      <c r="GK293" s="27">
        <v>1</v>
      </c>
      <c r="GL293" s="27">
        <v>1</v>
      </c>
      <c r="GM293" s="27"/>
      <c r="GN293" s="27">
        <f t="shared" si="118"/>
        <v>3.3</v>
      </c>
      <c r="GO293" s="27">
        <v>2</v>
      </c>
      <c r="GP293" s="27"/>
      <c r="GQ293" s="27">
        <v>0.54</v>
      </c>
      <c r="GR293" s="27"/>
      <c r="GS293" s="27"/>
      <c r="GT293" s="27"/>
      <c r="GU293" s="27">
        <v>5.74</v>
      </c>
      <c r="GV293" s="27">
        <v>3.64</v>
      </c>
      <c r="GW293" s="27"/>
      <c r="GX293" s="27"/>
      <c r="GY293" s="27">
        <v>0</v>
      </c>
      <c r="GZ293" s="27">
        <v>0</v>
      </c>
      <c r="HA293" s="27">
        <v>0</v>
      </c>
      <c r="HB293" s="24">
        <v>0</v>
      </c>
      <c r="HC293" s="24" t="s">
        <v>692</v>
      </c>
      <c r="HD293" s="24">
        <v>30.5</v>
      </c>
      <c r="HE293" s="27">
        <v>69.11</v>
      </c>
      <c r="HF293" s="27">
        <v>83.4</v>
      </c>
      <c r="HG293" s="27">
        <v>18.100000000000001</v>
      </c>
      <c r="HH293" s="24">
        <v>79.03</v>
      </c>
      <c r="HI293" s="24">
        <v>0.45</v>
      </c>
      <c r="HJ293" s="24">
        <v>0</v>
      </c>
      <c r="HK293" s="24">
        <v>0</v>
      </c>
      <c r="HL293" s="24">
        <v>20.52</v>
      </c>
      <c r="HM293" s="24">
        <v>0</v>
      </c>
      <c r="HN293" s="24">
        <v>0</v>
      </c>
      <c r="HO293" s="24">
        <v>0</v>
      </c>
      <c r="HP293" s="24">
        <v>0</v>
      </c>
      <c r="HQ293" s="24">
        <v>0</v>
      </c>
      <c r="HR293" s="24">
        <v>0</v>
      </c>
      <c r="HS293" s="24">
        <v>0</v>
      </c>
      <c r="HT293" s="24">
        <v>12.58</v>
      </c>
      <c r="HU293" s="24">
        <v>17.940000000000001</v>
      </c>
      <c r="HV293" s="24">
        <v>18.04</v>
      </c>
      <c r="HW293" s="24">
        <v>0</v>
      </c>
      <c r="HX293" s="24">
        <v>0</v>
      </c>
      <c r="HY293" s="24">
        <v>0</v>
      </c>
      <c r="IL293" s="24">
        <v>8.1</v>
      </c>
      <c r="IM293" s="24">
        <v>1</v>
      </c>
      <c r="IN293" s="24">
        <v>35</v>
      </c>
      <c r="IO293" s="24">
        <v>4</v>
      </c>
      <c r="IP293" s="24">
        <f>2.2+0.39</f>
        <v>2.5900000000000003</v>
      </c>
      <c r="IQ293" s="24">
        <v>3</v>
      </c>
      <c r="IX293" s="28"/>
      <c r="JP293" s="24">
        <v>1</v>
      </c>
      <c r="JQ293" s="24">
        <v>60</v>
      </c>
      <c r="JR293" s="24">
        <v>1</v>
      </c>
      <c r="JS293" s="24">
        <v>0.73</v>
      </c>
      <c r="JT293" s="24">
        <v>3</v>
      </c>
      <c r="LA293" s="27">
        <v>3.89</v>
      </c>
      <c r="LB293" s="27">
        <v>1</v>
      </c>
      <c r="LC293" s="27">
        <v>1</v>
      </c>
      <c r="LD293" s="27"/>
      <c r="LE293" s="27">
        <f>0.14*2+0.21*2</f>
        <v>0.7</v>
      </c>
      <c r="LF293" s="27">
        <v>2</v>
      </c>
      <c r="LG293" s="27"/>
      <c r="LH293" s="27">
        <f>1.65*2</f>
        <v>3.3</v>
      </c>
      <c r="LI293" s="27"/>
      <c r="LJ293" s="27"/>
      <c r="LK293" s="27"/>
      <c r="LL293" s="27">
        <v>0</v>
      </c>
      <c r="LM293" s="27">
        <v>0</v>
      </c>
      <c r="LN293" s="27"/>
      <c r="LO293" s="27"/>
      <c r="LP293" s="27">
        <v>0</v>
      </c>
      <c r="LQ293" s="27">
        <v>0</v>
      </c>
      <c r="LR293" s="27">
        <v>0</v>
      </c>
      <c r="LS293" s="24">
        <v>0</v>
      </c>
      <c r="LT293" s="24" t="s">
        <v>697</v>
      </c>
      <c r="LU293" s="24">
        <v>42.5</v>
      </c>
      <c r="LV293" s="27">
        <v>92.2</v>
      </c>
      <c r="LW293" s="27">
        <v>83.4</v>
      </c>
      <c r="LX293" s="27">
        <v>33.5</v>
      </c>
      <c r="LY293" s="24">
        <v>25.89</v>
      </c>
      <c r="LZ293" s="24">
        <v>0</v>
      </c>
      <c r="MA293" s="24">
        <v>0</v>
      </c>
      <c r="MB293" s="24">
        <v>0</v>
      </c>
      <c r="MC293" s="24">
        <v>0</v>
      </c>
      <c r="MD293" s="24">
        <v>0</v>
      </c>
      <c r="ME293" s="24">
        <v>74.11</v>
      </c>
      <c r="MF293" s="24">
        <v>25.43</v>
      </c>
      <c r="MG293" s="24">
        <v>9.7200000000000006</v>
      </c>
      <c r="MH293" s="24">
        <v>2.94</v>
      </c>
      <c r="MI293" s="24">
        <v>0</v>
      </c>
      <c r="MJ293" s="24">
        <v>11.38</v>
      </c>
      <c r="MK293" s="24">
        <v>16.89</v>
      </c>
      <c r="ML293" s="24">
        <v>27.26</v>
      </c>
      <c r="MM293" s="24">
        <v>0</v>
      </c>
      <c r="MN293" s="24">
        <v>0</v>
      </c>
      <c r="MO293" s="24">
        <v>0</v>
      </c>
      <c r="MP293" s="24">
        <v>0</v>
      </c>
      <c r="NC293" s="24">
        <v>3.6</v>
      </c>
      <c r="ND293" s="24">
        <v>1</v>
      </c>
      <c r="NE293" s="24">
        <v>35</v>
      </c>
      <c r="NF293" s="24">
        <v>6</v>
      </c>
      <c r="NG293" s="24">
        <f>0.13*4</f>
        <v>0.52</v>
      </c>
      <c r="NH293" s="24">
        <v>3</v>
      </c>
      <c r="NI293" s="24">
        <v>25</v>
      </c>
      <c r="NJ293" s="24">
        <v>2</v>
      </c>
      <c r="NK293" s="24">
        <f>0.13*2</f>
        <v>0.26</v>
      </c>
      <c r="NL293" s="24">
        <v>4</v>
      </c>
      <c r="NO293" s="28"/>
      <c r="OG293" s="24">
        <v>0</v>
      </c>
      <c r="PR293" s="27">
        <v>3.01</v>
      </c>
      <c r="PS293" s="27">
        <v>1</v>
      </c>
      <c r="PT293" s="27">
        <v>1</v>
      </c>
      <c r="PU293" s="27"/>
      <c r="PV293" s="27">
        <f>1.65*5+0.13*2+0.36+0.18</f>
        <v>9.0499999999999989</v>
      </c>
      <c r="PW293" s="27"/>
      <c r="PX293" s="27"/>
      <c r="PY293" s="27"/>
      <c r="PZ293" s="27"/>
      <c r="QA293" s="27"/>
      <c r="QB293" s="27"/>
      <c r="QC293" s="27">
        <v>2.16</v>
      </c>
      <c r="QD293" s="27">
        <v>0.52</v>
      </c>
      <c r="QE293" s="27"/>
      <c r="QF293" s="27"/>
      <c r="QG293" s="27">
        <v>0</v>
      </c>
      <c r="QH293" s="27">
        <v>0</v>
      </c>
      <c r="QI293" s="27">
        <v>0</v>
      </c>
      <c r="QJ293" s="24">
        <v>0</v>
      </c>
      <c r="QK293" s="24" t="s">
        <v>698</v>
      </c>
      <c r="QL293" s="24">
        <v>37</v>
      </c>
      <c r="QM293" s="27">
        <v>86.3</v>
      </c>
      <c r="QN293" s="27">
        <v>83.4</v>
      </c>
      <c r="QO293" s="27">
        <v>31.3</v>
      </c>
      <c r="QP293" s="24">
        <v>24.09</v>
      </c>
      <c r="QQ293" s="24">
        <v>0</v>
      </c>
      <c r="QR293" s="24">
        <v>0</v>
      </c>
      <c r="QS293" s="24">
        <v>0</v>
      </c>
      <c r="QT293" s="24">
        <v>0</v>
      </c>
      <c r="QU293" s="24">
        <v>0</v>
      </c>
      <c r="QV293" s="24">
        <v>75.91</v>
      </c>
      <c r="QW293" s="24">
        <v>21.83</v>
      </c>
      <c r="QX293" s="24">
        <v>8.6300000000000008</v>
      </c>
      <c r="QY293" s="24">
        <v>2.94</v>
      </c>
      <c r="QZ293" s="24">
        <v>0</v>
      </c>
      <c r="RA293" s="24">
        <v>13.66</v>
      </c>
      <c r="RB293" s="24">
        <v>10.54</v>
      </c>
      <c r="RC293" s="24">
        <v>28.39</v>
      </c>
      <c r="RD293" s="24">
        <v>0</v>
      </c>
      <c r="RE293" s="24">
        <v>0</v>
      </c>
      <c r="RF293" s="24">
        <v>0</v>
      </c>
      <c r="RG293" s="24">
        <v>0</v>
      </c>
      <c r="RT293" s="24">
        <v>2.7</v>
      </c>
      <c r="RU293" s="24">
        <v>1</v>
      </c>
      <c r="RV293" s="24">
        <v>52</v>
      </c>
      <c r="RW293" s="24">
        <v>1</v>
      </c>
      <c r="RX293" s="24">
        <v>0.39</v>
      </c>
      <c r="RY293" s="24">
        <v>2</v>
      </c>
      <c r="RZ293" s="24">
        <v>35</v>
      </c>
      <c r="SA293" s="24">
        <v>4</v>
      </c>
      <c r="SB293" s="24">
        <v>0.26</v>
      </c>
      <c r="SC293" s="24">
        <v>3</v>
      </c>
      <c r="SF293" s="28"/>
      <c r="SX293" s="24">
        <v>0</v>
      </c>
      <c r="UI293" s="27">
        <v>2.83</v>
      </c>
      <c r="UJ293" s="27">
        <v>1</v>
      </c>
      <c r="UK293" s="27">
        <v>1</v>
      </c>
      <c r="UL293" s="27"/>
      <c r="UM293" s="27">
        <f>1.65*5</f>
        <v>8.25</v>
      </c>
      <c r="UN293" s="27"/>
      <c r="UO293" s="27"/>
      <c r="UP293" s="27"/>
      <c r="UQ293" s="27"/>
      <c r="UR293" s="27"/>
      <c r="US293" s="27"/>
      <c r="UT293" s="27">
        <v>0</v>
      </c>
      <c r="UU293" s="27">
        <v>0</v>
      </c>
      <c r="UV293" s="27"/>
      <c r="UW293" s="27"/>
      <c r="UX293" s="27">
        <v>0</v>
      </c>
      <c r="UY293" s="27">
        <v>0</v>
      </c>
      <c r="UZ293" s="27">
        <v>0</v>
      </c>
      <c r="VA293" s="24">
        <v>0</v>
      </c>
      <c r="VB293" s="24" t="s">
        <v>702</v>
      </c>
      <c r="VC293" s="24">
        <v>43.5</v>
      </c>
      <c r="VD293" s="27">
        <v>73.8</v>
      </c>
      <c r="VE293" s="27">
        <v>83.4</v>
      </c>
      <c r="VF293" s="27">
        <v>26.5</v>
      </c>
      <c r="VG293" s="24">
        <v>20.2</v>
      </c>
      <c r="VH293" s="24">
        <v>0</v>
      </c>
      <c r="VI293" s="24">
        <v>26.95</v>
      </c>
      <c r="VJ293" s="24">
        <v>0</v>
      </c>
      <c r="VK293" s="24">
        <v>0.39</v>
      </c>
      <c r="VL293" s="24">
        <v>0</v>
      </c>
      <c r="VM293" s="24">
        <v>79.41</v>
      </c>
      <c r="VN293" s="24">
        <v>26.95</v>
      </c>
      <c r="VO293" s="24">
        <v>0</v>
      </c>
      <c r="VP293" s="24">
        <v>0</v>
      </c>
      <c r="VQ293" s="24">
        <v>0</v>
      </c>
      <c r="VR293" s="24">
        <v>35.200000000000003</v>
      </c>
      <c r="VS293" s="24">
        <v>15.96</v>
      </c>
      <c r="VT293" s="24">
        <v>39.090000000000003</v>
      </c>
      <c r="VU293" s="24">
        <v>0.32</v>
      </c>
      <c r="VV293" s="24">
        <v>0</v>
      </c>
      <c r="VW293" s="24">
        <v>0</v>
      </c>
      <c r="VX293" s="24">
        <v>0</v>
      </c>
      <c r="WK293" s="24">
        <v>14.4</v>
      </c>
      <c r="WL293" s="24">
        <v>1</v>
      </c>
      <c r="WM293" s="24">
        <v>30</v>
      </c>
      <c r="WN293" s="24">
        <v>5</v>
      </c>
      <c r="WO293" s="24">
        <f>2.94+0.6</f>
        <v>3.54</v>
      </c>
      <c r="WP293" s="24">
        <v>3</v>
      </c>
      <c r="WQ293" s="24">
        <v>34</v>
      </c>
      <c r="WR293" s="24">
        <v>1</v>
      </c>
      <c r="WS293" s="24">
        <v>1.65</v>
      </c>
      <c r="WT293" s="24">
        <v>1</v>
      </c>
      <c r="WU293" s="24">
        <v>52</v>
      </c>
      <c r="WV293" s="24">
        <v>6</v>
      </c>
      <c r="WW293" s="28">
        <f>0.7+0.77+0.08+0.05</f>
        <v>1.6</v>
      </c>
      <c r="WX293" s="24">
        <v>2</v>
      </c>
      <c r="WY293" s="24">
        <v>35</v>
      </c>
      <c r="WZ293" s="24">
        <v>1</v>
      </c>
      <c r="XA293" s="24">
        <v>0.19</v>
      </c>
      <c r="XB293" s="24">
        <v>3</v>
      </c>
      <c r="XC293" s="24">
        <v>23</v>
      </c>
      <c r="XD293" s="24">
        <v>3</v>
      </c>
      <c r="XE293" s="24">
        <f>0.39+0.77</f>
        <v>1.1600000000000001</v>
      </c>
      <c r="XF293" s="24">
        <v>3</v>
      </c>
      <c r="XO293" s="24">
        <v>0</v>
      </c>
      <c r="YZ293" s="27">
        <v>1.22</v>
      </c>
      <c r="ZA293" s="27">
        <v>1</v>
      </c>
      <c r="ZB293" s="27">
        <v>1</v>
      </c>
      <c r="ZC293" s="27"/>
      <c r="ZD293" s="27">
        <f>0.97*2+1.07*2</f>
        <v>4.08</v>
      </c>
      <c r="ZE293" s="27"/>
      <c r="ZF293" s="27"/>
      <c r="ZG293" s="27"/>
      <c r="ZH293" s="27"/>
      <c r="ZI293" s="27"/>
      <c r="ZJ293" s="27"/>
      <c r="ZK293" s="27">
        <v>0</v>
      </c>
      <c r="ZL293" s="27">
        <v>0</v>
      </c>
      <c r="ZM293" s="27"/>
      <c r="ZN293" s="27"/>
      <c r="ZO293" s="27">
        <v>0</v>
      </c>
      <c r="ZP293" s="27">
        <v>0</v>
      </c>
      <c r="ZQ293" s="27">
        <v>1.22</v>
      </c>
      <c r="ZR293" s="24">
        <v>0</v>
      </c>
      <c r="ZS293" s="24" t="s">
        <v>693</v>
      </c>
      <c r="ZT293" s="24">
        <v>33.5</v>
      </c>
      <c r="ZU293" s="27">
        <v>92.3</v>
      </c>
      <c r="ZV293" s="27">
        <v>83.4</v>
      </c>
      <c r="ZW293" s="27">
        <v>19.8</v>
      </c>
      <c r="ZX293" s="24">
        <v>72.02</v>
      </c>
      <c r="ZY293" s="24">
        <v>2.2000000000000002</v>
      </c>
      <c r="ZZ293" s="24">
        <v>7.75</v>
      </c>
      <c r="AAA293" s="24">
        <v>0</v>
      </c>
      <c r="AAB293" s="24">
        <v>5.49</v>
      </c>
      <c r="AAC293" s="24">
        <v>0</v>
      </c>
      <c r="AAD293" s="24">
        <v>6.84</v>
      </c>
      <c r="AAE293" s="24">
        <v>0</v>
      </c>
      <c r="AAF293" s="24">
        <v>0</v>
      </c>
      <c r="AAG293" s="24">
        <v>0</v>
      </c>
      <c r="AAH293" s="24">
        <v>0</v>
      </c>
      <c r="AAI293" s="24">
        <v>7.13</v>
      </c>
      <c r="AAJ293" s="24">
        <v>54.84</v>
      </c>
      <c r="AAK293" s="24">
        <v>10.130000000000001</v>
      </c>
      <c r="AAL293" s="24">
        <v>3.36</v>
      </c>
      <c r="AAM293" s="24">
        <v>5.7</v>
      </c>
      <c r="AAN293" s="24">
        <v>0</v>
      </c>
      <c r="AAO293" s="24">
        <v>0</v>
      </c>
      <c r="AAX293" s="24">
        <v>2</v>
      </c>
      <c r="ABB293" s="24">
        <v>3.4</v>
      </c>
      <c r="ABC293" s="24">
        <v>1</v>
      </c>
      <c r="ABD293" s="24">
        <v>34</v>
      </c>
      <c r="ABE293" s="24">
        <v>1</v>
      </c>
      <c r="ABF293" s="24">
        <v>1.28</v>
      </c>
      <c r="ABG293" s="24">
        <v>1</v>
      </c>
      <c r="ABH293" s="24">
        <v>52</v>
      </c>
      <c r="ABI293" s="24">
        <v>1</v>
      </c>
      <c r="ABJ293" s="24">
        <v>0.73</v>
      </c>
      <c r="ABK293" s="24">
        <v>2</v>
      </c>
      <c r="ABL293" s="24">
        <v>30</v>
      </c>
      <c r="ABM293" s="24">
        <v>1</v>
      </c>
      <c r="ABN293" s="28">
        <v>0.13</v>
      </c>
      <c r="ABO293" s="24">
        <v>3</v>
      </c>
      <c r="ACF293" s="24">
        <v>1</v>
      </c>
      <c r="ACG293" s="24">
        <v>40</v>
      </c>
      <c r="ACH293" s="24">
        <v>1</v>
      </c>
      <c r="ACI293" s="24">
        <v>1.83</v>
      </c>
      <c r="ACJ293" s="24">
        <v>6</v>
      </c>
      <c r="ACK293" s="24">
        <v>40</v>
      </c>
      <c r="ACL293" s="24">
        <v>1</v>
      </c>
      <c r="ACM293" s="24">
        <v>1.65</v>
      </c>
      <c r="ACN293" s="24">
        <v>3</v>
      </c>
      <c r="ACO293" s="24">
        <v>40</v>
      </c>
      <c r="ACP293" s="24">
        <v>1</v>
      </c>
      <c r="ACQ293" s="24">
        <v>1.83</v>
      </c>
      <c r="ACR293" s="24">
        <v>4</v>
      </c>
      <c r="ACS293" s="24">
        <v>40</v>
      </c>
      <c r="ACT293" s="24">
        <v>4</v>
      </c>
      <c r="ACU293" s="24">
        <v>0.26</v>
      </c>
      <c r="ACV293" s="24">
        <v>1</v>
      </c>
      <c r="ADQ293" s="27">
        <v>3.89</v>
      </c>
      <c r="ADR293" s="27">
        <v>1</v>
      </c>
      <c r="ADS293" s="27">
        <v>1</v>
      </c>
      <c r="ADT293" s="27"/>
      <c r="ADU293" s="27">
        <f>0.36*2</f>
        <v>0.72</v>
      </c>
      <c r="ADV293" s="27">
        <v>2</v>
      </c>
      <c r="ADW293" s="27"/>
      <c r="ADX293" s="27">
        <f>2.04*2</f>
        <v>4.08</v>
      </c>
      <c r="ADY293" s="27"/>
      <c r="ADZ293" s="27"/>
      <c r="AEA293" s="27"/>
      <c r="AEB293" s="27">
        <v>3.27</v>
      </c>
      <c r="AEC293" s="27">
        <v>2.46</v>
      </c>
      <c r="AED293" s="27"/>
      <c r="AEE293" s="27"/>
      <c r="AEF293" s="27">
        <v>2.88</v>
      </c>
      <c r="AEG293" s="27">
        <v>4.1399999999999997</v>
      </c>
      <c r="AEH293" s="27">
        <v>0</v>
      </c>
      <c r="AEI293" s="24">
        <v>0</v>
      </c>
      <c r="AEJ293" s="24" t="s">
        <v>699</v>
      </c>
      <c r="AEK293" s="24">
        <v>44.5</v>
      </c>
      <c r="AEL293" s="27">
        <v>101.7</v>
      </c>
      <c r="AEM293" s="27">
        <v>83.4</v>
      </c>
      <c r="AEN293" s="27">
        <v>22.5</v>
      </c>
      <c r="AEO293" s="24">
        <v>75.78</v>
      </c>
      <c r="AEP293" s="24">
        <v>0</v>
      </c>
      <c r="AEQ293" s="24">
        <v>2.04</v>
      </c>
      <c r="AER293" s="24">
        <v>0</v>
      </c>
      <c r="AES293" s="24">
        <v>8.57</v>
      </c>
      <c r="AET293" s="24">
        <v>0</v>
      </c>
      <c r="AEU293" s="24">
        <v>2.21</v>
      </c>
      <c r="AEV293" s="24">
        <v>0</v>
      </c>
      <c r="AEW293" s="24">
        <v>1.1000000000000001</v>
      </c>
      <c r="AEX293" s="24">
        <v>0</v>
      </c>
      <c r="AEY293" s="24">
        <v>0</v>
      </c>
      <c r="AEZ293" s="24">
        <v>1.61</v>
      </c>
      <c r="AFA293" s="24">
        <v>54.76</v>
      </c>
      <c r="AFB293" s="24">
        <v>16</v>
      </c>
      <c r="AFC293" s="24">
        <v>6.05</v>
      </c>
      <c r="AFD293" s="24">
        <v>10.83</v>
      </c>
      <c r="AFE293" s="24">
        <v>10.1</v>
      </c>
      <c r="AFF293" s="24">
        <v>1</v>
      </c>
      <c r="AFG293" s="24">
        <v>2</v>
      </c>
      <c r="AFI293" s="24">
        <v>3</v>
      </c>
      <c r="AFJ293" s="24">
        <v>5</v>
      </c>
      <c r="AFL293" s="24">
        <v>1</v>
      </c>
      <c r="AFM293" s="24">
        <v>3</v>
      </c>
      <c r="AFO293" s="24">
        <v>1</v>
      </c>
      <c r="AFS293" s="24">
        <v>3</v>
      </c>
      <c r="AFT293" s="24">
        <v>1</v>
      </c>
      <c r="AFU293" s="24">
        <v>52</v>
      </c>
      <c r="AFV293" s="24">
        <v>1</v>
      </c>
      <c r="AFW293" s="24">
        <v>0.73</v>
      </c>
      <c r="AFX293" s="24">
        <v>2</v>
      </c>
      <c r="AFY293" s="24">
        <v>34</v>
      </c>
      <c r="AFZ293" s="24">
        <v>1</v>
      </c>
      <c r="AGA293" s="24">
        <v>1.28</v>
      </c>
      <c r="AGB293" s="24">
        <v>1</v>
      </c>
      <c r="AGE293" s="28"/>
      <c r="AGW293" s="24">
        <v>1</v>
      </c>
      <c r="AGX293" s="24">
        <v>40</v>
      </c>
      <c r="AGY293" s="24">
        <v>1</v>
      </c>
      <c r="AGZ293" s="24">
        <v>1.83</v>
      </c>
      <c r="AHA293" s="24">
        <v>6</v>
      </c>
      <c r="AHB293" s="24">
        <v>40</v>
      </c>
      <c r="AHC293" s="24">
        <v>1</v>
      </c>
      <c r="AHD293" s="24">
        <v>1.65</v>
      </c>
      <c r="AHE293" s="24">
        <v>3</v>
      </c>
      <c r="AHF293" s="24">
        <v>40</v>
      </c>
      <c r="AHG293" s="24">
        <v>3</v>
      </c>
      <c r="AHH293" s="24">
        <f>0.26+1.83</f>
        <v>2.09</v>
      </c>
      <c r="AHI293" s="24">
        <v>4</v>
      </c>
      <c r="AIH293" s="27">
        <v>3.87</v>
      </c>
      <c r="AII293" s="27">
        <v>1</v>
      </c>
      <c r="AIJ293" s="27">
        <v>1</v>
      </c>
      <c r="AIK293" s="27"/>
      <c r="AIL293" s="27">
        <f>0.46*2+0.08</f>
        <v>1</v>
      </c>
      <c r="AIM293" s="27">
        <v>2</v>
      </c>
      <c r="AIN293" s="27"/>
      <c r="AIO293" s="27">
        <f>4.08</f>
        <v>4.08</v>
      </c>
      <c r="AIP293" s="27"/>
      <c r="AIQ293" s="27"/>
      <c r="AIR293" s="27"/>
      <c r="AIS293" s="27">
        <v>2.2000000000000002</v>
      </c>
      <c r="AIT293" s="27">
        <v>2.2000000000000002</v>
      </c>
      <c r="AIU293" s="27"/>
      <c r="AIV293" s="27"/>
      <c r="AIW293" s="27">
        <v>2.88</v>
      </c>
      <c r="AIX293" s="27">
        <v>3.04</v>
      </c>
      <c r="AIY293" s="27">
        <v>0</v>
      </c>
      <c r="AIZ293" s="24">
        <v>0</v>
      </c>
      <c r="AJA293" s="24" t="s">
        <v>694</v>
      </c>
      <c r="AJB293" s="24">
        <v>40</v>
      </c>
      <c r="AJC293" s="27">
        <v>78.099999999999994</v>
      </c>
      <c r="AJD293" s="27">
        <v>83.4</v>
      </c>
      <c r="AJE293" s="27">
        <v>34.6</v>
      </c>
      <c r="AJF293" s="24">
        <v>66.599999999999994</v>
      </c>
      <c r="AJG293" s="24">
        <v>0</v>
      </c>
      <c r="AJH293" s="24">
        <v>18.54</v>
      </c>
      <c r="AJI293" s="24">
        <v>7.52</v>
      </c>
      <c r="AJJ293" s="24">
        <v>0</v>
      </c>
      <c r="AJK293" s="24">
        <v>0</v>
      </c>
      <c r="AJL293" s="24">
        <v>0</v>
      </c>
      <c r="AJM293" s="24">
        <v>0</v>
      </c>
      <c r="AJN293" s="24">
        <v>0</v>
      </c>
      <c r="AJO293" s="24">
        <v>0</v>
      </c>
      <c r="AJP293" s="24">
        <v>0</v>
      </c>
      <c r="AJQ293" s="24">
        <v>0</v>
      </c>
      <c r="AJR293" s="24">
        <v>28.45</v>
      </c>
      <c r="AJS293" s="24">
        <v>20.45</v>
      </c>
      <c r="AJT293" s="24">
        <v>0.01</v>
      </c>
      <c r="AJU293" s="24">
        <v>7.34</v>
      </c>
      <c r="AJV293" s="24">
        <v>0</v>
      </c>
      <c r="AJW293" s="24">
        <v>0</v>
      </c>
      <c r="AKJ293" s="24">
        <v>0</v>
      </c>
      <c r="AKK293" s="24">
        <v>0</v>
      </c>
      <c r="AKV293" s="28"/>
      <c r="ALN293" s="24">
        <v>1</v>
      </c>
      <c r="ALO293" s="24">
        <v>40</v>
      </c>
      <c r="ALP293" s="24">
        <v>1</v>
      </c>
      <c r="ALQ293" s="24">
        <v>0.73</v>
      </c>
      <c r="ALR293" s="24">
        <v>3</v>
      </c>
    </row>
    <row r="294" spans="1:1024" x14ac:dyDescent="0.2">
      <c r="A294" s="22" t="s">
        <v>862</v>
      </c>
      <c r="B294" s="23">
        <v>42909</v>
      </c>
      <c r="C294" s="24">
        <v>1</v>
      </c>
      <c r="D294" s="25">
        <v>42804</v>
      </c>
      <c r="E294" s="23">
        <v>32718</v>
      </c>
      <c r="F294" s="14">
        <f t="shared" si="106"/>
        <v>27.901437371663246</v>
      </c>
      <c r="G294" s="14">
        <f t="shared" si="107"/>
        <v>0.28747433264887062</v>
      </c>
      <c r="H294" s="26" t="s">
        <v>306</v>
      </c>
      <c r="I294" s="21" t="s">
        <v>689</v>
      </c>
      <c r="J294" s="21" t="s">
        <v>183</v>
      </c>
      <c r="K294" s="21">
        <v>8</v>
      </c>
      <c r="L294" s="26">
        <v>67</v>
      </c>
      <c r="M294" s="24">
        <v>1.74</v>
      </c>
      <c r="N294" s="27">
        <f t="shared" si="108"/>
        <v>22.129739727837229</v>
      </c>
      <c r="O294" s="26">
        <v>0</v>
      </c>
      <c r="P294" s="26">
        <v>0</v>
      </c>
      <c r="Q294" s="26">
        <v>0</v>
      </c>
      <c r="R294" s="26">
        <v>0</v>
      </c>
      <c r="S294" s="26">
        <v>0</v>
      </c>
      <c r="T294" s="26">
        <v>0</v>
      </c>
      <c r="U294" s="26">
        <v>1</v>
      </c>
      <c r="V294" s="26">
        <v>10</v>
      </c>
      <c r="W294" s="26">
        <v>0</v>
      </c>
      <c r="X294" s="26">
        <v>0</v>
      </c>
      <c r="Y294" s="26">
        <v>1</v>
      </c>
      <c r="Z294" s="26">
        <v>1</v>
      </c>
      <c r="AA294" s="26">
        <v>45</v>
      </c>
      <c r="AB294" s="26" t="s">
        <v>863</v>
      </c>
      <c r="AC294" s="26">
        <v>1</v>
      </c>
      <c r="AD294" s="26">
        <v>5</v>
      </c>
      <c r="AE294" s="26">
        <v>0</v>
      </c>
      <c r="AF294" s="26">
        <v>0</v>
      </c>
      <c r="AG294" s="26">
        <v>0</v>
      </c>
      <c r="AH294" s="26">
        <v>0</v>
      </c>
      <c r="AI294" s="26">
        <v>0</v>
      </c>
      <c r="AJ294" s="26">
        <v>0</v>
      </c>
      <c r="AK294" s="26">
        <v>0</v>
      </c>
      <c r="AL294" s="26">
        <v>0</v>
      </c>
      <c r="AM294" s="19">
        <v>0</v>
      </c>
      <c r="AN294" s="26">
        <v>0</v>
      </c>
      <c r="AO294" s="26">
        <v>0</v>
      </c>
      <c r="AP294" s="26">
        <v>0</v>
      </c>
      <c r="AQ294" s="26">
        <v>0</v>
      </c>
      <c r="AR294" s="26">
        <v>0</v>
      </c>
      <c r="AS294" s="26">
        <v>0</v>
      </c>
      <c r="AT294" s="26">
        <v>0</v>
      </c>
      <c r="AU294" s="26">
        <v>0</v>
      </c>
      <c r="AV294" s="26">
        <v>0</v>
      </c>
      <c r="AW294" s="26">
        <v>0</v>
      </c>
      <c r="AX294" s="26">
        <v>0</v>
      </c>
      <c r="AY294" s="26">
        <v>0</v>
      </c>
      <c r="AZ294" s="26">
        <v>0</v>
      </c>
      <c r="BA294" s="26">
        <v>0</v>
      </c>
      <c r="BB294" s="26">
        <v>0</v>
      </c>
      <c r="BC294" s="26">
        <v>0</v>
      </c>
      <c r="BD294" s="26">
        <v>0</v>
      </c>
      <c r="BE294" s="26">
        <v>0</v>
      </c>
      <c r="BF294" s="26">
        <v>0</v>
      </c>
      <c r="BG294" s="26">
        <v>0</v>
      </c>
      <c r="BH294" s="26">
        <v>0</v>
      </c>
      <c r="BI294" s="26">
        <v>0</v>
      </c>
      <c r="BJ294" s="26">
        <v>0</v>
      </c>
      <c r="BK294" s="26">
        <v>0</v>
      </c>
      <c r="BL294" s="26">
        <v>0</v>
      </c>
      <c r="BM294" s="26">
        <v>0</v>
      </c>
      <c r="BN294" s="26">
        <v>0</v>
      </c>
      <c r="BO294" s="26">
        <v>0</v>
      </c>
      <c r="BP294" s="26">
        <v>0</v>
      </c>
      <c r="BQ294" s="26">
        <v>0</v>
      </c>
      <c r="BR294" s="26">
        <v>1</v>
      </c>
      <c r="BS294" s="26">
        <v>2</v>
      </c>
      <c r="BT294" s="26"/>
      <c r="BU294" s="26">
        <v>5</v>
      </c>
      <c r="BV294" s="26">
        <v>2</v>
      </c>
      <c r="BW294" s="26">
        <v>1</v>
      </c>
      <c r="BX294" s="26">
        <v>1</v>
      </c>
      <c r="BY294" s="26">
        <v>5</v>
      </c>
      <c r="BZ294" s="26">
        <v>5</v>
      </c>
      <c r="CA294" s="26">
        <v>4</v>
      </c>
      <c r="CB294" s="26"/>
      <c r="CC294" s="26">
        <v>5</v>
      </c>
      <c r="CD294" s="26">
        <v>4</v>
      </c>
      <c r="CE294" s="26">
        <v>4</v>
      </c>
      <c r="CF294" s="26">
        <v>5</v>
      </c>
      <c r="CG294" s="26">
        <v>3</v>
      </c>
      <c r="CH294" s="26">
        <v>4</v>
      </c>
      <c r="CI294" s="26">
        <v>4</v>
      </c>
      <c r="CJ294" s="26">
        <v>5</v>
      </c>
      <c r="CK294" s="26">
        <v>9</v>
      </c>
      <c r="CL294" s="24" t="s">
        <v>690</v>
      </c>
      <c r="CM294" s="24">
        <v>38</v>
      </c>
      <c r="CN294" s="27">
        <v>85.5</v>
      </c>
      <c r="CO294" s="27">
        <v>83.4</v>
      </c>
      <c r="CP294" s="27">
        <v>28.7</v>
      </c>
      <c r="CQ294" s="24">
        <v>61.84</v>
      </c>
      <c r="CR294" s="24">
        <v>0</v>
      </c>
      <c r="CS294" s="24">
        <v>0</v>
      </c>
      <c r="CT294" s="24">
        <v>0</v>
      </c>
      <c r="CU294" s="24">
        <v>37.42</v>
      </c>
      <c r="CV294" s="24">
        <v>0</v>
      </c>
      <c r="CW294" s="24">
        <v>0.73</v>
      </c>
      <c r="CX294" s="24">
        <v>0</v>
      </c>
      <c r="CY294" s="24">
        <v>0</v>
      </c>
      <c r="CZ294" s="24">
        <v>0.74</v>
      </c>
      <c r="DA294" s="24">
        <v>0</v>
      </c>
      <c r="DB294" s="24">
        <v>7.34</v>
      </c>
      <c r="DC294" s="24">
        <v>25.37</v>
      </c>
      <c r="DD294" s="24">
        <v>15.03</v>
      </c>
      <c r="DE294" s="24">
        <v>30.09</v>
      </c>
      <c r="DF294" s="24">
        <v>0</v>
      </c>
      <c r="DG294" s="24">
        <v>0</v>
      </c>
      <c r="DH294" s="24">
        <v>0</v>
      </c>
      <c r="DU294" s="24">
        <v>1.7</v>
      </c>
      <c r="DV294" s="24">
        <v>0</v>
      </c>
      <c r="EG294" s="28"/>
      <c r="EY294" s="24">
        <v>1</v>
      </c>
      <c r="EZ294" s="24">
        <v>50</v>
      </c>
      <c r="FA294" s="24">
        <v>4</v>
      </c>
      <c r="FB294" s="24">
        <v>0.46</v>
      </c>
      <c r="FC294" s="24">
        <v>6</v>
      </c>
      <c r="FD294" s="24">
        <v>40</v>
      </c>
      <c r="FE294" s="24">
        <v>10</v>
      </c>
      <c r="FF294" s="24">
        <f t="shared" si="115"/>
        <v>0.47000000000000003</v>
      </c>
      <c r="FG294" s="24">
        <v>1</v>
      </c>
      <c r="FH294" s="24">
        <v>40</v>
      </c>
      <c r="FI294" s="24">
        <v>10</v>
      </c>
      <c r="FJ294" s="24">
        <f t="shared" si="116"/>
        <v>0.51</v>
      </c>
      <c r="FK294" s="24">
        <v>6</v>
      </c>
      <c r="FL294" s="24">
        <v>60</v>
      </c>
      <c r="FM294" s="24">
        <v>6</v>
      </c>
      <c r="FN294" s="24">
        <f t="shared" si="117"/>
        <v>9.84</v>
      </c>
      <c r="FO294" s="24">
        <v>3</v>
      </c>
      <c r="GJ294" s="27">
        <v>1.55</v>
      </c>
      <c r="GK294" s="27">
        <v>1</v>
      </c>
      <c r="GL294" s="27">
        <v>1</v>
      </c>
      <c r="GM294" s="27"/>
      <c r="GN294" s="27">
        <f t="shared" si="118"/>
        <v>3.3</v>
      </c>
      <c r="GO294" s="27">
        <v>2</v>
      </c>
      <c r="GP294" s="27"/>
      <c r="GQ294" s="27">
        <v>0.54</v>
      </c>
      <c r="GR294" s="27"/>
      <c r="GS294" s="27"/>
      <c r="GT294" s="27"/>
      <c r="GU294" s="27">
        <v>5.74</v>
      </c>
      <c r="GV294" s="27">
        <v>3.64</v>
      </c>
      <c r="GW294" s="27"/>
      <c r="GX294" s="27"/>
      <c r="GY294" s="27">
        <v>0</v>
      </c>
      <c r="GZ294" s="27">
        <v>0</v>
      </c>
      <c r="HA294" s="27">
        <v>0</v>
      </c>
      <c r="HB294" s="24">
        <v>0</v>
      </c>
      <c r="HC294" s="24" t="s">
        <v>697</v>
      </c>
      <c r="HD294" s="24">
        <v>42.5</v>
      </c>
      <c r="HE294" s="27">
        <v>92.2</v>
      </c>
      <c r="HF294" s="27">
        <v>83.4</v>
      </c>
      <c r="HG294" s="27">
        <v>33.5</v>
      </c>
      <c r="HH294" s="24">
        <v>25.89</v>
      </c>
      <c r="HI294" s="24">
        <v>0</v>
      </c>
      <c r="HJ294" s="24">
        <v>0</v>
      </c>
      <c r="HK294" s="24">
        <v>0</v>
      </c>
      <c r="HL294" s="24">
        <v>0</v>
      </c>
      <c r="HM294" s="24">
        <v>0</v>
      </c>
      <c r="HN294" s="24">
        <v>74.11</v>
      </c>
      <c r="HO294" s="24">
        <v>25.43</v>
      </c>
      <c r="HP294" s="24">
        <v>9.7200000000000006</v>
      </c>
      <c r="HQ294" s="24">
        <v>2.94</v>
      </c>
      <c r="HR294" s="24">
        <v>0</v>
      </c>
      <c r="HS294" s="24">
        <v>11.38</v>
      </c>
      <c r="HT294" s="24">
        <v>16.89</v>
      </c>
      <c r="HU294" s="24">
        <v>27.26</v>
      </c>
      <c r="HV294" s="24">
        <v>0</v>
      </c>
      <c r="HW294" s="24">
        <v>0</v>
      </c>
      <c r="HX294" s="24">
        <v>0</v>
      </c>
      <c r="HY294" s="24">
        <v>0</v>
      </c>
      <c r="IL294" s="24">
        <v>3.6</v>
      </c>
      <c r="IM294" s="24">
        <v>1</v>
      </c>
      <c r="IN294" s="24">
        <v>35</v>
      </c>
      <c r="IO294" s="24">
        <v>6</v>
      </c>
      <c r="IP294" s="24">
        <f>0.13*4</f>
        <v>0.52</v>
      </c>
      <c r="IQ294" s="24">
        <v>3</v>
      </c>
      <c r="IR294" s="24">
        <v>25</v>
      </c>
      <c r="IS294" s="24">
        <v>2</v>
      </c>
      <c r="IT294" s="24">
        <f>0.13*2</f>
        <v>0.26</v>
      </c>
      <c r="IU294" s="24">
        <v>4</v>
      </c>
      <c r="IX294" s="28"/>
      <c r="JP294" s="24">
        <v>0</v>
      </c>
      <c r="LA294" s="27">
        <v>3.01</v>
      </c>
      <c r="LB294" s="27">
        <v>1</v>
      </c>
      <c r="LC294" s="27">
        <v>1</v>
      </c>
      <c r="LD294" s="27"/>
      <c r="LE294" s="27">
        <f>1.65*5+0.13*2+0.36+0.18</f>
        <v>9.0499999999999989</v>
      </c>
      <c r="LF294" s="27"/>
      <c r="LG294" s="27"/>
      <c r="LH294" s="27"/>
      <c r="LI294" s="27"/>
      <c r="LJ294" s="27"/>
      <c r="LK294" s="27"/>
      <c r="LL294" s="27">
        <v>2.16</v>
      </c>
      <c r="LM294" s="27">
        <v>0.52</v>
      </c>
      <c r="LN294" s="27"/>
      <c r="LO294" s="27"/>
      <c r="LP294" s="27">
        <v>0</v>
      </c>
      <c r="LQ294" s="27">
        <v>0</v>
      </c>
      <c r="LR294" s="27">
        <v>0</v>
      </c>
      <c r="LS294" s="24">
        <v>0</v>
      </c>
      <c r="LT294" s="24" t="s">
        <v>698</v>
      </c>
      <c r="LU294" s="24">
        <v>37</v>
      </c>
      <c r="LV294" s="27">
        <v>86.3</v>
      </c>
      <c r="LW294" s="27">
        <v>83.4</v>
      </c>
      <c r="LX294" s="27">
        <v>31.3</v>
      </c>
      <c r="LY294" s="24">
        <v>24.09</v>
      </c>
      <c r="LZ294" s="24">
        <v>0</v>
      </c>
      <c r="MA294" s="24">
        <v>0</v>
      </c>
      <c r="MB294" s="24">
        <v>0</v>
      </c>
      <c r="MC294" s="24">
        <v>0</v>
      </c>
      <c r="MD294" s="24">
        <v>0</v>
      </c>
      <c r="ME294" s="24">
        <v>75.91</v>
      </c>
      <c r="MF294" s="24">
        <v>21.83</v>
      </c>
      <c r="MG294" s="24">
        <v>8.6300000000000008</v>
      </c>
      <c r="MH294" s="24">
        <v>2.94</v>
      </c>
      <c r="MI294" s="24">
        <v>0</v>
      </c>
      <c r="MJ294" s="24">
        <v>13.66</v>
      </c>
      <c r="MK294" s="24">
        <v>10.54</v>
      </c>
      <c r="ML294" s="24">
        <v>28.39</v>
      </c>
      <c r="MM294" s="24">
        <v>0</v>
      </c>
      <c r="MN294" s="24">
        <v>0</v>
      </c>
      <c r="MO294" s="24">
        <v>0</v>
      </c>
      <c r="MP294" s="24">
        <v>0</v>
      </c>
      <c r="NC294" s="24">
        <v>2.7</v>
      </c>
      <c r="ND294" s="24">
        <v>1</v>
      </c>
      <c r="NE294" s="24">
        <v>52</v>
      </c>
      <c r="NF294" s="24">
        <v>1</v>
      </c>
      <c r="NG294" s="24">
        <v>0.39</v>
      </c>
      <c r="NH294" s="24">
        <v>2</v>
      </c>
      <c r="NI294" s="24">
        <v>35</v>
      </c>
      <c r="NJ294" s="24">
        <v>4</v>
      </c>
      <c r="NK294" s="24">
        <v>0.26</v>
      </c>
      <c r="NL294" s="24">
        <v>3</v>
      </c>
      <c r="NO294" s="28"/>
      <c r="OG294" s="24">
        <v>0</v>
      </c>
      <c r="PR294" s="27">
        <v>2.83</v>
      </c>
      <c r="PS294" s="27">
        <v>1</v>
      </c>
      <c r="PT294" s="27">
        <v>1</v>
      </c>
      <c r="PU294" s="27"/>
      <c r="PV294" s="27">
        <f>1.65*5</f>
        <v>8.25</v>
      </c>
      <c r="PW294" s="27"/>
      <c r="PX294" s="27"/>
      <c r="PY294" s="27"/>
      <c r="PZ294" s="27"/>
      <c r="QA294" s="27"/>
      <c r="QB294" s="27"/>
      <c r="QC294" s="27">
        <v>0</v>
      </c>
      <c r="QD294" s="27">
        <v>0</v>
      </c>
      <c r="QE294" s="27"/>
      <c r="QF294" s="27"/>
      <c r="QG294" s="27">
        <v>0</v>
      </c>
      <c r="QH294" s="27">
        <v>0</v>
      </c>
      <c r="QI294" s="27">
        <v>0</v>
      </c>
      <c r="QJ294" s="24">
        <v>0</v>
      </c>
      <c r="QK294" s="24" t="s">
        <v>702</v>
      </c>
      <c r="QL294" s="24">
        <v>43.5</v>
      </c>
      <c r="QM294" s="27">
        <v>73.8</v>
      </c>
      <c r="QN294" s="27">
        <v>83.4</v>
      </c>
      <c r="QO294" s="27">
        <v>26.5</v>
      </c>
      <c r="QP294" s="24">
        <v>20.2</v>
      </c>
      <c r="QQ294" s="24">
        <v>0</v>
      </c>
      <c r="QR294" s="24">
        <v>26.95</v>
      </c>
      <c r="QS294" s="24">
        <v>0</v>
      </c>
      <c r="QT294" s="24">
        <v>0.39</v>
      </c>
      <c r="QU294" s="24">
        <v>0</v>
      </c>
      <c r="QV294" s="24">
        <v>79.41</v>
      </c>
      <c r="QW294" s="24">
        <v>26.95</v>
      </c>
      <c r="QX294" s="24">
        <v>0</v>
      </c>
      <c r="QY294" s="24">
        <v>0</v>
      </c>
      <c r="QZ294" s="24">
        <v>0</v>
      </c>
      <c r="RA294" s="24">
        <v>35.200000000000003</v>
      </c>
      <c r="RB294" s="24">
        <v>15.96</v>
      </c>
      <c r="RC294" s="24">
        <v>39.090000000000003</v>
      </c>
      <c r="RD294" s="24">
        <v>0.32</v>
      </c>
      <c r="RE294" s="24">
        <v>0</v>
      </c>
      <c r="RF294" s="24">
        <v>0</v>
      </c>
      <c r="RG294" s="24">
        <v>0</v>
      </c>
      <c r="RT294" s="24">
        <v>14.4</v>
      </c>
      <c r="RU294" s="24">
        <v>1</v>
      </c>
      <c r="RV294" s="24">
        <v>30</v>
      </c>
      <c r="RW294" s="24">
        <v>5</v>
      </c>
      <c r="RX294" s="24">
        <f>2.94+0.6</f>
        <v>3.54</v>
      </c>
      <c r="RY294" s="24">
        <v>3</v>
      </c>
      <c r="RZ294" s="24">
        <v>34</v>
      </c>
      <c r="SA294" s="24">
        <v>1</v>
      </c>
      <c r="SB294" s="24">
        <v>1.65</v>
      </c>
      <c r="SC294" s="24">
        <v>1</v>
      </c>
      <c r="SD294" s="24">
        <v>52</v>
      </c>
      <c r="SE294" s="24">
        <v>6</v>
      </c>
      <c r="SF294" s="28">
        <f>0.7+0.77+0.08+0.05</f>
        <v>1.6</v>
      </c>
      <c r="SG294" s="24">
        <v>2</v>
      </c>
      <c r="SH294" s="24">
        <v>35</v>
      </c>
      <c r="SI294" s="24">
        <v>1</v>
      </c>
      <c r="SJ294" s="24">
        <v>0.19</v>
      </c>
      <c r="SK294" s="24">
        <v>3</v>
      </c>
      <c r="SL294" s="24">
        <v>23</v>
      </c>
      <c r="SM294" s="24">
        <v>3</v>
      </c>
      <c r="SN294" s="24">
        <f>0.39+0.77</f>
        <v>1.1600000000000001</v>
      </c>
      <c r="SO294" s="24">
        <v>3</v>
      </c>
      <c r="SX294" s="24">
        <v>0</v>
      </c>
      <c r="UI294" s="27">
        <v>1.22</v>
      </c>
      <c r="UJ294" s="27">
        <v>1</v>
      </c>
      <c r="UK294" s="27">
        <v>1</v>
      </c>
      <c r="UL294" s="27"/>
      <c r="UM294" s="27">
        <f>0.97*2+1.07*2</f>
        <v>4.08</v>
      </c>
      <c r="UN294" s="27"/>
      <c r="UO294" s="27"/>
      <c r="UP294" s="27"/>
      <c r="UQ294" s="27"/>
      <c r="UR294" s="27"/>
      <c r="US294" s="27"/>
      <c r="UT294" s="27">
        <v>0</v>
      </c>
      <c r="UU294" s="27">
        <v>0</v>
      </c>
      <c r="UV294" s="27"/>
      <c r="UW294" s="27"/>
      <c r="UX294" s="27">
        <v>0</v>
      </c>
      <c r="UY294" s="27">
        <v>0</v>
      </c>
      <c r="UZ294" s="27">
        <v>1.22</v>
      </c>
      <c r="VA294" s="24">
        <v>0</v>
      </c>
      <c r="VB294" s="24" t="s">
        <v>693</v>
      </c>
      <c r="VC294" s="24">
        <v>33.5</v>
      </c>
      <c r="VD294" s="27">
        <v>92.3</v>
      </c>
      <c r="VE294" s="27">
        <v>83.4</v>
      </c>
      <c r="VF294" s="27">
        <v>19.8</v>
      </c>
      <c r="VG294" s="24">
        <v>72.02</v>
      </c>
      <c r="VH294" s="24">
        <v>2.2000000000000002</v>
      </c>
      <c r="VI294" s="24">
        <v>7.75</v>
      </c>
      <c r="VJ294" s="24">
        <v>0</v>
      </c>
      <c r="VK294" s="24">
        <v>5.49</v>
      </c>
      <c r="VL294" s="24">
        <v>0</v>
      </c>
      <c r="VM294" s="24">
        <v>6.84</v>
      </c>
      <c r="VN294" s="24">
        <v>0</v>
      </c>
      <c r="VO294" s="24">
        <v>0</v>
      </c>
      <c r="VP294" s="24">
        <v>0</v>
      </c>
      <c r="VQ294" s="24">
        <v>0</v>
      </c>
      <c r="VR294" s="24">
        <v>7.13</v>
      </c>
      <c r="VS294" s="24">
        <v>54.84</v>
      </c>
      <c r="VT294" s="24">
        <v>10.130000000000001</v>
      </c>
      <c r="VU294" s="24">
        <v>3.36</v>
      </c>
      <c r="VV294" s="24">
        <v>5.7</v>
      </c>
      <c r="VW294" s="24">
        <v>0</v>
      </c>
      <c r="VX294" s="24">
        <v>0</v>
      </c>
      <c r="WG294" s="24">
        <v>2</v>
      </c>
      <c r="WK294" s="24">
        <v>3.4</v>
      </c>
      <c r="WL294" s="24">
        <v>1</v>
      </c>
      <c r="WM294" s="24">
        <v>34</v>
      </c>
      <c r="WN294" s="24">
        <v>1</v>
      </c>
      <c r="WO294" s="24">
        <v>1.28</v>
      </c>
      <c r="WP294" s="24">
        <v>1</v>
      </c>
      <c r="WQ294" s="24">
        <v>52</v>
      </c>
      <c r="WR294" s="24">
        <v>1</v>
      </c>
      <c r="WS294" s="24">
        <v>0.73</v>
      </c>
      <c r="WT294" s="24">
        <v>2</v>
      </c>
      <c r="WU294" s="24">
        <v>30</v>
      </c>
      <c r="WV294" s="24">
        <v>1</v>
      </c>
      <c r="WW294" s="28">
        <v>0.13</v>
      </c>
      <c r="WX294" s="24">
        <v>3</v>
      </c>
      <c r="XO294" s="24">
        <v>1</v>
      </c>
      <c r="XP294" s="24">
        <v>40</v>
      </c>
      <c r="XQ294" s="24">
        <v>1</v>
      </c>
      <c r="XR294" s="24">
        <v>1.83</v>
      </c>
      <c r="XS294" s="24">
        <v>6</v>
      </c>
      <c r="XT294" s="24">
        <v>40</v>
      </c>
      <c r="XU294" s="24">
        <v>1</v>
      </c>
      <c r="XV294" s="24">
        <v>1.65</v>
      </c>
      <c r="XW294" s="24">
        <v>3</v>
      </c>
      <c r="XX294" s="24">
        <v>40</v>
      </c>
      <c r="XY294" s="24">
        <v>1</v>
      </c>
      <c r="XZ294" s="24">
        <v>1.83</v>
      </c>
      <c r="YA294" s="24">
        <v>4</v>
      </c>
      <c r="YB294" s="24">
        <v>40</v>
      </c>
      <c r="YC294" s="24">
        <v>4</v>
      </c>
      <c r="YD294" s="24">
        <v>0.26</v>
      </c>
      <c r="YE294" s="24">
        <v>1</v>
      </c>
      <c r="YZ294" s="27">
        <v>3.89</v>
      </c>
      <c r="ZA294" s="27">
        <v>1</v>
      </c>
      <c r="ZB294" s="27">
        <v>1</v>
      </c>
      <c r="ZC294" s="27"/>
      <c r="ZD294" s="27">
        <f>0.36*2</f>
        <v>0.72</v>
      </c>
      <c r="ZE294" s="27">
        <v>2</v>
      </c>
      <c r="ZF294" s="27"/>
      <c r="ZG294" s="27">
        <f>2.04*2</f>
        <v>4.08</v>
      </c>
      <c r="ZH294" s="27"/>
      <c r="ZI294" s="27"/>
      <c r="ZJ294" s="27"/>
      <c r="ZK294" s="27">
        <v>3.27</v>
      </c>
      <c r="ZL294" s="27">
        <v>2.46</v>
      </c>
      <c r="ZM294" s="27"/>
      <c r="ZN294" s="27"/>
      <c r="ZO294" s="27">
        <v>2.88</v>
      </c>
      <c r="ZP294" s="27">
        <v>4.1399999999999997</v>
      </c>
      <c r="ZQ294" s="27">
        <v>0</v>
      </c>
      <c r="ZR294" s="24">
        <v>0</v>
      </c>
      <c r="ZS294" s="24" t="s">
        <v>699</v>
      </c>
      <c r="ZT294" s="24">
        <v>44.5</v>
      </c>
      <c r="ZU294" s="27">
        <v>101.7</v>
      </c>
      <c r="ZV294" s="27">
        <v>83.4</v>
      </c>
      <c r="ZW294" s="27">
        <v>22.5</v>
      </c>
      <c r="ZX294" s="24">
        <v>75.78</v>
      </c>
      <c r="ZY294" s="24">
        <v>0</v>
      </c>
      <c r="ZZ294" s="24">
        <v>2.04</v>
      </c>
      <c r="AAA294" s="24">
        <v>0</v>
      </c>
      <c r="AAB294" s="24">
        <v>8.57</v>
      </c>
      <c r="AAC294" s="24">
        <v>0</v>
      </c>
      <c r="AAD294" s="24">
        <v>2.21</v>
      </c>
      <c r="AAE294" s="24">
        <v>0</v>
      </c>
      <c r="AAF294" s="24">
        <v>1.1000000000000001</v>
      </c>
      <c r="AAG294" s="24">
        <v>0</v>
      </c>
      <c r="AAH294" s="24">
        <v>0</v>
      </c>
      <c r="AAI294" s="24">
        <v>1.61</v>
      </c>
      <c r="AAJ294" s="24">
        <v>54.76</v>
      </c>
      <c r="AAK294" s="24">
        <v>16</v>
      </c>
      <c r="AAL294" s="24">
        <v>6.05</v>
      </c>
      <c r="AAM294" s="24">
        <v>10.83</v>
      </c>
      <c r="AAN294" s="24">
        <v>10.1</v>
      </c>
      <c r="AAO294" s="24">
        <v>1</v>
      </c>
      <c r="AAP294" s="24">
        <v>2</v>
      </c>
      <c r="AAR294" s="24">
        <v>3</v>
      </c>
      <c r="AAS294" s="24">
        <v>5</v>
      </c>
      <c r="AAU294" s="24">
        <v>1</v>
      </c>
      <c r="AAV294" s="24">
        <v>3</v>
      </c>
      <c r="AAX294" s="24">
        <v>1</v>
      </c>
      <c r="ABB294" s="24">
        <v>3</v>
      </c>
      <c r="ABC294" s="24">
        <v>1</v>
      </c>
      <c r="ABD294" s="24">
        <v>52</v>
      </c>
      <c r="ABE294" s="24">
        <v>1</v>
      </c>
      <c r="ABF294" s="24">
        <v>0.73</v>
      </c>
      <c r="ABG294" s="24">
        <v>2</v>
      </c>
      <c r="ABH294" s="24">
        <v>34</v>
      </c>
      <c r="ABI294" s="24">
        <v>1</v>
      </c>
      <c r="ABJ294" s="24">
        <v>1.28</v>
      </c>
      <c r="ABK294" s="24">
        <v>1</v>
      </c>
      <c r="ABN294" s="28"/>
      <c r="ACF294" s="24">
        <v>1</v>
      </c>
      <c r="ACG294" s="24">
        <v>40</v>
      </c>
      <c r="ACH294" s="24">
        <v>1</v>
      </c>
      <c r="ACI294" s="24">
        <v>1.83</v>
      </c>
      <c r="ACJ294" s="24">
        <v>6</v>
      </c>
      <c r="ACK294" s="24">
        <v>40</v>
      </c>
      <c r="ACL294" s="24">
        <v>1</v>
      </c>
      <c r="ACM294" s="24">
        <v>1.65</v>
      </c>
      <c r="ACN294" s="24">
        <v>3</v>
      </c>
      <c r="ACO294" s="24">
        <v>40</v>
      </c>
      <c r="ACP294" s="24">
        <v>3</v>
      </c>
      <c r="ACQ294" s="24">
        <f>0.26+1.83</f>
        <v>2.09</v>
      </c>
      <c r="ACR294" s="24">
        <v>4</v>
      </c>
      <c r="ADQ294" s="27">
        <v>3.87</v>
      </c>
      <c r="ADR294" s="27">
        <v>1</v>
      </c>
      <c r="ADS294" s="27">
        <v>1</v>
      </c>
      <c r="ADT294" s="27"/>
      <c r="ADU294" s="27">
        <f>0.46*2+0.08</f>
        <v>1</v>
      </c>
      <c r="ADV294" s="27">
        <v>2</v>
      </c>
      <c r="ADW294" s="27"/>
      <c r="ADX294" s="27">
        <f>4.08</f>
        <v>4.08</v>
      </c>
      <c r="ADY294" s="27"/>
      <c r="ADZ294" s="27"/>
      <c r="AEA294" s="27"/>
      <c r="AEB294" s="27">
        <v>2.2000000000000002</v>
      </c>
      <c r="AEC294" s="27">
        <v>2.2000000000000002</v>
      </c>
      <c r="AED294" s="27"/>
      <c r="AEE294" s="27"/>
      <c r="AEF294" s="27">
        <v>2.88</v>
      </c>
      <c r="AEG294" s="27">
        <v>3.04</v>
      </c>
      <c r="AEH294" s="27">
        <v>0</v>
      </c>
      <c r="AEI294" s="24">
        <v>0</v>
      </c>
      <c r="AEJ294" s="24" t="s">
        <v>694</v>
      </c>
      <c r="AEK294" s="24">
        <v>40</v>
      </c>
      <c r="AEL294" s="27">
        <v>78.099999999999994</v>
      </c>
      <c r="AEM294" s="27">
        <v>83.4</v>
      </c>
      <c r="AEN294" s="27">
        <v>34.6</v>
      </c>
      <c r="AEO294" s="24">
        <v>66.599999999999994</v>
      </c>
      <c r="AEP294" s="24">
        <v>0</v>
      </c>
      <c r="AEQ294" s="24">
        <v>18.54</v>
      </c>
      <c r="AER294" s="24">
        <v>7.52</v>
      </c>
      <c r="AES294" s="24">
        <v>0</v>
      </c>
      <c r="AET294" s="24">
        <v>0</v>
      </c>
      <c r="AEU294" s="24">
        <v>0</v>
      </c>
      <c r="AEV294" s="24">
        <v>0</v>
      </c>
      <c r="AEW294" s="24">
        <v>0</v>
      </c>
      <c r="AEX294" s="24">
        <v>0</v>
      </c>
      <c r="AEY294" s="24">
        <v>0</v>
      </c>
      <c r="AEZ294" s="24">
        <v>0</v>
      </c>
      <c r="AFA294" s="24">
        <v>28.45</v>
      </c>
      <c r="AFB294" s="24">
        <v>20.45</v>
      </c>
      <c r="AFC294" s="24">
        <v>0.01</v>
      </c>
      <c r="AFD294" s="24">
        <v>7.34</v>
      </c>
      <c r="AFE294" s="24">
        <v>0</v>
      </c>
      <c r="AFF294" s="24">
        <v>0</v>
      </c>
      <c r="AFS294" s="24">
        <v>0</v>
      </c>
      <c r="AFT294" s="24">
        <v>0</v>
      </c>
      <c r="AGE294" s="28"/>
      <c r="AGW294" s="24">
        <v>1</v>
      </c>
      <c r="AGX294" s="24">
        <v>40</v>
      </c>
      <c r="AGY294" s="24">
        <v>1</v>
      </c>
      <c r="AGZ294" s="24">
        <v>0.73</v>
      </c>
      <c r="AHA294" s="24">
        <v>3</v>
      </c>
      <c r="AIH294" s="27">
        <v>1.22</v>
      </c>
      <c r="AII294" s="27">
        <v>1</v>
      </c>
      <c r="AIJ294" s="27">
        <v>1</v>
      </c>
      <c r="AIK294" s="27"/>
      <c r="AIL294" s="27">
        <f>1.65+3.3</f>
        <v>4.9499999999999993</v>
      </c>
      <c r="AIM294" s="27"/>
      <c r="AIN294" s="27"/>
      <c r="AIO294" s="27"/>
      <c r="AIP294" s="27"/>
      <c r="AIQ294" s="27"/>
      <c r="AIR294" s="27"/>
      <c r="AIS294" s="27">
        <v>1.1000000000000001</v>
      </c>
      <c r="AIT294" s="27">
        <v>1.1000000000000001</v>
      </c>
      <c r="AIU294" s="27"/>
      <c r="AIV294" s="27"/>
      <c r="AIW294" s="27">
        <v>2.88</v>
      </c>
      <c r="AIX294" s="27">
        <v>6.79</v>
      </c>
      <c r="AIY294" s="27">
        <v>0</v>
      </c>
      <c r="AIZ294" s="24">
        <v>0</v>
      </c>
      <c r="AJA294" s="24" t="s">
        <v>703</v>
      </c>
      <c r="AJB294" s="24">
        <v>34.5</v>
      </c>
      <c r="AJC294" s="27">
        <v>62.2</v>
      </c>
      <c r="AJD294" s="27">
        <v>83.4</v>
      </c>
      <c r="AJE294" s="27">
        <v>29.9</v>
      </c>
      <c r="AJF294" s="24">
        <v>73.95</v>
      </c>
      <c r="AJG294" s="24">
        <v>0</v>
      </c>
      <c r="AJH294" s="24">
        <v>18.53</v>
      </c>
      <c r="AJI294" s="24">
        <v>7.52</v>
      </c>
      <c r="AJJ294" s="24">
        <v>0</v>
      </c>
      <c r="AJK294" s="24">
        <v>0</v>
      </c>
      <c r="AJL294" s="24">
        <v>0</v>
      </c>
      <c r="AJM294" s="24">
        <v>0</v>
      </c>
      <c r="AJN294" s="24">
        <v>0</v>
      </c>
      <c r="AJO294" s="24">
        <v>0</v>
      </c>
      <c r="AJP294" s="24">
        <v>0</v>
      </c>
      <c r="AJQ294" s="24">
        <v>0</v>
      </c>
      <c r="AJR294" s="24">
        <v>11.93</v>
      </c>
      <c r="AJS294" s="24">
        <v>21.11</v>
      </c>
      <c r="AJT294" s="24">
        <v>0</v>
      </c>
      <c r="AJU294" s="24">
        <v>0</v>
      </c>
      <c r="AJV294" s="24">
        <v>0</v>
      </c>
      <c r="AJW294" s="24">
        <v>0</v>
      </c>
      <c r="AKJ294" s="24">
        <v>0</v>
      </c>
      <c r="AKK294" s="24">
        <v>0</v>
      </c>
      <c r="AKV294" s="28"/>
      <c r="ALN294" s="24">
        <v>1</v>
      </c>
      <c r="ALO294" s="24">
        <v>40</v>
      </c>
      <c r="ALP294" s="24">
        <v>1</v>
      </c>
      <c r="ALQ294" s="24">
        <v>0.73</v>
      </c>
      <c r="ALR294" s="24">
        <v>3</v>
      </c>
    </row>
    <row r="295" spans="1:1024" x14ac:dyDescent="0.2">
      <c r="A295" s="22" t="s">
        <v>864</v>
      </c>
      <c r="B295" s="23">
        <v>42909</v>
      </c>
      <c r="C295" s="24">
        <v>2</v>
      </c>
      <c r="D295" s="25">
        <v>40700</v>
      </c>
      <c r="E295" s="23">
        <v>31967</v>
      </c>
      <c r="F295" s="14">
        <f t="shared" si="106"/>
        <v>29.957563312799451</v>
      </c>
      <c r="G295" s="14">
        <f t="shared" si="107"/>
        <v>6.0479123887748116</v>
      </c>
      <c r="H295" s="26" t="s">
        <v>306</v>
      </c>
      <c r="I295" s="21" t="s">
        <v>689</v>
      </c>
      <c r="J295" s="21" t="s">
        <v>183</v>
      </c>
      <c r="K295" s="21">
        <v>8</v>
      </c>
      <c r="L295" s="26">
        <v>84</v>
      </c>
      <c r="M295" s="24">
        <v>1.83</v>
      </c>
      <c r="N295" s="27">
        <f t="shared" si="108"/>
        <v>25.082863029651524</v>
      </c>
      <c r="O295" s="26">
        <v>0</v>
      </c>
      <c r="P295" s="26">
        <v>0</v>
      </c>
      <c r="Q295" s="26">
        <v>0</v>
      </c>
      <c r="R295" s="26">
        <v>0</v>
      </c>
      <c r="S295" s="26">
        <v>0</v>
      </c>
      <c r="T295" s="26">
        <v>0</v>
      </c>
      <c r="U295" s="19">
        <v>0</v>
      </c>
      <c r="V295" s="19">
        <v>0</v>
      </c>
      <c r="W295" s="26">
        <v>0</v>
      </c>
      <c r="X295" s="26">
        <v>0</v>
      </c>
      <c r="Y295" s="26">
        <v>1</v>
      </c>
      <c r="Z295" s="26">
        <v>2</v>
      </c>
      <c r="AA295" s="26">
        <v>180</v>
      </c>
      <c r="AB295" s="26" t="s">
        <v>308</v>
      </c>
      <c r="AC295" s="26">
        <v>0</v>
      </c>
      <c r="AD295" s="26">
        <v>0</v>
      </c>
      <c r="AE295" s="26">
        <v>0</v>
      </c>
      <c r="AF295" s="26">
        <v>0</v>
      </c>
      <c r="AG295" s="26">
        <v>0</v>
      </c>
      <c r="AH295" s="26">
        <v>0</v>
      </c>
      <c r="AI295" s="26">
        <v>0</v>
      </c>
      <c r="AJ295" s="26">
        <v>0</v>
      </c>
      <c r="AK295" s="26">
        <v>0</v>
      </c>
      <c r="AL295" s="26">
        <v>0</v>
      </c>
      <c r="AM295" s="19">
        <v>0</v>
      </c>
      <c r="AN295" s="26">
        <v>0</v>
      </c>
      <c r="AO295" s="26">
        <v>0</v>
      </c>
      <c r="AP295" s="26">
        <v>0</v>
      </c>
      <c r="AQ295" s="26">
        <v>0</v>
      </c>
      <c r="AR295" s="26">
        <v>0</v>
      </c>
      <c r="AS295" s="26">
        <v>0</v>
      </c>
      <c r="AT295" s="26">
        <v>0</v>
      </c>
      <c r="AU295" s="26">
        <v>0</v>
      </c>
      <c r="AV295" s="26">
        <v>0</v>
      </c>
      <c r="AW295" s="26">
        <v>0</v>
      </c>
      <c r="AX295" s="26">
        <v>0</v>
      </c>
      <c r="AY295" s="26">
        <v>0</v>
      </c>
      <c r="AZ295" s="26">
        <v>0</v>
      </c>
      <c r="BA295" s="26">
        <v>0</v>
      </c>
      <c r="BB295" s="26">
        <v>0</v>
      </c>
      <c r="BC295" s="26">
        <v>0</v>
      </c>
      <c r="BD295" s="26">
        <v>0</v>
      </c>
      <c r="BE295" s="26">
        <v>0</v>
      </c>
      <c r="BF295" s="26">
        <v>0</v>
      </c>
      <c r="BG295" s="26">
        <v>0</v>
      </c>
      <c r="BH295" s="26">
        <v>0</v>
      </c>
      <c r="BI295" s="26">
        <v>0</v>
      </c>
      <c r="BJ295" s="26">
        <v>0</v>
      </c>
      <c r="BK295" s="26">
        <v>0</v>
      </c>
      <c r="BL295" s="26">
        <v>0</v>
      </c>
      <c r="BM295" s="26">
        <v>0</v>
      </c>
      <c r="BN295" s="26">
        <v>0</v>
      </c>
      <c r="BO295" s="26">
        <v>0</v>
      </c>
      <c r="BP295" s="26">
        <v>0</v>
      </c>
      <c r="BQ295" s="26">
        <v>0</v>
      </c>
      <c r="BR295" s="26">
        <v>3</v>
      </c>
      <c r="BS295" s="26">
        <v>3</v>
      </c>
      <c r="BT295" s="26">
        <v>3</v>
      </c>
      <c r="BU295" s="26">
        <v>4</v>
      </c>
      <c r="BV295" s="26">
        <v>3</v>
      </c>
      <c r="BW295" s="26"/>
      <c r="BX295" s="26">
        <v>5</v>
      </c>
      <c r="BY295" s="26">
        <v>5</v>
      </c>
      <c r="BZ295" s="26">
        <v>5</v>
      </c>
      <c r="CA295" s="26">
        <v>4</v>
      </c>
      <c r="CB295" s="26">
        <v>2</v>
      </c>
      <c r="CC295" s="26">
        <v>5</v>
      </c>
      <c r="CD295" s="26">
        <v>3</v>
      </c>
      <c r="CE295" s="26">
        <v>4</v>
      </c>
      <c r="CF295" s="26">
        <v>4</v>
      </c>
      <c r="CG295" s="26">
        <v>5</v>
      </c>
      <c r="CH295" s="26">
        <v>4</v>
      </c>
      <c r="CI295" s="26">
        <v>4</v>
      </c>
      <c r="CJ295" s="26">
        <v>3</v>
      </c>
      <c r="CK295" s="26">
        <v>10</v>
      </c>
      <c r="CL295" s="24" t="s">
        <v>690</v>
      </c>
      <c r="CM295" s="24">
        <v>38</v>
      </c>
      <c r="CN295" s="27">
        <v>85.5</v>
      </c>
      <c r="CO295" s="27">
        <v>83.4</v>
      </c>
      <c r="CP295" s="27">
        <v>28.7</v>
      </c>
      <c r="CQ295" s="24">
        <v>61.84</v>
      </c>
      <c r="CR295" s="24">
        <v>0</v>
      </c>
      <c r="CS295" s="24">
        <v>0</v>
      </c>
      <c r="CT295" s="24">
        <v>0</v>
      </c>
      <c r="CU295" s="24">
        <v>37.42</v>
      </c>
      <c r="CV295" s="24">
        <v>0</v>
      </c>
      <c r="CW295" s="24">
        <v>0.73</v>
      </c>
      <c r="CX295" s="24">
        <v>0</v>
      </c>
      <c r="CY295" s="24">
        <v>0</v>
      </c>
      <c r="CZ295" s="24">
        <v>0.74</v>
      </c>
      <c r="DA295" s="24">
        <v>0</v>
      </c>
      <c r="DB295" s="24">
        <v>7.34</v>
      </c>
      <c r="DC295" s="24">
        <v>25.37</v>
      </c>
      <c r="DD295" s="24">
        <v>15.03</v>
      </c>
      <c r="DE295" s="24">
        <v>30.09</v>
      </c>
      <c r="DF295" s="24">
        <v>0</v>
      </c>
      <c r="DG295" s="24">
        <v>0</v>
      </c>
      <c r="DH295" s="24">
        <v>0</v>
      </c>
      <c r="DU295" s="24">
        <v>1.7</v>
      </c>
      <c r="DV295" s="24">
        <v>0</v>
      </c>
      <c r="EG295" s="28"/>
      <c r="EY295" s="24">
        <v>1</v>
      </c>
      <c r="EZ295" s="24">
        <v>50</v>
      </c>
      <c r="FA295" s="24">
        <v>4</v>
      </c>
      <c r="FB295" s="24">
        <v>0.46</v>
      </c>
      <c r="FC295" s="24">
        <v>6</v>
      </c>
      <c r="FD295" s="24">
        <v>40</v>
      </c>
      <c r="FE295" s="24">
        <v>10</v>
      </c>
      <c r="FF295" s="24">
        <f t="shared" si="115"/>
        <v>0.47000000000000003</v>
      </c>
      <c r="FG295" s="24">
        <v>1</v>
      </c>
      <c r="FH295" s="24">
        <v>40</v>
      </c>
      <c r="FI295" s="24">
        <v>10</v>
      </c>
      <c r="FJ295" s="24">
        <f t="shared" si="116"/>
        <v>0.51</v>
      </c>
      <c r="FK295" s="24">
        <v>6</v>
      </c>
      <c r="FL295" s="24">
        <v>60</v>
      </c>
      <c r="FM295" s="24">
        <v>6</v>
      </c>
      <c r="FN295" s="24">
        <f t="shared" si="117"/>
        <v>9.84</v>
      </c>
      <c r="FO295" s="24">
        <v>3</v>
      </c>
      <c r="GJ295" s="27">
        <v>1.55</v>
      </c>
      <c r="GK295" s="27">
        <v>1</v>
      </c>
      <c r="GL295" s="27">
        <v>1</v>
      </c>
      <c r="GM295" s="27"/>
      <c r="GN295" s="27">
        <f t="shared" si="118"/>
        <v>3.3</v>
      </c>
      <c r="GO295" s="27">
        <v>2</v>
      </c>
      <c r="GP295" s="27"/>
      <c r="GQ295" s="27">
        <v>0.54</v>
      </c>
      <c r="GR295" s="27"/>
      <c r="GS295" s="27"/>
      <c r="GT295" s="27"/>
      <c r="GU295" s="27">
        <v>5.74</v>
      </c>
      <c r="GV295" s="27">
        <v>3.64</v>
      </c>
      <c r="GW295" s="27"/>
      <c r="GX295" s="27"/>
      <c r="GY295" s="27">
        <v>0</v>
      </c>
      <c r="GZ295" s="27">
        <v>0</v>
      </c>
      <c r="HA295" s="27">
        <v>0</v>
      </c>
      <c r="HB295" s="24">
        <v>0</v>
      </c>
      <c r="HC295" s="24" t="s">
        <v>691</v>
      </c>
      <c r="HD295" s="24">
        <v>63.5</v>
      </c>
      <c r="HE295" s="27">
        <v>98.9</v>
      </c>
      <c r="HF295" s="27">
        <v>83.4</v>
      </c>
      <c r="HG295" s="27">
        <v>51</v>
      </c>
      <c r="HH295" s="24">
        <v>53.65</v>
      </c>
      <c r="HI295" s="24">
        <v>0</v>
      </c>
      <c r="HJ295" s="24">
        <v>11.99</v>
      </c>
      <c r="HK295" s="24">
        <v>24.1</v>
      </c>
      <c r="HL295" s="24">
        <v>10.26</v>
      </c>
      <c r="HM295" s="24">
        <v>0</v>
      </c>
      <c r="HN295" s="24">
        <v>0</v>
      </c>
      <c r="HO295" s="24">
        <v>0</v>
      </c>
      <c r="HP295" s="24">
        <v>0</v>
      </c>
      <c r="HQ295" s="24">
        <v>0</v>
      </c>
      <c r="HR295" s="24">
        <v>0</v>
      </c>
      <c r="HS295" s="24">
        <v>9.1</v>
      </c>
      <c r="HT295" s="24">
        <v>26.31</v>
      </c>
      <c r="HU295" s="24">
        <v>5.53</v>
      </c>
      <c r="HV295" s="24">
        <v>0.94</v>
      </c>
      <c r="HW295" s="24">
        <v>0</v>
      </c>
      <c r="HX295" s="24">
        <v>0</v>
      </c>
      <c r="HY295" s="24">
        <v>0</v>
      </c>
      <c r="IL295" s="24">
        <v>6.1</v>
      </c>
      <c r="IM295" s="24">
        <v>0</v>
      </c>
      <c r="IX295" s="28"/>
      <c r="JP295" s="24">
        <v>1</v>
      </c>
      <c r="JQ295" s="24">
        <v>50</v>
      </c>
      <c r="JR295" s="24">
        <v>1</v>
      </c>
      <c r="JS295" s="24">
        <v>0.39</v>
      </c>
      <c r="JT295" s="24">
        <v>3</v>
      </c>
      <c r="JU295" s="24">
        <v>50</v>
      </c>
      <c r="JV295" s="24">
        <v>2</v>
      </c>
      <c r="JW295" s="24">
        <f>0.19+0.23</f>
        <v>0.42000000000000004</v>
      </c>
      <c r="JX295" s="24">
        <v>4</v>
      </c>
      <c r="JY295" s="24">
        <v>60</v>
      </c>
      <c r="JZ295" s="24">
        <v>12</v>
      </c>
      <c r="KA295" s="24">
        <f>0.78*2</f>
        <v>1.56</v>
      </c>
      <c r="KB295" s="24">
        <v>6</v>
      </c>
      <c r="LA295" s="27">
        <v>5.39</v>
      </c>
      <c r="LB295" s="27">
        <v>1</v>
      </c>
      <c r="LC295" s="27">
        <v>1</v>
      </c>
      <c r="LD295" s="27"/>
      <c r="LE295" s="27">
        <f>2.04*3+0.36*2</f>
        <v>6.84</v>
      </c>
      <c r="LF295" s="27">
        <v>2</v>
      </c>
      <c r="LG295" s="27"/>
      <c r="LH295" s="27">
        <f>0.72*2+0.36</f>
        <v>1.7999999999999998</v>
      </c>
      <c r="LI295" s="27">
        <v>3</v>
      </c>
      <c r="LJ295" s="27"/>
      <c r="LK295" s="27">
        <v>0.5</v>
      </c>
      <c r="LL295" s="27">
        <v>0.94</v>
      </c>
      <c r="LM295" s="27">
        <v>0.94</v>
      </c>
      <c r="LN295" s="27"/>
      <c r="LO295" s="27"/>
      <c r="LP295" s="27">
        <v>0</v>
      </c>
      <c r="LQ295" s="27">
        <v>0</v>
      </c>
      <c r="LR295" s="27">
        <v>0</v>
      </c>
      <c r="LS295" s="24">
        <v>0</v>
      </c>
      <c r="LT295" s="24" t="s">
        <v>691</v>
      </c>
      <c r="LU295" s="24">
        <v>63.5</v>
      </c>
      <c r="LV295" s="27">
        <v>98.9</v>
      </c>
      <c r="LW295" s="27">
        <v>83.4</v>
      </c>
      <c r="LX295" s="27">
        <v>51</v>
      </c>
      <c r="LY295" s="24">
        <v>53.65</v>
      </c>
      <c r="LZ295" s="24">
        <v>0</v>
      </c>
      <c r="MA295" s="24">
        <v>11.99</v>
      </c>
      <c r="MB295" s="24">
        <v>24.1</v>
      </c>
      <c r="MC295" s="24">
        <v>10.26</v>
      </c>
      <c r="MD295" s="24">
        <v>0</v>
      </c>
      <c r="ME295" s="24">
        <v>0</v>
      </c>
      <c r="MF295" s="24">
        <v>0</v>
      </c>
      <c r="MG295" s="24">
        <v>0</v>
      </c>
      <c r="MH295" s="24">
        <v>0</v>
      </c>
      <c r="MI295" s="24">
        <v>0</v>
      </c>
      <c r="MJ295" s="24">
        <v>9.1</v>
      </c>
      <c r="MK295" s="24">
        <v>26.31</v>
      </c>
      <c r="ML295" s="24">
        <v>5.53</v>
      </c>
      <c r="MM295" s="24">
        <v>0.94</v>
      </c>
      <c r="MN295" s="24">
        <v>0</v>
      </c>
      <c r="MO295" s="24">
        <v>0</v>
      </c>
      <c r="MP295" s="24">
        <v>0</v>
      </c>
      <c r="NC295" s="24">
        <v>6.1</v>
      </c>
      <c r="ND295" s="24">
        <v>0</v>
      </c>
      <c r="NO295" s="28"/>
      <c r="OG295" s="24">
        <v>1</v>
      </c>
      <c r="OH295" s="24">
        <v>50</v>
      </c>
      <c r="OI295" s="24">
        <v>1</v>
      </c>
      <c r="OJ295" s="24">
        <v>0.39</v>
      </c>
      <c r="OK295" s="24">
        <v>3</v>
      </c>
      <c r="OL295" s="24">
        <v>50</v>
      </c>
      <c r="OM295" s="24">
        <v>2</v>
      </c>
      <c r="ON295" s="24">
        <f>0.19+0.23</f>
        <v>0.42000000000000004</v>
      </c>
      <c r="OO295" s="24">
        <v>4</v>
      </c>
      <c r="OP295" s="24">
        <v>60</v>
      </c>
      <c r="OQ295" s="24">
        <v>12</v>
      </c>
      <c r="OR295" s="24">
        <f>0.78*2</f>
        <v>1.56</v>
      </c>
      <c r="OS295" s="24">
        <v>6</v>
      </c>
      <c r="PR295" s="27">
        <v>5.39</v>
      </c>
      <c r="PS295" s="27">
        <v>1</v>
      </c>
      <c r="PT295" s="27">
        <v>1</v>
      </c>
      <c r="PU295" s="27"/>
      <c r="PV295" s="27">
        <f>2.04*3+0.36*2</f>
        <v>6.84</v>
      </c>
      <c r="PW295" s="27">
        <v>2</v>
      </c>
      <c r="PX295" s="27"/>
      <c r="PY295" s="27">
        <f>0.72*2+0.36</f>
        <v>1.7999999999999998</v>
      </c>
      <c r="PZ295" s="27">
        <v>3</v>
      </c>
      <c r="QA295" s="27"/>
      <c r="QB295" s="27">
        <v>0.5</v>
      </c>
      <c r="QC295" s="27">
        <v>0.94</v>
      </c>
      <c r="QD295" s="27">
        <v>0.94</v>
      </c>
      <c r="QE295" s="27"/>
      <c r="QF295" s="27"/>
      <c r="QG295" s="27">
        <v>0</v>
      </c>
      <c r="QH295" s="27">
        <v>0</v>
      </c>
      <c r="QI295" s="27">
        <v>0</v>
      </c>
      <c r="QJ295" s="24">
        <v>0</v>
      </c>
      <c r="QK295" s="24" t="s">
        <v>692</v>
      </c>
      <c r="QL295" s="24">
        <v>30.5</v>
      </c>
      <c r="QM295" s="27">
        <v>69.11</v>
      </c>
      <c r="QN295" s="27">
        <v>83.4</v>
      </c>
      <c r="QO295" s="27">
        <v>18.100000000000001</v>
      </c>
      <c r="QP295" s="24">
        <v>79.03</v>
      </c>
      <c r="QQ295" s="24">
        <v>0.45</v>
      </c>
      <c r="QR295" s="24">
        <v>0</v>
      </c>
      <c r="QS295" s="24">
        <v>0</v>
      </c>
      <c r="QT295" s="24">
        <v>20.52</v>
      </c>
      <c r="QU295" s="24">
        <v>0</v>
      </c>
      <c r="QV295" s="24">
        <v>0</v>
      </c>
      <c r="QW295" s="24">
        <v>0</v>
      </c>
      <c r="QX295" s="24">
        <v>0</v>
      </c>
      <c r="QY295" s="24">
        <v>0</v>
      </c>
      <c r="QZ295" s="24">
        <v>0</v>
      </c>
      <c r="RA295" s="24">
        <v>0</v>
      </c>
      <c r="RB295" s="24">
        <v>12.58</v>
      </c>
      <c r="RC295" s="24">
        <v>17.940000000000001</v>
      </c>
      <c r="RD295" s="24">
        <v>18.04</v>
      </c>
      <c r="RE295" s="24">
        <v>0</v>
      </c>
      <c r="RF295" s="24">
        <v>0</v>
      </c>
      <c r="RG295" s="24">
        <v>0</v>
      </c>
      <c r="RT295" s="24">
        <v>8.1</v>
      </c>
      <c r="RU295" s="24">
        <v>1</v>
      </c>
      <c r="RV295" s="24">
        <v>35</v>
      </c>
      <c r="RW295" s="24">
        <v>4</v>
      </c>
      <c r="RX295" s="24">
        <f>2.2+0.39</f>
        <v>2.5900000000000003</v>
      </c>
      <c r="RY295" s="24">
        <v>3</v>
      </c>
      <c r="SF295" s="28"/>
      <c r="SX295" s="24">
        <v>1</v>
      </c>
      <c r="SY295" s="24">
        <v>60</v>
      </c>
      <c r="SZ295" s="24">
        <v>1</v>
      </c>
      <c r="TA295" s="24">
        <v>0.73</v>
      </c>
      <c r="TB295" s="24">
        <v>3</v>
      </c>
      <c r="UI295" s="27">
        <v>3.89</v>
      </c>
      <c r="UJ295" s="27">
        <v>1</v>
      </c>
      <c r="UK295" s="27">
        <v>1</v>
      </c>
      <c r="UL295" s="27"/>
      <c r="UM295" s="27">
        <f>0.14*2+0.21*2</f>
        <v>0.7</v>
      </c>
      <c r="UN295" s="27">
        <v>2</v>
      </c>
      <c r="UO295" s="27"/>
      <c r="UP295" s="27">
        <f>1.65*2</f>
        <v>3.3</v>
      </c>
      <c r="UQ295" s="27"/>
      <c r="UR295" s="27"/>
      <c r="US295" s="27"/>
      <c r="UT295" s="27">
        <v>0</v>
      </c>
      <c r="UU295" s="27">
        <v>0</v>
      </c>
      <c r="UV295" s="27"/>
      <c r="UW295" s="27"/>
      <c r="UX295" s="27">
        <v>0</v>
      </c>
      <c r="UY295" s="27">
        <v>0</v>
      </c>
      <c r="UZ295" s="27">
        <v>0</v>
      </c>
      <c r="VA295" s="24">
        <v>0</v>
      </c>
      <c r="VB295" s="24" t="s">
        <v>697</v>
      </c>
      <c r="VC295" s="24">
        <v>42.5</v>
      </c>
      <c r="VD295" s="27">
        <v>92.2</v>
      </c>
      <c r="VE295" s="27">
        <v>83.4</v>
      </c>
      <c r="VF295" s="27">
        <v>33.5</v>
      </c>
      <c r="VG295" s="24">
        <v>25.89</v>
      </c>
      <c r="VH295" s="24">
        <v>0</v>
      </c>
      <c r="VI295" s="24">
        <v>0</v>
      </c>
      <c r="VJ295" s="24">
        <v>0</v>
      </c>
      <c r="VK295" s="24">
        <v>0</v>
      </c>
      <c r="VL295" s="24">
        <v>0</v>
      </c>
      <c r="VM295" s="24">
        <v>74.11</v>
      </c>
      <c r="VN295" s="24">
        <v>25.43</v>
      </c>
      <c r="VO295" s="24">
        <v>9.7200000000000006</v>
      </c>
      <c r="VP295" s="24">
        <v>2.94</v>
      </c>
      <c r="VQ295" s="24">
        <v>0</v>
      </c>
      <c r="VR295" s="24">
        <v>11.38</v>
      </c>
      <c r="VS295" s="24">
        <v>16.89</v>
      </c>
      <c r="VT295" s="24">
        <v>27.26</v>
      </c>
      <c r="VU295" s="24">
        <v>0</v>
      </c>
      <c r="VV295" s="24">
        <v>0</v>
      </c>
      <c r="VW295" s="24">
        <v>0</v>
      </c>
      <c r="VX295" s="24">
        <v>0</v>
      </c>
      <c r="WK295" s="24">
        <v>3.6</v>
      </c>
      <c r="WL295" s="24">
        <v>1</v>
      </c>
      <c r="WM295" s="24">
        <v>35</v>
      </c>
      <c r="WN295" s="24">
        <v>6</v>
      </c>
      <c r="WO295" s="24">
        <f>0.13*4</f>
        <v>0.52</v>
      </c>
      <c r="WP295" s="24">
        <v>3</v>
      </c>
      <c r="WQ295" s="24">
        <v>25</v>
      </c>
      <c r="WR295" s="24">
        <v>2</v>
      </c>
      <c r="WS295" s="24">
        <f>0.13*2</f>
        <v>0.26</v>
      </c>
      <c r="WT295" s="24">
        <v>4</v>
      </c>
      <c r="WW295" s="28"/>
      <c r="XO295" s="24">
        <v>0</v>
      </c>
      <c r="YZ295" s="27">
        <v>3.01</v>
      </c>
      <c r="ZA295" s="27">
        <v>1</v>
      </c>
      <c r="ZB295" s="27">
        <v>1</v>
      </c>
      <c r="ZC295" s="27"/>
      <c r="ZD295" s="27">
        <f>1.65*5+0.13*2+0.36+0.18</f>
        <v>9.0499999999999989</v>
      </c>
      <c r="ZE295" s="27"/>
      <c r="ZF295" s="27"/>
      <c r="ZG295" s="27"/>
      <c r="ZH295" s="27"/>
      <c r="ZI295" s="27"/>
      <c r="ZJ295" s="27"/>
      <c r="ZK295" s="27">
        <v>2.16</v>
      </c>
      <c r="ZL295" s="27">
        <v>0.52</v>
      </c>
      <c r="ZM295" s="27"/>
      <c r="ZN295" s="27"/>
      <c r="ZO295" s="27">
        <v>0</v>
      </c>
      <c r="ZP295" s="27">
        <v>0</v>
      </c>
      <c r="ZQ295" s="27">
        <v>0</v>
      </c>
      <c r="ZR295" s="24">
        <v>0</v>
      </c>
      <c r="ZS295" s="24" t="s">
        <v>698</v>
      </c>
      <c r="ZT295" s="24">
        <v>37</v>
      </c>
      <c r="ZU295" s="27">
        <v>86.3</v>
      </c>
      <c r="ZV295" s="27">
        <v>83.4</v>
      </c>
      <c r="ZW295" s="27">
        <v>31.3</v>
      </c>
      <c r="ZX295" s="24">
        <v>24.09</v>
      </c>
      <c r="ZY295" s="24">
        <v>0</v>
      </c>
      <c r="ZZ295" s="24">
        <v>0</v>
      </c>
      <c r="AAA295" s="24">
        <v>0</v>
      </c>
      <c r="AAB295" s="24">
        <v>0</v>
      </c>
      <c r="AAC295" s="24">
        <v>0</v>
      </c>
      <c r="AAD295" s="24">
        <v>75.91</v>
      </c>
      <c r="AAE295" s="24">
        <v>21.83</v>
      </c>
      <c r="AAF295" s="24">
        <v>8.6300000000000008</v>
      </c>
      <c r="AAG295" s="24">
        <v>2.94</v>
      </c>
      <c r="AAH295" s="24">
        <v>0</v>
      </c>
      <c r="AAI295" s="24">
        <v>13.66</v>
      </c>
      <c r="AAJ295" s="24">
        <v>10.54</v>
      </c>
      <c r="AAK295" s="24">
        <v>28.39</v>
      </c>
      <c r="AAL295" s="24">
        <v>0</v>
      </c>
      <c r="AAM295" s="24">
        <v>0</v>
      </c>
      <c r="AAN295" s="24">
        <v>0</v>
      </c>
      <c r="AAO295" s="24">
        <v>0</v>
      </c>
      <c r="ABB295" s="24">
        <v>2.7</v>
      </c>
      <c r="ABC295" s="24">
        <v>1</v>
      </c>
      <c r="ABD295" s="24">
        <v>52</v>
      </c>
      <c r="ABE295" s="24">
        <v>1</v>
      </c>
      <c r="ABF295" s="24">
        <v>0.39</v>
      </c>
      <c r="ABG295" s="24">
        <v>2</v>
      </c>
      <c r="ABH295" s="24">
        <v>35</v>
      </c>
      <c r="ABI295" s="24">
        <v>4</v>
      </c>
      <c r="ABJ295" s="24">
        <v>0.26</v>
      </c>
      <c r="ABK295" s="24">
        <v>3</v>
      </c>
      <c r="ABN295" s="28"/>
      <c r="ACF295" s="24">
        <v>0</v>
      </c>
      <c r="ADQ295" s="27">
        <v>2.83</v>
      </c>
      <c r="ADR295" s="27">
        <v>1</v>
      </c>
      <c r="ADS295" s="27">
        <v>1</v>
      </c>
      <c r="ADT295" s="27"/>
      <c r="ADU295" s="27">
        <f>1.65*5</f>
        <v>8.25</v>
      </c>
      <c r="ADV295" s="27"/>
      <c r="ADW295" s="27"/>
      <c r="ADX295" s="27"/>
      <c r="ADY295" s="27"/>
      <c r="ADZ295" s="27"/>
      <c r="AEA295" s="27"/>
      <c r="AEB295" s="27">
        <v>0</v>
      </c>
      <c r="AEC295" s="27">
        <v>0</v>
      </c>
      <c r="AED295" s="27"/>
      <c r="AEE295" s="27"/>
      <c r="AEF295" s="27">
        <v>0</v>
      </c>
      <c r="AEG295" s="27">
        <v>0</v>
      </c>
      <c r="AEH295" s="27">
        <v>0</v>
      </c>
      <c r="AEI295" s="24">
        <v>0</v>
      </c>
      <c r="AEJ295" s="24" t="s">
        <v>702</v>
      </c>
      <c r="AEK295" s="24">
        <v>43.5</v>
      </c>
      <c r="AEL295" s="27">
        <v>73.8</v>
      </c>
      <c r="AEM295" s="27">
        <v>83.4</v>
      </c>
      <c r="AEN295" s="27">
        <v>26.5</v>
      </c>
      <c r="AEO295" s="24">
        <v>20.2</v>
      </c>
      <c r="AEP295" s="24">
        <v>0</v>
      </c>
      <c r="AEQ295" s="24">
        <v>26.95</v>
      </c>
      <c r="AER295" s="24">
        <v>0</v>
      </c>
      <c r="AES295" s="24">
        <v>0.39</v>
      </c>
      <c r="AET295" s="24">
        <v>0</v>
      </c>
      <c r="AEU295" s="24">
        <v>79.41</v>
      </c>
      <c r="AEV295" s="24">
        <v>26.95</v>
      </c>
      <c r="AEW295" s="24">
        <v>0</v>
      </c>
      <c r="AEX295" s="24">
        <v>0</v>
      </c>
      <c r="AEY295" s="24">
        <v>0</v>
      </c>
      <c r="AEZ295" s="24">
        <v>35.200000000000003</v>
      </c>
      <c r="AFA295" s="24">
        <v>15.96</v>
      </c>
      <c r="AFB295" s="24">
        <v>39.090000000000003</v>
      </c>
      <c r="AFC295" s="24">
        <v>0.32</v>
      </c>
      <c r="AFD295" s="24">
        <v>0</v>
      </c>
      <c r="AFE295" s="24">
        <v>0</v>
      </c>
      <c r="AFF295" s="24">
        <v>0</v>
      </c>
      <c r="AFS295" s="24">
        <v>14.4</v>
      </c>
      <c r="AFT295" s="24">
        <v>1</v>
      </c>
      <c r="AFU295" s="24">
        <v>30</v>
      </c>
      <c r="AFV295" s="24">
        <v>5</v>
      </c>
      <c r="AFW295" s="24">
        <f>2.94+0.6</f>
        <v>3.54</v>
      </c>
      <c r="AFX295" s="24">
        <v>3</v>
      </c>
      <c r="AFY295" s="24">
        <v>34</v>
      </c>
      <c r="AFZ295" s="24">
        <v>1</v>
      </c>
      <c r="AGA295" s="24">
        <v>1.65</v>
      </c>
      <c r="AGB295" s="24">
        <v>1</v>
      </c>
      <c r="AGC295" s="24">
        <v>52</v>
      </c>
      <c r="AGD295" s="24">
        <v>6</v>
      </c>
      <c r="AGE295" s="28">
        <f>0.7+0.77+0.08+0.05</f>
        <v>1.6</v>
      </c>
      <c r="AGF295" s="24">
        <v>2</v>
      </c>
      <c r="AGG295" s="24">
        <v>35</v>
      </c>
      <c r="AGH295" s="24">
        <v>1</v>
      </c>
      <c r="AGI295" s="24">
        <v>0.19</v>
      </c>
      <c r="AGJ295" s="24">
        <v>3</v>
      </c>
      <c r="AGK295" s="24">
        <v>23</v>
      </c>
      <c r="AGL295" s="24">
        <v>3</v>
      </c>
      <c r="AGM295" s="24">
        <f>0.39+0.77</f>
        <v>1.1600000000000001</v>
      </c>
      <c r="AGN295" s="24">
        <v>3</v>
      </c>
      <c r="AGW295" s="24">
        <v>0</v>
      </c>
      <c r="AIH295" s="27">
        <v>1.22</v>
      </c>
      <c r="AII295" s="27">
        <v>1</v>
      </c>
      <c r="AIJ295" s="27">
        <v>1</v>
      </c>
      <c r="AIK295" s="27"/>
      <c r="AIL295" s="27">
        <f>0.97*2+1.07*2</f>
        <v>4.08</v>
      </c>
      <c r="AIM295" s="27"/>
      <c r="AIN295" s="27"/>
      <c r="AIO295" s="27"/>
      <c r="AIP295" s="27"/>
      <c r="AIQ295" s="27"/>
      <c r="AIR295" s="27"/>
      <c r="AIS295" s="27">
        <v>0</v>
      </c>
      <c r="AIT295" s="27">
        <v>0</v>
      </c>
      <c r="AIU295" s="27"/>
      <c r="AIV295" s="27"/>
      <c r="AIW295" s="27">
        <v>0</v>
      </c>
      <c r="AIX295" s="27">
        <v>0</v>
      </c>
      <c r="AIY295" s="27">
        <v>1.22</v>
      </c>
      <c r="AIZ295" s="24">
        <v>0</v>
      </c>
      <c r="AJA295" s="24" t="s">
        <v>693</v>
      </c>
      <c r="AJB295" s="24">
        <v>33.5</v>
      </c>
      <c r="AJC295" s="27">
        <v>92.3</v>
      </c>
      <c r="AJD295" s="27">
        <v>83.4</v>
      </c>
      <c r="AJE295" s="27">
        <v>19.8</v>
      </c>
      <c r="AJF295" s="24">
        <v>72.02</v>
      </c>
      <c r="AJG295" s="24">
        <v>2.2000000000000002</v>
      </c>
      <c r="AJH295" s="24">
        <v>7.75</v>
      </c>
      <c r="AJI295" s="24">
        <v>0</v>
      </c>
      <c r="AJJ295" s="24">
        <v>5.49</v>
      </c>
      <c r="AJK295" s="24">
        <v>0</v>
      </c>
      <c r="AJL295" s="24">
        <v>6.84</v>
      </c>
      <c r="AJM295" s="24">
        <v>0</v>
      </c>
      <c r="AJN295" s="24">
        <v>0</v>
      </c>
      <c r="AJO295" s="24">
        <v>0</v>
      </c>
      <c r="AJP295" s="24">
        <v>0</v>
      </c>
      <c r="AJQ295" s="24">
        <v>7.13</v>
      </c>
      <c r="AJR295" s="24">
        <v>54.84</v>
      </c>
      <c r="AJS295" s="24">
        <v>10.130000000000001</v>
      </c>
      <c r="AJT295" s="24">
        <v>3.36</v>
      </c>
      <c r="AJU295" s="24">
        <v>5.7</v>
      </c>
      <c r="AJV295" s="24">
        <v>0</v>
      </c>
      <c r="AJW295" s="24">
        <v>0</v>
      </c>
      <c r="AKF295" s="24">
        <v>2</v>
      </c>
      <c r="AKJ295" s="24">
        <v>3.4</v>
      </c>
      <c r="AKK295" s="24">
        <v>1</v>
      </c>
      <c r="AKL295" s="24">
        <v>34</v>
      </c>
      <c r="AKM295" s="24">
        <v>1</v>
      </c>
      <c r="AKN295" s="24">
        <v>1.28</v>
      </c>
      <c r="AKO295" s="24">
        <v>1</v>
      </c>
      <c r="AKP295" s="24">
        <v>52</v>
      </c>
      <c r="AKQ295" s="24">
        <v>1</v>
      </c>
      <c r="AKR295" s="24">
        <v>0.73</v>
      </c>
      <c r="AKS295" s="24">
        <v>2</v>
      </c>
      <c r="AKT295" s="24">
        <v>30</v>
      </c>
      <c r="AKU295" s="24">
        <v>1</v>
      </c>
      <c r="AKV295" s="28">
        <v>0.13</v>
      </c>
      <c r="AKW295" s="24">
        <v>3</v>
      </c>
      <c r="ALN295" s="24">
        <v>1</v>
      </c>
      <c r="ALO295" s="24">
        <v>40</v>
      </c>
      <c r="ALP295" s="24">
        <v>1</v>
      </c>
      <c r="ALQ295" s="24">
        <v>1.83</v>
      </c>
      <c r="ALR295" s="24">
        <v>6</v>
      </c>
      <c r="ALS295" s="24">
        <v>40</v>
      </c>
      <c r="ALT295" s="24">
        <v>1</v>
      </c>
      <c r="ALU295" s="24">
        <v>1.65</v>
      </c>
      <c r="ALV295" s="24">
        <v>3</v>
      </c>
      <c r="ALW295" s="24">
        <v>40</v>
      </c>
      <c r="ALX295" s="24">
        <v>1</v>
      </c>
      <c r="ALY295" s="24">
        <v>1.83</v>
      </c>
      <c r="ALZ295" s="24">
        <v>4</v>
      </c>
      <c r="AMA295" s="24">
        <v>40</v>
      </c>
      <c r="AMB295" s="24">
        <v>4</v>
      </c>
      <c r="AMC295" s="24">
        <v>0.26</v>
      </c>
      <c r="AMD295" s="24">
        <v>1</v>
      </c>
    </row>
    <row r="296" spans="1:1024" x14ac:dyDescent="0.2">
      <c r="A296" s="22" t="s">
        <v>865</v>
      </c>
      <c r="B296" s="23">
        <v>42909</v>
      </c>
      <c r="C296" s="24">
        <v>2</v>
      </c>
      <c r="D296" s="25">
        <v>42811</v>
      </c>
      <c r="E296" s="23">
        <v>30831</v>
      </c>
      <c r="F296" s="14">
        <f t="shared" si="106"/>
        <v>33.067761806981522</v>
      </c>
      <c r="G296" s="14">
        <f t="shared" si="107"/>
        <v>0.26830937713894593</v>
      </c>
      <c r="H296" s="26" t="s">
        <v>306</v>
      </c>
      <c r="I296" s="21" t="s">
        <v>689</v>
      </c>
      <c r="J296" s="21" t="s">
        <v>183</v>
      </c>
      <c r="K296" s="21">
        <v>8</v>
      </c>
      <c r="L296" s="26">
        <v>78</v>
      </c>
      <c r="M296" s="24">
        <v>1.81</v>
      </c>
      <c r="N296" s="27">
        <f t="shared" si="108"/>
        <v>23.808797045267237</v>
      </c>
      <c r="O296" s="26">
        <v>0</v>
      </c>
      <c r="P296" s="26">
        <v>0</v>
      </c>
      <c r="Q296" s="26">
        <v>0</v>
      </c>
      <c r="R296" s="26">
        <v>1</v>
      </c>
      <c r="S296" s="26">
        <v>1</v>
      </c>
      <c r="T296" s="26" t="s">
        <v>474</v>
      </c>
      <c r="U296" s="19">
        <v>0</v>
      </c>
      <c r="V296" s="19">
        <v>0</v>
      </c>
      <c r="W296" s="26">
        <v>0</v>
      </c>
      <c r="X296" s="26">
        <v>0</v>
      </c>
      <c r="Y296" s="26">
        <v>1</v>
      </c>
      <c r="Z296" s="26">
        <v>1</v>
      </c>
      <c r="AA296" s="26">
        <v>90</v>
      </c>
      <c r="AB296" s="26" t="s">
        <v>866</v>
      </c>
      <c r="AC296" s="26">
        <v>1</v>
      </c>
      <c r="AD296" s="26">
        <v>10</v>
      </c>
      <c r="AE296" s="26">
        <v>0</v>
      </c>
      <c r="AF296" s="26">
        <v>0</v>
      </c>
      <c r="AG296" s="26">
        <v>0</v>
      </c>
      <c r="AH296" s="26">
        <v>0</v>
      </c>
      <c r="AI296" s="26">
        <v>0</v>
      </c>
      <c r="AJ296" s="26">
        <v>0</v>
      </c>
      <c r="AK296" s="26">
        <v>0</v>
      </c>
      <c r="AL296" s="26">
        <v>0</v>
      </c>
      <c r="AM296" s="19">
        <v>0</v>
      </c>
      <c r="AN296" s="26">
        <v>0</v>
      </c>
      <c r="AO296" s="26">
        <v>0</v>
      </c>
      <c r="AP296" s="26">
        <v>0</v>
      </c>
      <c r="AQ296" s="26">
        <v>0</v>
      </c>
      <c r="AR296" s="26">
        <v>0</v>
      </c>
      <c r="AS296" s="26">
        <v>0</v>
      </c>
      <c r="AT296" s="26">
        <v>0</v>
      </c>
      <c r="AU296" s="26">
        <v>0</v>
      </c>
      <c r="AV296" s="26">
        <v>0</v>
      </c>
      <c r="AW296" s="26">
        <v>0</v>
      </c>
      <c r="AX296" s="26">
        <v>0</v>
      </c>
      <c r="AY296" s="26">
        <v>0</v>
      </c>
      <c r="AZ296" s="26">
        <v>0</v>
      </c>
      <c r="BA296" s="26">
        <v>0</v>
      </c>
      <c r="BB296" s="26">
        <v>0</v>
      </c>
      <c r="BC296" s="26">
        <v>0</v>
      </c>
      <c r="BD296" s="26">
        <v>0</v>
      </c>
      <c r="BE296" s="26">
        <v>0</v>
      </c>
      <c r="BF296" s="26">
        <v>0</v>
      </c>
      <c r="BG296" s="26">
        <v>0</v>
      </c>
      <c r="BH296" s="26">
        <v>0</v>
      </c>
      <c r="BI296" s="26">
        <v>0</v>
      </c>
      <c r="BJ296" s="26">
        <v>0</v>
      </c>
      <c r="BK296" s="26">
        <v>0</v>
      </c>
      <c r="BL296" s="26">
        <v>0</v>
      </c>
      <c r="BM296" s="26">
        <v>0</v>
      </c>
      <c r="BN296" s="26">
        <v>0</v>
      </c>
      <c r="BO296" s="26">
        <v>0</v>
      </c>
      <c r="BP296" s="26">
        <v>0</v>
      </c>
      <c r="BQ296" s="26">
        <v>0</v>
      </c>
      <c r="BR296" s="26">
        <v>3</v>
      </c>
      <c r="BS296" s="26">
        <v>2</v>
      </c>
      <c r="BT296" s="26">
        <v>4</v>
      </c>
      <c r="BU296" s="26">
        <v>5</v>
      </c>
      <c r="BV296" s="26">
        <v>3</v>
      </c>
      <c r="BW296" s="26">
        <v>3</v>
      </c>
      <c r="BX296" s="26">
        <v>5</v>
      </c>
      <c r="BY296" s="26">
        <v>5</v>
      </c>
      <c r="BZ296" s="26">
        <v>3</v>
      </c>
      <c r="CA296" s="26">
        <v>4</v>
      </c>
      <c r="CB296" s="26">
        <v>5</v>
      </c>
      <c r="CC296" s="26">
        <v>5</v>
      </c>
      <c r="CD296" s="26">
        <v>5</v>
      </c>
      <c r="CE296" s="26">
        <v>4</v>
      </c>
      <c r="CF296" s="26">
        <v>4</v>
      </c>
      <c r="CG296" s="26">
        <v>4</v>
      </c>
      <c r="CH296" s="26">
        <v>4</v>
      </c>
      <c r="CI296" s="26">
        <v>4</v>
      </c>
      <c r="CJ296" s="26">
        <v>4</v>
      </c>
      <c r="CK296" s="26">
        <v>10</v>
      </c>
      <c r="CL296" s="24" t="s">
        <v>690</v>
      </c>
      <c r="CM296" s="24">
        <v>38</v>
      </c>
      <c r="CN296" s="27">
        <v>85.5</v>
      </c>
      <c r="CO296" s="27">
        <v>83.4</v>
      </c>
      <c r="CP296" s="27">
        <v>28.7</v>
      </c>
      <c r="CQ296" s="24">
        <v>61.84</v>
      </c>
      <c r="CR296" s="24">
        <v>0</v>
      </c>
      <c r="CS296" s="24">
        <v>0</v>
      </c>
      <c r="CT296" s="24">
        <v>0</v>
      </c>
      <c r="CU296" s="24">
        <v>37.42</v>
      </c>
      <c r="CV296" s="24">
        <v>0</v>
      </c>
      <c r="CW296" s="24">
        <v>0.73</v>
      </c>
      <c r="CX296" s="24">
        <v>0</v>
      </c>
      <c r="CY296" s="24">
        <v>0</v>
      </c>
      <c r="CZ296" s="24">
        <v>0.74</v>
      </c>
      <c r="DA296" s="24">
        <v>0</v>
      </c>
      <c r="DB296" s="24">
        <v>7.34</v>
      </c>
      <c r="DC296" s="24">
        <v>25.37</v>
      </c>
      <c r="DD296" s="24">
        <v>15.03</v>
      </c>
      <c r="DE296" s="24">
        <v>30.09</v>
      </c>
      <c r="DF296" s="24">
        <v>0</v>
      </c>
      <c r="DG296" s="24">
        <v>0</v>
      </c>
      <c r="DH296" s="24">
        <v>0</v>
      </c>
      <c r="DU296" s="24">
        <v>1.7</v>
      </c>
      <c r="DV296" s="24">
        <v>0</v>
      </c>
      <c r="EG296" s="28"/>
      <c r="EY296" s="24">
        <v>1</v>
      </c>
      <c r="EZ296" s="24">
        <v>50</v>
      </c>
      <c r="FA296" s="24">
        <v>4</v>
      </c>
      <c r="FB296" s="24">
        <v>0.46</v>
      </c>
      <c r="FC296" s="24">
        <v>6</v>
      </c>
      <c r="FD296" s="24">
        <v>40</v>
      </c>
      <c r="FE296" s="24">
        <v>10</v>
      </c>
      <c r="FF296" s="24">
        <f t="shared" si="115"/>
        <v>0.47000000000000003</v>
      </c>
      <c r="FG296" s="24">
        <v>1</v>
      </c>
      <c r="FH296" s="24">
        <v>40</v>
      </c>
      <c r="FI296" s="24">
        <v>10</v>
      </c>
      <c r="FJ296" s="24">
        <f t="shared" si="116"/>
        <v>0.51</v>
      </c>
      <c r="FK296" s="24">
        <v>6</v>
      </c>
      <c r="FL296" s="24">
        <v>60</v>
      </c>
      <c r="FM296" s="24">
        <v>6</v>
      </c>
      <c r="FN296" s="24">
        <f t="shared" si="117"/>
        <v>9.84</v>
      </c>
      <c r="FO296" s="24">
        <v>3</v>
      </c>
      <c r="GJ296" s="27">
        <v>1.55</v>
      </c>
      <c r="GK296" s="27">
        <v>1</v>
      </c>
      <c r="GL296" s="27">
        <v>1</v>
      </c>
      <c r="GM296" s="27"/>
      <c r="GN296" s="27">
        <f t="shared" si="118"/>
        <v>3.3</v>
      </c>
      <c r="GO296" s="27">
        <v>2</v>
      </c>
      <c r="GP296" s="27"/>
      <c r="GQ296" s="27">
        <v>0.54</v>
      </c>
      <c r="GR296" s="27"/>
      <c r="GS296" s="27"/>
      <c r="GT296" s="27"/>
      <c r="GU296" s="27">
        <v>5.74</v>
      </c>
      <c r="GV296" s="27">
        <v>3.64</v>
      </c>
      <c r="GW296" s="27"/>
      <c r="GX296" s="27"/>
      <c r="GY296" s="27">
        <v>0</v>
      </c>
      <c r="GZ296" s="27">
        <v>0</v>
      </c>
      <c r="HA296" s="27">
        <v>0</v>
      </c>
      <c r="HB296" s="24">
        <v>0</v>
      </c>
      <c r="HC296" s="24" t="s">
        <v>691</v>
      </c>
      <c r="HD296" s="24">
        <v>63.5</v>
      </c>
      <c r="HE296" s="27">
        <v>98.9</v>
      </c>
      <c r="HF296" s="27">
        <v>83.4</v>
      </c>
      <c r="HG296" s="27">
        <v>51</v>
      </c>
      <c r="HH296" s="24">
        <v>53.65</v>
      </c>
      <c r="HI296" s="24">
        <v>0</v>
      </c>
      <c r="HJ296" s="24">
        <v>11.99</v>
      </c>
      <c r="HK296" s="24">
        <v>24.1</v>
      </c>
      <c r="HL296" s="24">
        <v>10.26</v>
      </c>
      <c r="HM296" s="24">
        <v>0</v>
      </c>
      <c r="HN296" s="24">
        <v>0</v>
      </c>
      <c r="HO296" s="24">
        <v>0</v>
      </c>
      <c r="HP296" s="24">
        <v>0</v>
      </c>
      <c r="HQ296" s="24">
        <v>0</v>
      </c>
      <c r="HR296" s="24">
        <v>0</v>
      </c>
      <c r="HS296" s="24">
        <v>9.1</v>
      </c>
      <c r="HT296" s="24">
        <v>26.31</v>
      </c>
      <c r="HU296" s="24">
        <v>5.53</v>
      </c>
      <c r="HV296" s="24">
        <v>0.94</v>
      </c>
      <c r="HW296" s="24">
        <v>0</v>
      </c>
      <c r="HX296" s="24">
        <v>0</v>
      </c>
      <c r="HY296" s="24">
        <v>0</v>
      </c>
      <c r="IL296" s="24">
        <v>6.1</v>
      </c>
      <c r="IM296" s="24">
        <v>0</v>
      </c>
      <c r="IX296" s="28"/>
      <c r="JP296" s="24">
        <v>1</v>
      </c>
      <c r="JQ296" s="24">
        <v>50</v>
      </c>
      <c r="JR296" s="24">
        <v>1</v>
      </c>
      <c r="JS296" s="24">
        <v>0.39</v>
      </c>
      <c r="JT296" s="24">
        <v>3</v>
      </c>
      <c r="JU296" s="24">
        <v>50</v>
      </c>
      <c r="JV296" s="24">
        <v>2</v>
      </c>
      <c r="JW296" s="24">
        <f>0.19+0.23</f>
        <v>0.42000000000000004</v>
      </c>
      <c r="JX296" s="24">
        <v>4</v>
      </c>
      <c r="JY296" s="24">
        <v>60</v>
      </c>
      <c r="JZ296" s="24">
        <v>12</v>
      </c>
      <c r="KA296" s="24">
        <f>0.78*2</f>
        <v>1.56</v>
      </c>
      <c r="KB296" s="24">
        <v>6</v>
      </c>
      <c r="LA296" s="27">
        <v>5.39</v>
      </c>
      <c r="LB296" s="27">
        <v>1</v>
      </c>
      <c r="LC296" s="27">
        <v>1</v>
      </c>
      <c r="LD296" s="27"/>
      <c r="LE296" s="27">
        <f>2.04*3+0.36*2</f>
        <v>6.84</v>
      </c>
      <c r="LF296" s="27">
        <v>2</v>
      </c>
      <c r="LG296" s="27"/>
      <c r="LH296" s="27">
        <f>0.72*2+0.36</f>
        <v>1.7999999999999998</v>
      </c>
      <c r="LI296" s="27">
        <v>3</v>
      </c>
      <c r="LJ296" s="27"/>
      <c r="LK296" s="27">
        <v>0.5</v>
      </c>
      <c r="LL296" s="27">
        <v>0.94</v>
      </c>
      <c r="LM296" s="27">
        <v>0.94</v>
      </c>
      <c r="LN296" s="27"/>
      <c r="LO296" s="27"/>
      <c r="LP296" s="27">
        <v>0</v>
      </c>
      <c r="LQ296" s="27">
        <v>0</v>
      </c>
      <c r="LR296" s="27">
        <v>0</v>
      </c>
      <c r="LS296" s="24">
        <v>0</v>
      </c>
      <c r="LT296" s="24" t="s">
        <v>692</v>
      </c>
      <c r="LU296" s="24">
        <v>30.5</v>
      </c>
      <c r="LV296" s="27">
        <v>69.11</v>
      </c>
      <c r="LW296" s="27">
        <v>83.4</v>
      </c>
      <c r="LX296" s="27">
        <v>18.100000000000001</v>
      </c>
      <c r="LY296" s="24">
        <v>79.03</v>
      </c>
      <c r="LZ296" s="24">
        <v>0.45</v>
      </c>
      <c r="MA296" s="24">
        <v>0</v>
      </c>
      <c r="MB296" s="24">
        <v>0</v>
      </c>
      <c r="MC296" s="24">
        <v>20.52</v>
      </c>
      <c r="MD296" s="24">
        <v>0</v>
      </c>
      <c r="ME296" s="24">
        <v>0</v>
      </c>
      <c r="MF296" s="24">
        <v>0</v>
      </c>
      <c r="MG296" s="24">
        <v>0</v>
      </c>
      <c r="MH296" s="24">
        <v>0</v>
      </c>
      <c r="MI296" s="24">
        <v>0</v>
      </c>
      <c r="MJ296" s="24">
        <v>0</v>
      </c>
      <c r="MK296" s="24">
        <v>12.58</v>
      </c>
      <c r="ML296" s="24">
        <v>17.940000000000001</v>
      </c>
      <c r="MM296" s="24">
        <v>18.04</v>
      </c>
      <c r="MN296" s="24">
        <v>0</v>
      </c>
      <c r="MO296" s="24">
        <v>0</v>
      </c>
      <c r="MP296" s="24">
        <v>0</v>
      </c>
      <c r="NC296" s="24">
        <v>8.1</v>
      </c>
      <c r="ND296" s="24">
        <v>1</v>
      </c>
      <c r="NE296" s="24">
        <v>35</v>
      </c>
      <c r="NF296" s="24">
        <v>4</v>
      </c>
      <c r="NG296" s="24">
        <f>2.2+0.39</f>
        <v>2.5900000000000003</v>
      </c>
      <c r="NH296" s="24">
        <v>3</v>
      </c>
      <c r="NO296" s="28"/>
      <c r="OG296" s="24">
        <v>1</v>
      </c>
      <c r="OH296" s="24">
        <v>60</v>
      </c>
      <c r="OI296" s="24">
        <v>1</v>
      </c>
      <c r="OJ296" s="24">
        <v>0.73</v>
      </c>
      <c r="OK296" s="24">
        <v>3</v>
      </c>
      <c r="PR296" s="27">
        <v>3.89</v>
      </c>
      <c r="PS296" s="27">
        <v>1</v>
      </c>
      <c r="PT296" s="27">
        <v>1</v>
      </c>
      <c r="PU296" s="27"/>
      <c r="PV296" s="27">
        <f>0.14*2+0.21*2</f>
        <v>0.7</v>
      </c>
      <c r="PW296" s="27">
        <v>2</v>
      </c>
      <c r="PX296" s="27"/>
      <c r="PY296" s="27">
        <f>1.65*2</f>
        <v>3.3</v>
      </c>
      <c r="PZ296" s="27"/>
      <c r="QA296" s="27"/>
      <c r="QB296" s="27"/>
      <c r="QC296" s="27">
        <v>0</v>
      </c>
      <c r="QD296" s="27">
        <v>0</v>
      </c>
      <c r="QE296" s="27"/>
      <c r="QF296" s="27"/>
      <c r="QG296" s="27">
        <v>0</v>
      </c>
      <c r="QH296" s="27">
        <v>0</v>
      </c>
      <c r="QI296" s="27">
        <v>0</v>
      </c>
      <c r="QJ296" s="24">
        <v>0</v>
      </c>
      <c r="QK296" s="24" t="s">
        <v>697</v>
      </c>
      <c r="QL296" s="24">
        <v>42.5</v>
      </c>
      <c r="QM296" s="27">
        <v>92.2</v>
      </c>
      <c r="QN296" s="27">
        <v>83.4</v>
      </c>
      <c r="QO296" s="27">
        <v>33.5</v>
      </c>
      <c r="QP296" s="24">
        <v>25.89</v>
      </c>
      <c r="QQ296" s="24">
        <v>0</v>
      </c>
      <c r="QR296" s="24">
        <v>0</v>
      </c>
      <c r="QS296" s="24">
        <v>0</v>
      </c>
      <c r="QT296" s="24">
        <v>0</v>
      </c>
      <c r="QU296" s="24">
        <v>0</v>
      </c>
      <c r="QV296" s="24">
        <v>74.11</v>
      </c>
      <c r="QW296" s="24">
        <v>25.43</v>
      </c>
      <c r="QX296" s="24">
        <v>9.7200000000000006</v>
      </c>
      <c r="QY296" s="24">
        <v>2.94</v>
      </c>
      <c r="QZ296" s="24">
        <v>0</v>
      </c>
      <c r="RA296" s="24">
        <v>11.38</v>
      </c>
      <c r="RB296" s="24">
        <v>16.89</v>
      </c>
      <c r="RC296" s="24">
        <v>27.26</v>
      </c>
      <c r="RD296" s="24">
        <v>0</v>
      </c>
      <c r="RE296" s="24">
        <v>0</v>
      </c>
      <c r="RF296" s="24">
        <v>0</v>
      </c>
      <c r="RG296" s="24">
        <v>0</v>
      </c>
      <c r="RT296" s="24">
        <v>3.6</v>
      </c>
      <c r="RU296" s="24">
        <v>1</v>
      </c>
      <c r="RV296" s="24">
        <v>35</v>
      </c>
      <c r="RW296" s="24">
        <v>6</v>
      </c>
      <c r="RX296" s="24">
        <f>0.13*4</f>
        <v>0.52</v>
      </c>
      <c r="RY296" s="24">
        <v>3</v>
      </c>
      <c r="RZ296" s="24">
        <v>25</v>
      </c>
      <c r="SA296" s="24">
        <v>2</v>
      </c>
      <c r="SB296" s="24">
        <f>0.13*2</f>
        <v>0.26</v>
      </c>
      <c r="SC296" s="24">
        <v>4</v>
      </c>
      <c r="SF296" s="28"/>
      <c r="SX296" s="24">
        <v>0</v>
      </c>
      <c r="UI296" s="27">
        <v>3.01</v>
      </c>
      <c r="UJ296" s="27">
        <v>1</v>
      </c>
      <c r="UK296" s="27">
        <v>1</v>
      </c>
      <c r="UL296" s="27"/>
      <c r="UM296" s="27">
        <f>1.65*5+0.13*2+0.36+0.18</f>
        <v>9.0499999999999989</v>
      </c>
      <c r="UN296" s="27"/>
      <c r="UO296" s="27"/>
      <c r="UP296" s="27"/>
      <c r="UQ296" s="27"/>
      <c r="UR296" s="27"/>
      <c r="US296" s="27"/>
      <c r="UT296" s="27">
        <v>2.16</v>
      </c>
      <c r="UU296" s="27">
        <v>0.52</v>
      </c>
      <c r="UV296" s="27"/>
      <c r="UW296" s="27"/>
      <c r="UX296" s="27">
        <v>0</v>
      </c>
      <c r="UY296" s="27">
        <v>0</v>
      </c>
      <c r="UZ296" s="27">
        <v>0</v>
      </c>
      <c r="VA296" s="24">
        <v>0</v>
      </c>
      <c r="VB296" s="24" t="s">
        <v>698</v>
      </c>
      <c r="VC296" s="24">
        <v>37</v>
      </c>
      <c r="VD296" s="27">
        <v>86.3</v>
      </c>
      <c r="VE296" s="27">
        <v>83.4</v>
      </c>
      <c r="VF296" s="27">
        <v>31.3</v>
      </c>
      <c r="VG296" s="24">
        <v>24.09</v>
      </c>
      <c r="VH296" s="24">
        <v>0</v>
      </c>
      <c r="VI296" s="24">
        <v>0</v>
      </c>
      <c r="VJ296" s="24">
        <v>0</v>
      </c>
      <c r="VK296" s="24">
        <v>0</v>
      </c>
      <c r="VL296" s="24">
        <v>0</v>
      </c>
      <c r="VM296" s="24">
        <v>75.91</v>
      </c>
      <c r="VN296" s="24">
        <v>21.83</v>
      </c>
      <c r="VO296" s="24">
        <v>8.6300000000000008</v>
      </c>
      <c r="VP296" s="24">
        <v>2.94</v>
      </c>
      <c r="VQ296" s="24">
        <v>0</v>
      </c>
      <c r="VR296" s="24">
        <v>13.66</v>
      </c>
      <c r="VS296" s="24">
        <v>10.54</v>
      </c>
      <c r="VT296" s="24">
        <v>28.39</v>
      </c>
      <c r="VU296" s="24">
        <v>0</v>
      </c>
      <c r="VV296" s="24">
        <v>0</v>
      </c>
      <c r="VW296" s="24">
        <v>0</v>
      </c>
      <c r="VX296" s="24">
        <v>0</v>
      </c>
      <c r="WK296" s="24">
        <v>2.7</v>
      </c>
      <c r="WL296" s="24">
        <v>1</v>
      </c>
      <c r="WM296" s="24">
        <v>52</v>
      </c>
      <c r="WN296" s="24">
        <v>1</v>
      </c>
      <c r="WO296" s="24">
        <v>0.39</v>
      </c>
      <c r="WP296" s="24">
        <v>2</v>
      </c>
      <c r="WQ296" s="24">
        <v>35</v>
      </c>
      <c r="WR296" s="24">
        <v>4</v>
      </c>
      <c r="WS296" s="24">
        <v>0.26</v>
      </c>
      <c r="WT296" s="24">
        <v>3</v>
      </c>
      <c r="WW296" s="28"/>
      <c r="XO296" s="24">
        <v>0</v>
      </c>
      <c r="YZ296" s="27">
        <v>2.83</v>
      </c>
      <c r="ZA296" s="27">
        <v>1</v>
      </c>
      <c r="ZB296" s="27">
        <v>1</v>
      </c>
      <c r="ZC296" s="27"/>
      <c r="ZD296" s="27">
        <f>1.65*5</f>
        <v>8.25</v>
      </c>
      <c r="ZE296" s="27"/>
      <c r="ZF296" s="27"/>
      <c r="ZG296" s="27"/>
      <c r="ZH296" s="27"/>
      <c r="ZI296" s="27"/>
      <c r="ZJ296" s="27"/>
      <c r="ZK296" s="27">
        <v>0</v>
      </c>
      <c r="ZL296" s="27">
        <v>0</v>
      </c>
      <c r="ZM296" s="27"/>
      <c r="ZN296" s="27"/>
      <c r="ZO296" s="27">
        <v>0</v>
      </c>
      <c r="ZP296" s="27">
        <v>0</v>
      </c>
      <c r="ZQ296" s="27">
        <v>0</v>
      </c>
      <c r="ZR296" s="24">
        <v>0</v>
      </c>
      <c r="ZS296" s="24" t="s">
        <v>702</v>
      </c>
      <c r="ZT296" s="24">
        <v>43.5</v>
      </c>
      <c r="ZU296" s="27">
        <v>73.8</v>
      </c>
      <c r="ZV296" s="27">
        <v>83.4</v>
      </c>
      <c r="ZW296" s="27">
        <v>26.5</v>
      </c>
      <c r="ZX296" s="24">
        <v>20.2</v>
      </c>
      <c r="ZY296" s="24">
        <v>0</v>
      </c>
      <c r="ZZ296" s="24">
        <v>26.95</v>
      </c>
      <c r="AAA296" s="24">
        <v>0</v>
      </c>
      <c r="AAB296" s="24">
        <v>0.39</v>
      </c>
      <c r="AAC296" s="24">
        <v>0</v>
      </c>
      <c r="AAD296" s="24">
        <v>79.41</v>
      </c>
      <c r="AAE296" s="24">
        <v>26.95</v>
      </c>
      <c r="AAF296" s="24">
        <v>0</v>
      </c>
      <c r="AAG296" s="24">
        <v>0</v>
      </c>
      <c r="AAH296" s="24">
        <v>0</v>
      </c>
      <c r="AAI296" s="24">
        <v>35.200000000000003</v>
      </c>
      <c r="AAJ296" s="24">
        <v>15.96</v>
      </c>
      <c r="AAK296" s="24">
        <v>39.090000000000003</v>
      </c>
      <c r="AAL296" s="24">
        <v>0.32</v>
      </c>
      <c r="AAM296" s="24">
        <v>0</v>
      </c>
      <c r="AAN296" s="24">
        <v>0</v>
      </c>
      <c r="AAO296" s="24">
        <v>0</v>
      </c>
      <c r="ABB296" s="24">
        <v>14.4</v>
      </c>
      <c r="ABC296" s="24">
        <v>1</v>
      </c>
      <c r="ABD296" s="24">
        <v>30</v>
      </c>
      <c r="ABE296" s="24">
        <v>5</v>
      </c>
      <c r="ABF296" s="24">
        <f>2.94+0.6</f>
        <v>3.54</v>
      </c>
      <c r="ABG296" s="24">
        <v>3</v>
      </c>
      <c r="ABH296" s="24">
        <v>34</v>
      </c>
      <c r="ABI296" s="24">
        <v>1</v>
      </c>
      <c r="ABJ296" s="24">
        <v>1.65</v>
      </c>
      <c r="ABK296" s="24">
        <v>1</v>
      </c>
      <c r="ABL296" s="24">
        <v>52</v>
      </c>
      <c r="ABM296" s="24">
        <v>6</v>
      </c>
      <c r="ABN296" s="28">
        <f>0.7+0.77+0.08+0.05</f>
        <v>1.6</v>
      </c>
      <c r="ABO296" s="24">
        <v>2</v>
      </c>
      <c r="ABP296" s="24">
        <v>35</v>
      </c>
      <c r="ABQ296" s="24">
        <v>1</v>
      </c>
      <c r="ABR296" s="24">
        <v>0.19</v>
      </c>
      <c r="ABS296" s="24">
        <v>3</v>
      </c>
      <c r="ABT296" s="24">
        <v>23</v>
      </c>
      <c r="ABU296" s="24">
        <v>3</v>
      </c>
      <c r="ABV296" s="24">
        <f>0.39+0.77</f>
        <v>1.1600000000000001</v>
      </c>
      <c r="ABW296" s="24">
        <v>3</v>
      </c>
      <c r="ACF296" s="24">
        <v>0</v>
      </c>
      <c r="ADQ296" s="27">
        <v>1.22</v>
      </c>
      <c r="ADR296" s="27">
        <v>1</v>
      </c>
      <c r="ADS296" s="27">
        <v>1</v>
      </c>
      <c r="ADT296" s="27"/>
      <c r="ADU296" s="27">
        <f>0.97*2+1.07*2</f>
        <v>4.08</v>
      </c>
      <c r="ADV296" s="27"/>
      <c r="ADW296" s="27"/>
      <c r="ADX296" s="27"/>
      <c r="ADY296" s="27"/>
      <c r="ADZ296" s="27"/>
      <c r="AEA296" s="27"/>
      <c r="AEB296" s="27">
        <v>0</v>
      </c>
      <c r="AEC296" s="27">
        <v>0</v>
      </c>
      <c r="AED296" s="27"/>
      <c r="AEE296" s="27"/>
      <c r="AEF296" s="27">
        <v>0</v>
      </c>
      <c r="AEG296" s="27">
        <v>0</v>
      </c>
      <c r="AEH296" s="27">
        <v>1.22</v>
      </c>
      <c r="AEI296" s="24">
        <v>0</v>
      </c>
      <c r="AEJ296" s="24" t="s">
        <v>693</v>
      </c>
      <c r="AEK296" s="24">
        <v>33.5</v>
      </c>
      <c r="AEL296" s="27">
        <v>92.3</v>
      </c>
      <c r="AEM296" s="27">
        <v>83.4</v>
      </c>
      <c r="AEN296" s="27">
        <v>19.8</v>
      </c>
      <c r="AEO296" s="24">
        <v>72.02</v>
      </c>
      <c r="AEP296" s="24">
        <v>2.2000000000000002</v>
      </c>
      <c r="AEQ296" s="24">
        <v>7.75</v>
      </c>
      <c r="AER296" s="24">
        <v>0</v>
      </c>
      <c r="AES296" s="24">
        <v>5.49</v>
      </c>
      <c r="AET296" s="24">
        <v>0</v>
      </c>
      <c r="AEU296" s="24">
        <v>6.84</v>
      </c>
      <c r="AEV296" s="24">
        <v>0</v>
      </c>
      <c r="AEW296" s="24">
        <v>0</v>
      </c>
      <c r="AEX296" s="24">
        <v>0</v>
      </c>
      <c r="AEY296" s="24">
        <v>0</v>
      </c>
      <c r="AEZ296" s="24">
        <v>7.13</v>
      </c>
      <c r="AFA296" s="24">
        <v>54.84</v>
      </c>
      <c r="AFB296" s="24">
        <v>10.130000000000001</v>
      </c>
      <c r="AFC296" s="24">
        <v>3.36</v>
      </c>
      <c r="AFD296" s="24">
        <v>5.7</v>
      </c>
      <c r="AFE296" s="24">
        <v>0</v>
      </c>
      <c r="AFF296" s="24">
        <v>0</v>
      </c>
      <c r="AFO296" s="24">
        <v>2</v>
      </c>
      <c r="AFS296" s="24">
        <v>3.4</v>
      </c>
      <c r="AFT296" s="24">
        <v>1</v>
      </c>
      <c r="AFU296" s="24">
        <v>34</v>
      </c>
      <c r="AFV296" s="24">
        <v>1</v>
      </c>
      <c r="AFW296" s="24">
        <v>1.28</v>
      </c>
      <c r="AFX296" s="24">
        <v>1</v>
      </c>
      <c r="AFY296" s="24">
        <v>52</v>
      </c>
      <c r="AFZ296" s="24">
        <v>1</v>
      </c>
      <c r="AGA296" s="24">
        <v>0.73</v>
      </c>
      <c r="AGB296" s="24">
        <v>2</v>
      </c>
      <c r="AGC296" s="24">
        <v>30</v>
      </c>
      <c r="AGD296" s="24">
        <v>1</v>
      </c>
      <c r="AGE296" s="28">
        <v>0.13</v>
      </c>
      <c r="AGF296" s="24">
        <v>3</v>
      </c>
      <c r="AGW296" s="24">
        <v>1</v>
      </c>
      <c r="AGX296" s="24">
        <v>40</v>
      </c>
      <c r="AGY296" s="24">
        <v>1</v>
      </c>
      <c r="AGZ296" s="24">
        <v>1.83</v>
      </c>
      <c r="AHA296" s="24">
        <v>6</v>
      </c>
      <c r="AHB296" s="24">
        <v>40</v>
      </c>
      <c r="AHC296" s="24">
        <v>1</v>
      </c>
      <c r="AHD296" s="24">
        <v>1.65</v>
      </c>
      <c r="AHE296" s="24">
        <v>3</v>
      </c>
      <c r="AHF296" s="24">
        <v>40</v>
      </c>
      <c r="AHG296" s="24">
        <v>1</v>
      </c>
      <c r="AHH296" s="24">
        <v>1.83</v>
      </c>
      <c r="AHI296" s="24">
        <v>4</v>
      </c>
      <c r="AHJ296" s="24">
        <v>40</v>
      </c>
      <c r="AHK296" s="24">
        <v>4</v>
      </c>
      <c r="AHL296" s="24">
        <v>0.26</v>
      </c>
      <c r="AHM296" s="24">
        <v>1</v>
      </c>
      <c r="AIH296" s="27">
        <v>3.89</v>
      </c>
      <c r="AII296" s="27">
        <v>1</v>
      </c>
      <c r="AIJ296" s="27">
        <v>1</v>
      </c>
      <c r="AIK296" s="27"/>
      <c r="AIL296" s="27">
        <f>0.36*2</f>
        <v>0.72</v>
      </c>
      <c r="AIM296" s="27">
        <v>2</v>
      </c>
      <c r="AIN296" s="27"/>
      <c r="AIO296" s="27">
        <f>2.04*2</f>
        <v>4.08</v>
      </c>
      <c r="AIP296" s="27"/>
      <c r="AIQ296" s="27"/>
      <c r="AIR296" s="27"/>
      <c r="AIS296" s="27">
        <v>3.27</v>
      </c>
      <c r="AIT296" s="27">
        <v>2.46</v>
      </c>
      <c r="AIU296" s="27"/>
      <c r="AIV296" s="27"/>
      <c r="AIW296" s="27">
        <v>2.88</v>
      </c>
      <c r="AIX296" s="27">
        <v>4.1399999999999997</v>
      </c>
      <c r="AIY296" s="27">
        <v>0</v>
      </c>
      <c r="AIZ296" s="24">
        <v>0</v>
      </c>
      <c r="AJA296" s="24" t="s">
        <v>699</v>
      </c>
      <c r="AJB296" s="24">
        <v>44.5</v>
      </c>
      <c r="AJC296" s="27">
        <v>101.7</v>
      </c>
      <c r="AJD296" s="27">
        <v>83.4</v>
      </c>
      <c r="AJE296" s="27">
        <v>22.5</v>
      </c>
      <c r="AJF296" s="24">
        <v>75.78</v>
      </c>
      <c r="AJG296" s="24">
        <v>0</v>
      </c>
      <c r="AJH296" s="24">
        <v>2.04</v>
      </c>
      <c r="AJI296" s="24">
        <v>0</v>
      </c>
      <c r="AJJ296" s="24">
        <v>8.57</v>
      </c>
      <c r="AJK296" s="24">
        <v>0</v>
      </c>
      <c r="AJL296" s="24">
        <v>2.21</v>
      </c>
      <c r="AJM296" s="24">
        <v>0</v>
      </c>
      <c r="AJN296" s="24">
        <v>1.1000000000000001</v>
      </c>
      <c r="AJO296" s="24">
        <v>0</v>
      </c>
      <c r="AJP296" s="24">
        <v>0</v>
      </c>
      <c r="AJQ296" s="24">
        <v>1.61</v>
      </c>
      <c r="AJR296" s="24">
        <v>54.76</v>
      </c>
      <c r="AJS296" s="24">
        <v>16</v>
      </c>
      <c r="AJT296" s="24">
        <v>6.05</v>
      </c>
      <c r="AJU296" s="24">
        <v>10.83</v>
      </c>
      <c r="AJV296" s="24">
        <v>10.1</v>
      </c>
      <c r="AJW296" s="24">
        <v>1</v>
      </c>
      <c r="AJX296" s="24">
        <v>2</v>
      </c>
      <c r="AJZ296" s="24">
        <v>3</v>
      </c>
      <c r="AKA296" s="24">
        <v>5</v>
      </c>
      <c r="AKC296" s="24">
        <v>1</v>
      </c>
      <c r="AKD296" s="24">
        <v>3</v>
      </c>
      <c r="AKF296" s="24">
        <v>1</v>
      </c>
      <c r="AKJ296" s="24">
        <v>3</v>
      </c>
      <c r="AKK296" s="24">
        <v>1</v>
      </c>
      <c r="AKL296" s="24">
        <v>52</v>
      </c>
      <c r="AKM296" s="24">
        <v>1</v>
      </c>
      <c r="AKN296" s="24">
        <v>0.73</v>
      </c>
      <c r="AKO296" s="24">
        <v>2</v>
      </c>
      <c r="AKP296" s="24">
        <v>34</v>
      </c>
      <c r="AKQ296" s="24">
        <v>1</v>
      </c>
      <c r="AKR296" s="24">
        <v>1.28</v>
      </c>
      <c r="AKS296" s="24">
        <v>1</v>
      </c>
      <c r="AKV296" s="28"/>
      <c r="ALN296" s="24">
        <v>1</v>
      </c>
      <c r="ALO296" s="24">
        <v>40</v>
      </c>
      <c r="ALP296" s="24">
        <v>1</v>
      </c>
      <c r="ALQ296" s="24">
        <v>1.83</v>
      </c>
      <c r="ALR296" s="24">
        <v>6</v>
      </c>
      <c r="ALS296" s="24">
        <v>40</v>
      </c>
      <c r="ALT296" s="24">
        <v>1</v>
      </c>
      <c r="ALU296" s="24">
        <v>1.65</v>
      </c>
      <c r="ALV296" s="24">
        <v>3</v>
      </c>
      <c r="ALW296" s="24">
        <v>40</v>
      </c>
      <c r="ALX296" s="24">
        <v>3</v>
      </c>
      <c r="ALY296" s="24">
        <f>0.26+1.83</f>
        <v>2.09</v>
      </c>
      <c r="ALZ296" s="24">
        <v>4</v>
      </c>
    </row>
    <row r="297" spans="1:1024" x14ac:dyDescent="0.2">
      <c r="A297" s="22" t="s">
        <v>867</v>
      </c>
      <c r="B297" s="23">
        <v>42909</v>
      </c>
      <c r="C297" s="24">
        <v>2</v>
      </c>
      <c r="D297" s="25">
        <v>35103</v>
      </c>
      <c r="E297" s="23">
        <v>27871</v>
      </c>
      <c r="F297" s="14">
        <f t="shared" si="106"/>
        <v>41.171800136892543</v>
      </c>
      <c r="G297" s="14">
        <f t="shared" si="107"/>
        <v>21.371663244353183</v>
      </c>
      <c r="H297" s="26" t="s">
        <v>306</v>
      </c>
      <c r="I297" s="21" t="s">
        <v>689</v>
      </c>
      <c r="J297" s="21" t="s">
        <v>183</v>
      </c>
      <c r="K297" s="21">
        <v>8</v>
      </c>
      <c r="L297" s="26">
        <v>68</v>
      </c>
      <c r="M297" s="24">
        <v>1.69</v>
      </c>
      <c r="N297" s="27">
        <f t="shared" si="108"/>
        <v>23.808690171912751</v>
      </c>
      <c r="O297" s="26">
        <v>0</v>
      </c>
      <c r="P297" s="26">
        <v>0</v>
      </c>
      <c r="Q297" s="26">
        <v>0</v>
      </c>
      <c r="R297" s="26">
        <v>0</v>
      </c>
      <c r="S297" s="26">
        <v>0</v>
      </c>
      <c r="T297" s="26">
        <v>0</v>
      </c>
      <c r="U297" s="19">
        <v>0</v>
      </c>
      <c r="V297" s="19">
        <v>0</v>
      </c>
      <c r="W297" s="26">
        <v>0</v>
      </c>
      <c r="X297" s="26">
        <v>0</v>
      </c>
      <c r="Y297" s="26">
        <v>1</v>
      </c>
      <c r="Z297" s="26">
        <v>1</v>
      </c>
      <c r="AA297" s="26">
        <v>60</v>
      </c>
      <c r="AB297" s="26" t="s">
        <v>284</v>
      </c>
      <c r="AC297" s="26">
        <v>0</v>
      </c>
      <c r="AD297" s="26">
        <v>0</v>
      </c>
      <c r="AE297" s="26">
        <v>1</v>
      </c>
      <c r="AF297" s="26">
        <v>1</v>
      </c>
      <c r="AG297" s="26">
        <v>1</v>
      </c>
      <c r="AH297" s="26">
        <v>7</v>
      </c>
      <c r="AI297" s="26">
        <v>3</v>
      </c>
      <c r="AJ297" s="26">
        <v>0</v>
      </c>
      <c r="AK297" s="26">
        <v>0</v>
      </c>
      <c r="AL297" s="26">
        <v>0</v>
      </c>
      <c r="AM297" s="19">
        <v>0</v>
      </c>
      <c r="AN297" s="26">
        <v>1</v>
      </c>
      <c r="AO297" s="26">
        <v>0</v>
      </c>
      <c r="AP297" s="26">
        <v>0</v>
      </c>
      <c r="AQ297" s="26">
        <v>0</v>
      </c>
      <c r="AR297" s="26">
        <v>0</v>
      </c>
      <c r="AS297" s="26">
        <v>3</v>
      </c>
      <c r="AT297" s="26">
        <v>3</v>
      </c>
      <c r="AU297" s="26">
        <v>3</v>
      </c>
      <c r="AV297" s="26">
        <v>7</v>
      </c>
      <c r="AW297" s="26">
        <v>7</v>
      </c>
      <c r="AX297" s="26">
        <v>0</v>
      </c>
      <c r="AY297" s="26">
        <v>0</v>
      </c>
      <c r="AZ297" s="26">
        <v>0</v>
      </c>
      <c r="BA297" s="26">
        <v>0</v>
      </c>
      <c r="BB297" s="26">
        <v>1</v>
      </c>
      <c r="BC297" s="26">
        <v>1</v>
      </c>
      <c r="BD297" s="26">
        <v>1</v>
      </c>
      <c r="BE297" s="26">
        <v>6</v>
      </c>
      <c r="BF297" s="26">
        <v>0</v>
      </c>
      <c r="BG297" s="26">
        <v>0</v>
      </c>
      <c r="BH297" s="26">
        <v>0</v>
      </c>
      <c r="BI297" s="26">
        <v>0</v>
      </c>
      <c r="BJ297" s="26">
        <v>1</v>
      </c>
      <c r="BK297" s="26">
        <v>1</v>
      </c>
      <c r="BL297" s="26">
        <v>0</v>
      </c>
      <c r="BM297" s="26">
        <v>0</v>
      </c>
      <c r="BN297" s="26">
        <v>0</v>
      </c>
      <c r="BO297" s="26">
        <v>0</v>
      </c>
      <c r="BP297" s="26">
        <v>0</v>
      </c>
      <c r="BQ297" s="26">
        <v>0</v>
      </c>
      <c r="BR297" s="26">
        <v>5</v>
      </c>
      <c r="BS297" s="26">
        <v>3</v>
      </c>
      <c r="BT297" s="26">
        <v>5</v>
      </c>
      <c r="BU297" s="26">
        <v>5</v>
      </c>
      <c r="BV297" s="26">
        <v>4</v>
      </c>
      <c r="BW297" s="26">
        <v>5</v>
      </c>
      <c r="BX297" s="26">
        <v>5</v>
      </c>
      <c r="BY297" s="26">
        <v>5</v>
      </c>
      <c r="BZ297" s="26">
        <v>3</v>
      </c>
      <c r="CA297" s="26">
        <v>3</v>
      </c>
      <c r="CB297" s="26">
        <v>3</v>
      </c>
      <c r="CC297" s="26">
        <v>5</v>
      </c>
      <c r="CD297" s="26">
        <v>4</v>
      </c>
      <c r="CE297" s="26">
        <v>3</v>
      </c>
      <c r="CF297" s="26">
        <v>4</v>
      </c>
      <c r="CG297" s="26">
        <v>4</v>
      </c>
      <c r="CH297" s="26">
        <v>3</v>
      </c>
      <c r="CI297" s="26">
        <v>4</v>
      </c>
      <c r="CJ297" s="26">
        <v>3</v>
      </c>
      <c r="CK297" s="26">
        <v>7</v>
      </c>
      <c r="CL297" s="24" t="s">
        <v>690</v>
      </c>
      <c r="CM297" s="24">
        <v>38</v>
      </c>
      <c r="CN297" s="27">
        <v>85.5</v>
      </c>
      <c r="CO297" s="27">
        <v>83.4</v>
      </c>
      <c r="CP297" s="27">
        <v>28.7</v>
      </c>
      <c r="CQ297" s="24">
        <v>61.84</v>
      </c>
      <c r="CR297" s="24">
        <v>0</v>
      </c>
      <c r="CS297" s="24">
        <v>0</v>
      </c>
      <c r="CT297" s="24">
        <v>0</v>
      </c>
      <c r="CU297" s="24">
        <v>37.42</v>
      </c>
      <c r="CV297" s="24">
        <v>0</v>
      </c>
      <c r="CW297" s="24">
        <v>0.73</v>
      </c>
      <c r="CX297" s="24">
        <v>0</v>
      </c>
      <c r="CY297" s="24">
        <v>0</v>
      </c>
      <c r="CZ297" s="24">
        <v>0.74</v>
      </c>
      <c r="DA297" s="24">
        <v>0</v>
      </c>
      <c r="DB297" s="24">
        <v>7.34</v>
      </c>
      <c r="DC297" s="24">
        <v>25.37</v>
      </c>
      <c r="DD297" s="24">
        <v>15.03</v>
      </c>
      <c r="DE297" s="24">
        <v>30.09</v>
      </c>
      <c r="DF297" s="24">
        <v>0</v>
      </c>
      <c r="DG297" s="24">
        <v>0</v>
      </c>
      <c r="DH297" s="24">
        <v>0</v>
      </c>
      <c r="DU297" s="24">
        <v>1.7</v>
      </c>
      <c r="DV297" s="24">
        <v>0</v>
      </c>
      <c r="EG297" s="28"/>
      <c r="EY297" s="24">
        <v>1</v>
      </c>
      <c r="EZ297" s="24">
        <v>50</v>
      </c>
      <c r="FA297" s="24">
        <v>4</v>
      </c>
      <c r="FB297" s="24">
        <v>0.46</v>
      </c>
      <c r="FC297" s="24">
        <v>6</v>
      </c>
      <c r="FD297" s="24">
        <v>40</v>
      </c>
      <c r="FE297" s="24">
        <v>10</v>
      </c>
      <c r="FF297" s="24">
        <f t="shared" si="115"/>
        <v>0.47000000000000003</v>
      </c>
      <c r="FG297" s="24">
        <v>1</v>
      </c>
      <c r="FH297" s="24">
        <v>40</v>
      </c>
      <c r="FI297" s="24">
        <v>10</v>
      </c>
      <c r="FJ297" s="24">
        <f t="shared" si="116"/>
        <v>0.51</v>
      </c>
      <c r="FK297" s="24">
        <v>6</v>
      </c>
      <c r="FL297" s="24">
        <v>60</v>
      </c>
      <c r="FM297" s="24">
        <v>6</v>
      </c>
      <c r="FN297" s="24">
        <f t="shared" si="117"/>
        <v>9.84</v>
      </c>
      <c r="FO297" s="24">
        <v>3</v>
      </c>
      <c r="GJ297" s="27">
        <v>1.55</v>
      </c>
      <c r="GK297" s="27">
        <v>1</v>
      </c>
      <c r="GL297" s="27">
        <v>1</v>
      </c>
      <c r="GM297" s="27"/>
      <c r="GN297" s="27">
        <f t="shared" si="118"/>
        <v>3.3</v>
      </c>
      <c r="GO297" s="27">
        <v>2</v>
      </c>
      <c r="GP297" s="27"/>
      <c r="GQ297" s="27">
        <v>0.54</v>
      </c>
      <c r="GR297" s="27"/>
      <c r="GS297" s="27"/>
      <c r="GT297" s="27"/>
      <c r="GU297" s="27">
        <v>5.74</v>
      </c>
      <c r="GV297" s="27">
        <v>3.64</v>
      </c>
      <c r="GW297" s="27"/>
      <c r="GX297" s="27"/>
      <c r="GY297" s="27">
        <v>0</v>
      </c>
      <c r="GZ297" s="27">
        <v>0</v>
      </c>
      <c r="HA297" s="27">
        <v>0</v>
      </c>
      <c r="HB297" s="24">
        <v>0</v>
      </c>
      <c r="HC297" s="24" t="s">
        <v>691</v>
      </c>
      <c r="HD297" s="24">
        <v>63.5</v>
      </c>
      <c r="HE297" s="27">
        <v>98.9</v>
      </c>
      <c r="HF297" s="27">
        <v>83.4</v>
      </c>
      <c r="HG297" s="27">
        <v>51</v>
      </c>
      <c r="HH297" s="24">
        <v>53.65</v>
      </c>
      <c r="HI297" s="24">
        <v>0</v>
      </c>
      <c r="HJ297" s="24">
        <v>11.99</v>
      </c>
      <c r="HK297" s="24">
        <v>24.1</v>
      </c>
      <c r="HL297" s="24">
        <v>10.26</v>
      </c>
      <c r="HM297" s="24">
        <v>0</v>
      </c>
      <c r="HN297" s="24">
        <v>0</v>
      </c>
      <c r="HO297" s="24">
        <v>0</v>
      </c>
      <c r="HP297" s="24">
        <v>0</v>
      </c>
      <c r="HQ297" s="24">
        <v>0</v>
      </c>
      <c r="HR297" s="24">
        <v>0</v>
      </c>
      <c r="HS297" s="24">
        <v>9.1</v>
      </c>
      <c r="HT297" s="24">
        <v>26.31</v>
      </c>
      <c r="HU297" s="24">
        <v>5.53</v>
      </c>
      <c r="HV297" s="24">
        <v>0.94</v>
      </c>
      <c r="HW297" s="24">
        <v>0</v>
      </c>
      <c r="HX297" s="24">
        <v>0</v>
      </c>
      <c r="HY297" s="24">
        <v>0</v>
      </c>
      <c r="IL297" s="24">
        <v>6.1</v>
      </c>
      <c r="IM297" s="24">
        <v>0</v>
      </c>
      <c r="IX297" s="28"/>
      <c r="JP297" s="24">
        <v>1</v>
      </c>
      <c r="JQ297" s="24">
        <v>50</v>
      </c>
      <c r="JR297" s="24">
        <v>1</v>
      </c>
      <c r="JS297" s="24">
        <v>0.39</v>
      </c>
      <c r="JT297" s="24">
        <v>3</v>
      </c>
      <c r="JU297" s="24">
        <v>50</v>
      </c>
      <c r="JV297" s="24">
        <v>2</v>
      </c>
      <c r="JW297" s="24">
        <f>0.19+0.23</f>
        <v>0.42000000000000004</v>
      </c>
      <c r="JX297" s="24">
        <v>4</v>
      </c>
      <c r="JY297" s="24">
        <v>60</v>
      </c>
      <c r="JZ297" s="24">
        <v>12</v>
      </c>
      <c r="KA297" s="24">
        <f>0.78*2</f>
        <v>1.56</v>
      </c>
      <c r="KB297" s="24">
        <v>6</v>
      </c>
      <c r="LA297" s="27">
        <v>5.39</v>
      </c>
      <c r="LB297" s="27">
        <v>1</v>
      </c>
      <c r="LC297" s="27">
        <v>1</v>
      </c>
      <c r="LD297" s="27"/>
      <c r="LE297" s="27">
        <f>2.04*3+0.36*2</f>
        <v>6.84</v>
      </c>
      <c r="LF297" s="27">
        <v>2</v>
      </c>
      <c r="LG297" s="27"/>
      <c r="LH297" s="27">
        <f>0.72*2+0.36</f>
        <v>1.7999999999999998</v>
      </c>
      <c r="LI297" s="27">
        <v>3</v>
      </c>
      <c r="LJ297" s="27"/>
      <c r="LK297" s="27">
        <v>0.5</v>
      </c>
      <c r="LL297" s="27">
        <v>0.94</v>
      </c>
      <c r="LM297" s="27">
        <v>0.94</v>
      </c>
      <c r="LN297" s="27"/>
      <c r="LO297" s="27"/>
      <c r="LP297" s="27">
        <v>0</v>
      </c>
      <c r="LQ297" s="27">
        <v>0</v>
      </c>
      <c r="LR297" s="27">
        <v>0</v>
      </c>
      <c r="LS297" s="24">
        <v>0</v>
      </c>
      <c r="LT297" s="24" t="s">
        <v>692</v>
      </c>
      <c r="LU297" s="24">
        <v>30.5</v>
      </c>
      <c r="LV297" s="27">
        <v>69.11</v>
      </c>
      <c r="LW297" s="27">
        <v>83.4</v>
      </c>
      <c r="LX297" s="27">
        <v>18.100000000000001</v>
      </c>
      <c r="LY297" s="24">
        <v>79.03</v>
      </c>
      <c r="LZ297" s="24">
        <v>0.45</v>
      </c>
      <c r="MA297" s="24">
        <v>0</v>
      </c>
      <c r="MB297" s="24">
        <v>0</v>
      </c>
      <c r="MC297" s="24">
        <v>20.52</v>
      </c>
      <c r="MD297" s="24">
        <v>0</v>
      </c>
      <c r="ME297" s="24">
        <v>0</v>
      </c>
      <c r="MF297" s="24">
        <v>0</v>
      </c>
      <c r="MG297" s="24">
        <v>0</v>
      </c>
      <c r="MH297" s="24">
        <v>0</v>
      </c>
      <c r="MI297" s="24">
        <v>0</v>
      </c>
      <c r="MJ297" s="24">
        <v>0</v>
      </c>
      <c r="MK297" s="24">
        <v>12.58</v>
      </c>
      <c r="ML297" s="24">
        <v>17.940000000000001</v>
      </c>
      <c r="MM297" s="24">
        <v>18.04</v>
      </c>
      <c r="MN297" s="24">
        <v>0</v>
      </c>
      <c r="MO297" s="24">
        <v>0</v>
      </c>
      <c r="MP297" s="24">
        <v>0</v>
      </c>
      <c r="NC297" s="24">
        <v>8.1</v>
      </c>
      <c r="ND297" s="24">
        <v>1</v>
      </c>
      <c r="NE297" s="24">
        <v>35</v>
      </c>
      <c r="NF297" s="24">
        <v>4</v>
      </c>
      <c r="NG297" s="24">
        <f>2.2+0.39</f>
        <v>2.5900000000000003</v>
      </c>
      <c r="NH297" s="24">
        <v>3</v>
      </c>
      <c r="NO297" s="28"/>
      <c r="OG297" s="24">
        <v>1</v>
      </c>
      <c r="OH297" s="24">
        <v>60</v>
      </c>
      <c r="OI297" s="24">
        <v>1</v>
      </c>
      <c r="OJ297" s="24">
        <v>0.73</v>
      </c>
      <c r="OK297" s="24">
        <v>3</v>
      </c>
      <c r="PR297" s="27">
        <v>3.89</v>
      </c>
      <c r="PS297" s="27">
        <v>1</v>
      </c>
      <c r="PT297" s="27">
        <v>1</v>
      </c>
      <c r="PU297" s="27"/>
      <c r="PV297" s="27">
        <f>0.14*2+0.21*2</f>
        <v>0.7</v>
      </c>
      <c r="PW297" s="27">
        <v>2</v>
      </c>
      <c r="PX297" s="27"/>
      <c r="PY297" s="27">
        <f>1.65*2</f>
        <v>3.3</v>
      </c>
      <c r="PZ297" s="27"/>
      <c r="QA297" s="27"/>
      <c r="QB297" s="27"/>
      <c r="QC297" s="27">
        <v>0</v>
      </c>
      <c r="QD297" s="27">
        <v>0</v>
      </c>
      <c r="QE297" s="27"/>
      <c r="QF297" s="27"/>
      <c r="QG297" s="27">
        <v>0</v>
      </c>
      <c r="QH297" s="27">
        <v>0</v>
      </c>
      <c r="QI297" s="27">
        <v>0</v>
      </c>
      <c r="QJ297" s="24">
        <v>0</v>
      </c>
      <c r="QK297" s="24" t="s">
        <v>697</v>
      </c>
      <c r="QL297" s="24">
        <v>42.5</v>
      </c>
      <c r="QM297" s="27">
        <v>92.2</v>
      </c>
      <c r="QN297" s="27">
        <v>83.4</v>
      </c>
      <c r="QO297" s="27">
        <v>33.5</v>
      </c>
      <c r="QP297" s="24">
        <v>25.89</v>
      </c>
      <c r="QQ297" s="24">
        <v>0</v>
      </c>
      <c r="QR297" s="24">
        <v>0</v>
      </c>
      <c r="QS297" s="24">
        <v>0</v>
      </c>
      <c r="QT297" s="24">
        <v>0</v>
      </c>
      <c r="QU297" s="24">
        <v>0</v>
      </c>
      <c r="QV297" s="24">
        <v>74.11</v>
      </c>
      <c r="QW297" s="24">
        <v>25.43</v>
      </c>
      <c r="QX297" s="24">
        <v>9.7200000000000006</v>
      </c>
      <c r="QY297" s="24">
        <v>2.94</v>
      </c>
      <c r="QZ297" s="24">
        <v>0</v>
      </c>
      <c r="RA297" s="24">
        <v>11.38</v>
      </c>
      <c r="RB297" s="24">
        <v>16.89</v>
      </c>
      <c r="RC297" s="24">
        <v>27.26</v>
      </c>
      <c r="RD297" s="24">
        <v>0</v>
      </c>
      <c r="RE297" s="24">
        <v>0</v>
      </c>
      <c r="RF297" s="24">
        <v>0</v>
      </c>
      <c r="RG297" s="24">
        <v>0</v>
      </c>
      <c r="RT297" s="24">
        <v>3.6</v>
      </c>
      <c r="RU297" s="24">
        <v>1</v>
      </c>
      <c r="RV297" s="24">
        <v>35</v>
      </c>
      <c r="RW297" s="24">
        <v>6</v>
      </c>
      <c r="RX297" s="24">
        <f>0.13*4</f>
        <v>0.52</v>
      </c>
      <c r="RY297" s="24">
        <v>3</v>
      </c>
      <c r="RZ297" s="24">
        <v>25</v>
      </c>
      <c r="SA297" s="24">
        <v>2</v>
      </c>
      <c r="SB297" s="24">
        <f>0.13*2</f>
        <v>0.26</v>
      </c>
      <c r="SC297" s="24">
        <v>4</v>
      </c>
      <c r="SF297" s="28"/>
      <c r="SX297" s="24">
        <v>0</v>
      </c>
      <c r="UI297" s="27">
        <v>3.01</v>
      </c>
      <c r="UJ297" s="27">
        <v>1</v>
      </c>
      <c r="UK297" s="27">
        <v>1</v>
      </c>
      <c r="UL297" s="27"/>
      <c r="UM297" s="27">
        <f>1.65*5+0.13*2+0.36+0.18</f>
        <v>9.0499999999999989</v>
      </c>
      <c r="UN297" s="27"/>
      <c r="UO297" s="27"/>
      <c r="UP297" s="27"/>
      <c r="UQ297" s="27"/>
      <c r="UR297" s="27"/>
      <c r="US297" s="27"/>
      <c r="UT297" s="27">
        <v>2.16</v>
      </c>
      <c r="UU297" s="27">
        <v>0.52</v>
      </c>
      <c r="UV297" s="27"/>
      <c r="UW297" s="27"/>
      <c r="UX297" s="27">
        <v>0</v>
      </c>
      <c r="UY297" s="27">
        <v>0</v>
      </c>
      <c r="UZ297" s="27">
        <v>0</v>
      </c>
      <c r="VA297" s="24">
        <v>0</v>
      </c>
      <c r="VB297" s="24" t="s">
        <v>698</v>
      </c>
      <c r="VC297" s="24">
        <v>37</v>
      </c>
      <c r="VD297" s="27">
        <v>86.3</v>
      </c>
      <c r="VE297" s="27">
        <v>83.4</v>
      </c>
      <c r="VF297" s="27">
        <v>31.3</v>
      </c>
      <c r="VG297" s="24">
        <v>24.09</v>
      </c>
      <c r="VH297" s="24">
        <v>0</v>
      </c>
      <c r="VI297" s="24">
        <v>0</v>
      </c>
      <c r="VJ297" s="24">
        <v>0</v>
      </c>
      <c r="VK297" s="24">
        <v>0</v>
      </c>
      <c r="VL297" s="24">
        <v>0</v>
      </c>
      <c r="VM297" s="24">
        <v>75.91</v>
      </c>
      <c r="VN297" s="24">
        <v>21.83</v>
      </c>
      <c r="VO297" s="24">
        <v>8.6300000000000008</v>
      </c>
      <c r="VP297" s="24">
        <v>2.94</v>
      </c>
      <c r="VQ297" s="24">
        <v>0</v>
      </c>
      <c r="VR297" s="24">
        <v>13.66</v>
      </c>
      <c r="VS297" s="24">
        <v>10.54</v>
      </c>
      <c r="VT297" s="24">
        <v>28.39</v>
      </c>
      <c r="VU297" s="24">
        <v>0</v>
      </c>
      <c r="VV297" s="24">
        <v>0</v>
      </c>
      <c r="VW297" s="24">
        <v>0</v>
      </c>
      <c r="VX297" s="24">
        <v>0</v>
      </c>
      <c r="WK297" s="24">
        <v>2.7</v>
      </c>
      <c r="WL297" s="24">
        <v>1</v>
      </c>
      <c r="WM297" s="24">
        <v>52</v>
      </c>
      <c r="WN297" s="24">
        <v>1</v>
      </c>
      <c r="WO297" s="24">
        <v>0.39</v>
      </c>
      <c r="WP297" s="24">
        <v>2</v>
      </c>
      <c r="WQ297" s="24">
        <v>35</v>
      </c>
      <c r="WR297" s="24">
        <v>4</v>
      </c>
      <c r="WS297" s="24">
        <v>0.26</v>
      </c>
      <c r="WT297" s="24">
        <v>3</v>
      </c>
      <c r="WW297" s="28"/>
      <c r="XO297" s="24">
        <v>0</v>
      </c>
      <c r="YZ297" s="27">
        <v>2.83</v>
      </c>
      <c r="ZA297" s="27">
        <v>1</v>
      </c>
      <c r="ZB297" s="27">
        <v>1</v>
      </c>
      <c r="ZC297" s="27"/>
      <c r="ZD297" s="27">
        <f>1.65*5</f>
        <v>8.25</v>
      </c>
      <c r="ZE297" s="27"/>
      <c r="ZF297" s="27"/>
      <c r="ZG297" s="27"/>
      <c r="ZH297" s="27"/>
      <c r="ZI297" s="27"/>
      <c r="ZJ297" s="27"/>
      <c r="ZK297" s="27">
        <v>0</v>
      </c>
      <c r="ZL297" s="27">
        <v>0</v>
      </c>
      <c r="ZM297" s="27"/>
      <c r="ZN297" s="27"/>
      <c r="ZO297" s="27">
        <v>0</v>
      </c>
      <c r="ZP297" s="27">
        <v>0</v>
      </c>
      <c r="ZQ297" s="27">
        <v>0</v>
      </c>
      <c r="ZR297" s="24">
        <v>0</v>
      </c>
      <c r="ZS297" s="24" t="s">
        <v>702</v>
      </c>
      <c r="ZT297" s="24">
        <v>43.5</v>
      </c>
      <c r="ZU297" s="27">
        <v>73.8</v>
      </c>
      <c r="ZV297" s="27">
        <v>83.4</v>
      </c>
      <c r="ZW297" s="27">
        <v>26.5</v>
      </c>
      <c r="ZX297" s="24">
        <v>20.2</v>
      </c>
      <c r="ZY297" s="24">
        <v>0</v>
      </c>
      <c r="ZZ297" s="24">
        <v>26.95</v>
      </c>
      <c r="AAA297" s="24">
        <v>0</v>
      </c>
      <c r="AAB297" s="24">
        <v>0.39</v>
      </c>
      <c r="AAC297" s="24">
        <v>0</v>
      </c>
      <c r="AAD297" s="24">
        <v>79.41</v>
      </c>
      <c r="AAE297" s="24">
        <v>26.95</v>
      </c>
      <c r="AAF297" s="24">
        <v>0</v>
      </c>
      <c r="AAG297" s="24">
        <v>0</v>
      </c>
      <c r="AAH297" s="24">
        <v>0</v>
      </c>
      <c r="AAI297" s="24">
        <v>35.200000000000003</v>
      </c>
      <c r="AAJ297" s="24">
        <v>15.96</v>
      </c>
      <c r="AAK297" s="24">
        <v>39.090000000000003</v>
      </c>
      <c r="AAL297" s="24">
        <v>0.32</v>
      </c>
      <c r="AAM297" s="24">
        <v>0</v>
      </c>
      <c r="AAN297" s="24">
        <v>0</v>
      </c>
      <c r="AAO297" s="24">
        <v>0</v>
      </c>
      <c r="ABB297" s="24">
        <v>14.4</v>
      </c>
      <c r="ABC297" s="24">
        <v>1</v>
      </c>
      <c r="ABD297" s="24">
        <v>30</v>
      </c>
      <c r="ABE297" s="24">
        <v>5</v>
      </c>
      <c r="ABF297" s="24">
        <f>2.94+0.6</f>
        <v>3.54</v>
      </c>
      <c r="ABG297" s="24">
        <v>3</v>
      </c>
      <c r="ABH297" s="24">
        <v>34</v>
      </c>
      <c r="ABI297" s="24">
        <v>1</v>
      </c>
      <c r="ABJ297" s="24">
        <v>1.65</v>
      </c>
      <c r="ABK297" s="24">
        <v>1</v>
      </c>
      <c r="ABL297" s="24">
        <v>52</v>
      </c>
      <c r="ABM297" s="24">
        <v>6</v>
      </c>
      <c r="ABN297" s="28">
        <f>0.7+0.77+0.08+0.05</f>
        <v>1.6</v>
      </c>
      <c r="ABO297" s="24">
        <v>2</v>
      </c>
      <c r="ABP297" s="24">
        <v>35</v>
      </c>
      <c r="ABQ297" s="24">
        <v>1</v>
      </c>
      <c r="ABR297" s="24">
        <v>0.19</v>
      </c>
      <c r="ABS297" s="24">
        <v>3</v>
      </c>
      <c r="ABT297" s="24">
        <v>23</v>
      </c>
      <c r="ABU297" s="24">
        <v>3</v>
      </c>
      <c r="ABV297" s="24">
        <f>0.39+0.77</f>
        <v>1.1600000000000001</v>
      </c>
      <c r="ABW297" s="24">
        <v>3</v>
      </c>
      <c r="ACF297" s="24">
        <v>0</v>
      </c>
      <c r="ADQ297" s="27">
        <v>1.22</v>
      </c>
      <c r="ADR297" s="27">
        <v>1</v>
      </c>
      <c r="ADS297" s="27">
        <v>1</v>
      </c>
      <c r="ADT297" s="27"/>
      <c r="ADU297" s="27">
        <f>0.97*2+1.07*2</f>
        <v>4.08</v>
      </c>
      <c r="ADV297" s="27"/>
      <c r="ADW297" s="27"/>
      <c r="ADX297" s="27"/>
      <c r="ADY297" s="27"/>
      <c r="ADZ297" s="27"/>
      <c r="AEA297" s="27"/>
      <c r="AEB297" s="27">
        <v>0</v>
      </c>
      <c r="AEC297" s="27">
        <v>0</v>
      </c>
      <c r="AED297" s="27"/>
      <c r="AEE297" s="27"/>
      <c r="AEF297" s="27">
        <v>0</v>
      </c>
      <c r="AEG297" s="27">
        <v>0</v>
      </c>
      <c r="AEH297" s="27">
        <v>1.22</v>
      </c>
      <c r="AEI297" s="24">
        <v>0</v>
      </c>
      <c r="AEJ297" s="24" t="s">
        <v>693</v>
      </c>
      <c r="AEK297" s="24">
        <v>33.5</v>
      </c>
      <c r="AEL297" s="27">
        <v>92.3</v>
      </c>
      <c r="AEM297" s="27">
        <v>83.4</v>
      </c>
      <c r="AEN297" s="27">
        <v>19.8</v>
      </c>
      <c r="AEO297" s="24">
        <v>72.02</v>
      </c>
      <c r="AEP297" s="24">
        <v>2.2000000000000002</v>
      </c>
      <c r="AEQ297" s="24">
        <v>7.75</v>
      </c>
      <c r="AER297" s="24">
        <v>0</v>
      </c>
      <c r="AES297" s="24">
        <v>5.49</v>
      </c>
      <c r="AET297" s="24">
        <v>0</v>
      </c>
      <c r="AEU297" s="24">
        <v>6.84</v>
      </c>
      <c r="AEV297" s="24">
        <v>0</v>
      </c>
      <c r="AEW297" s="24">
        <v>0</v>
      </c>
      <c r="AEX297" s="24">
        <v>0</v>
      </c>
      <c r="AEY297" s="24">
        <v>0</v>
      </c>
      <c r="AEZ297" s="24">
        <v>7.13</v>
      </c>
      <c r="AFA297" s="24">
        <v>54.84</v>
      </c>
      <c r="AFB297" s="24">
        <v>10.130000000000001</v>
      </c>
      <c r="AFC297" s="24">
        <v>3.36</v>
      </c>
      <c r="AFD297" s="24">
        <v>5.7</v>
      </c>
      <c r="AFE297" s="24">
        <v>0</v>
      </c>
      <c r="AFF297" s="24">
        <v>0</v>
      </c>
      <c r="AFO297" s="24">
        <v>2</v>
      </c>
      <c r="AFS297" s="24">
        <v>3.4</v>
      </c>
      <c r="AFT297" s="24">
        <v>1</v>
      </c>
      <c r="AFU297" s="24">
        <v>34</v>
      </c>
      <c r="AFV297" s="24">
        <v>1</v>
      </c>
      <c r="AFW297" s="24">
        <v>1.28</v>
      </c>
      <c r="AFX297" s="24">
        <v>1</v>
      </c>
      <c r="AFY297" s="24">
        <v>52</v>
      </c>
      <c r="AFZ297" s="24">
        <v>1</v>
      </c>
      <c r="AGA297" s="24">
        <v>0.73</v>
      </c>
      <c r="AGB297" s="24">
        <v>2</v>
      </c>
      <c r="AGC297" s="24">
        <v>30</v>
      </c>
      <c r="AGD297" s="24">
        <v>1</v>
      </c>
      <c r="AGE297" s="28">
        <v>0.13</v>
      </c>
      <c r="AGF297" s="24">
        <v>3</v>
      </c>
      <c r="AGW297" s="24">
        <v>1</v>
      </c>
      <c r="AGX297" s="24">
        <v>40</v>
      </c>
      <c r="AGY297" s="24">
        <v>1</v>
      </c>
      <c r="AGZ297" s="24">
        <v>1.83</v>
      </c>
      <c r="AHA297" s="24">
        <v>6</v>
      </c>
      <c r="AHB297" s="24">
        <v>40</v>
      </c>
      <c r="AHC297" s="24">
        <v>1</v>
      </c>
      <c r="AHD297" s="24">
        <v>1.65</v>
      </c>
      <c r="AHE297" s="24">
        <v>3</v>
      </c>
      <c r="AHF297" s="24">
        <v>40</v>
      </c>
      <c r="AHG297" s="24">
        <v>1</v>
      </c>
      <c r="AHH297" s="24">
        <v>1.83</v>
      </c>
      <c r="AHI297" s="24">
        <v>4</v>
      </c>
      <c r="AHJ297" s="24">
        <v>40</v>
      </c>
      <c r="AHK297" s="24">
        <v>4</v>
      </c>
      <c r="AHL297" s="24">
        <v>0.26</v>
      </c>
      <c r="AHM297" s="24">
        <v>1</v>
      </c>
      <c r="AIH297" s="27">
        <v>3.89</v>
      </c>
      <c r="AII297" s="27">
        <v>1</v>
      </c>
      <c r="AIJ297" s="27">
        <v>1</v>
      </c>
      <c r="AIK297" s="27"/>
      <c r="AIL297" s="27">
        <f>0.36*2</f>
        <v>0.72</v>
      </c>
      <c r="AIM297" s="27">
        <v>2</v>
      </c>
      <c r="AIN297" s="27"/>
      <c r="AIO297" s="27">
        <f>2.04*2</f>
        <v>4.08</v>
      </c>
      <c r="AIP297" s="27"/>
      <c r="AIQ297" s="27"/>
      <c r="AIR297" s="27"/>
      <c r="AIS297" s="27">
        <v>3.27</v>
      </c>
      <c r="AIT297" s="27">
        <v>2.46</v>
      </c>
      <c r="AIU297" s="27"/>
      <c r="AIV297" s="27"/>
      <c r="AIW297" s="27">
        <v>2.88</v>
      </c>
      <c r="AIX297" s="27">
        <v>4.1399999999999997</v>
      </c>
      <c r="AIY297" s="27">
        <v>0</v>
      </c>
      <c r="AIZ297" s="24">
        <v>0</v>
      </c>
      <c r="AJA297" s="24" t="s">
        <v>699</v>
      </c>
      <c r="AJB297" s="24">
        <v>44.5</v>
      </c>
      <c r="AJC297" s="27">
        <v>101.7</v>
      </c>
      <c r="AJD297" s="27">
        <v>83.4</v>
      </c>
      <c r="AJE297" s="27">
        <v>22.5</v>
      </c>
      <c r="AJF297" s="24">
        <v>75.78</v>
      </c>
      <c r="AJG297" s="24">
        <v>0</v>
      </c>
      <c r="AJH297" s="24">
        <v>2.04</v>
      </c>
      <c r="AJI297" s="24">
        <v>0</v>
      </c>
      <c r="AJJ297" s="24">
        <v>8.57</v>
      </c>
      <c r="AJK297" s="24">
        <v>0</v>
      </c>
      <c r="AJL297" s="24">
        <v>2.21</v>
      </c>
      <c r="AJM297" s="24">
        <v>0</v>
      </c>
      <c r="AJN297" s="24">
        <v>1.1000000000000001</v>
      </c>
      <c r="AJO297" s="24">
        <v>0</v>
      </c>
      <c r="AJP297" s="24">
        <v>0</v>
      </c>
      <c r="AJQ297" s="24">
        <v>1.61</v>
      </c>
      <c r="AJR297" s="24">
        <v>54.76</v>
      </c>
      <c r="AJS297" s="24">
        <v>16</v>
      </c>
      <c r="AJT297" s="24">
        <v>6.05</v>
      </c>
      <c r="AJU297" s="24">
        <v>10.83</v>
      </c>
      <c r="AJV297" s="24">
        <v>10.1</v>
      </c>
      <c r="AJW297" s="24">
        <v>1</v>
      </c>
      <c r="AJX297" s="24">
        <v>2</v>
      </c>
      <c r="AJZ297" s="24">
        <v>3</v>
      </c>
      <c r="AKA297" s="24">
        <v>5</v>
      </c>
      <c r="AKC297" s="24">
        <v>1</v>
      </c>
      <c r="AKD297" s="24">
        <v>3</v>
      </c>
      <c r="AKF297" s="24">
        <v>1</v>
      </c>
      <c r="AKJ297" s="24">
        <v>3</v>
      </c>
      <c r="AKK297" s="24">
        <v>1</v>
      </c>
      <c r="AKL297" s="24">
        <v>52</v>
      </c>
      <c r="AKM297" s="24">
        <v>1</v>
      </c>
      <c r="AKN297" s="24">
        <v>0.73</v>
      </c>
      <c r="AKO297" s="24">
        <v>2</v>
      </c>
      <c r="AKP297" s="24">
        <v>34</v>
      </c>
      <c r="AKQ297" s="24">
        <v>1</v>
      </c>
      <c r="AKR297" s="24">
        <v>1.28</v>
      </c>
      <c r="AKS297" s="24">
        <v>1</v>
      </c>
      <c r="AKV297" s="28"/>
      <c r="ALN297" s="24">
        <v>1</v>
      </c>
      <c r="ALO297" s="24">
        <v>40</v>
      </c>
      <c r="ALP297" s="24">
        <v>1</v>
      </c>
      <c r="ALQ297" s="24">
        <v>1.83</v>
      </c>
      <c r="ALR297" s="24">
        <v>6</v>
      </c>
      <c r="ALS297" s="24">
        <v>40</v>
      </c>
      <c r="ALT297" s="24">
        <v>1</v>
      </c>
      <c r="ALU297" s="24">
        <v>1.65</v>
      </c>
      <c r="ALV297" s="24">
        <v>3</v>
      </c>
      <c r="ALW297" s="24">
        <v>40</v>
      </c>
      <c r="ALX297" s="24">
        <v>3</v>
      </c>
      <c r="ALY297" s="24">
        <f>0.26+1.83</f>
        <v>2.09</v>
      </c>
      <c r="ALZ297" s="24">
        <v>4</v>
      </c>
    </row>
    <row r="298" spans="1:1024" x14ac:dyDescent="0.2">
      <c r="A298" s="1" t="s">
        <v>868</v>
      </c>
      <c r="B298" s="12">
        <v>42908</v>
      </c>
      <c r="C298">
        <v>1</v>
      </c>
      <c r="D298" s="13">
        <v>41080</v>
      </c>
      <c r="E298" s="12">
        <v>31267</v>
      </c>
      <c r="F298" s="14">
        <f t="shared" si="106"/>
        <v>31.871321013004792</v>
      </c>
      <c r="G298" s="14">
        <f t="shared" si="107"/>
        <v>5.0047912388774813</v>
      </c>
      <c r="H298" s="19" t="s">
        <v>306</v>
      </c>
      <c r="I298" s="15" t="s">
        <v>832</v>
      </c>
      <c r="J298" s="15" t="s">
        <v>183</v>
      </c>
      <c r="K298" s="15">
        <v>8</v>
      </c>
      <c r="L298" s="19"/>
      <c r="M298">
        <v>1.65</v>
      </c>
      <c r="N298" s="16">
        <f t="shared" si="108"/>
        <v>0</v>
      </c>
      <c r="O298" s="19">
        <v>1</v>
      </c>
      <c r="P298" s="19">
        <v>1</v>
      </c>
      <c r="Q298" s="19" t="s">
        <v>869</v>
      </c>
      <c r="R298" s="26">
        <v>0</v>
      </c>
      <c r="S298" s="26">
        <v>0</v>
      </c>
      <c r="T298" s="26">
        <v>0</v>
      </c>
      <c r="U298" s="19">
        <v>0</v>
      </c>
      <c r="V298" s="19">
        <v>0</v>
      </c>
      <c r="W298" s="19">
        <v>1</v>
      </c>
      <c r="X298" s="19">
        <v>0</v>
      </c>
      <c r="Y298" s="19">
        <v>0</v>
      </c>
      <c r="Z298" s="19">
        <v>0</v>
      </c>
      <c r="AA298" s="19">
        <v>0</v>
      </c>
      <c r="AB298" s="19">
        <v>0</v>
      </c>
      <c r="AC298" s="19">
        <v>1</v>
      </c>
      <c r="AD298" s="19">
        <v>15</v>
      </c>
      <c r="AE298" s="19">
        <v>0</v>
      </c>
      <c r="AF298" s="19">
        <v>0</v>
      </c>
      <c r="AG298" s="19">
        <v>0</v>
      </c>
      <c r="AH298" s="19">
        <v>0</v>
      </c>
      <c r="AI298" s="19">
        <v>0</v>
      </c>
      <c r="AJ298" s="19">
        <v>0</v>
      </c>
      <c r="AK298" s="19">
        <v>0</v>
      </c>
      <c r="AL298" s="19">
        <v>0</v>
      </c>
      <c r="AM298" s="19">
        <v>0</v>
      </c>
      <c r="AN298" s="19">
        <v>1</v>
      </c>
      <c r="AO298" s="19">
        <v>1</v>
      </c>
      <c r="AP298" s="19">
        <v>1</v>
      </c>
      <c r="AQ298" s="19">
        <v>8</v>
      </c>
      <c r="AR298" s="19">
        <v>0</v>
      </c>
      <c r="AS298" s="19">
        <v>0</v>
      </c>
      <c r="AT298" s="19">
        <v>0</v>
      </c>
      <c r="AU298" s="19">
        <v>0</v>
      </c>
      <c r="AV298" s="19">
        <v>0</v>
      </c>
      <c r="AW298" s="19">
        <v>0</v>
      </c>
      <c r="AX298" s="19">
        <v>0</v>
      </c>
      <c r="AY298" s="19">
        <v>0</v>
      </c>
      <c r="AZ298" s="19">
        <v>0</v>
      </c>
      <c r="BA298" s="19">
        <v>0</v>
      </c>
      <c r="BB298" s="19">
        <v>0</v>
      </c>
      <c r="BC298" s="19">
        <v>0</v>
      </c>
      <c r="BD298" s="19">
        <v>0</v>
      </c>
      <c r="BE298" s="19">
        <v>0</v>
      </c>
      <c r="BF298" s="19">
        <v>1</v>
      </c>
      <c r="BG298" s="19">
        <v>1</v>
      </c>
      <c r="BH298" s="19">
        <v>1</v>
      </c>
      <c r="BI298" s="19">
        <v>5</v>
      </c>
      <c r="BJ298" s="19">
        <v>0</v>
      </c>
      <c r="BK298" s="19">
        <v>0</v>
      </c>
      <c r="BL298" s="19">
        <v>0</v>
      </c>
      <c r="BM298" s="19">
        <v>0</v>
      </c>
      <c r="BN298" s="19">
        <v>0</v>
      </c>
      <c r="BO298" s="19">
        <v>0</v>
      </c>
      <c r="BP298" s="19">
        <v>0</v>
      </c>
      <c r="BQ298" s="19">
        <v>0</v>
      </c>
      <c r="BR298" s="19">
        <v>3</v>
      </c>
      <c r="BS298" s="19">
        <v>2</v>
      </c>
      <c r="BT298" s="19">
        <v>3</v>
      </c>
      <c r="BU298" s="19">
        <v>5</v>
      </c>
      <c r="BV298" s="19">
        <v>3</v>
      </c>
      <c r="BW298" s="19">
        <v>4</v>
      </c>
      <c r="BX298" s="19">
        <v>3</v>
      </c>
      <c r="BY298" s="19">
        <v>3</v>
      </c>
      <c r="BZ298" s="19">
        <v>3</v>
      </c>
      <c r="CA298" s="19">
        <v>4</v>
      </c>
      <c r="CB298" s="19">
        <v>4</v>
      </c>
      <c r="CC298" s="19">
        <v>5</v>
      </c>
      <c r="CD298" s="19">
        <v>3</v>
      </c>
      <c r="CE298" s="19">
        <v>3</v>
      </c>
      <c r="CF298" s="19">
        <v>3</v>
      </c>
      <c r="CG298" s="19">
        <v>4</v>
      </c>
      <c r="CH298" s="19">
        <v>4</v>
      </c>
      <c r="CI298" s="19">
        <v>4</v>
      </c>
      <c r="CJ298" s="19">
        <v>3</v>
      </c>
      <c r="CK298" s="19">
        <v>5</v>
      </c>
      <c r="CL298" t="s">
        <v>833</v>
      </c>
      <c r="CM298">
        <v>31</v>
      </c>
      <c r="CN298" s="16">
        <v>82.6</v>
      </c>
      <c r="CO298" s="16">
        <v>83.4</v>
      </c>
      <c r="CP298" s="16">
        <v>5.7</v>
      </c>
      <c r="CQ298">
        <v>99.97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7.3</v>
      </c>
      <c r="DC298">
        <v>53.74</v>
      </c>
      <c r="DD298">
        <v>0</v>
      </c>
      <c r="DE298">
        <v>0</v>
      </c>
      <c r="DF298">
        <v>0</v>
      </c>
      <c r="DG298">
        <v>17.600000000000001</v>
      </c>
      <c r="DH298">
        <v>1</v>
      </c>
      <c r="DI298">
        <v>4.5999999999999996</v>
      </c>
      <c r="DK298">
        <v>2</v>
      </c>
      <c r="DU298">
        <v>2.4</v>
      </c>
      <c r="DV298">
        <v>0</v>
      </c>
      <c r="EG298" s="18"/>
      <c r="EY298">
        <v>1</v>
      </c>
      <c r="EZ298">
        <v>60</v>
      </c>
      <c r="FA298">
        <f>4+6+1+3+1+3</f>
        <v>18</v>
      </c>
      <c r="FB298">
        <f>0.73+2.2+0.13+0.39+0.78+0.52</f>
        <v>4.75</v>
      </c>
      <c r="FC298">
        <v>3</v>
      </c>
      <c r="FD298">
        <v>50</v>
      </c>
      <c r="FE298">
        <f>14</f>
        <v>14</v>
      </c>
      <c r="FF298">
        <f>4.4+2.94+0.52</f>
        <v>7.8599999999999994</v>
      </c>
      <c r="FG298">
        <v>3</v>
      </c>
      <c r="GJ298" s="16">
        <v>0</v>
      </c>
      <c r="GK298" s="16">
        <v>0</v>
      </c>
      <c r="GL298" s="16"/>
      <c r="GM298" s="16"/>
      <c r="GN298" s="16"/>
      <c r="GO298" s="16"/>
      <c r="GP298" s="16"/>
      <c r="GQ298" s="16"/>
      <c r="GR298" s="16"/>
      <c r="GS298" s="16"/>
      <c r="GT298" s="16"/>
      <c r="GU298" s="16">
        <v>5.21</v>
      </c>
      <c r="GV298" s="16">
        <v>2.59</v>
      </c>
      <c r="GW298" s="16"/>
      <c r="GX298" s="16"/>
      <c r="GY298" s="16">
        <v>0</v>
      </c>
      <c r="GZ298" s="16">
        <v>0</v>
      </c>
      <c r="HA298" s="16">
        <v>0</v>
      </c>
      <c r="HB298">
        <v>0</v>
      </c>
      <c r="HC298" t="s">
        <v>834</v>
      </c>
      <c r="HD298">
        <v>30.5</v>
      </c>
      <c r="HE298" s="16">
        <v>73.400000000000006</v>
      </c>
      <c r="HF298" s="16">
        <v>83.4</v>
      </c>
      <c r="HG298" s="16">
        <v>5.7</v>
      </c>
      <c r="HH298">
        <v>100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7.69</v>
      </c>
      <c r="HT298">
        <v>47.61</v>
      </c>
      <c r="HU298">
        <v>0</v>
      </c>
      <c r="HV298">
        <v>0</v>
      </c>
      <c r="HW298">
        <v>0</v>
      </c>
      <c r="HX298">
        <v>16.399999999999999</v>
      </c>
      <c r="HY298">
        <v>1</v>
      </c>
      <c r="HZ298">
        <v>4.5999999999999996</v>
      </c>
      <c r="IB298">
        <v>2</v>
      </c>
      <c r="IL298">
        <v>1.4</v>
      </c>
      <c r="IM298">
        <v>0</v>
      </c>
      <c r="IX298" s="18"/>
      <c r="JP298">
        <v>1</v>
      </c>
      <c r="JQ298">
        <v>60</v>
      </c>
      <c r="JR298">
        <v>7</v>
      </c>
      <c r="JS298">
        <f>0.73+2.2+0.39</f>
        <v>3.3200000000000003</v>
      </c>
      <c r="JT298">
        <v>3</v>
      </c>
      <c r="JU298">
        <v>50</v>
      </c>
      <c r="JV298">
        <v>10</v>
      </c>
      <c r="JW298">
        <f>4.4+2.94</f>
        <v>7.34</v>
      </c>
      <c r="LA298" s="16">
        <v>0</v>
      </c>
      <c r="LB298" s="16">
        <v>0</v>
      </c>
      <c r="LC298" s="16"/>
      <c r="LD298" s="16"/>
      <c r="LE298" s="16"/>
      <c r="LF298" s="16"/>
      <c r="LG298" s="16"/>
      <c r="LH298" s="16"/>
      <c r="LI298" s="16"/>
      <c r="LJ298" s="16"/>
      <c r="LK298" s="16"/>
      <c r="LL298" s="16">
        <v>6.95</v>
      </c>
      <c r="LM298" s="16">
        <v>10.27</v>
      </c>
      <c r="LN298" s="16"/>
      <c r="LO298" s="16"/>
      <c r="LP298" s="16">
        <v>0</v>
      </c>
      <c r="LQ298" s="16">
        <v>0</v>
      </c>
      <c r="LR298" s="16">
        <v>0</v>
      </c>
      <c r="LS298">
        <v>0</v>
      </c>
      <c r="LT298" t="s">
        <v>835</v>
      </c>
      <c r="LU298">
        <v>19</v>
      </c>
      <c r="LV298" s="16">
        <v>73.2</v>
      </c>
      <c r="LW298" s="16">
        <v>83.4</v>
      </c>
      <c r="LX298" s="16">
        <v>11.1</v>
      </c>
      <c r="LY298">
        <v>92.58</v>
      </c>
      <c r="LZ298">
        <v>0</v>
      </c>
      <c r="MA298">
        <v>1.25</v>
      </c>
      <c r="MB298">
        <v>0</v>
      </c>
      <c r="MC298">
        <v>5.34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4.7699999999999996</v>
      </c>
      <c r="MK298">
        <v>22.03</v>
      </c>
      <c r="ML298">
        <v>27.08</v>
      </c>
      <c r="MM298">
        <v>1.58</v>
      </c>
      <c r="MN298">
        <v>0.83</v>
      </c>
      <c r="MO298">
        <v>0</v>
      </c>
      <c r="MP298">
        <v>0</v>
      </c>
      <c r="NC298">
        <v>0.5</v>
      </c>
      <c r="ND298">
        <v>1</v>
      </c>
      <c r="NE298">
        <v>35</v>
      </c>
      <c r="NF298">
        <v>4</v>
      </c>
      <c r="NG298">
        <v>0.1</v>
      </c>
      <c r="NH298">
        <v>3</v>
      </c>
      <c r="NO298" s="18"/>
      <c r="OG298">
        <v>1</v>
      </c>
      <c r="OH298">
        <v>40</v>
      </c>
      <c r="OI298">
        <v>1</v>
      </c>
      <c r="OJ298">
        <v>1.25</v>
      </c>
      <c r="OK298">
        <v>3</v>
      </c>
      <c r="OL298">
        <v>50</v>
      </c>
      <c r="OM298">
        <v>1</v>
      </c>
      <c r="ON298">
        <v>0.05</v>
      </c>
      <c r="OO298">
        <v>3</v>
      </c>
      <c r="OP298">
        <v>60</v>
      </c>
      <c r="OQ298">
        <f>18+9</f>
        <v>27</v>
      </c>
      <c r="OR298">
        <f>2.27+1.14</f>
        <v>3.41</v>
      </c>
      <c r="OS298">
        <v>3</v>
      </c>
      <c r="PR298" s="16">
        <v>3.7</v>
      </c>
      <c r="PS298" s="16">
        <v>1</v>
      </c>
      <c r="PT298" s="16">
        <v>1</v>
      </c>
      <c r="PU298" s="16"/>
      <c r="PV298" s="16">
        <f>4+0.13+0.01+0.73+1.65+0.02</f>
        <v>6.5399999999999991</v>
      </c>
      <c r="PW298" s="16">
        <v>2</v>
      </c>
      <c r="PX298" s="16"/>
      <c r="PY298" s="16">
        <f>0.18*2</f>
        <v>0.36</v>
      </c>
      <c r="PZ298" s="16"/>
      <c r="QA298" s="16"/>
      <c r="QB298" s="16"/>
      <c r="QC298" s="16">
        <v>3.32</v>
      </c>
      <c r="QD298" s="16">
        <v>3.31</v>
      </c>
      <c r="QE298" s="16"/>
      <c r="QF298" s="16"/>
      <c r="QG298" s="16">
        <v>0</v>
      </c>
      <c r="QH298" s="16">
        <v>0</v>
      </c>
      <c r="QI298" s="16">
        <v>0.22</v>
      </c>
      <c r="QJ298">
        <v>0</v>
      </c>
      <c r="QK298" t="s">
        <v>836</v>
      </c>
      <c r="QL298">
        <v>26.5</v>
      </c>
      <c r="QM298" s="16">
        <v>70.7</v>
      </c>
      <c r="QN298" s="16">
        <v>83.4</v>
      </c>
      <c r="QO298" s="16">
        <v>8.8000000000000007</v>
      </c>
      <c r="QP298">
        <v>94.65</v>
      </c>
      <c r="QQ298">
        <v>0</v>
      </c>
      <c r="QR298">
        <v>0.21</v>
      </c>
      <c r="QS298">
        <v>0</v>
      </c>
      <c r="QT298">
        <v>4.3099999999999996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1.21</v>
      </c>
      <c r="RB298">
        <v>19.41</v>
      </c>
      <c r="RC298">
        <v>20.37</v>
      </c>
      <c r="RD298">
        <v>0.21</v>
      </c>
      <c r="RE298">
        <v>0.83</v>
      </c>
      <c r="RF298">
        <v>12.2</v>
      </c>
      <c r="RG298">
        <v>1</v>
      </c>
      <c r="RH298">
        <v>5</v>
      </c>
      <c r="RJ298">
        <v>2</v>
      </c>
      <c r="RT298">
        <v>0</v>
      </c>
      <c r="RU298">
        <v>0</v>
      </c>
      <c r="SF298" s="18"/>
      <c r="SX298">
        <v>1</v>
      </c>
      <c r="SY298">
        <v>40</v>
      </c>
      <c r="SZ298">
        <v>1</v>
      </c>
      <c r="TA298">
        <v>0.21</v>
      </c>
      <c r="TB298">
        <v>3</v>
      </c>
      <c r="TC298">
        <v>80</v>
      </c>
      <c r="TD298">
        <v>4</v>
      </c>
      <c r="TE298">
        <v>0.5</v>
      </c>
      <c r="TF298">
        <v>2</v>
      </c>
      <c r="TG298">
        <v>60</v>
      </c>
      <c r="TH298">
        <f>18+9</f>
        <v>27</v>
      </c>
      <c r="TI298">
        <f>2.27+1.14</f>
        <v>3.41</v>
      </c>
      <c r="TJ298">
        <v>2</v>
      </c>
      <c r="UI298" s="16">
        <v>3.54</v>
      </c>
      <c r="UJ298" s="16">
        <v>1</v>
      </c>
      <c r="UK298" s="16">
        <v>1</v>
      </c>
      <c r="UL298" s="16"/>
      <c r="UM298" s="16">
        <f>4+0.73*2+1.65</f>
        <v>7.1099999999999994</v>
      </c>
      <c r="UN298" s="16"/>
      <c r="UO298" s="16"/>
      <c r="UP298" s="16"/>
      <c r="UQ298" s="16"/>
      <c r="UR298" s="16"/>
      <c r="US298" s="16"/>
      <c r="UT298" s="16">
        <v>1.47</v>
      </c>
      <c r="UU298" s="16">
        <v>1.47</v>
      </c>
      <c r="UV298" s="16"/>
      <c r="UW298" s="16"/>
      <c r="UX298" s="16">
        <v>0</v>
      </c>
      <c r="UY298" s="16">
        <v>0</v>
      </c>
      <c r="UZ298" s="16">
        <v>0.22</v>
      </c>
      <c r="VA298">
        <v>0</v>
      </c>
      <c r="VB298" t="s">
        <v>841</v>
      </c>
      <c r="VC298">
        <v>18.5</v>
      </c>
      <c r="VD298" s="16">
        <v>91.6</v>
      </c>
      <c r="VE298" s="16">
        <v>83.4</v>
      </c>
      <c r="VF298" s="16">
        <v>7.5</v>
      </c>
      <c r="VG298">
        <v>96.33</v>
      </c>
      <c r="VH298">
        <v>0</v>
      </c>
      <c r="VI298">
        <v>0</v>
      </c>
      <c r="VJ298">
        <v>0</v>
      </c>
      <c r="VK298">
        <v>3.67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3.67</v>
      </c>
      <c r="VS298">
        <v>45.98</v>
      </c>
      <c r="VT298">
        <v>17.899999999999999</v>
      </c>
      <c r="VU298">
        <v>0</v>
      </c>
      <c r="VV298">
        <v>0</v>
      </c>
      <c r="VW298">
        <v>0</v>
      </c>
      <c r="VX298">
        <v>0</v>
      </c>
      <c r="WK298">
        <v>0</v>
      </c>
      <c r="WL298">
        <v>0</v>
      </c>
      <c r="WW298" s="18"/>
      <c r="XO298">
        <v>0</v>
      </c>
      <c r="XS298">
        <v>1</v>
      </c>
      <c r="XT298">
        <v>50</v>
      </c>
      <c r="XU298">
        <v>1</v>
      </c>
      <c r="XV298">
        <v>0.04</v>
      </c>
      <c r="XW298">
        <v>3</v>
      </c>
      <c r="YZ298" s="16">
        <v>1.44</v>
      </c>
      <c r="ZA298" s="16">
        <v>1</v>
      </c>
      <c r="ZB298" s="16">
        <v>1</v>
      </c>
      <c r="ZC298" s="16"/>
      <c r="ZD298" s="16">
        <f>1.65+0.18*2+9.17</f>
        <v>11.18</v>
      </c>
      <c r="ZE298" s="16"/>
      <c r="ZF298" s="16"/>
      <c r="ZG298" s="16"/>
      <c r="ZH298" s="16"/>
      <c r="ZI298" s="16"/>
      <c r="ZJ298" s="16"/>
      <c r="ZK298" s="16">
        <v>5.88</v>
      </c>
      <c r="ZL298" s="16">
        <v>13.5</v>
      </c>
      <c r="ZM298" s="16"/>
      <c r="ZN298" s="16"/>
      <c r="ZO298" s="16">
        <v>3.6</v>
      </c>
      <c r="ZP298" s="16">
        <v>1.1000000000000001</v>
      </c>
      <c r="ZQ298" s="16">
        <v>0</v>
      </c>
      <c r="ZR298">
        <v>0</v>
      </c>
      <c r="ZS298" t="s">
        <v>837</v>
      </c>
      <c r="ZT298">
        <v>30.5</v>
      </c>
      <c r="ZU298" s="16">
        <v>92</v>
      </c>
      <c r="ZV298" s="16">
        <v>83.4</v>
      </c>
      <c r="ZW298" s="16">
        <v>5.9</v>
      </c>
      <c r="ZX298">
        <v>98.99</v>
      </c>
      <c r="ZY298">
        <v>1.01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2.66</v>
      </c>
      <c r="AAJ298">
        <v>46.99</v>
      </c>
      <c r="AAK298">
        <v>16.89</v>
      </c>
      <c r="AAL298">
        <v>0</v>
      </c>
      <c r="AAM298">
        <v>0</v>
      </c>
      <c r="AAN298">
        <v>0</v>
      </c>
      <c r="AAO298">
        <v>0</v>
      </c>
      <c r="ABB298">
        <v>0</v>
      </c>
      <c r="ABC298">
        <v>0</v>
      </c>
      <c r="ABN298" s="18"/>
      <c r="ACF298">
        <v>0</v>
      </c>
      <c r="ADQ298" s="16">
        <v>8</v>
      </c>
      <c r="ADR298" s="16">
        <v>1</v>
      </c>
      <c r="ADS298" s="16">
        <v>1</v>
      </c>
      <c r="ADT298" s="16"/>
      <c r="ADU298" s="16">
        <f>1.65+0.18*2+9.17</f>
        <v>11.18</v>
      </c>
      <c r="ADV298" s="16"/>
      <c r="ADW298" s="16"/>
      <c r="ADX298" s="16"/>
      <c r="ADY298" s="16"/>
      <c r="ADZ298" s="16"/>
      <c r="AEA298" s="16"/>
      <c r="AEB298" s="16">
        <v>6.16</v>
      </c>
      <c r="AEC298" s="16">
        <v>16.16</v>
      </c>
      <c r="AED298" s="16"/>
      <c r="AEE298" s="16"/>
      <c r="AEF298" s="16">
        <v>10</v>
      </c>
      <c r="AEG298" s="16">
        <v>1.1000000000000001</v>
      </c>
      <c r="AEH298" s="16">
        <v>0</v>
      </c>
      <c r="AEI298">
        <v>1</v>
      </c>
      <c r="AEJ298" t="s">
        <v>838</v>
      </c>
      <c r="AEK298">
        <v>47.5</v>
      </c>
      <c r="AEL298" s="16">
        <v>86.8</v>
      </c>
      <c r="AEM298" s="16">
        <v>83.4</v>
      </c>
      <c r="AEN298" s="16">
        <v>26.7</v>
      </c>
      <c r="AEO298">
        <v>65.11</v>
      </c>
      <c r="AEP298">
        <v>0</v>
      </c>
      <c r="AEQ298">
        <v>2.75</v>
      </c>
      <c r="AER298">
        <v>0</v>
      </c>
      <c r="AES298">
        <v>32.14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24.37</v>
      </c>
      <c r="AFB298">
        <v>6.53</v>
      </c>
      <c r="AFC298">
        <v>31.2</v>
      </c>
      <c r="AFD298">
        <v>0</v>
      </c>
      <c r="AFE298">
        <v>13</v>
      </c>
      <c r="AFF298">
        <v>1</v>
      </c>
      <c r="AFG298">
        <v>7</v>
      </c>
      <c r="AFI298">
        <v>2</v>
      </c>
      <c r="AFS298">
        <v>0</v>
      </c>
      <c r="AFT298">
        <v>0</v>
      </c>
      <c r="AGE298" s="18"/>
      <c r="AGW298">
        <v>0</v>
      </c>
      <c r="AIH298" s="16">
        <v>2.27</v>
      </c>
      <c r="AII298" s="16">
        <v>1</v>
      </c>
      <c r="AIJ298" s="16">
        <v>1</v>
      </c>
      <c r="AIK298" s="16"/>
      <c r="AIL298" s="16">
        <f>3.3*3+0.36*4</f>
        <v>11.339999999999998</v>
      </c>
      <c r="AIM298" s="16"/>
      <c r="AIN298" s="16"/>
      <c r="AIO298" s="16"/>
      <c r="AIP298" s="16"/>
      <c r="AIQ298" s="16"/>
      <c r="AIR298" s="16"/>
      <c r="AIS298" s="16">
        <v>5.24</v>
      </c>
      <c r="AIT298" s="16">
        <v>7.31</v>
      </c>
      <c r="AIU298" s="16"/>
      <c r="AIV298" s="16"/>
      <c r="AIW298" s="16">
        <v>0</v>
      </c>
      <c r="AIX298" s="16">
        <v>0</v>
      </c>
      <c r="AIY298" s="16">
        <v>0</v>
      </c>
      <c r="AIZ298">
        <v>0</v>
      </c>
      <c r="AJA298" t="s">
        <v>839</v>
      </c>
      <c r="AJB298">
        <v>48</v>
      </c>
      <c r="AJC298" s="16">
        <v>84.6</v>
      </c>
      <c r="AJD298" s="16">
        <v>83.4</v>
      </c>
      <c r="AJE298" s="16">
        <v>5.9</v>
      </c>
      <c r="AJF298">
        <v>36.31</v>
      </c>
      <c r="AJG298">
        <v>0</v>
      </c>
      <c r="AJH298">
        <v>0</v>
      </c>
      <c r="AJI298">
        <v>0</v>
      </c>
      <c r="AJJ298">
        <v>63.69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2.5299999999999998</v>
      </c>
      <c r="AJR298">
        <v>8.33</v>
      </c>
      <c r="AJS298">
        <v>27.3</v>
      </c>
      <c r="AJT298">
        <v>39.369999999999997</v>
      </c>
      <c r="AJU298">
        <v>0</v>
      </c>
      <c r="AJV298">
        <v>0</v>
      </c>
      <c r="AJW298">
        <v>0</v>
      </c>
      <c r="AKJ298">
        <v>0</v>
      </c>
      <c r="AKK298">
        <v>0</v>
      </c>
      <c r="AKV298" s="18"/>
      <c r="ALN298">
        <v>0</v>
      </c>
    </row>
    <row r="299" spans="1:1024" x14ac:dyDescent="0.2">
      <c r="A299" s="1" t="s">
        <v>870</v>
      </c>
      <c r="B299" s="12">
        <v>43000</v>
      </c>
      <c r="C299">
        <v>2</v>
      </c>
      <c r="D299" s="13">
        <v>35002</v>
      </c>
      <c r="E299" s="12">
        <v>27611</v>
      </c>
      <c r="F299" s="14">
        <f t="shared" si="106"/>
        <v>42.13278576317591</v>
      </c>
      <c r="G299" s="14">
        <f t="shared" si="107"/>
        <v>21.897330595482547</v>
      </c>
      <c r="H299" s="19" t="s">
        <v>306</v>
      </c>
      <c r="I299" s="15" t="s">
        <v>832</v>
      </c>
      <c r="J299" s="15" t="s">
        <v>183</v>
      </c>
      <c r="K299" s="15">
        <v>8</v>
      </c>
      <c r="L299" s="19">
        <v>82</v>
      </c>
      <c r="M299">
        <v>1.81</v>
      </c>
      <c r="N299" s="16">
        <f t="shared" si="108"/>
        <v>25.029760996306585</v>
      </c>
      <c r="O299" s="19">
        <v>0</v>
      </c>
      <c r="P299" s="19">
        <v>0</v>
      </c>
      <c r="Q299" s="19">
        <v>0</v>
      </c>
      <c r="R299" s="26">
        <v>0</v>
      </c>
      <c r="S299" s="26">
        <v>0</v>
      </c>
      <c r="T299" s="26">
        <v>0</v>
      </c>
      <c r="U299" s="19">
        <v>0</v>
      </c>
      <c r="V299" s="19">
        <v>0</v>
      </c>
      <c r="W299" s="19">
        <v>0</v>
      </c>
      <c r="X299" s="19">
        <v>0</v>
      </c>
      <c r="Y299" s="19">
        <v>1</v>
      </c>
      <c r="Z299" s="19">
        <v>1</v>
      </c>
      <c r="AA299" s="19">
        <v>60</v>
      </c>
      <c r="AB299" s="19" t="s">
        <v>871</v>
      </c>
      <c r="AC299" s="19">
        <v>1</v>
      </c>
      <c r="AD299" s="19">
        <v>20</v>
      </c>
      <c r="AE299" s="19">
        <v>0</v>
      </c>
      <c r="AF299" s="19">
        <v>0</v>
      </c>
      <c r="AG299" s="19">
        <v>0</v>
      </c>
      <c r="AH299" s="19">
        <v>0</v>
      </c>
      <c r="AI299" s="19">
        <v>0</v>
      </c>
      <c r="AJ299" s="19">
        <v>0</v>
      </c>
      <c r="AK299" s="19">
        <v>0</v>
      </c>
      <c r="AL299" s="19">
        <v>0</v>
      </c>
      <c r="AM299" s="19">
        <v>0</v>
      </c>
      <c r="AN299" s="19">
        <v>0</v>
      </c>
      <c r="AO299" s="19">
        <v>0</v>
      </c>
      <c r="AP299" s="19">
        <v>0</v>
      </c>
      <c r="AQ299" s="19">
        <v>0</v>
      </c>
      <c r="AR299" s="19">
        <v>0</v>
      </c>
      <c r="AS299" s="19">
        <v>0</v>
      </c>
      <c r="AT299" s="19">
        <v>0</v>
      </c>
      <c r="AU299" s="19">
        <v>0</v>
      </c>
      <c r="AV299" s="19">
        <v>0</v>
      </c>
      <c r="AW299" s="19">
        <v>0</v>
      </c>
      <c r="AX299" s="19">
        <v>0</v>
      </c>
      <c r="AY299" s="19">
        <v>0</v>
      </c>
      <c r="AZ299" s="19">
        <v>0</v>
      </c>
      <c r="BA299" s="19">
        <v>0</v>
      </c>
      <c r="BB299" s="19">
        <v>1</v>
      </c>
      <c r="BC299" s="19">
        <v>1</v>
      </c>
      <c r="BD299" s="19">
        <v>0</v>
      </c>
      <c r="BE299" s="19">
        <v>0</v>
      </c>
      <c r="BF299" s="19">
        <v>0</v>
      </c>
      <c r="BG299" s="19">
        <v>0</v>
      </c>
      <c r="BH299" s="19">
        <v>0</v>
      </c>
      <c r="BI299" s="19">
        <v>0</v>
      </c>
      <c r="BJ299" s="19">
        <v>1</v>
      </c>
      <c r="BK299" s="19">
        <v>1</v>
      </c>
      <c r="BL299" s="19">
        <v>0</v>
      </c>
      <c r="BM299" s="19">
        <v>0</v>
      </c>
      <c r="BN299" s="19">
        <v>0</v>
      </c>
      <c r="BO299" s="19">
        <v>0</v>
      </c>
      <c r="BP299" s="19">
        <v>0</v>
      </c>
      <c r="BQ299" s="19">
        <v>0</v>
      </c>
      <c r="BR299" s="19">
        <v>3</v>
      </c>
      <c r="BS299" s="19">
        <v>3</v>
      </c>
      <c r="BT299" s="19"/>
      <c r="BU299" s="19">
        <v>5</v>
      </c>
      <c r="BV299" s="19">
        <v>5</v>
      </c>
      <c r="BW299" s="19">
        <v>4</v>
      </c>
      <c r="BX299" s="19">
        <v>4</v>
      </c>
      <c r="BY299" s="19">
        <v>5</v>
      </c>
      <c r="BZ299" s="19">
        <v>4</v>
      </c>
      <c r="CA299" s="19">
        <v>4</v>
      </c>
      <c r="CB299" s="19">
        <v>3</v>
      </c>
      <c r="CC299" s="19">
        <v>4</v>
      </c>
      <c r="CD299" s="19">
        <v>3</v>
      </c>
      <c r="CE299" s="19">
        <v>4</v>
      </c>
      <c r="CF299" s="19">
        <v>3</v>
      </c>
      <c r="CG299" s="19">
        <v>4</v>
      </c>
      <c r="CH299" s="19">
        <v>3</v>
      </c>
      <c r="CI299" s="19">
        <v>4</v>
      </c>
      <c r="CJ299" s="19">
        <v>3</v>
      </c>
      <c r="CK299" s="19">
        <v>8</v>
      </c>
      <c r="CL299" t="s">
        <v>833</v>
      </c>
      <c r="CM299">
        <v>31</v>
      </c>
      <c r="CN299" s="16">
        <v>82.6</v>
      </c>
      <c r="CO299" s="16">
        <v>83.4</v>
      </c>
      <c r="CP299" s="16">
        <v>5.7</v>
      </c>
      <c r="CQ299">
        <v>99.97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7.3</v>
      </c>
      <c r="DC299">
        <v>53.74</v>
      </c>
      <c r="DD299">
        <v>0</v>
      </c>
      <c r="DE299">
        <v>0</v>
      </c>
      <c r="DF299">
        <v>0</v>
      </c>
      <c r="DG299">
        <v>17.600000000000001</v>
      </c>
      <c r="DH299">
        <v>1</v>
      </c>
      <c r="DI299">
        <v>4.5999999999999996</v>
      </c>
      <c r="DK299">
        <v>2</v>
      </c>
      <c r="DU299">
        <v>2.4</v>
      </c>
      <c r="DV299">
        <v>0</v>
      </c>
      <c r="EG299" s="18"/>
      <c r="EY299">
        <v>1</v>
      </c>
      <c r="EZ299">
        <v>60</v>
      </c>
      <c r="FA299">
        <f>4+6+1+3+1+3</f>
        <v>18</v>
      </c>
      <c r="FB299">
        <f>0.73+2.2+0.13+0.39+0.78+0.52</f>
        <v>4.75</v>
      </c>
      <c r="FC299">
        <v>3</v>
      </c>
      <c r="FD299">
        <v>50</v>
      </c>
      <c r="FE299">
        <f>14</f>
        <v>14</v>
      </c>
      <c r="FF299">
        <f>4.4+2.94+0.52</f>
        <v>7.8599999999999994</v>
      </c>
      <c r="FG299">
        <v>3</v>
      </c>
      <c r="GJ299" s="16">
        <v>0</v>
      </c>
      <c r="GK299" s="16">
        <v>0</v>
      </c>
      <c r="GL299" s="16"/>
      <c r="GM299" s="16"/>
      <c r="GN299" s="16"/>
      <c r="GO299" s="16"/>
      <c r="GP299" s="16"/>
      <c r="GQ299" s="16"/>
      <c r="GR299" s="16"/>
      <c r="GS299" s="16"/>
      <c r="GT299" s="16"/>
      <c r="GU299" s="16">
        <v>5.21</v>
      </c>
      <c r="GV299" s="16">
        <v>2.59</v>
      </c>
      <c r="GW299" s="16"/>
      <c r="GX299" s="16"/>
      <c r="GY299" s="16">
        <v>0</v>
      </c>
      <c r="GZ299" s="16">
        <v>0</v>
      </c>
      <c r="HA299" s="16">
        <v>0</v>
      </c>
      <c r="HB299">
        <v>0</v>
      </c>
      <c r="HC299" t="s">
        <v>834</v>
      </c>
      <c r="HD299">
        <v>30.5</v>
      </c>
      <c r="HE299" s="16">
        <v>73.400000000000006</v>
      </c>
      <c r="HF299" s="16">
        <v>83.4</v>
      </c>
      <c r="HG299" s="16">
        <v>5.7</v>
      </c>
      <c r="HH299">
        <v>100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7.69</v>
      </c>
      <c r="HT299">
        <v>47.61</v>
      </c>
      <c r="HU299">
        <v>0</v>
      </c>
      <c r="HV299">
        <v>0</v>
      </c>
      <c r="HW299">
        <v>0</v>
      </c>
      <c r="HX299">
        <v>16.399999999999999</v>
      </c>
      <c r="HY299">
        <v>1</v>
      </c>
      <c r="HZ299">
        <v>4.5999999999999996</v>
      </c>
      <c r="IB299">
        <v>2</v>
      </c>
      <c r="IL299">
        <v>1.4</v>
      </c>
      <c r="IM299">
        <v>0</v>
      </c>
      <c r="IX299" s="18"/>
      <c r="JP299">
        <v>1</v>
      </c>
      <c r="JQ299">
        <v>60</v>
      </c>
      <c r="JR299">
        <v>7</v>
      </c>
      <c r="JS299">
        <f>0.73+2.2+0.39</f>
        <v>3.3200000000000003</v>
      </c>
      <c r="JT299">
        <v>3</v>
      </c>
      <c r="JU299">
        <v>50</v>
      </c>
      <c r="JV299">
        <v>10</v>
      </c>
      <c r="JW299">
        <f>4.4+2.94</f>
        <v>7.34</v>
      </c>
      <c r="LA299" s="16">
        <v>0</v>
      </c>
      <c r="LB299" s="16">
        <v>0</v>
      </c>
      <c r="LC299" s="16"/>
      <c r="LD299" s="16"/>
      <c r="LE299" s="16"/>
      <c r="LF299" s="16"/>
      <c r="LG299" s="16"/>
      <c r="LH299" s="16"/>
      <c r="LI299" s="16"/>
      <c r="LJ299" s="16"/>
      <c r="LK299" s="16"/>
      <c r="LL299" s="16">
        <v>6.95</v>
      </c>
      <c r="LM299" s="16">
        <v>10.27</v>
      </c>
      <c r="LN299" s="16"/>
      <c r="LO299" s="16"/>
      <c r="LP299" s="16">
        <v>0</v>
      </c>
      <c r="LQ299" s="16">
        <v>0</v>
      </c>
      <c r="LR299" s="16">
        <v>0</v>
      </c>
      <c r="LS299">
        <v>0</v>
      </c>
      <c r="LT299">
        <v>94</v>
      </c>
      <c r="LU299">
        <v>24.5</v>
      </c>
      <c r="LV299" s="16">
        <v>88.7</v>
      </c>
      <c r="LW299" s="16">
        <v>83.4</v>
      </c>
      <c r="LX299" s="16">
        <v>23.1</v>
      </c>
      <c r="LY299">
        <v>69.95</v>
      </c>
      <c r="LZ299">
        <v>0</v>
      </c>
      <c r="MA299">
        <v>7.16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34.04</v>
      </c>
      <c r="ML299">
        <v>20.5</v>
      </c>
      <c r="MM299">
        <v>0</v>
      </c>
      <c r="MN299">
        <v>22.9</v>
      </c>
      <c r="MO299">
        <v>0</v>
      </c>
      <c r="MP299">
        <v>0</v>
      </c>
      <c r="NC299">
        <v>0</v>
      </c>
      <c r="ND299">
        <v>0</v>
      </c>
      <c r="NO299" s="18"/>
      <c r="OG299">
        <v>0</v>
      </c>
      <c r="PR299" s="16">
        <v>0</v>
      </c>
      <c r="PS299" s="16">
        <v>0</v>
      </c>
      <c r="PT299" s="16"/>
      <c r="PU299" s="16"/>
      <c r="PV299" s="16"/>
      <c r="PW299" s="16"/>
      <c r="PX299" s="16"/>
      <c r="PY299" s="16"/>
      <c r="PZ299" s="16"/>
      <c r="QA299" s="16"/>
      <c r="QB299" s="16"/>
      <c r="QC299" s="16">
        <v>0</v>
      </c>
      <c r="QD299" s="16">
        <v>0</v>
      </c>
      <c r="QE299" s="16"/>
      <c r="QF299" s="16"/>
      <c r="QG299" s="16">
        <v>0</v>
      </c>
      <c r="QH299" s="16">
        <v>0</v>
      </c>
      <c r="QI299" s="16">
        <v>1.44</v>
      </c>
      <c r="QJ299">
        <v>0</v>
      </c>
      <c r="QK299" t="s">
        <v>835</v>
      </c>
      <c r="QL299">
        <v>19</v>
      </c>
      <c r="QM299" s="16">
        <v>73.2</v>
      </c>
      <c r="QN299" s="16">
        <v>83.4</v>
      </c>
      <c r="QO299" s="16">
        <v>11.1</v>
      </c>
      <c r="QP299">
        <v>92.58</v>
      </c>
      <c r="QQ299">
        <v>0</v>
      </c>
      <c r="QR299">
        <v>1.25</v>
      </c>
      <c r="QS299">
        <v>0</v>
      </c>
      <c r="QT299">
        <v>5.34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4.7699999999999996</v>
      </c>
      <c r="RB299">
        <v>22.03</v>
      </c>
      <c r="RC299">
        <v>27.08</v>
      </c>
      <c r="RD299">
        <v>1.58</v>
      </c>
      <c r="RE299">
        <v>0.83</v>
      </c>
      <c r="RF299">
        <v>0</v>
      </c>
      <c r="RG299">
        <v>0</v>
      </c>
      <c r="RT299">
        <v>0.5</v>
      </c>
      <c r="RU299">
        <v>1</v>
      </c>
      <c r="RV299">
        <v>35</v>
      </c>
      <c r="RW299">
        <v>4</v>
      </c>
      <c r="RX299">
        <v>0.1</v>
      </c>
      <c r="RY299">
        <v>3</v>
      </c>
      <c r="SF299" s="18"/>
      <c r="SX299">
        <v>1</v>
      </c>
      <c r="SY299">
        <v>40</v>
      </c>
      <c r="SZ299">
        <v>1</v>
      </c>
      <c r="TA299">
        <v>1.25</v>
      </c>
      <c r="TB299">
        <v>3</v>
      </c>
      <c r="TC299">
        <v>50</v>
      </c>
      <c r="TD299">
        <v>1</v>
      </c>
      <c r="TE299">
        <v>0.05</v>
      </c>
      <c r="TF299">
        <v>3</v>
      </c>
      <c r="TG299">
        <v>60</v>
      </c>
      <c r="TH299">
        <f>18+9</f>
        <v>27</v>
      </c>
      <c r="TI299">
        <f>2.27+1.14</f>
        <v>3.41</v>
      </c>
      <c r="TJ299">
        <v>3</v>
      </c>
      <c r="UI299" s="16">
        <v>3.7</v>
      </c>
      <c r="UJ299" s="16">
        <v>1</v>
      </c>
      <c r="UK299" s="16">
        <v>1</v>
      </c>
      <c r="UL299" s="16"/>
      <c r="UM299" s="16">
        <f>4+0.13+0.01+0.73+1.65+0.02</f>
        <v>6.5399999999999991</v>
      </c>
      <c r="UN299" s="16">
        <v>2</v>
      </c>
      <c r="UO299" s="16"/>
      <c r="UP299" s="16">
        <f>0.18*2</f>
        <v>0.36</v>
      </c>
      <c r="UQ299" s="16"/>
      <c r="UR299" s="16"/>
      <c r="US299" s="16"/>
      <c r="UT299" s="16">
        <v>3.32</v>
      </c>
      <c r="UU299" s="16">
        <v>3.31</v>
      </c>
      <c r="UV299" s="16"/>
      <c r="UW299" s="16"/>
      <c r="UX299" s="16">
        <v>0</v>
      </c>
      <c r="UY299" s="16">
        <v>0</v>
      </c>
      <c r="UZ299" s="16">
        <v>0.22</v>
      </c>
      <c r="VA299">
        <v>0</v>
      </c>
      <c r="VB299" t="s">
        <v>836</v>
      </c>
      <c r="VC299">
        <v>26.5</v>
      </c>
      <c r="VD299" s="16">
        <v>70.7</v>
      </c>
      <c r="VE299" s="16">
        <v>83.4</v>
      </c>
      <c r="VF299" s="16">
        <v>8.8000000000000007</v>
      </c>
      <c r="VG299">
        <v>94.65</v>
      </c>
      <c r="VH299">
        <v>0</v>
      </c>
      <c r="VI299">
        <v>0.21</v>
      </c>
      <c r="VJ299">
        <v>0</v>
      </c>
      <c r="VK299">
        <v>4.3099999999999996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1.21</v>
      </c>
      <c r="VS299">
        <v>19.41</v>
      </c>
      <c r="VT299">
        <v>20.37</v>
      </c>
      <c r="VU299">
        <v>0.21</v>
      </c>
      <c r="VV299">
        <v>0.83</v>
      </c>
      <c r="VW299">
        <v>12.2</v>
      </c>
      <c r="VX299">
        <v>1</v>
      </c>
      <c r="VY299">
        <v>5</v>
      </c>
      <c r="WA299">
        <v>2</v>
      </c>
      <c r="WK299">
        <v>0</v>
      </c>
      <c r="WL299">
        <v>0</v>
      </c>
      <c r="WW299" s="18"/>
      <c r="XO299">
        <v>1</v>
      </c>
      <c r="XP299">
        <v>40</v>
      </c>
      <c r="XQ299">
        <v>1</v>
      </c>
      <c r="XR299">
        <v>0.21</v>
      </c>
      <c r="XS299">
        <v>3</v>
      </c>
      <c r="XT299">
        <v>80</v>
      </c>
      <c r="XU299">
        <v>4</v>
      </c>
      <c r="XV299">
        <v>0.5</v>
      </c>
      <c r="XW299">
        <v>2</v>
      </c>
      <c r="XX299">
        <v>60</v>
      </c>
      <c r="XY299">
        <f>18+9</f>
        <v>27</v>
      </c>
      <c r="XZ299">
        <f>2.27+1.14</f>
        <v>3.41</v>
      </c>
      <c r="YA299">
        <v>2</v>
      </c>
      <c r="YZ299" s="16">
        <v>3.54</v>
      </c>
      <c r="ZA299" s="16">
        <v>1</v>
      </c>
      <c r="ZB299" s="16">
        <v>1</v>
      </c>
      <c r="ZC299" s="16"/>
      <c r="ZD299" s="16">
        <f>4+0.73*2+1.65</f>
        <v>7.1099999999999994</v>
      </c>
      <c r="ZE299" s="16"/>
      <c r="ZF299" s="16"/>
      <c r="ZG299" s="16"/>
      <c r="ZH299" s="16"/>
      <c r="ZI299" s="16"/>
      <c r="ZJ299" s="16"/>
      <c r="ZK299" s="16">
        <v>1.47</v>
      </c>
      <c r="ZL299" s="16">
        <v>1.47</v>
      </c>
      <c r="ZM299" s="16"/>
      <c r="ZN299" s="16"/>
      <c r="ZO299" s="16">
        <v>0</v>
      </c>
      <c r="ZP299" s="16">
        <v>0</v>
      </c>
      <c r="ZQ299" s="16">
        <v>0.22</v>
      </c>
      <c r="ZR299">
        <v>0</v>
      </c>
      <c r="ZS299" t="s">
        <v>841</v>
      </c>
      <c r="ZT299">
        <v>18.5</v>
      </c>
      <c r="ZU299" s="16">
        <v>91.6</v>
      </c>
      <c r="ZV299" s="16">
        <v>83.4</v>
      </c>
      <c r="ZW299" s="16">
        <v>7.5</v>
      </c>
      <c r="ZX299">
        <v>96.33</v>
      </c>
      <c r="ZY299">
        <v>0</v>
      </c>
      <c r="ZZ299">
        <v>0</v>
      </c>
      <c r="AAA299">
        <v>0</v>
      </c>
      <c r="AAB299">
        <v>3.67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3.67</v>
      </c>
      <c r="AAJ299">
        <v>45.98</v>
      </c>
      <c r="AAK299">
        <v>17.899999999999999</v>
      </c>
      <c r="AAL299">
        <v>0</v>
      </c>
      <c r="AAM299">
        <v>0</v>
      </c>
      <c r="AAN299">
        <v>0</v>
      </c>
      <c r="AAO299">
        <v>0</v>
      </c>
      <c r="ABB299">
        <v>0</v>
      </c>
      <c r="ABC299">
        <v>0</v>
      </c>
      <c r="ABN299" s="18"/>
      <c r="ACF299">
        <v>0</v>
      </c>
      <c r="ACJ299">
        <v>1</v>
      </c>
      <c r="ACK299">
        <v>50</v>
      </c>
      <c r="ACL299">
        <v>1</v>
      </c>
      <c r="ACM299">
        <v>0.04</v>
      </c>
      <c r="ACN299">
        <v>3</v>
      </c>
      <c r="ADQ299" s="16">
        <v>1.44</v>
      </c>
      <c r="ADR299" s="16">
        <v>1</v>
      </c>
      <c r="ADS299" s="16">
        <v>1</v>
      </c>
      <c r="ADT299" s="16"/>
      <c r="ADU299" s="16">
        <f>1.65+0.18*2+9.17</f>
        <v>11.18</v>
      </c>
      <c r="ADV299" s="16"/>
      <c r="ADW299" s="16"/>
      <c r="ADX299" s="16"/>
      <c r="ADY299" s="16"/>
      <c r="ADZ299" s="16"/>
      <c r="AEA299" s="16"/>
      <c r="AEB299" s="16">
        <v>5.88</v>
      </c>
      <c r="AEC299" s="16">
        <v>13.5</v>
      </c>
      <c r="AED299" s="16"/>
      <c r="AEE299" s="16"/>
      <c r="AEF299" s="16">
        <v>3.6</v>
      </c>
      <c r="AEG299" s="16">
        <v>1.1000000000000001</v>
      </c>
      <c r="AEH299" s="16">
        <v>0</v>
      </c>
      <c r="AEI299">
        <v>0</v>
      </c>
      <c r="AEJ299" t="s">
        <v>837</v>
      </c>
      <c r="AEK299">
        <v>30.5</v>
      </c>
      <c r="AEL299" s="16">
        <v>92</v>
      </c>
      <c r="AEM299" s="16">
        <v>83.4</v>
      </c>
      <c r="AEN299" s="16">
        <v>5.9</v>
      </c>
      <c r="AEO299">
        <v>98.99</v>
      </c>
      <c r="AEP299">
        <v>1.01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2.66</v>
      </c>
      <c r="AFA299">
        <v>46.99</v>
      </c>
      <c r="AFB299">
        <v>16.89</v>
      </c>
      <c r="AFC299">
        <v>0</v>
      </c>
      <c r="AFD299">
        <v>0</v>
      </c>
      <c r="AFE299">
        <v>0</v>
      </c>
      <c r="AFF299">
        <v>0</v>
      </c>
      <c r="AFS299">
        <v>0</v>
      </c>
      <c r="AFT299">
        <v>0</v>
      </c>
      <c r="AGE299" s="18"/>
      <c r="AGW299">
        <v>0</v>
      </c>
      <c r="AIH299" s="16">
        <v>8</v>
      </c>
      <c r="AII299" s="16">
        <v>1</v>
      </c>
      <c r="AIJ299" s="16">
        <v>1</v>
      </c>
      <c r="AIK299" s="16"/>
      <c r="AIL299" s="16">
        <f>1.65+0.18*2+9.17</f>
        <v>11.18</v>
      </c>
      <c r="AIM299" s="16"/>
      <c r="AIN299" s="16"/>
      <c r="AIO299" s="16"/>
      <c r="AIP299" s="16"/>
      <c r="AIQ299" s="16"/>
      <c r="AIR299" s="16"/>
      <c r="AIS299" s="16">
        <v>6.16</v>
      </c>
      <c r="AIT299" s="16">
        <v>16.16</v>
      </c>
      <c r="AIU299" s="16"/>
      <c r="AIV299" s="16"/>
      <c r="AIW299" s="16">
        <v>10</v>
      </c>
      <c r="AIX299" s="16">
        <v>1.1000000000000001</v>
      </c>
      <c r="AIY299" s="16">
        <v>0</v>
      </c>
      <c r="AIZ299">
        <v>1</v>
      </c>
      <c r="AJA299" t="s">
        <v>838</v>
      </c>
      <c r="AJB299">
        <v>47.5</v>
      </c>
      <c r="AJC299" s="16">
        <v>86.8</v>
      </c>
      <c r="AJD299" s="16">
        <v>83.4</v>
      </c>
      <c r="AJE299" s="16">
        <v>26.7</v>
      </c>
      <c r="AJF299">
        <v>65.11</v>
      </c>
      <c r="AJG299">
        <v>0</v>
      </c>
      <c r="AJH299">
        <v>2.75</v>
      </c>
      <c r="AJI299">
        <v>0</v>
      </c>
      <c r="AJJ299">
        <v>32.14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>
        <v>0</v>
      </c>
      <c r="AJQ299">
        <v>0</v>
      </c>
      <c r="AJR299">
        <v>24.37</v>
      </c>
      <c r="AJS299">
        <v>6.53</v>
      </c>
      <c r="AJT299">
        <v>31.2</v>
      </c>
      <c r="AJU299">
        <v>0</v>
      </c>
      <c r="AJV299">
        <v>13</v>
      </c>
      <c r="AJW299">
        <v>1</v>
      </c>
      <c r="AJX299">
        <v>7</v>
      </c>
      <c r="AJZ299">
        <v>2</v>
      </c>
      <c r="AKJ299">
        <v>0</v>
      </c>
      <c r="AKK299">
        <v>0</v>
      </c>
      <c r="AKV299" s="18"/>
      <c r="ALN299">
        <v>0</v>
      </c>
    </row>
    <row r="300" spans="1:1024" x14ac:dyDescent="0.2">
      <c r="A300" s="1" t="s">
        <v>872</v>
      </c>
      <c r="B300" s="12">
        <v>42909</v>
      </c>
      <c r="C300">
        <v>1</v>
      </c>
      <c r="D300" s="13">
        <v>40672</v>
      </c>
      <c r="E300" s="12">
        <v>29149</v>
      </c>
      <c r="F300" s="14">
        <f t="shared" si="106"/>
        <v>37.672826830937716</v>
      </c>
      <c r="G300" s="14">
        <f t="shared" si="107"/>
        <v>6.1245722108145104</v>
      </c>
      <c r="H300" s="19" t="s">
        <v>306</v>
      </c>
      <c r="I300" s="15" t="s">
        <v>832</v>
      </c>
      <c r="J300" s="15" t="s">
        <v>183</v>
      </c>
      <c r="K300" s="15">
        <v>8</v>
      </c>
      <c r="L300" s="19">
        <v>63</v>
      </c>
      <c r="M300">
        <v>1.67</v>
      </c>
      <c r="N300" s="16">
        <f t="shared" si="108"/>
        <v>22.589551436050055</v>
      </c>
      <c r="O300" s="19">
        <v>0</v>
      </c>
      <c r="P300" s="19">
        <v>0</v>
      </c>
      <c r="Q300" s="19">
        <v>0</v>
      </c>
      <c r="R300" s="26">
        <v>0</v>
      </c>
      <c r="S300" s="26">
        <v>0</v>
      </c>
      <c r="T300" s="26">
        <v>0</v>
      </c>
      <c r="U300" s="19">
        <v>0</v>
      </c>
      <c r="V300" s="19">
        <v>0</v>
      </c>
      <c r="W300" s="19">
        <v>1</v>
      </c>
      <c r="X300" s="19">
        <v>0</v>
      </c>
      <c r="Y300" s="19">
        <v>0</v>
      </c>
      <c r="Z300" s="19">
        <v>0</v>
      </c>
      <c r="AA300" s="19">
        <v>0</v>
      </c>
      <c r="AB300" s="19">
        <v>0</v>
      </c>
      <c r="AC300" s="19">
        <v>0</v>
      </c>
      <c r="AD300" s="19">
        <v>0</v>
      </c>
      <c r="AE300" s="19">
        <v>1</v>
      </c>
      <c r="AF300" s="19">
        <v>1</v>
      </c>
      <c r="AG300" s="19">
        <v>1</v>
      </c>
      <c r="AH300" s="19">
        <v>6</v>
      </c>
      <c r="AI300" s="19">
        <v>1</v>
      </c>
      <c r="AJ300" s="19">
        <v>1</v>
      </c>
      <c r="AK300" s="19">
        <v>1</v>
      </c>
      <c r="AL300" s="19">
        <v>7</v>
      </c>
      <c r="AM300" s="19">
        <v>0</v>
      </c>
      <c r="AN300" s="19">
        <v>0</v>
      </c>
      <c r="AO300" s="19">
        <v>0</v>
      </c>
      <c r="AP300" s="19">
        <v>0</v>
      </c>
      <c r="AQ300" s="19">
        <v>0</v>
      </c>
      <c r="AR300" s="19">
        <v>0</v>
      </c>
      <c r="AS300" s="19">
        <v>1</v>
      </c>
      <c r="AT300" s="19">
        <v>1</v>
      </c>
      <c r="AU300" s="19">
        <v>1</v>
      </c>
      <c r="AV300" s="19">
        <v>5</v>
      </c>
      <c r="AW300" s="19">
        <v>0</v>
      </c>
      <c r="AX300" s="19">
        <v>0</v>
      </c>
      <c r="AY300" s="19">
        <v>0</v>
      </c>
      <c r="AZ300" s="19">
        <v>0</v>
      </c>
      <c r="BA300" s="19">
        <v>0</v>
      </c>
      <c r="BB300" s="19">
        <v>0</v>
      </c>
      <c r="BC300" s="19">
        <v>0</v>
      </c>
      <c r="BD300" s="19">
        <v>0</v>
      </c>
      <c r="BE300" s="19">
        <v>0</v>
      </c>
      <c r="BF300" s="19">
        <v>0</v>
      </c>
      <c r="BG300" s="19">
        <v>0</v>
      </c>
      <c r="BH300" s="19">
        <v>0</v>
      </c>
      <c r="BI300" s="19">
        <v>0</v>
      </c>
      <c r="BJ300" s="19">
        <v>0</v>
      </c>
      <c r="BK300" s="19">
        <v>0</v>
      </c>
      <c r="BL300" s="19">
        <v>0</v>
      </c>
      <c r="BM300" s="19">
        <v>0</v>
      </c>
      <c r="BN300" s="19">
        <v>0</v>
      </c>
      <c r="BO300" s="19">
        <v>0</v>
      </c>
      <c r="BP300" s="19">
        <v>0</v>
      </c>
      <c r="BQ300" s="19">
        <v>0</v>
      </c>
      <c r="BR300" s="19">
        <v>2</v>
      </c>
      <c r="BS300" s="19">
        <v>2</v>
      </c>
      <c r="BT300" s="19">
        <v>4</v>
      </c>
      <c r="BU300" s="19">
        <v>4</v>
      </c>
      <c r="BV300" s="19">
        <v>2</v>
      </c>
      <c r="BW300" s="19">
        <v>2</v>
      </c>
      <c r="BX300" s="19">
        <v>2</v>
      </c>
      <c r="BY300" s="19">
        <v>3</v>
      </c>
      <c r="BZ300" s="19">
        <v>2</v>
      </c>
      <c r="CA300" s="19">
        <v>1</v>
      </c>
      <c r="CB300" s="19">
        <v>3</v>
      </c>
      <c r="CC300" s="19">
        <v>4</v>
      </c>
      <c r="CD300" s="19">
        <v>3</v>
      </c>
      <c r="CE300" s="19">
        <v>4</v>
      </c>
      <c r="CF300" s="19">
        <v>4</v>
      </c>
      <c r="CG300" s="19">
        <v>4</v>
      </c>
      <c r="CH300" s="19">
        <v>2</v>
      </c>
      <c r="CI300" s="19">
        <v>3</v>
      </c>
      <c r="CJ300" s="19">
        <v>3</v>
      </c>
      <c r="CK300" s="19"/>
      <c r="CL300">
        <v>92</v>
      </c>
      <c r="CM300">
        <v>38.5</v>
      </c>
      <c r="CN300" s="16">
        <v>77.5</v>
      </c>
      <c r="CO300" s="16">
        <v>83.4</v>
      </c>
      <c r="CP300" s="16">
        <v>19.100000000000001</v>
      </c>
      <c r="CQ300">
        <v>78.180000000000007</v>
      </c>
      <c r="CR300">
        <v>0</v>
      </c>
      <c r="CS300">
        <v>2.48</v>
      </c>
      <c r="CT300">
        <v>0</v>
      </c>
      <c r="CU300">
        <v>19.34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4.1100000000000003</v>
      </c>
      <c r="DD300">
        <v>21.82</v>
      </c>
      <c r="DE300">
        <v>10.65</v>
      </c>
      <c r="DF300">
        <v>0</v>
      </c>
      <c r="DG300">
        <v>16.899999999999999</v>
      </c>
      <c r="DH300">
        <v>1</v>
      </c>
      <c r="DI300">
        <v>6</v>
      </c>
      <c r="DK300">
        <v>1</v>
      </c>
      <c r="DU300">
        <v>0</v>
      </c>
      <c r="DV300">
        <v>0</v>
      </c>
      <c r="EG300" s="18"/>
      <c r="EY300">
        <v>0</v>
      </c>
      <c r="GJ300" s="16">
        <v>0</v>
      </c>
      <c r="GK300" s="16">
        <v>0</v>
      </c>
      <c r="GL300" s="16"/>
      <c r="GM300" s="16"/>
      <c r="GN300" s="16"/>
      <c r="GO300" s="16"/>
      <c r="GP300" s="16"/>
      <c r="GQ300" s="16"/>
      <c r="GR300" s="16"/>
      <c r="GS300" s="16"/>
      <c r="GT300" s="16"/>
      <c r="GU300" s="16">
        <v>2.48</v>
      </c>
      <c r="GV300" s="16">
        <v>2.48</v>
      </c>
      <c r="GW300" s="16"/>
      <c r="GX300" s="16"/>
      <c r="GY300" s="16">
        <v>0</v>
      </c>
      <c r="GZ300" s="16">
        <v>0</v>
      </c>
      <c r="HA300" s="16">
        <v>0</v>
      </c>
      <c r="HB300">
        <v>0</v>
      </c>
      <c r="HC300" t="s">
        <v>833</v>
      </c>
      <c r="HD300">
        <v>31</v>
      </c>
      <c r="HE300" s="16">
        <v>82.6</v>
      </c>
      <c r="HF300" s="16">
        <v>83.4</v>
      </c>
      <c r="HG300" s="16">
        <v>5.7</v>
      </c>
      <c r="HH300">
        <v>99.97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7.3</v>
      </c>
      <c r="HT300">
        <v>53.74</v>
      </c>
      <c r="HU300">
        <v>0</v>
      </c>
      <c r="HV300">
        <v>0</v>
      </c>
      <c r="HW300">
        <v>0</v>
      </c>
      <c r="HX300">
        <v>17.600000000000001</v>
      </c>
      <c r="HY300">
        <v>1</v>
      </c>
      <c r="HZ300">
        <v>4.5999999999999996</v>
      </c>
      <c r="IB300">
        <v>2</v>
      </c>
      <c r="IL300">
        <v>2.4</v>
      </c>
      <c r="IM300">
        <v>0</v>
      </c>
      <c r="IX300" s="18"/>
      <c r="JP300">
        <v>1</v>
      </c>
      <c r="JQ300">
        <v>60</v>
      </c>
      <c r="JR300">
        <f>4+6+1+3+1+3</f>
        <v>18</v>
      </c>
      <c r="JS300">
        <f>0.73+2.2+0.13+0.39+0.78+0.52</f>
        <v>4.75</v>
      </c>
      <c r="JT300">
        <v>3</v>
      </c>
      <c r="JU300">
        <v>50</v>
      </c>
      <c r="JV300">
        <f>14</f>
        <v>14</v>
      </c>
      <c r="JW300">
        <f>4.4+2.94+0.52</f>
        <v>7.8599999999999994</v>
      </c>
      <c r="JX300">
        <v>3</v>
      </c>
      <c r="LA300" s="16">
        <v>0</v>
      </c>
      <c r="LB300" s="16">
        <v>0</v>
      </c>
      <c r="LC300" s="16"/>
      <c r="LD300" s="16"/>
      <c r="LE300" s="16"/>
      <c r="LF300" s="16"/>
      <c r="LG300" s="16"/>
      <c r="LH300" s="16"/>
      <c r="LI300" s="16"/>
      <c r="LJ300" s="16"/>
      <c r="LK300" s="16"/>
      <c r="LL300" s="16">
        <v>5.21</v>
      </c>
      <c r="LM300" s="16">
        <v>2.59</v>
      </c>
      <c r="LN300" s="16"/>
      <c r="LO300" s="16"/>
      <c r="LP300" s="16">
        <v>0</v>
      </c>
      <c r="LQ300" s="16">
        <v>0</v>
      </c>
      <c r="LR300" s="16">
        <v>0</v>
      </c>
      <c r="LS300">
        <v>0</v>
      </c>
      <c r="LT300" t="s">
        <v>834</v>
      </c>
      <c r="LU300">
        <v>30.5</v>
      </c>
      <c r="LV300" s="16">
        <v>73.400000000000006</v>
      </c>
      <c r="LW300" s="16">
        <v>83.4</v>
      </c>
      <c r="LX300" s="16">
        <v>5.7</v>
      </c>
      <c r="LY300">
        <v>100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7.69</v>
      </c>
      <c r="MK300">
        <v>47.61</v>
      </c>
      <c r="ML300">
        <v>0</v>
      </c>
      <c r="MM300">
        <v>0</v>
      </c>
      <c r="MN300">
        <v>0</v>
      </c>
      <c r="MO300">
        <v>16.399999999999999</v>
      </c>
      <c r="MP300">
        <v>1</v>
      </c>
      <c r="MQ300">
        <v>4.5999999999999996</v>
      </c>
      <c r="MS300">
        <v>2</v>
      </c>
      <c r="NC300">
        <v>1.4</v>
      </c>
      <c r="ND300">
        <v>0</v>
      </c>
      <c r="NO300" s="18"/>
      <c r="OG300">
        <v>1</v>
      </c>
      <c r="OH300">
        <v>60</v>
      </c>
      <c r="OI300">
        <v>7</v>
      </c>
      <c r="OJ300">
        <f>0.73+2.2+0.39</f>
        <v>3.3200000000000003</v>
      </c>
      <c r="OK300">
        <v>3</v>
      </c>
      <c r="OL300">
        <v>50</v>
      </c>
      <c r="OM300">
        <v>10</v>
      </c>
      <c r="ON300">
        <f>4.4+2.94</f>
        <v>7.34</v>
      </c>
      <c r="PR300" s="16">
        <v>0</v>
      </c>
      <c r="PS300" s="16">
        <v>0</v>
      </c>
      <c r="PT300" s="16"/>
      <c r="PU300" s="16"/>
      <c r="PV300" s="16"/>
      <c r="PW300" s="16"/>
      <c r="PX300" s="16"/>
      <c r="PY300" s="16"/>
      <c r="PZ300" s="16"/>
      <c r="QA300" s="16"/>
      <c r="QB300" s="16"/>
      <c r="QC300" s="16">
        <v>6.95</v>
      </c>
      <c r="QD300" s="16">
        <v>10.27</v>
      </c>
      <c r="QE300" s="16"/>
      <c r="QF300" s="16"/>
      <c r="QG300" s="16">
        <v>0</v>
      </c>
      <c r="QH300" s="16">
        <v>0</v>
      </c>
      <c r="QI300" s="16">
        <v>0</v>
      </c>
      <c r="QJ300">
        <v>0</v>
      </c>
      <c r="QK300">
        <v>94</v>
      </c>
      <c r="QL300">
        <v>24.5</v>
      </c>
      <c r="QM300" s="16">
        <v>88.7</v>
      </c>
      <c r="QN300" s="16">
        <v>83.4</v>
      </c>
      <c r="QO300" s="16">
        <v>23.1</v>
      </c>
      <c r="QP300">
        <v>69.95</v>
      </c>
      <c r="QQ300">
        <v>0</v>
      </c>
      <c r="QR300">
        <v>7.16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34.04</v>
      </c>
      <c r="RC300">
        <v>20.5</v>
      </c>
      <c r="RD300">
        <v>0</v>
      </c>
      <c r="RE300">
        <v>22.9</v>
      </c>
      <c r="RF300">
        <v>0</v>
      </c>
      <c r="RG300">
        <v>0</v>
      </c>
      <c r="RT300">
        <v>0</v>
      </c>
      <c r="RU300">
        <v>0</v>
      </c>
      <c r="SF300" s="18"/>
      <c r="SX300">
        <v>0</v>
      </c>
      <c r="UI300" s="16">
        <v>0</v>
      </c>
      <c r="UJ300" s="16">
        <v>0</v>
      </c>
      <c r="UK300" s="16"/>
      <c r="UL300" s="16"/>
      <c r="UM300" s="16"/>
      <c r="UN300" s="16"/>
      <c r="UO300" s="16"/>
      <c r="UP300" s="16"/>
      <c r="UQ300" s="16"/>
      <c r="UR300" s="16"/>
      <c r="US300" s="16"/>
      <c r="UT300" s="16">
        <v>0</v>
      </c>
      <c r="UU300" s="16">
        <v>0</v>
      </c>
      <c r="UV300" s="16"/>
      <c r="UW300" s="16"/>
      <c r="UX300" s="16">
        <v>0</v>
      </c>
      <c r="UY300" s="16">
        <v>0</v>
      </c>
      <c r="UZ300" s="16">
        <v>1.44</v>
      </c>
      <c r="VA300">
        <v>0</v>
      </c>
      <c r="VB300" t="s">
        <v>835</v>
      </c>
      <c r="VC300">
        <v>19</v>
      </c>
      <c r="VD300" s="16">
        <v>73.2</v>
      </c>
      <c r="VE300" s="16">
        <v>83.4</v>
      </c>
      <c r="VF300" s="16">
        <v>11.1</v>
      </c>
      <c r="VG300">
        <v>92.58</v>
      </c>
      <c r="VH300">
        <v>0</v>
      </c>
      <c r="VI300">
        <v>1.25</v>
      </c>
      <c r="VJ300">
        <v>0</v>
      </c>
      <c r="VK300">
        <v>5.34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4.7699999999999996</v>
      </c>
      <c r="VS300">
        <v>22.03</v>
      </c>
      <c r="VT300">
        <v>27.08</v>
      </c>
      <c r="VU300">
        <v>1.58</v>
      </c>
      <c r="VV300">
        <v>0.83</v>
      </c>
      <c r="VW300">
        <v>0</v>
      </c>
      <c r="VX300">
        <v>0</v>
      </c>
      <c r="WK300">
        <v>0.5</v>
      </c>
      <c r="WL300">
        <v>1</v>
      </c>
      <c r="WM300">
        <v>35</v>
      </c>
      <c r="WN300">
        <v>4</v>
      </c>
      <c r="WO300">
        <v>0.1</v>
      </c>
      <c r="WP300">
        <v>3</v>
      </c>
      <c r="WW300" s="18"/>
      <c r="XO300">
        <v>1</v>
      </c>
      <c r="XP300">
        <v>40</v>
      </c>
      <c r="XQ300">
        <v>1</v>
      </c>
      <c r="XR300">
        <v>1.25</v>
      </c>
      <c r="XS300">
        <v>3</v>
      </c>
      <c r="XT300">
        <v>50</v>
      </c>
      <c r="XU300">
        <v>1</v>
      </c>
      <c r="XV300">
        <v>0.05</v>
      </c>
      <c r="XW300">
        <v>3</v>
      </c>
      <c r="XX300">
        <v>60</v>
      </c>
      <c r="XY300">
        <f>18+9</f>
        <v>27</v>
      </c>
      <c r="XZ300">
        <f>2.27+1.14</f>
        <v>3.41</v>
      </c>
      <c r="YA300">
        <v>3</v>
      </c>
      <c r="YZ300" s="16">
        <v>3.7</v>
      </c>
      <c r="ZA300" s="16">
        <v>1</v>
      </c>
      <c r="ZB300" s="16">
        <v>1</v>
      </c>
      <c r="ZC300" s="16"/>
      <c r="ZD300" s="16">
        <f>4+0.13+0.01+0.73+1.65+0.02</f>
        <v>6.5399999999999991</v>
      </c>
      <c r="ZE300" s="16">
        <v>2</v>
      </c>
      <c r="ZF300" s="16"/>
      <c r="ZG300" s="16">
        <f>0.18*2</f>
        <v>0.36</v>
      </c>
      <c r="ZH300" s="16"/>
      <c r="ZI300" s="16"/>
      <c r="ZJ300" s="16"/>
      <c r="ZK300" s="16">
        <v>3.32</v>
      </c>
      <c r="ZL300" s="16">
        <v>3.31</v>
      </c>
      <c r="ZM300" s="16"/>
      <c r="ZN300" s="16"/>
      <c r="ZO300" s="16">
        <v>0</v>
      </c>
      <c r="ZP300" s="16">
        <v>0</v>
      </c>
      <c r="ZQ300" s="16">
        <v>0.22</v>
      </c>
      <c r="ZR300">
        <v>0</v>
      </c>
      <c r="ZS300" t="s">
        <v>836</v>
      </c>
      <c r="ZT300">
        <v>26.5</v>
      </c>
      <c r="ZU300" s="16">
        <v>70.7</v>
      </c>
      <c r="ZV300" s="16">
        <v>83.4</v>
      </c>
      <c r="ZW300" s="16">
        <v>8.8000000000000007</v>
      </c>
      <c r="ZX300">
        <v>94.65</v>
      </c>
      <c r="ZY300">
        <v>0</v>
      </c>
      <c r="ZZ300">
        <v>0.21</v>
      </c>
      <c r="AAA300">
        <v>0</v>
      </c>
      <c r="AAB300">
        <v>4.3099999999999996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1.21</v>
      </c>
      <c r="AAJ300">
        <v>19.41</v>
      </c>
      <c r="AAK300">
        <v>20.37</v>
      </c>
      <c r="AAL300">
        <v>0.21</v>
      </c>
      <c r="AAM300">
        <v>0.83</v>
      </c>
      <c r="AAN300">
        <v>12.2</v>
      </c>
      <c r="AAO300">
        <v>1</v>
      </c>
      <c r="AAP300">
        <v>5</v>
      </c>
      <c r="AAR300">
        <v>2</v>
      </c>
      <c r="ABB300">
        <v>0</v>
      </c>
      <c r="ABC300">
        <v>0</v>
      </c>
      <c r="ABN300" s="18"/>
      <c r="ACF300">
        <v>1</v>
      </c>
      <c r="ACG300">
        <v>40</v>
      </c>
      <c r="ACH300">
        <v>1</v>
      </c>
      <c r="ACI300">
        <v>0.21</v>
      </c>
      <c r="ACJ300">
        <v>3</v>
      </c>
      <c r="ACK300">
        <v>80</v>
      </c>
      <c r="ACL300">
        <v>4</v>
      </c>
      <c r="ACM300">
        <v>0.5</v>
      </c>
      <c r="ACN300">
        <v>2</v>
      </c>
      <c r="ACO300">
        <v>60</v>
      </c>
      <c r="ACP300">
        <f>18+9</f>
        <v>27</v>
      </c>
      <c r="ACQ300">
        <f>2.27+1.14</f>
        <v>3.41</v>
      </c>
      <c r="ACR300">
        <v>2</v>
      </c>
      <c r="ADQ300" s="16">
        <v>3.54</v>
      </c>
      <c r="ADR300" s="16">
        <v>1</v>
      </c>
      <c r="ADS300" s="16">
        <v>1</v>
      </c>
      <c r="ADT300" s="16"/>
      <c r="ADU300" s="16">
        <f>4+0.73*2+1.65</f>
        <v>7.1099999999999994</v>
      </c>
      <c r="ADV300" s="16"/>
      <c r="ADW300" s="16"/>
      <c r="ADX300" s="16"/>
      <c r="ADY300" s="16"/>
      <c r="ADZ300" s="16"/>
      <c r="AEA300" s="16"/>
      <c r="AEB300" s="16">
        <v>1.47</v>
      </c>
      <c r="AEC300" s="16">
        <v>1.47</v>
      </c>
      <c r="AED300" s="16"/>
      <c r="AEE300" s="16"/>
      <c r="AEF300" s="16">
        <v>0</v>
      </c>
      <c r="AEG300" s="16">
        <v>0</v>
      </c>
      <c r="AEH300" s="16">
        <v>0.22</v>
      </c>
      <c r="AEI300">
        <v>0</v>
      </c>
      <c r="AEJ300" t="s">
        <v>841</v>
      </c>
      <c r="AEK300">
        <v>18.5</v>
      </c>
      <c r="AEL300" s="16">
        <v>91.6</v>
      </c>
      <c r="AEM300" s="16">
        <v>83.4</v>
      </c>
      <c r="AEN300" s="16">
        <v>7.5</v>
      </c>
      <c r="AEO300">
        <v>96.33</v>
      </c>
      <c r="AEP300">
        <v>0</v>
      </c>
      <c r="AEQ300">
        <v>0</v>
      </c>
      <c r="AER300">
        <v>0</v>
      </c>
      <c r="AES300">
        <v>3.67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3.67</v>
      </c>
      <c r="AFA300">
        <v>45.98</v>
      </c>
      <c r="AFB300">
        <v>17.899999999999999</v>
      </c>
      <c r="AFC300">
        <v>0</v>
      </c>
      <c r="AFD300">
        <v>0</v>
      </c>
      <c r="AFE300">
        <v>0</v>
      </c>
      <c r="AFF300">
        <v>0</v>
      </c>
      <c r="AFS300">
        <v>0</v>
      </c>
      <c r="AFT300">
        <v>0</v>
      </c>
      <c r="AGE300" s="18"/>
      <c r="AGW300">
        <v>0</v>
      </c>
      <c r="AHA300">
        <v>1</v>
      </c>
      <c r="AHB300">
        <v>50</v>
      </c>
      <c r="AHC300">
        <v>1</v>
      </c>
      <c r="AHD300">
        <v>0.04</v>
      </c>
      <c r="AHE300">
        <v>3</v>
      </c>
      <c r="AIH300" s="16">
        <v>1.44</v>
      </c>
      <c r="AII300" s="16">
        <v>1</v>
      </c>
      <c r="AIJ300" s="16">
        <v>1</v>
      </c>
      <c r="AIK300" s="16"/>
      <c r="AIL300" s="16">
        <f>1.65+0.18*2+9.17</f>
        <v>11.18</v>
      </c>
      <c r="AIM300" s="16"/>
      <c r="AIN300" s="16"/>
      <c r="AIO300" s="16"/>
      <c r="AIP300" s="16"/>
      <c r="AIQ300" s="16"/>
      <c r="AIR300" s="16"/>
      <c r="AIS300" s="16">
        <v>5.88</v>
      </c>
      <c r="AIT300" s="16">
        <v>13.5</v>
      </c>
      <c r="AIU300" s="16"/>
      <c r="AIV300" s="16"/>
      <c r="AIW300" s="16">
        <v>3.6</v>
      </c>
      <c r="AIX300" s="16">
        <v>1.1000000000000001</v>
      </c>
      <c r="AIY300" s="16">
        <v>0</v>
      </c>
      <c r="AIZ300">
        <v>0</v>
      </c>
      <c r="AJA300" t="s">
        <v>837</v>
      </c>
      <c r="AJB300">
        <v>30.5</v>
      </c>
      <c r="AJC300" s="16">
        <v>92</v>
      </c>
      <c r="AJD300" s="16">
        <v>83.4</v>
      </c>
      <c r="AJE300" s="16">
        <v>5.9</v>
      </c>
      <c r="AJF300">
        <v>98.99</v>
      </c>
      <c r="AJG300">
        <v>1.01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2.66</v>
      </c>
      <c r="AJR300">
        <v>46.99</v>
      </c>
      <c r="AJS300">
        <v>16.89</v>
      </c>
      <c r="AJT300">
        <v>0</v>
      </c>
      <c r="AJU300">
        <v>0</v>
      </c>
      <c r="AJV300">
        <v>0</v>
      </c>
      <c r="AJW300">
        <v>0</v>
      </c>
      <c r="AKJ300">
        <v>0</v>
      </c>
      <c r="AKK300">
        <v>0</v>
      </c>
      <c r="AKV300" s="18"/>
      <c r="ALN300">
        <v>0</v>
      </c>
    </row>
    <row r="301" spans="1:1024" x14ac:dyDescent="0.2">
      <c r="A301" s="1" t="s">
        <v>873</v>
      </c>
      <c r="B301" s="12">
        <v>42909</v>
      </c>
      <c r="C301">
        <v>2</v>
      </c>
      <c r="D301" s="13">
        <v>42776</v>
      </c>
      <c r="E301" s="12">
        <v>27093</v>
      </c>
      <c r="F301" s="14">
        <f t="shared" si="106"/>
        <v>43.301848049281311</v>
      </c>
      <c r="G301" s="14">
        <f t="shared" si="107"/>
        <v>0.36413415468856947</v>
      </c>
      <c r="H301" s="19" t="s">
        <v>306</v>
      </c>
      <c r="I301" s="15" t="s">
        <v>832</v>
      </c>
      <c r="J301" s="15" t="s">
        <v>183</v>
      </c>
      <c r="K301" s="15">
        <v>8</v>
      </c>
      <c r="L301" s="19">
        <v>95</v>
      </c>
      <c r="M301">
        <v>1.73</v>
      </c>
      <c r="N301" s="16">
        <f t="shared" si="108"/>
        <v>31.741788900397605</v>
      </c>
      <c r="O301" s="19">
        <v>0</v>
      </c>
      <c r="P301" s="19">
        <v>0</v>
      </c>
      <c r="Q301" s="19">
        <v>0</v>
      </c>
      <c r="R301" s="26">
        <v>0</v>
      </c>
      <c r="S301" s="26">
        <v>0</v>
      </c>
      <c r="T301" s="26">
        <v>0</v>
      </c>
      <c r="U301" s="19">
        <v>0</v>
      </c>
      <c r="V301" s="19">
        <v>0</v>
      </c>
      <c r="W301" s="19">
        <v>0</v>
      </c>
      <c r="X301" s="19">
        <v>0</v>
      </c>
      <c r="Y301" s="19">
        <v>1</v>
      </c>
      <c r="Z301" s="19">
        <v>2</v>
      </c>
      <c r="AA301" s="19">
        <v>60</v>
      </c>
      <c r="AB301" s="19" t="s">
        <v>874</v>
      </c>
      <c r="AC301" s="19">
        <v>1</v>
      </c>
      <c r="AD301" s="19">
        <v>15</v>
      </c>
      <c r="AE301" s="19">
        <v>0</v>
      </c>
      <c r="AF301" s="19">
        <v>0</v>
      </c>
      <c r="AG301" s="19">
        <v>0</v>
      </c>
      <c r="AH301" s="19">
        <v>0</v>
      </c>
      <c r="AI301" s="19">
        <v>0</v>
      </c>
      <c r="AJ301" s="19">
        <v>0</v>
      </c>
      <c r="AK301" s="19">
        <v>0</v>
      </c>
      <c r="AL301" s="19">
        <v>0</v>
      </c>
      <c r="AM301" s="19">
        <v>0</v>
      </c>
      <c r="AN301" s="19">
        <v>0</v>
      </c>
      <c r="AO301" s="19">
        <v>0</v>
      </c>
      <c r="AP301" s="19">
        <v>0</v>
      </c>
      <c r="AQ301" s="19">
        <v>0</v>
      </c>
      <c r="AR301" s="19">
        <v>0</v>
      </c>
      <c r="AS301" s="19">
        <v>0</v>
      </c>
      <c r="AT301" s="19">
        <v>0</v>
      </c>
      <c r="AU301" s="19">
        <v>0</v>
      </c>
      <c r="AV301" s="19">
        <v>0</v>
      </c>
      <c r="AW301" s="19">
        <v>0</v>
      </c>
      <c r="AX301" s="19">
        <v>0</v>
      </c>
      <c r="AY301" s="19">
        <v>0</v>
      </c>
      <c r="AZ301" s="19">
        <v>0</v>
      </c>
      <c r="BA301" s="19">
        <v>0</v>
      </c>
      <c r="BB301" s="19">
        <v>0</v>
      </c>
      <c r="BC301" s="19">
        <v>0</v>
      </c>
      <c r="BD301" s="19">
        <v>0</v>
      </c>
      <c r="BE301" s="19">
        <v>0</v>
      </c>
      <c r="BF301" s="19">
        <v>0</v>
      </c>
      <c r="BG301" s="19">
        <v>0</v>
      </c>
      <c r="BH301" s="19">
        <v>0</v>
      </c>
      <c r="BI301" s="19">
        <v>0</v>
      </c>
      <c r="BJ301" s="19">
        <v>0</v>
      </c>
      <c r="BK301" s="19">
        <v>0</v>
      </c>
      <c r="BL301" s="19">
        <v>0</v>
      </c>
      <c r="BM301" s="19">
        <v>0</v>
      </c>
      <c r="BN301" s="19">
        <v>0</v>
      </c>
      <c r="BO301" s="19">
        <v>0</v>
      </c>
      <c r="BP301" s="19">
        <v>0</v>
      </c>
      <c r="BQ301" s="19">
        <v>0</v>
      </c>
      <c r="BR301" s="19">
        <v>2</v>
      </c>
      <c r="BS301" s="19">
        <v>1</v>
      </c>
      <c r="BT301" s="19">
        <v>2</v>
      </c>
      <c r="BU301" s="19">
        <v>5</v>
      </c>
      <c r="BV301" s="19">
        <v>3</v>
      </c>
      <c r="BW301" s="19">
        <v>1</v>
      </c>
      <c r="BX301" s="19">
        <v>2</v>
      </c>
      <c r="BY301" s="19">
        <v>3</v>
      </c>
      <c r="BZ301" s="19">
        <v>3</v>
      </c>
      <c r="CA301" s="19">
        <v>4</v>
      </c>
      <c r="CB301" s="19">
        <v>4</v>
      </c>
      <c r="CC301" s="19">
        <v>5</v>
      </c>
      <c r="CD301" s="19">
        <v>3</v>
      </c>
      <c r="CE301" s="19">
        <v>4</v>
      </c>
      <c r="CF301" s="19">
        <v>3</v>
      </c>
      <c r="CG301" s="19">
        <v>4</v>
      </c>
      <c r="CH301" s="19">
        <v>3</v>
      </c>
      <c r="CI301" s="19">
        <v>4</v>
      </c>
      <c r="CJ301" s="19">
        <v>4</v>
      </c>
      <c r="CK301" s="19">
        <v>10</v>
      </c>
      <c r="CL301">
        <v>92</v>
      </c>
      <c r="CM301">
        <v>38.5</v>
      </c>
      <c r="CN301" s="16">
        <v>77.5</v>
      </c>
      <c r="CO301" s="16">
        <v>83.4</v>
      </c>
      <c r="CP301" s="16">
        <v>19.100000000000001</v>
      </c>
      <c r="CQ301">
        <v>78.180000000000007</v>
      </c>
      <c r="CR301">
        <v>0</v>
      </c>
      <c r="CS301">
        <v>2.48</v>
      </c>
      <c r="CT301">
        <v>0</v>
      </c>
      <c r="CU301">
        <v>19.34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4.1100000000000003</v>
      </c>
      <c r="DD301">
        <v>21.82</v>
      </c>
      <c r="DE301">
        <v>10.65</v>
      </c>
      <c r="DF301">
        <v>0</v>
      </c>
      <c r="DG301">
        <v>16.899999999999999</v>
      </c>
      <c r="DH301">
        <v>1</v>
      </c>
      <c r="DI301">
        <v>6</v>
      </c>
      <c r="DK301">
        <v>1</v>
      </c>
      <c r="DU301">
        <v>0</v>
      </c>
      <c r="DV301">
        <v>0</v>
      </c>
      <c r="EG301" s="18"/>
      <c r="EY301">
        <v>0</v>
      </c>
      <c r="GJ301" s="16">
        <v>0</v>
      </c>
      <c r="GK301" s="16">
        <v>0</v>
      </c>
      <c r="GL301" s="16"/>
      <c r="GM301" s="16"/>
      <c r="GN301" s="16"/>
      <c r="GO301" s="16"/>
      <c r="GP301" s="16"/>
      <c r="GQ301" s="16"/>
      <c r="GR301" s="16"/>
      <c r="GS301" s="16"/>
      <c r="GT301" s="16"/>
      <c r="GU301" s="16">
        <v>2.48</v>
      </c>
      <c r="GV301" s="16">
        <v>2.48</v>
      </c>
      <c r="GW301" s="16"/>
      <c r="GX301" s="16"/>
      <c r="GY301" s="16">
        <v>0</v>
      </c>
      <c r="GZ301" s="16">
        <v>0</v>
      </c>
      <c r="HA301" s="16">
        <v>0</v>
      </c>
      <c r="HB301">
        <v>0</v>
      </c>
      <c r="HC301" t="s">
        <v>833</v>
      </c>
      <c r="HD301">
        <v>31</v>
      </c>
      <c r="HE301" s="16">
        <v>82.6</v>
      </c>
      <c r="HF301" s="16">
        <v>83.4</v>
      </c>
      <c r="HG301" s="16">
        <v>5.7</v>
      </c>
      <c r="HH301">
        <v>99.97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7.3</v>
      </c>
      <c r="HT301">
        <v>53.74</v>
      </c>
      <c r="HU301">
        <v>0</v>
      </c>
      <c r="HV301">
        <v>0</v>
      </c>
      <c r="HW301">
        <v>0</v>
      </c>
      <c r="HX301">
        <v>17.600000000000001</v>
      </c>
      <c r="HY301">
        <v>1</v>
      </c>
      <c r="HZ301">
        <v>4.5999999999999996</v>
      </c>
      <c r="IB301">
        <v>2</v>
      </c>
      <c r="IL301">
        <v>2.4</v>
      </c>
      <c r="IM301">
        <v>0</v>
      </c>
      <c r="IX301" s="18"/>
      <c r="JP301">
        <v>1</v>
      </c>
      <c r="JQ301">
        <v>60</v>
      </c>
      <c r="JR301">
        <f>4+6+1+3+1+3</f>
        <v>18</v>
      </c>
      <c r="JS301">
        <f>0.73+2.2+0.13+0.39+0.78+0.52</f>
        <v>4.75</v>
      </c>
      <c r="JT301">
        <v>3</v>
      </c>
      <c r="JU301">
        <v>50</v>
      </c>
      <c r="JV301">
        <f>14</f>
        <v>14</v>
      </c>
      <c r="JW301">
        <f>4.4+2.94+0.52</f>
        <v>7.8599999999999994</v>
      </c>
      <c r="JX301">
        <v>3</v>
      </c>
      <c r="LA301" s="16">
        <v>0</v>
      </c>
      <c r="LB301" s="16">
        <v>0</v>
      </c>
      <c r="LC301" s="16"/>
      <c r="LD301" s="16"/>
      <c r="LE301" s="16"/>
      <c r="LF301" s="16"/>
      <c r="LG301" s="16"/>
      <c r="LH301" s="16"/>
      <c r="LI301" s="16"/>
      <c r="LJ301" s="16"/>
      <c r="LK301" s="16"/>
      <c r="LL301" s="16">
        <v>5.21</v>
      </c>
      <c r="LM301" s="16">
        <v>2.59</v>
      </c>
      <c r="LN301" s="16"/>
      <c r="LO301" s="16"/>
      <c r="LP301" s="16">
        <v>0</v>
      </c>
      <c r="LQ301" s="16">
        <v>0</v>
      </c>
      <c r="LR301" s="16">
        <v>0</v>
      </c>
      <c r="LS301">
        <v>0</v>
      </c>
      <c r="LT301" t="s">
        <v>834</v>
      </c>
      <c r="LU301">
        <v>30.5</v>
      </c>
      <c r="LV301" s="16">
        <v>73.400000000000006</v>
      </c>
      <c r="LW301" s="16">
        <v>83.4</v>
      </c>
      <c r="LX301" s="16">
        <v>5.7</v>
      </c>
      <c r="LY301">
        <v>100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7.69</v>
      </c>
      <c r="MK301">
        <v>47.61</v>
      </c>
      <c r="ML301">
        <v>0</v>
      </c>
      <c r="MM301">
        <v>0</v>
      </c>
      <c r="MN301">
        <v>0</v>
      </c>
      <c r="MO301">
        <v>16.399999999999999</v>
      </c>
      <c r="MP301">
        <v>1</v>
      </c>
      <c r="MQ301">
        <v>4.5999999999999996</v>
      </c>
      <c r="MS301">
        <v>2</v>
      </c>
      <c r="NC301">
        <v>1.4</v>
      </c>
      <c r="ND301">
        <v>0</v>
      </c>
      <c r="NO301" s="18"/>
      <c r="OG301">
        <v>1</v>
      </c>
      <c r="OH301">
        <v>60</v>
      </c>
      <c r="OI301">
        <v>7</v>
      </c>
      <c r="OJ301">
        <f>0.73+2.2+0.39</f>
        <v>3.3200000000000003</v>
      </c>
      <c r="OK301">
        <v>3</v>
      </c>
      <c r="OL301">
        <v>50</v>
      </c>
      <c r="OM301">
        <v>10</v>
      </c>
      <c r="ON301">
        <f>4.4+2.94</f>
        <v>7.34</v>
      </c>
      <c r="PR301" s="16">
        <v>0</v>
      </c>
      <c r="PS301" s="16">
        <v>0</v>
      </c>
      <c r="PT301" s="16"/>
      <c r="PU301" s="16"/>
      <c r="PV301" s="16"/>
      <c r="PW301" s="16"/>
      <c r="PX301" s="16"/>
      <c r="PY301" s="16"/>
      <c r="PZ301" s="16"/>
      <c r="QA301" s="16"/>
      <c r="QB301" s="16"/>
      <c r="QC301" s="16">
        <v>6.95</v>
      </c>
      <c r="QD301" s="16">
        <v>10.27</v>
      </c>
      <c r="QE301" s="16"/>
      <c r="QF301" s="16"/>
      <c r="QG301" s="16">
        <v>0</v>
      </c>
      <c r="QH301" s="16">
        <v>0</v>
      </c>
      <c r="QI301" s="16">
        <v>0</v>
      </c>
      <c r="QJ301">
        <v>0</v>
      </c>
      <c r="QK301" t="s">
        <v>835</v>
      </c>
      <c r="QL301">
        <v>19</v>
      </c>
      <c r="QM301" s="16">
        <v>73.2</v>
      </c>
      <c r="QN301" s="16">
        <v>83.4</v>
      </c>
      <c r="QO301" s="16">
        <v>11.1</v>
      </c>
      <c r="QP301">
        <v>92.58</v>
      </c>
      <c r="QQ301">
        <v>0</v>
      </c>
      <c r="QR301">
        <v>1.25</v>
      </c>
      <c r="QS301">
        <v>0</v>
      </c>
      <c r="QT301">
        <v>5.34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4.7699999999999996</v>
      </c>
      <c r="RB301">
        <v>22.03</v>
      </c>
      <c r="RC301">
        <v>27.08</v>
      </c>
      <c r="RD301">
        <v>1.58</v>
      </c>
      <c r="RE301">
        <v>0.83</v>
      </c>
      <c r="RF301">
        <v>0</v>
      </c>
      <c r="RG301">
        <v>0</v>
      </c>
      <c r="RT301">
        <v>0.5</v>
      </c>
      <c r="RU301">
        <v>1</v>
      </c>
      <c r="RV301">
        <v>35</v>
      </c>
      <c r="RW301">
        <v>4</v>
      </c>
      <c r="RX301">
        <v>0.1</v>
      </c>
      <c r="RY301">
        <v>3</v>
      </c>
      <c r="SF301" s="18"/>
      <c r="SX301">
        <v>1</v>
      </c>
      <c r="SY301">
        <v>40</v>
      </c>
      <c r="SZ301">
        <v>1</v>
      </c>
      <c r="TA301">
        <v>1.25</v>
      </c>
      <c r="TB301">
        <v>3</v>
      </c>
      <c r="TC301">
        <v>50</v>
      </c>
      <c r="TD301">
        <v>1</v>
      </c>
      <c r="TE301">
        <v>0.05</v>
      </c>
      <c r="TF301">
        <v>3</v>
      </c>
      <c r="TG301">
        <v>60</v>
      </c>
      <c r="TH301">
        <f>18+9</f>
        <v>27</v>
      </c>
      <c r="TI301">
        <f>2.27+1.14</f>
        <v>3.41</v>
      </c>
      <c r="TJ301">
        <v>3</v>
      </c>
      <c r="UI301" s="16">
        <v>3.7</v>
      </c>
      <c r="UJ301" s="16">
        <v>1</v>
      </c>
      <c r="UK301" s="16">
        <v>1</v>
      </c>
      <c r="UL301" s="16"/>
      <c r="UM301" s="16">
        <f>4+0.13+0.01+0.73+1.65+0.02</f>
        <v>6.5399999999999991</v>
      </c>
      <c r="UN301" s="16">
        <v>2</v>
      </c>
      <c r="UO301" s="16"/>
      <c r="UP301" s="16">
        <f>0.18*2</f>
        <v>0.36</v>
      </c>
      <c r="UQ301" s="16"/>
      <c r="UR301" s="16"/>
      <c r="US301" s="16"/>
      <c r="UT301" s="16">
        <v>3.32</v>
      </c>
      <c r="UU301" s="16">
        <v>3.31</v>
      </c>
      <c r="UV301" s="16"/>
      <c r="UW301" s="16"/>
      <c r="UX301" s="16">
        <v>0</v>
      </c>
      <c r="UY301" s="16">
        <v>0</v>
      </c>
      <c r="UZ301" s="16">
        <v>0.22</v>
      </c>
      <c r="VA301">
        <v>0</v>
      </c>
      <c r="VB301" t="s">
        <v>836</v>
      </c>
      <c r="VC301">
        <v>26.5</v>
      </c>
      <c r="VD301" s="16">
        <v>70.7</v>
      </c>
      <c r="VE301" s="16">
        <v>83.4</v>
      </c>
      <c r="VF301" s="16">
        <v>8.8000000000000007</v>
      </c>
      <c r="VG301">
        <v>94.65</v>
      </c>
      <c r="VH301">
        <v>0</v>
      </c>
      <c r="VI301">
        <v>0.21</v>
      </c>
      <c r="VJ301">
        <v>0</v>
      </c>
      <c r="VK301">
        <v>4.3099999999999996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1.21</v>
      </c>
      <c r="VS301">
        <v>19.41</v>
      </c>
      <c r="VT301">
        <v>20.37</v>
      </c>
      <c r="VU301">
        <v>0.21</v>
      </c>
      <c r="VV301">
        <v>0.83</v>
      </c>
      <c r="VW301">
        <v>12.2</v>
      </c>
      <c r="VX301">
        <v>1</v>
      </c>
      <c r="VY301">
        <v>5</v>
      </c>
      <c r="WA301">
        <v>2</v>
      </c>
      <c r="WK301">
        <v>0</v>
      </c>
      <c r="WL301">
        <v>0</v>
      </c>
      <c r="WW301" s="18"/>
      <c r="XO301">
        <v>1</v>
      </c>
      <c r="XP301">
        <v>40</v>
      </c>
      <c r="XQ301">
        <v>1</v>
      </c>
      <c r="XR301">
        <v>0.21</v>
      </c>
      <c r="XS301">
        <v>3</v>
      </c>
      <c r="XT301">
        <v>80</v>
      </c>
      <c r="XU301">
        <v>4</v>
      </c>
      <c r="XV301">
        <v>0.5</v>
      </c>
      <c r="XW301">
        <v>2</v>
      </c>
      <c r="XX301">
        <v>60</v>
      </c>
      <c r="XY301">
        <f>18+9</f>
        <v>27</v>
      </c>
      <c r="XZ301">
        <f>2.27+1.14</f>
        <v>3.41</v>
      </c>
      <c r="YA301">
        <v>2</v>
      </c>
      <c r="YZ301" s="16">
        <v>3.54</v>
      </c>
      <c r="ZA301" s="16">
        <v>1</v>
      </c>
      <c r="ZB301" s="16">
        <v>1</v>
      </c>
      <c r="ZC301" s="16"/>
      <c r="ZD301" s="16">
        <f>4+0.73*2+1.65</f>
        <v>7.1099999999999994</v>
      </c>
      <c r="ZE301" s="16"/>
      <c r="ZF301" s="16"/>
      <c r="ZG301" s="16"/>
      <c r="ZH301" s="16"/>
      <c r="ZI301" s="16"/>
      <c r="ZJ301" s="16"/>
      <c r="ZK301" s="16">
        <v>1.47</v>
      </c>
      <c r="ZL301" s="16">
        <v>1.47</v>
      </c>
      <c r="ZM301" s="16"/>
      <c r="ZN301" s="16"/>
      <c r="ZO301" s="16">
        <v>0</v>
      </c>
      <c r="ZP301" s="16">
        <v>0</v>
      </c>
      <c r="ZQ301" s="16">
        <v>0.22</v>
      </c>
      <c r="ZR301">
        <v>0</v>
      </c>
      <c r="ZS301" t="s">
        <v>841</v>
      </c>
      <c r="ZT301">
        <v>18.5</v>
      </c>
      <c r="ZU301" s="16">
        <v>91.6</v>
      </c>
      <c r="ZV301" s="16">
        <v>83.4</v>
      </c>
      <c r="ZW301" s="16">
        <v>7.5</v>
      </c>
      <c r="ZX301">
        <v>96.33</v>
      </c>
      <c r="ZY301">
        <v>0</v>
      </c>
      <c r="ZZ301">
        <v>0</v>
      </c>
      <c r="AAA301">
        <v>0</v>
      </c>
      <c r="AAB301">
        <v>3.67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3.67</v>
      </c>
      <c r="AAJ301">
        <v>45.98</v>
      </c>
      <c r="AAK301">
        <v>17.899999999999999</v>
      </c>
      <c r="AAL301">
        <v>0</v>
      </c>
      <c r="AAM301">
        <v>0</v>
      </c>
      <c r="AAN301">
        <v>0</v>
      </c>
      <c r="AAO301">
        <v>0</v>
      </c>
      <c r="ABB301">
        <v>0</v>
      </c>
      <c r="ABC301">
        <v>0</v>
      </c>
      <c r="ABN301" s="18"/>
      <c r="ACF301">
        <v>0</v>
      </c>
      <c r="ACJ301">
        <v>1</v>
      </c>
      <c r="ACK301">
        <v>50</v>
      </c>
      <c r="ACL301">
        <v>1</v>
      </c>
      <c r="ACM301">
        <v>0.04</v>
      </c>
      <c r="ACN301">
        <v>3</v>
      </c>
      <c r="ADQ301" s="16">
        <v>1.44</v>
      </c>
      <c r="ADR301" s="16">
        <v>1</v>
      </c>
      <c r="ADS301" s="16">
        <v>1</v>
      </c>
      <c r="ADT301" s="16"/>
      <c r="ADU301" s="16">
        <f>1.65+0.18*2+9.17</f>
        <v>11.18</v>
      </c>
      <c r="ADV301" s="16"/>
      <c r="ADW301" s="16"/>
      <c r="ADX301" s="16"/>
      <c r="ADY301" s="16"/>
      <c r="ADZ301" s="16"/>
      <c r="AEA301" s="16"/>
      <c r="AEB301" s="16">
        <v>5.88</v>
      </c>
      <c r="AEC301" s="16">
        <v>13.5</v>
      </c>
      <c r="AED301" s="16"/>
      <c r="AEE301" s="16"/>
      <c r="AEF301" s="16">
        <v>3.6</v>
      </c>
      <c r="AEG301" s="16">
        <v>1.1000000000000001</v>
      </c>
      <c r="AEH301" s="16">
        <v>0</v>
      </c>
      <c r="AEI301">
        <v>0</v>
      </c>
      <c r="AEJ301" t="s">
        <v>837</v>
      </c>
      <c r="AEK301">
        <v>30.5</v>
      </c>
      <c r="AEL301" s="16">
        <v>92</v>
      </c>
      <c r="AEM301" s="16">
        <v>83.4</v>
      </c>
      <c r="AEN301" s="16">
        <v>5.9</v>
      </c>
      <c r="AEO301">
        <v>98.99</v>
      </c>
      <c r="AEP301">
        <v>1.01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2.66</v>
      </c>
      <c r="AFA301">
        <v>46.99</v>
      </c>
      <c r="AFB301">
        <v>16.89</v>
      </c>
      <c r="AFC301">
        <v>0</v>
      </c>
      <c r="AFD301">
        <v>0</v>
      </c>
      <c r="AFE301">
        <v>0</v>
      </c>
      <c r="AFF301">
        <v>0</v>
      </c>
      <c r="AFS301">
        <v>0</v>
      </c>
      <c r="AFT301">
        <v>0</v>
      </c>
      <c r="AGE301" s="18"/>
      <c r="AGW301">
        <v>0</v>
      </c>
      <c r="AIH301" s="16">
        <v>8</v>
      </c>
      <c r="AII301" s="16">
        <v>1</v>
      </c>
      <c r="AIJ301" s="16">
        <v>1</v>
      </c>
      <c r="AIK301" s="16"/>
      <c r="AIL301" s="16">
        <f>1.65+0.18*2+9.17</f>
        <v>11.18</v>
      </c>
      <c r="AIM301" s="16"/>
      <c r="AIN301" s="16"/>
      <c r="AIO301" s="16"/>
      <c r="AIP301" s="16"/>
      <c r="AIQ301" s="16"/>
      <c r="AIR301" s="16"/>
      <c r="AIS301" s="16">
        <v>6.16</v>
      </c>
      <c r="AIT301" s="16">
        <v>16.16</v>
      </c>
      <c r="AIU301" s="16"/>
      <c r="AIV301" s="16"/>
      <c r="AIW301" s="16">
        <v>10</v>
      </c>
      <c r="AIX301" s="16">
        <v>1.1000000000000001</v>
      </c>
      <c r="AIY301" s="16">
        <v>0</v>
      </c>
      <c r="AIZ301">
        <v>1</v>
      </c>
      <c r="AJA301" s="15"/>
      <c r="AJB301" s="15"/>
      <c r="AJD301" s="34"/>
      <c r="AJE301" s="34"/>
      <c r="AJH301" s="34"/>
      <c r="AJI301" s="15"/>
      <c r="AJJ301" s="15"/>
      <c r="AJL301" s="34"/>
      <c r="AJM301" s="34"/>
      <c r="AJP301" s="34"/>
      <c r="AJQ301" s="15"/>
      <c r="AJR301" s="15"/>
      <c r="AJT301" s="34"/>
      <c r="AJU301" s="34"/>
      <c r="AJX301" s="34"/>
      <c r="AJY301" s="15"/>
      <c r="AJZ301" s="15"/>
      <c r="AKB301" s="34"/>
      <c r="AKC301" s="34"/>
      <c r="AKF301" s="34"/>
      <c r="AKG301" s="15"/>
      <c r="AKH301" s="15"/>
      <c r="AKJ301" s="34"/>
      <c r="AKK301" s="34"/>
      <c r="AKN301" s="34"/>
      <c r="AKO301" s="15"/>
      <c r="AKP301" s="15"/>
      <c r="AKR301" s="34"/>
      <c r="AKS301" s="34"/>
      <c r="AKV301" s="34"/>
      <c r="AKW301" s="15"/>
      <c r="AKX301" s="15"/>
      <c r="AKZ301" s="34"/>
      <c r="ALA301" s="34"/>
      <c r="ALD301" s="34"/>
      <c r="ALE301" s="15"/>
      <c r="ALF301" s="15"/>
      <c r="ALH301" s="34"/>
      <c r="ALI301" s="34"/>
      <c r="ALL301" s="34"/>
      <c r="ALM301" s="15"/>
      <c r="ALN301" s="15"/>
      <c r="ALP301" s="34"/>
      <c r="ALQ301" s="34"/>
      <c r="ALT301" s="34"/>
      <c r="ALU301" s="15"/>
      <c r="ALV301" s="15"/>
      <c r="ALX301" s="34"/>
      <c r="ALY301" s="34"/>
      <c r="AMB301" s="34"/>
      <c r="AMC301" s="15"/>
      <c r="AMD301" s="15"/>
      <c r="AMF301" s="34"/>
      <c r="AMG301" s="34"/>
      <c r="AMJ301" s="34"/>
    </row>
    <row r="302" spans="1:1024" x14ac:dyDescent="0.2">
      <c r="A302" s="1" t="s">
        <v>875</v>
      </c>
      <c r="B302" s="12">
        <v>42908</v>
      </c>
      <c r="C302">
        <v>1</v>
      </c>
      <c r="D302" s="13">
        <v>42793</v>
      </c>
      <c r="E302" s="12">
        <v>32408</v>
      </c>
      <c r="F302" s="14">
        <f t="shared" si="106"/>
        <v>28.747433264887064</v>
      </c>
      <c r="G302" s="14">
        <f t="shared" si="107"/>
        <v>0.31485284052019163</v>
      </c>
      <c r="H302" s="19" t="s">
        <v>306</v>
      </c>
      <c r="I302" s="15" t="s">
        <v>832</v>
      </c>
      <c r="J302" s="15" t="s">
        <v>183</v>
      </c>
      <c r="K302" s="15">
        <v>8</v>
      </c>
      <c r="L302" s="19">
        <v>80</v>
      </c>
      <c r="N302" s="16" t="e">
        <f t="shared" si="108"/>
        <v>#DIV/0!</v>
      </c>
      <c r="O302" s="19">
        <v>0</v>
      </c>
      <c r="P302" s="19">
        <v>0</v>
      </c>
      <c r="Q302" s="19">
        <v>0</v>
      </c>
      <c r="R302" s="26">
        <v>0</v>
      </c>
      <c r="S302" s="26">
        <v>0</v>
      </c>
      <c r="T302" s="26">
        <v>0</v>
      </c>
      <c r="U302" s="19">
        <v>0</v>
      </c>
      <c r="V302" s="19">
        <v>0</v>
      </c>
      <c r="W302" s="19">
        <v>0</v>
      </c>
      <c r="X302" s="19">
        <v>0</v>
      </c>
      <c r="Y302" s="19">
        <v>0</v>
      </c>
      <c r="Z302" s="19">
        <v>0</v>
      </c>
      <c r="AA302" s="19">
        <v>0</v>
      </c>
      <c r="AB302" s="19">
        <v>0</v>
      </c>
      <c r="AC302" s="19">
        <v>1</v>
      </c>
      <c r="AD302" s="19">
        <v>10</v>
      </c>
      <c r="AE302" s="19">
        <v>0</v>
      </c>
      <c r="AF302" s="19">
        <v>0</v>
      </c>
      <c r="AG302" s="19">
        <v>0</v>
      </c>
      <c r="AH302" s="19">
        <v>0</v>
      </c>
      <c r="AI302" s="19">
        <v>0</v>
      </c>
      <c r="AJ302" s="19">
        <v>0</v>
      </c>
      <c r="AK302" s="19">
        <v>0</v>
      </c>
      <c r="AL302" s="19">
        <v>0</v>
      </c>
      <c r="AM302" s="19">
        <v>0</v>
      </c>
      <c r="AN302" s="19">
        <v>0</v>
      </c>
      <c r="AO302" s="19">
        <v>0</v>
      </c>
      <c r="AP302" s="19">
        <v>0</v>
      </c>
      <c r="AQ302" s="19">
        <v>0</v>
      </c>
      <c r="AR302" s="19">
        <v>0</v>
      </c>
      <c r="AS302" s="19">
        <v>0</v>
      </c>
      <c r="AT302" s="19">
        <v>0</v>
      </c>
      <c r="AU302" s="19">
        <v>0</v>
      </c>
      <c r="AV302" s="19">
        <v>0</v>
      </c>
      <c r="AW302" s="19">
        <v>0</v>
      </c>
      <c r="AX302" s="19">
        <v>0</v>
      </c>
      <c r="AY302" s="19">
        <v>0</v>
      </c>
      <c r="AZ302" s="19">
        <v>0</v>
      </c>
      <c r="BA302" s="19">
        <v>0</v>
      </c>
      <c r="BB302" s="19">
        <v>0</v>
      </c>
      <c r="BC302" s="19">
        <v>0</v>
      </c>
      <c r="BD302" s="19">
        <v>0</v>
      </c>
      <c r="BE302" s="19">
        <v>0</v>
      </c>
      <c r="BF302" s="19">
        <v>0</v>
      </c>
      <c r="BG302" s="19">
        <v>0</v>
      </c>
      <c r="BH302" s="19">
        <v>0</v>
      </c>
      <c r="BI302" s="19">
        <v>0</v>
      </c>
      <c r="BJ302" s="19">
        <v>0</v>
      </c>
      <c r="BK302" s="19">
        <v>0</v>
      </c>
      <c r="BL302" s="19">
        <v>0</v>
      </c>
      <c r="BM302" s="19">
        <v>0</v>
      </c>
      <c r="BN302" s="19">
        <v>0</v>
      </c>
      <c r="BO302" s="19">
        <v>0</v>
      </c>
      <c r="BP302" s="19">
        <v>0</v>
      </c>
      <c r="BQ302" s="19">
        <v>0</v>
      </c>
      <c r="BR302" s="19">
        <v>1</v>
      </c>
      <c r="BS302" s="19">
        <v>1</v>
      </c>
      <c r="BT302" s="19">
        <v>1</v>
      </c>
      <c r="BU302" s="19">
        <v>5</v>
      </c>
      <c r="BV302" s="19">
        <v>1</v>
      </c>
      <c r="BW302" s="19">
        <v>1</v>
      </c>
      <c r="BX302" s="19">
        <v>1</v>
      </c>
      <c r="BY302" s="19">
        <v>2</v>
      </c>
      <c r="BZ302" s="19">
        <v>5</v>
      </c>
      <c r="CA302" s="19">
        <v>5</v>
      </c>
      <c r="CB302" s="19">
        <v>5</v>
      </c>
      <c r="CC302" s="19">
        <v>5</v>
      </c>
      <c r="CD302" s="19">
        <v>4</v>
      </c>
      <c r="CE302" s="19">
        <v>5</v>
      </c>
      <c r="CF302" s="19">
        <v>5</v>
      </c>
      <c r="CG302" s="19">
        <v>4</v>
      </c>
      <c r="CH302" s="19">
        <v>5</v>
      </c>
      <c r="CI302" s="19">
        <v>5</v>
      </c>
      <c r="CJ302" s="19">
        <v>5</v>
      </c>
      <c r="CK302" s="19">
        <v>10</v>
      </c>
      <c r="CL302" t="s">
        <v>833</v>
      </c>
      <c r="CM302">
        <v>31</v>
      </c>
      <c r="CN302" s="16">
        <v>82.6</v>
      </c>
      <c r="CO302" s="16">
        <v>83.4</v>
      </c>
      <c r="CP302" s="16">
        <v>5.7</v>
      </c>
      <c r="CQ302">
        <v>99.97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7.3</v>
      </c>
      <c r="DC302">
        <v>53.74</v>
      </c>
      <c r="DD302">
        <v>0</v>
      </c>
      <c r="DE302">
        <v>0</v>
      </c>
      <c r="DF302">
        <v>0</v>
      </c>
      <c r="DG302">
        <v>17.600000000000001</v>
      </c>
      <c r="DH302">
        <v>1</v>
      </c>
      <c r="DI302">
        <v>4.5999999999999996</v>
      </c>
      <c r="DK302">
        <v>2</v>
      </c>
      <c r="DU302">
        <v>2.4</v>
      </c>
      <c r="DV302">
        <v>0</v>
      </c>
      <c r="EG302" s="18"/>
      <c r="EY302">
        <v>1</v>
      </c>
      <c r="EZ302">
        <v>60</v>
      </c>
      <c r="FA302">
        <f>4+6+1+3+1+3</f>
        <v>18</v>
      </c>
      <c r="FB302">
        <f>0.73+2.2+0.13+0.39+0.78+0.52</f>
        <v>4.75</v>
      </c>
      <c r="FC302">
        <v>3</v>
      </c>
      <c r="FD302">
        <v>50</v>
      </c>
      <c r="FE302">
        <f>14</f>
        <v>14</v>
      </c>
      <c r="FF302">
        <f>4.4+2.94+0.52</f>
        <v>7.8599999999999994</v>
      </c>
      <c r="FG302">
        <v>3</v>
      </c>
      <c r="GJ302" s="16">
        <v>0</v>
      </c>
      <c r="GK302" s="16">
        <v>0</v>
      </c>
      <c r="GL302" s="16"/>
      <c r="GM302" s="16"/>
      <c r="GN302" s="16"/>
      <c r="GO302" s="16"/>
      <c r="GP302" s="16"/>
      <c r="GQ302" s="16"/>
      <c r="GR302" s="16"/>
      <c r="GS302" s="16"/>
      <c r="GT302" s="16"/>
      <c r="GU302" s="16">
        <v>5.21</v>
      </c>
      <c r="GV302" s="16">
        <v>2.59</v>
      </c>
      <c r="GW302" s="16"/>
      <c r="GX302" s="16"/>
      <c r="GY302" s="16">
        <v>0</v>
      </c>
      <c r="GZ302" s="16">
        <v>0</v>
      </c>
      <c r="HA302" s="16">
        <v>0</v>
      </c>
      <c r="HB302">
        <v>0</v>
      </c>
      <c r="HC302" t="s">
        <v>834</v>
      </c>
      <c r="HD302">
        <v>30.5</v>
      </c>
      <c r="HE302" s="16">
        <v>73.400000000000006</v>
      </c>
      <c r="HF302" s="16">
        <v>83.4</v>
      </c>
      <c r="HG302" s="16">
        <v>5.7</v>
      </c>
      <c r="HH302">
        <v>100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7.69</v>
      </c>
      <c r="HT302">
        <v>47.61</v>
      </c>
      <c r="HU302">
        <v>0</v>
      </c>
      <c r="HV302">
        <v>0</v>
      </c>
      <c r="HW302">
        <v>0</v>
      </c>
      <c r="HX302">
        <v>16.399999999999999</v>
      </c>
      <c r="HY302">
        <v>1</v>
      </c>
      <c r="HZ302">
        <v>4.5999999999999996</v>
      </c>
      <c r="IB302">
        <v>2</v>
      </c>
      <c r="IL302">
        <v>1.4</v>
      </c>
      <c r="IM302">
        <v>0</v>
      </c>
      <c r="IX302" s="18"/>
      <c r="JP302">
        <v>1</v>
      </c>
      <c r="JQ302">
        <v>60</v>
      </c>
      <c r="JR302">
        <v>7</v>
      </c>
      <c r="JS302">
        <f>0.73+2.2+0.39</f>
        <v>3.3200000000000003</v>
      </c>
      <c r="JT302">
        <v>3</v>
      </c>
      <c r="JU302">
        <v>50</v>
      </c>
      <c r="JV302">
        <v>10</v>
      </c>
      <c r="JW302">
        <f>4.4+2.94</f>
        <v>7.34</v>
      </c>
      <c r="LA302" s="16">
        <v>0</v>
      </c>
      <c r="LB302" s="16">
        <v>0</v>
      </c>
      <c r="LC302" s="16"/>
      <c r="LD302" s="16"/>
      <c r="LE302" s="16"/>
      <c r="LF302" s="16"/>
      <c r="LG302" s="16"/>
      <c r="LH302" s="16"/>
      <c r="LI302" s="16"/>
      <c r="LJ302" s="16"/>
      <c r="LK302" s="16"/>
      <c r="LL302" s="16">
        <v>6.95</v>
      </c>
      <c r="LM302" s="16">
        <v>10.27</v>
      </c>
      <c r="LN302" s="16"/>
      <c r="LO302" s="16"/>
      <c r="LP302" s="16">
        <v>0</v>
      </c>
      <c r="LQ302" s="16">
        <v>0</v>
      </c>
      <c r="LR302" s="16">
        <v>0</v>
      </c>
      <c r="LS302">
        <v>0</v>
      </c>
      <c r="LT302" t="s">
        <v>835</v>
      </c>
      <c r="LU302">
        <v>19</v>
      </c>
      <c r="LV302" s="16">
        <v>73.2</v>
      </c>
      <c r="LW302" s="16">
        <v>83.4</v>
      </c>
      <c r="LX302" s="16">
        <v>11.1</v>
      </c>
      <c r="LY302">
        <v>92.58</v>
      </c>
      <c r="LZ302">
        <v>0</v>
      </c>
      <c r="MA302">
        <v>1.25</v>
      </c>
      <c r="MB302">
        <v>0</v>
      </c>
      <c r="MC302">
        <v>5.34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4.7699999999999996</v>
      </c>
      <c r="MK302">
        <v>22.03</v>
      </c>
      <c r="ML302">
        <v>27.08</v>
      </c>
      <c r="MM302">
        <v>1.58</v>
      </c>
      <c r="MN302">
        <v>0.83</v>
      </c>
      <c r="MO302">
        <v>0</v>
      </c>
      <c r="MP302">
        <v>0</v>
      </c>
      <c r="NC302">
        <v>0.5</v>
      </c>
      <c r="ND302">
        <v>1</v>
      </c>
      <c r="NE302">
        <v>35</v>
      </c>
      <c r="NF302">
        <v>4</v>
      </c>
      <c r="NG302">
        <v>0.1</v>
      </c>
      <c r="NH302">
        <v>3</v>
      </c>
      <c r="NO302" s="18"/>
      <c r="OG302">
        <v>1</v>
      </c>
      <c r="OH302">
        <v>40</v>
      </c>
      <c r="OI302">
        <v>1</v>
      </c>
      <c r="OJ302">
        <v>1.25</v>
      </c>
      <c r="OK302">
        <v>3</v>
      </c>
      <c r="OL302">
        <v>50</v>
      </c>
      <c r="OM302">
        <v>1</v>
      </c>
      <c r="ON302">
        <v>0.05</v>
      </c>
      <c r="OO302">
        <v>3</v>
      </c>
      <c r="OP302">
        <v>60</v>
      </c>
      <c r="OQ302">
        <f>18+9</f>
        <v>27</v>
      </c>
      <c r="OR302">
        <f>2.27+1.14</f>
        <v>3.41</v>
      </c>
      <c r="OS302">
        <v>3</v>
      </c>
      <c r="PR302" s="16">
        <v>3.7</v>
      </c>
      <c r="PS302" s="16">
        <v>1</v>
      </c>
      <c r="PT302" s="16">
        <v>1</v>
      </c>
      <c r="PU302" s="16"/>
      <c r="PV302" s="16">
        <f>4+0.13+0.01+0.73+1.65+0.02</f>
        <v>6.5399999999999991</v>
      </c>
      <c r="PW302" s="16">
        <v>2</v>
      </c>
      <c r="PX302" s="16"/>
      <c r="PY302" s="16">
        <f>0.18*2</f>
        <v>0.36</v>
      </c>
      <c r="PZ302" s="16"/>
      <c r="QA302" s="16"/>
      <c r="QB302" s="16"/>
      <c r="QC302" s="16">
        <v>3.32</v>
      </c>
      <c r="QD302" s="16">
        <v>3.31</v>
      </c>
      <c r="QE302" s="16"/>
      <c r="QF302" s="16"/>
      <c r="QG302" s="16">
        <v>0</v>
      </c>
      <c r="QH302" s="16">
        <v>0</v>
      </c>
      <c r="QI302" s="16">
        <v>0.22</v>
      </c>
      <c r="QJ302">
        <v>0</v>
      </c>
      <c r="QK302" t="s">
        <v>841</v>
      </c>
      <c r="QL302">
        <v>18.5</v>
      </c>
      <c r="QM302" s="16">
        <v>91.6</v>
      </c>
      <c r="QN302" s="16">
        <v>83.4</v>
      </c>
      <c r="QO302" s="16">
        <v>7.5</v>
      </c>
      <c r="QP302">
        <v>96.33</v>
      </c>
      <c r="QQ302">
        <v>0</v>
      </c>
      <c r="QR302">
        <v>0</v>
      </c>
      <c r="QS302">
        <v>0</v>
      </c>
      <c r="QT302">
        <v>3.67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3.67</v>
      </c>
      <c r="RB302">
        <v>45.98</v>
      </c>
      <c r="RC302">
        <v>17.899999999999999</v>
      </c>
      <c r="RD302">
        <v>0</v>
      </c>
      <c r="RE302">
        <v>0</v>
      </c>
      <c r="RF302">
        <v>0</v>
      </c>
      <c r="RG302">
        <v>0</v>
      </c>
      <c r="RT302">
        <v>0</v>
      </c>
      <c r="RU302">
        <v>0</v>
      </c>
      <c r="SF302" s="18"/>
      <c r="SX302">
        <v>0</v>
      </c>
      <c r="TB302">
        <v>1</v>
      </c>
      <c r="TC302">
        <v>50</v>
      </c>
      <c r="TD302">
        <v>1</v>
      </c>
      <c r="TE302">
        <v>0.04</v>
      </c>
      <c r="TF302">
        <v>3</v>
      </c>
      <c r="UI302" s="16">
        <v>1.44</v>
      </c>
      <c r="UJ302" s="16">
        <v>1</v>
      </c>
      <c r="UK302" s="16">
        <v>1</v>
      </c>
      <c r="UL302" s="16"/>
      <c r="UM302" s="16">
        <f>1.65+0.18*2+9.17</f>
        <v>11.18</v>
      </c>
      <c r="UN302" s="16"/>
      <c r="UO302" s="16"/>
      <c r="UP302" s="16"/>
      <c r="UQ302" s="16"/>
      <c r="UR302" s="16"/>
      <c r="US302" s="16"/>
      <c r="UT302" s="16">
        <v>5.88</v>
      </c>
      <c r="UU302" s="16">
        <v>13.5</v>
      </c>
      <c r="UV302" s="16"/>
      <c r="UW302" s="16"/>
      <c r="UX302" s="16">
        <v>3.6</v>
      </c>
      <c r="UY302" s="16">
        <v>1.1000000000000001</v>
      </c>
      <c r="UZ302" s="16">
        <v>0</v>
      </c>
      <c r="VA302">
        <v>0</v>
      </c>
      <c r="VB302" t="s">
        <v>837</v>
      </c>
      <c r="VC302">
        <v>30.5</v>
      </c>
      <c r="VD302" s="16">
        <v>92</v>
      </c>
      <c r="VE302" s="16">
        <v>83.4</v>
      </c>
      <c r="VF302" s="16">
        <v>5.9</v>
      </c>
      <c r="VG302">
        <v>98.99</v>
      </c>
      <c r="VH302">
        <v>1.01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2.66</v>
      </c>
      <c r="VS302">
        <v>46.99</v>
      </c>
      <c r="VT302">
        <v>16.89</v>
      </c>
      <c r="VU302">
        <v>0</v>
      </c>
      <c r="VV302">
        <v>0</v>
      </c>
      <c r="VW302">
        <v>0</v>
      </c>
      <c r="VX302">
        <v>0</v>
      </c>
      <c r="WK302">
        <v>0</v>
      </c>
      <c r="WL302">
        <v>0</v>
      </c>
      <c r="WW302" s="18"/>
      <c r="XO302">
        <v>0</v>
      </c>
      <c r="YZ302" s="16">
        <v>8</v>
      </c>
      <c r="ZA302" s="16">
        <v>1</v>
      </c>
      <c r="ZB302" s="16">
        <v>1</v>
      </c>
      <c r="ZC302" s="16"/>
      <c r="ZD302" s="16">
        <f t="shared" ref="ZD302:ZD307" si="119">1.65+0.18*2+9.17</f>
        <v>11.18</v>
      </c>
      <c r="ZE302" s="16"/>
      <c r="ZF302" s="16"/>
      <c r="ZG302" s="16"/>
      <c r="ZH302" s="16"/>
      <c r="ZI302" s="16"/>
      <c r="ZJ302" s="16"/>
      <c r="ZK302" s="16">
        <v>6.16</v>
      </c>
      <c r="ZL302" s="16">
        <v>16.16</v>
      </c>
      <c r="ZM302" s="16"/>
      <c r="ZN302" s="16"/>
      <c r="ZO302" s="16">
        <v>10</v>
      </c>
      <c r="ZP302" s="16">
        <v>1.1000000000000001</v>
      </c>
      <c r="ZQ302" s="16">
        <v>0</v>
      </c>
      <c r="ZR302">
        <v>1</v>
      </c>
      <c r="ZS302" t="s">
        <v>838</v>
      </c>
      <c r="ZT302">
        <v>47.5</v>
      </c>
      <c r="ZU302" s="16">
        <v>86.8</v>
      </c>
      <c r="ZV302" s="16">
        <v>83.4</v>
      </c>
      <c r="ZW302" s="16">
        <v>26.7</v>
      </c>
      <c r="ZX302">
        <v>65.11</v>
      </c>
      <c r="ZY302">
        <v>0</v>
      </c>
      <c r="ZZ302">
        <v>2.75</v>
      </c>
      <c r="AAA302">
        <v>0</v>
      </c>
      <c r="AAB302">
        <v>32.14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24.37</v>
      </c>
      <c r="AAK302">
        <v>6.53</v>
      </c>
      <c r="AAL302">
        <v>31.2</v>
      </c>
      <c r="AAM302">
        <v>0</v>
      </c>
      <c r="AAN302">
        <v>13</v>
      </c>
      <c r="AAO302">
        <v>1</v>
      </c>
      <c r="AAP302">
        <v>7</v>
      </c>
      <c r="AAR302">
        <v>2</v>
      </c>
      <c r="ABB302">
        <v>0</v>
      </c>
      <c r="ABC302">
        <v>0</v>
      </c>
      <c r="ABN302" s="18"/>
      <c r="ACF302">
        <v>0</v>
      </c>
      <c r="ADQ302" s="16">
        <v>2.27</v>
      </c>
      <c r="ADR302" s="16">
        <v>1</v>
      </c>
      <c r="ADS302" s="16">
        <v>1</v>
      </c>
      <c r="ADT302" s="16"/>
      <c r="ADU302" s="16">
        <f>3.3*3+0.36*4</f>
        <v>11.339999999999998</v>
      </c>
      <c r="ADV302" s="16"/>
      <c r="ADW302" s="16"/>
      <c r="ADX302" s="16"/>
      <c r="ADY302" s="16"/>
      <c r="ADZ302" s="16"/>
      <c r="AEA302" s="16"/>
      <c r="AEB302" s="16">
        <v>5.24</v>
      </c>
      <c r="AEC302" s="16">
        <v>7.31</v>
      </c>
      <c r="AED302" s="16"/>
      <c r="AEE302" s="16"/>
      <c r="AEF302" s="16">
        <v>0</v>
      </c>
      <c r="AEG302" s="16">
        <v>0</v>
      </c>
      <c r="AEH302" s="16">
        <v>0</v>
      </c>
      <c r="AEI302">
        <v>0</v>
      </c>
      <c r="AEJ302" t="s">
        <v>839</v>
      </c>
      <c r="AEK302">
        <v>48</v>
      </c>
      <c r="AEL302" s="16">
        <v>84.6</v>
      </c>
      <c r="AEM302" s="16">
        <v>83.4</v>
      </c>
      <c r="AEN302" s="16">
        <v>5.9</v>
      </c>
      <c r="AEO302">
        <v>36.31</v>
      </c>
      <c r="AEP302">
        <v>0</v>
      </c>
      <c r="AEQ302">
        <v>0</v>
      </c>
      <c r="AER302">
        <v>0</v>
      </c>
      <c r="AES302">
        <v>63.69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2.5299999999999998</v>
      </c>
      <c r="AFA302">
        <v>8.33</v>
      </c>
      <c r="AFB302">
        <v>27.3</v>
      </c>
      <c r="AFC302">
        <v>39.369999999999997</v>
      </c>
      <c r="AFD302">
        <v>0</v>
      </c>
      <c r="AFE302">
        <v>0</v>
      </c>
      <c r="AFF302">
        <v>0</v>
      </c>
      <c r="AFS302">
        <v>0</v>
      </c>
      <c r="AFT302">
        <v>0</v>
      </c>
      <c r="AGE302" s="18"/>
      <c r="AGW302">
        <v>0</v>
      </c>
      <c r="AIH302" s="16">
        <v>8</v>
      </c>
      <c r="AII302" s="16">
        <v>1</v>
      </c>
      <c r="AIJ302" s="16">
        <v>1</v>
      </c>
      <c r="AIK302" s="16"/>
      <c r="AIL302" s="16">
        <f>3.3*2+4.95+0.36*5</f>
        <v>13.350000000000001</v>
      </c>
      <c r="AIM302" s="16"/>
      <c r="AIN302" s="16"/>
      <c r="AIO302" s="16"/>
      <c r="AIP302" s="16"/>
      <c r="AIQ302" s="16"/>
      <c r="AIR302" s="16"/>
      <c r="AIS302" s="16">
        <v>6.16</v>
      </c>
      <c r="AIT302" s="16">
        <v>12.89</v>
      </c>
      <c r="AIU302" s="16"/>
      <c r="AIV302" s="16"/>
      <c r="AIW302" s="16">
        <v>0</v>
      </c>
      <c r="AIX302" s="16">
        <v>0</v>
      </c>
      <c r="AIY302" s="16">
        <v>0</v>
      </c>
      <c r="AIZ302">
        <v>0</v>
      </c>
      <c r="AJA302" s="15"/>
      <c r="AJB302" s="15"/>
      <c r="AJD302" s="34"/>
      <c r="AJE302" s="34"/>
      <c r="AJH302" s="34"/>
      <c r="AJI302" s="15"/>
      <c r="AJJ302" s="15"/>
      <c r="AJL302" s="34"/>
      <c r="AJM302" s="34"/>
      <c r="AJP302" s="34"/>
      <c r="AJQ302" s="15"/>
      <c r="AJR302" s="15"/>
      <c r="AJT302" s="34"/>
      <c r="AJU302" s="34"/>
      <c r="AJX302" s="34"/>
      <c r="AJY302" s="15"/>
      <c r="AJZ302" s="15"/>
      <c r="AKB302" s="34"/>
      <c r="AKC302" s="34"/>
      <c r="AKF302" s="34"/>
      <c r="AKG302" s="15"/>
      <c r="AKH302" s="15"/>
      <c r="AKJ302" s="34"/>
      <c r="AKK302" s="34"/>
      <c r="AKN302" s="34"/>
      <c r="AKO302" s="15"/>
      <c r="AKP302" s="15"/>
      <c r="AKR302" s="34"/>
      <c r="AKS302" s="34"/>
      <c r="AKV302" s="34"/>
      <c r="AKW302" s="15"/>
      <c r="AKX302" s="15"/>
      <c r="AKZ302" s="34"/>
      <c r="ALA302" s="34"/>
      <c r="ALD302" s="34"/>
      <c r="ALE302" s="15"/>
      <c r="ALF302" s="15"/>
      <c r="ALH302" s="34"/>
      <c r="ALI302" s="34"/>
      <c r="ALL302" s="34"/>
      <c r="ALM302" s="15"/>
      <c r="ALN302" s="15"/>
      <c r="ALP302" s="34"/>
      <c r="ALQ302" s="34"/>
      <c r="ALT302" s="34"/>
      <c r="ALU302" s="15"/>
      <c r="ALV302" s="15"/>
      <c r="ALX302" s="34"/>
      <c r="ALY302" s="34"/>
      <c r="AMB302" s="34"/>
      <c r="AMC302" s="15"/>
      <c r="AMD302" s="15"/>
      <c r="AMF302" s="34"/>
      <c r="AMG302" s="34"/>
      <c r="AMJ302" s="34"/>
    </row>
    <row r="303" spans="1:1024" x14ac:dyDescent="0.2">
      <c r="A303" s="1" t="s">
        <v>876</v>
      </c>
      <c r="B303" s="12">
        <v>42908</v>
      </c>
      <c r="C303">
        <v>1</v>
      </c>
      <c r="D303" s="13">
        <v>42797</v>
      </c>
      <c r="E303" s="12">
        <v>34733</v>
      </c>
      <c r="F303" s="14">
        <f t="shared" si="106"/>
        <v>22.381930184804929</v>
      </c>
      <c r="G303" s="14">
        <f t="shared" si="107"/>
        <v>0.30390143737166325</v>
      </c>
      <c r="H303" s="19" t="s">
        <v>306</v>
      </c>
      <c r="I303" s="15" t="s">
        <v>832</v>
      </c>
      <c r="J303" s="15" t="s">
        <v>183</v>
      </c>
      <c r="K303" s="15">
        <v>8</v>
      </c>
      <c r="L303" s="19">
        <v>78</v>
      </c>
      <c r="M303">
        <v>1.62</v>
      </c>
      <c r="N303" s="16">
        <f t="shared" si="108"/>
        <v>29.721079103795148</v>
      </c>
      <c r="O303" s="19">
        <v>0</v>
      </c>
      <c r="P303" s="19">
        <v>0</v>
      </c>
      <c r="Q303" s="19">
        <v>0</v>
      </c>
      <c r="R303" s="26">
        <v>0</v>
      </c>
      <c r="S303" s="26">
        <v>0</v>
      </c>
      <c r="T303" s="26">
        <v>0</v>
      </c>
      <c r="U303" s="19"/>
      <c r="V303" s="19"/>
      <c r="W303" s="19">
        <v>0</v>
      </c>
      <c r="X303" s="19">
        <v>0</v>
      </c>
      <c r="Y303" s="19">
        <v>0</v>
      </c>
      <c r="Z303" s="19">
        <v>0</v>
      </c>
      <c r="AA303" s="19">
        <v>0</v>
      </c>
      <c r="AB303" s="19">
        <v>0</v>
      </c>
      <c r="AC303" s="19">
        <v>0</v>
      </c>
      <c r="AD303" s="19">
        <v>0</v>
      </c>
      <c r="AE303" s="19">
        <v>1</v>
      </c>
      <c r="AF303" s="19">
        <v>0</v>
      </c>
      <c r="AG303" s="19">
        <v>1</v>
      </c>
      <c r="AH303" s="19">
        <v>3</v>
      </c>
      <c r="AI303" s="19">
        <v>0</v>
      </c>
      <c r="AJ303" s="19">
        <v>0</v>
      </c>
      <c r="AK303" s="19">
        <v>0</v>
      </c>
      <c r="AL303" s="19">
        <v>0</v>
      </c>
      <c r="AM303" s="19">
        <v>0</v>
      </c>
      <c r="AN303" s="19">
        <v>0</v>
      </c>
      <c r="AO303" s="19">
        <v>0</v>
      </c>
      <c r="AP303" s="19">
        <v>0</v>
      </c>
      <c r="AQ303" s="19">
        <v>0</v>
      </c>
      <c r="AR303" s="19">
        <v>0</v>
      </c>
      <c r="AS303" s="19">
        <v>0</v>
      </c>
      <c r="AT303" s="19">
        <v>0</v>
      </c>
      <c r="AU303" s="19">
        <v>0</v>
      </c>
      <c r="AV303" s="19">
        <v>0</v>
      </c>
      <c r="AW303" s="19">
        <v>0</v>
      </c>
      <c r="AX303" s="19">
        <v>0</v>
      </c>
      <c r="AY303" s="19">
        <v>0</v>
      </c>
      <c r="AZ303" s="19">
        <v>0</v>
      </c>
      <c r="BA303" s="19">
        <v>0</v>
      </c>
      <c r="BB303" s="19">
        <v>1</v>
      </c>
      <c r="BC303" s="19">
        <v>0</v>
      </c>
      <c r="BD303" s="19">
        <v>1</v>
      </c>
      <c r="BE303" s="19">
        <v>3</v>
      </c>
      <c r="BF303" s="19">
        <v>0</v>
      </c>
      <c r="BG303" s="19">
        <v>0</v>
      </c>
      <c r="BH303" s="19">
        <v>0</v>
      </c>
      <c r="BI303" s="19">
        <v>0</v>
      </c>
      <c r="BJ303" s="19">
        <v>0</v>
      </c>
      <c r="BK303" s="19">
        <v>0</v>
      </c>
      <c r="BL303" s="19">
        <v>0</v>
      </c>
      <c r="BM303" s="19">
        <v>0</v>
      </c>
      <c r="BN303" s="19">
        <v>0</v>
      </c>
      <c r="BO303" s="19">
        <v>0</v>
      </c>
      <c r="BP303" s="19">
        <v>0</v>
      </c>
      <c r="BQ303" s="19">
        <v>0</v>
      </c>
      <c r="BR303" s="19">
        <v>2</v>
      </c>
      <c r="BS303" s="19">
        <v>2</v>
      </c>
      <c r="BT303" s="19">
        <v>3</v>
      </c>
      <c r="BU303" s="19">
        <v>4</v>
      </c>
      <c r="BV303" s="19">
        <v>1</v>
      </c>
      <c r="BW303" s="19">
        <v>1</v>
      </c>
      <c r="BX303" s="19">
        <v>3</v>
      </c>
      <c r="BY303" s="19">
        <v>3</v>
      </c>
      <c r="BZ303" s="19">
        <v>4</v>
      </c>
      <c r="CA303" s="19">
        <v>5</v>
      </c>
      <c r="CB303" s="19">
        <v>4</v>
      </c>
      <c r="CC303" s="19">
        <v>4</v>
      </c>
      <c r="CD303" s="19">
        <v>5</v>
      </c>
      <c r="CE303" s="19">
        <v>4</v>
      </c>
      <c r="CF303" s="19">
        <v>5</v>
      </c>
      <c r="CG303" s="19">
        <v>4</v>
      </c>
      <c r="CH303" s="19">
        <v>4</v>
      </c>
      <c r="CI303" s="19">
        <v>4</v>
      </c>
      <c r="CJ303" s="19">
        <v>4</v>
      </c>
      <c r="CK303" s="19">
        <v>10</v>
      </c>
      <c r="CL303" t="s">
        <v>833</v>
      </c>
      <c r="CM303">
        <v>31</v>
      </c>
      <c r="CN303" s="16">
        <v>82.6</v>
      </c>
      <c r="CO303" s="16">
        <v>83.4</v>
      </c>
      <c r="CP303" s="16">
        <v>5.7</v>
      </c>
      <c r="CQ303">
        <v>99.97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7.3</v>
      </c>
      <c r="DC303">
        <v>53.74</v>
      </c>
      <c r="DD303">
        <v>0</v>
      </c>
      <c r="DE303">
        <v>0</v>
      </c>
      <c r="DF303">
        <v>0</v>
      </c>
      <c r="DG303">
        <v>17.600000000000001</v>
      </c>
      <c r="DH303">
        <v>1</v>
      </c>
      <c r="DI303">
        <v>4.5999999999999996</v>
      </c>
      <c r="DK303">
        <v>2</v>
      </c>
      <c r="DU303">
        <v>2.4</v>
      </c>
      <c r="DV303">
        <v>0</v>
      </c>
      <c r="EG303" s="18"/>
      <c r="EY303">
        <v>1</v>
      </c>
      <c r="EZ303">
        <v>60</v>
      </c>
      <c r="FA303">
        <f>4+6+1+3+1+3</f>
        <v>18</v>
      </c>
      <c r="FB303">
        <f>0.73+2.2+0.13+0.39+0.78+0.52</f>
        <v>4.75</v>
      </c>
      <c r="FC303">
        <v>3</v>
      </c>
      <c r="FD303">
        <v>50</v>
      </c>
      <c r="FE303">
        <f>14</f>
        <v>14</v>
      </c>
      <c r="FF303">
        <f>4.4+2.94+0.52</f>
        <v>7.8599999999999994</v>
      </c>
      <c r="FG303">
        <v>3</v>
      </c>
      <c r="GJ303" s="16">
        <v>0</v>
      </c>
      <c r="GK303" s="16">
        <v>0</v>
      </c>
      <c r="GL303" s="16"/>
      <c r="GM303" s="16"/>
      <c r="GN303" s="16"/>
      <c r="GO303" s="16"/>
      <c r="GP303" s="16"/>
      <c r="GQ303" s="16"/>
      <c r="GR303" s="16"/>
      <c r="GS303" s="16"/>
      <c r="GT303" s="16"/>
      <c r="GU303" s="16">
        <v>5.21</v>
      </c>
      <c r="GV303" s="16">
        <v>2.59</v>
      </c>
      <c r="GW303" s="16"/>
      <c r="GX303" s="16"/>
      <c r="GY303" s="16">
        <v>0</v>
      </c>
      <c r="GZ303" s="16">
        <v>0</v>
      </c>
      <c r="HA303" s="16">
        <v>0</v>
      </c>
      <c r="HB303">
        <v>0</v>
      </c>
      <c r="HC303" t="s">
        <v>834</v>
      </c>
      <c r="HD303">
        <v>30.5</v>
      </c>
      <c r="HE303" s="16">
        <v>73.400000000000006</v>
      </c>
      <c r="HF303" s="16">
        <v>83.4</v>
      </c>
      <c r="HG303" s="16">
        <v>5.7</v>
      </c>
      <c r="HH303">
        <v>100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7.69</v>
      </c>
      <c r="HT303">
        <v>47.61</v>
      </c>
      <c r="HU303">
        <v>0</v>
      </c>
      <c r="HV303">
        <v>0</v>
      </c>
      <c r="HW303">
        <v>0</v>
      </c>
      <c r="HX303">
        <v>16.399999999999999</v>
      </c>
      <c r="HY303">
        <v>1</v>
      </c>
      <c r="HZ303">
        <v>4.5999999999999996</v>
      </c>
      <c r="IB303">
        <v>2</v>
      </c>
      <c r="IL303">
        <v>1.4</v>
      </c>
      <c r="IM303">
        <v>0</v>
      </c>
      <c r="IX303" s="18"/>
      <c r="JP303">
        <v>1</v>
      </c>
      <c r="JQ303">
        <v>60</v>
      </c>
      <c r="JR303">
        <v>7</v>
      </c>
      <c r="JS303">
        <f>0.73+2.2+0.39</f>
        <v>3.3200000000000003</v>
      </c>
      <c r="JT303">
        <v>3</v>
      </c>
      <c r="JU303">
        <v>50</v>
      </c>
      <c r="JV303">
        <v>10</v>
      </c>
      <c r="JW303">
        <f>4.4+2.94</f>
        <v>7.34</v>
      </c>
      <c r="LA303" s="16">
        <v>0</v>
      </c>
      <c r="LB303" s="16">
        <v>0</v>
      </c>
      <c r="LC303" s="16"/>
      <c r="LD303" s="16"/>
      <c r="LE303" s="16"/>
      <c r="LF303" s="16"/>
      <c r="LG303" s="16"/>
      <c r="LH303" s="16"/>
      <c r="LI303" s="16"/>
      <c r="LJ303" s="16"/>
      <c r="LK303" s="16"/>
      <c r="LL303" s="16">
        <v>6.95</v>
      </c>
      <c r="LM303" s="16">
        <v>10.27</v>
      </c>
      <c r="LN303" s="16"/>
      <c r="LO303" s="16"/>
      <c r="LP303" s="16">
        <v>0</v>
      </c>
      <c r="LQ303" s="16">
        <v>0</v>
      </c>
      <c r="LR303" s="16">
        <v>0</v>
      </c>
      <c r="LS303">
        <v>0</v>
      </c>
      <c r="LT303">
        <v>94</v>
      </c>
      <c r="LU303">
        <v>24.5</v>
      </c>
      <c r="LV303" s="16">
        <v>88.7</v>
      </c>
      <c r="LW303" s="16">
        <v>83.4</v>
      </c>
      <c r="LX303" s="16">
        <v>23.1</v>
      </c>
      <c r="LY303">
        <v>69.95</v>
      </c>
      <c r="LZ303">
        <v>0</v>
      </c>
      <c r="MA303">
        <v>7.16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34.04</v>
      </c>
      <c r="ML303">
        <v>20.5</v>
      </c>
      <c r="MM303">
        <v>0</v>
      </c>
      <c r="MN303">
        <v>22.9</v>
      </c>
      <c r="MO303">
        <v>0</v>
      </c>
      <c r="MP303">
        <v>0</v>
      </c>
      <c r="NC303">
        <v>0</v>
      </c>
      <c r="ND303">
        <v>0</v>
      </c>
      <c r="NO303" s="18"/>
      <c r="OG303">
        <v>0</v>
      </c>
      <c r="PR303" s="16">
        <v>0</v>
      </c>
      <c r="PS303" s="16">
        <v>0</v>
      </c>
      <c r="PT303" s="16"/>
      <c r="PU303" s="16"/>
      <c r="PV303" s="16"/>
      <c r="PW303" s="16"/>
      <c r="PX303" s="16"/>
      <c r="PY303" s="16"/>
      <c r="PZ303" s="16"/>
      <c r="QA303" s="16"/>
      <c r="QB303" s="16"/>
      <c r="QC303" s="16">
        <v>0</v>
      </c>
      <c r="QD303" s="16">
        <v>0</v>
      </c>
      <c r="QE303" s="16"/>
      <c r="QF303" s="16"/>
      <c r="QG303" s="16">
        <v>0</v>
      </c>
      <c r="QH303" s="16">
        <v>0</v>
      </c>
      <c r="QI303" s="16">
        <v>1.44</v>
      </c>
      <c r="QJ303">
        <v>0</v>
      </c>
      <c r="QK303" t="s">
        <v>836</v>
      </c>
      <c r="QL303">
        <v>26.5</v>
      </c>
      <c r="QM303" s="16">
        <v>70.7</v>
      </c>
      <c r="QN303" s="16">
        <v>83.4</v>
      </c>
      <c r="QO303" s="16">
        <v>8.8000000000000007</v>
      </c>
      <c r="QP303">
        <v>94.65</v>
      </c>
      <c r="QQ303">
        <v>0</v>
      </c>
      <c r="QR303">
        <v>0.21</v>
      </c>
      <c r="QS303">
        <v>0</v>
      </c>
      <c r="QT303">
        <v>4.3099999999999996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1.21</v>
      </c>
      <c r="RB303">
        <v>19.41</v>
      </c>
      <c r="RC303">
        <v>20.37</v>
      </c>
      <c r="RD303">
        <v>0.21</v>
      </c>
      <c r="RE303">
        <v>0.83</v>
      </c>
      <c r="RF303">
        <v>12.2</v>
      </c>
      <c r="RG303">
        <v>1</v>
      </c>
      <c r="RH303">
        <v>5</v>
      </c>
      <c r="RJ303">
        <v>2</v>
      </c>
      <c r="RT303">
        <v>0</v>
      </c>
      <c r="RU303">
        <v>0</v>
      </c>
      <c r="SF303" s="18"/>
      <c r="SX303">
        <v>1</v>
      </c>
      <c r="SY303">
        <v>40</v>
      </c>
      <c r="SZ303">
        <v>1</v>
      </c>
      <c r="TA303">
        <v>0.21</v>
      </c>
      <c r="TB303">
        <v>3</v>
      </c>
      <c r="TC303">
        <v>80</v>
      </c>
      <c r="TD303">
        <v>4</v>
      </c>
      <c r="TE303">
        <v>0.5</v>
      </c>
      <c r="TF303">
        <v>2</v>
      </c>
      <c r="TG303">
        <v>60</v>
      </c>
      <c r="TH303">
        <f>18+9</f>
        <v>27</v>
      </c>
      <c r="TI303">
        <f>2.27+1.14</f>
        <v>3.41</v>
      </c>
      <c r="TJ303">
        <v>2</v>
      </c>
      <c r="UI303" s="16">
        <v>3.54</v>
      </c>
      <c r="UJ303" s="16">
        <v>1</v>
      </c>
      <c r="UK303" s="16">
        <v>1</v>
      </c>
      <c r="UL303" s="16"/>
      <c r="UM303" s="16">
        <f>4+0.73*2+1.65</f>
        <v>7.1099999999999994</v>
      </c>
      <c r="UN303" s="16"/>
      <c r="UO303" s="16"/>
      <c r="UP303" s="16"/>
      <c r="UQ303" s="16"/>
      <c r="UR303" s="16"/>
      <c r="US303" s="16"/>
      <c r="UT303" s="16">
        <v>1.47</v>
      </c>
      <c r="UU303" s="16">
        <v>1.47</v>
      </c>
      <c r="UV303" s="16"/>
      <c r="UW303" s="16"/>
      <c r="UX303" s="16">
        <v>0</v>
      </c>
      <c r="UY303" s="16">
        <v>0</v>
      </c>
      <c r="UZ303" s="16">
        <v>0.22</v>
      </c>
      <c r="VA303">
        <v>0</v>
      </c>
      <c r="VB303" t="s">
        <v>841</v>
      </c>
      <c r="VC303">
        <v>18.5</v>
      </c>
      <c r="VD303" s="16">
        <v>91.6</v>
      </c>
      <c r="VE303" s="16">
        <v>83.4</v>
      </c>
      <c r="VF303" s="16">
        <v>7.5</v>
      </c>
      <c r="VG303">
        <v>96.33</v>
      </c>
      <c r="VH303">
        <v>0</v>
      </c>
      <c r="VI303">
        <v>0</v>
      </c>
      <c r="VJ303">
        <v>0</v>
      </c>
      <c r="VK303">
        <v>3.67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3.67</v>
      </c>
      <c r="VS303">
        <v>45.98</v>
      </c>
      <c r="VT303">
        <v>17.899999999999999</v>
      </c>
      <c r="VU303">
        <v>0</v>
      </c>
      <c r="VV303">
        <v>0</v>
      </c>
      <c r="VW303">
        <v>0</v>
      </c>
      <c r="VX303">
        <v>0</v>
      </c>
      <c r="WK303">
        <v>0</v>
      </c>
      <c r="WL303">
        <v>0</v>
      </c>
      <c r="WW303" s="18"/>
      <c r="XO303">
        <v>0</v>
      </c>
      <c r="XS303">
        <v>1</v>
      </c>
      <c r="XT303">
        <v>50</v>
      </c>
      <c r="XU303">
        <v>1</v>
      </c>
      <c r="XV303">
        <v>0.04</v>
      </c>
      <c r="XW303">
        <v>3</v>
      </c>
      <c r="YZ303" s="16">
        <v>1.44</v>
      </c>
      <c r="ZA303" s="16">
        <v>1</v>
      </c>
      <c r="ZB303" s="16">
        <v>1</v>
      </c>
      <c r="ZC303" s="16"/>
      <c r="ZD303" s="16">
        <f t="shared" si="119"/>
        <v>11.18</v>
      </c>
      <c r="ZE303" s="16"/>
      <c r="ZF303" s="16"/>
      <c r="ZG303" s="16"/>
      <c r="ZH303" s="16"/>
      <c r="ZI303" s="16"/>
      <c r="ZJ303" s="16"/>
      <c r="ZK303" s="16">
        <v>5.88</v>
      </c>
      <c r="ZL303" s="16">
        <v>13.5</v>
      </c>
      <c r="ZM303" s="16"/>
      <c r="ZN303" s="16"/>
      <c r="ZO303" s="16">
        <v>3.6</v>
      </c>
      <c r="ZP303" s="16">
        <v>1.1000000000000001</v>
      </c>
      <c r="ZQ303" s="16">
        <v>0</v>
      </c>
      <c r="ZR303">
        <v>0</v>
      </c>
      <c r="ZS303" t="s">
        <v>837</v>
      </c>
      <c r="ZT303">
        <v>30.5</v>
      </c>
      <c r="ZU303" s="16">
        <v>92</v>
      </c>
      <c r="ZV303" s="16">
        <v>83.4</v>
      </c>
      <c r="ZW303" s="16">
        <v>5.9</v>
      </c>
      <c r="ZX303">
        <v>98.99</v>
      </c>
      <c r="ZY303">
        <v>1.01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2.66</v>
      </c>
      <c r="AAJ303">
        <v>46.99</v>
      </c>
      <c r="AAK303">
        <v>16.89</v>
      </c>
      <c r="AAL303">
        <v>0</v>
      </c>
      <c r="AAM303">
        <v>0</v>
      </c>
      <c r="AAN303">
        <v>0</v>
      </c>
      <c r="AAO303">
        <v>0</v>
      </c>
      <c r="ABB303">
        <v>0</v>
      </c>
      <c r="ABC303">
        <v>0</v>
      </c>
      <c r="ABN303" s="18"/>
      <c r="ACF303">
        <v>0</v>
      </c>
      <c r="ADQ303" s="16">
        <v>8</v>
      </c>
      <c r="ADR303" s="16">
        <v>1</v>
      </c>
      <c r="ADS303" s="16">
        <v>1</v>
      </c>
      <c r="ADT303" s="16"/>
      <c r="ADU303" s="16">
        <f>1.65+0.18*2+9.17</f>
        <v>11.18</v>
      </c>
      <c r="ADV303" s="16"/>
      <c r="ADW303" s="16"/>
      <c r="ADX303" s="16"/>
      <c r="ADY303" s="16"/>
      <c r="ADZ303" s="16"/>
      <c r="AEA303" s="16"/>
      <c r="AEB303" s="16">
        <v>6.16</v>
      </c>
      <c r="AEC303" s="16">
        <v>16.16</v>
      </c>
      <c r="AED303" s="16"/>
      <c r="AEE303" s="16"/>
      <c r="AEF303" s="16">
        <v>10</v>
      </c>
      <c r="AEG303" s="16">
        <v>1.1000000000000001</v>
      </c>
      <c r="AEH303" s="16">
        <v>0</v>
      </c>
      <c r="AEI303">
        <v>1</v>
      </c>
      <c r="AEJ303" s="34"/>
      <c r="AEK303" s="15"/>
      <c r="AEL303" s="15"/>
      <c r="AEN303" s="34"/>
      <c r="AEO303" s="34"/>
      <c r="AER303" s="34"/>
      <c r="AES303" s="15"/>
      <c r="AET303" s="15"/>
      <c r="AEV303" s="34"/>
      <c r="AEW303" s="34"/>
      <c r="AEZ303" s="34"/>
      <c r="AFA303" s="15"/>
      <c r="AFB303" s="15"/>
      <c r="AFD303" s="34"/>
      <c r="AFE303" s="34"/>
      <c r="AFH303" s="34"/>
      <c r="AFI303" s="15"/>
      <c r="AFJ303" s="15"/>
      <c r="AFL303" s="34"/>
      <c r="AFM303" s="34"/>
      <c r="AFP303" s="34"/>
      <c r="AFQ303" s="15"/>
      <c r="AFR303" s="15"/>
      <c r="AFT303" s="34"/>
      <c r="AFU303" s="34"/>
      <c r="AFX303" s="34"/>
      <c r="AFY303" s="15"/>
      <c r="AFZ303" s="15"/>
      <c r="AGB303" s="34"/>
      <c r="AGC303" s="34"/>
      <c r="AGF303" s="34"/>
      <c r="AGG303" s="15"/>
      <c r="AGH303" s="15"/>
      <c r="AGJ303" s="34"/>
      <c r="AGK303" s="34"/>
      <c r="AGN303" s="34"/>
      <c r="AGO303" s="15"/>
      <c r="AGP303" s="15"/>
      <c r="AGR303" s="34"/>
      <c r="AGS303" s="34"/>
      <c r="AGV303" s="34"/>
      <c r="AGW303" s="15"/>
      <c r="AGX303" s="15"/>
      <c r="AGZ303" s="34"/>
      <c r="AHA303" s="34"/>
      <c r="AHD303" s="34"/>
      <c r="AHE303" s="15"/>
      <c r="AHF303" s="15"/>
      <c r="AHH303" s="34"/>
      <c r="AHI303" s="34"/>
      <c r="AHL303" s="34"/>
      <c r="AHM303" s="15"/>
      <c r="AHN303" s="15"/>
      <c r="AHP303" s="34"/>
      <c r="AHQ303" s="34"/>
      <c r="AHT303" s="34"/>
      <c r="AHU303" s="15"/>
      <c r="AHV303" s="15"/>
      <c r="AHX303" s="34"/>
      <c r="AHY303" s="34"/>
      <c r="AIB303" s="34"/>
      <c r="AIC303" s="15"/>
      <c r="AID303" s="15"/>
      <c r="AIF303" s="34"/>
      <c r="AIG303" s="34"/>
      <c r="AIJ303" s="34"/>
      <c r="AIK303" s="15"/>
      <c r="AIL303" s="15"/>
      <c r="AIN303" s="34"/>
      <c r="AIO303" s="34"/>
      <c r="AIR303" s="34"/>
      <c r="AIS303" s="15"/>
      <c r="AIT303" s="15"/>
      <c r="AIV303" s="34"/>
      <c r="AIW303" s="34"/>
      <c r="AIZ303" s="34"/>
      <c r="AJA303" s="15"/>
      <c r="AJB303" s="15"/>
      <c r="AJD303" s="34"/>
      <c r="AJE303" s="34"/>
      <c r="AJH303" s="34"/>
      <c r="AJI303" s="15"/>
      <c r="AJJ303" s="15"/>
      <c r="AJL303" s="34"/>
      <c r="AJM303" s="34"/>
      <c r="AJP303" s="34"/>
      <c r="AJQ303" s="15"/>
      <c r="AJR303" s="15"/>
      <c r="AJT303" s="34"/>
      <c r="AJU303" s="34"/>
      <c r="AJX303" s="34"/>
      <c r="AJY303" s="15"/>
      <c r="AJZ303" s="15"/>
      <c r="AKB303" s="34"/>
      <c r="AKC303" s="34"/>
      <c r="AKF303" s="34"/>
      <c r="AKG303" s="15"/>
      <c r="AKH303" s="15"/>
      <c r="AKJ303" s="34"/>
      <c r="AKK303" s="34"/>
      <c r="AKN303" s="34"/>
      <c r="AKO303" s="15"/>
      <c r="AKP303" s="15"/>
      <c r="AKR303" s="34"/>
      <c r="AKS303" s="34"/>
      <c r="AKV303" s="34"/>
      <c r="AKW303" s="15"/>
      <c r="AKX303" s="15"/>
      <c r="AKZ303" s="34"/>
      <c r="ALA303" s="34"/>
      <c r="ALD303" s="34"/>
      <c r="ALE303" s="15"/>
      <c r="ALF303" s="15"/>
      <c r="ALH303" s="34"/>
      <c r="ALI303" s="34"/>
      <c r="ALL303" s="34"/>
      <c r="ALM303" s="15"/>
      <c r="ALN303" s="15"/>
      <c r="ALP303" s="34"/>
      <c r="ALQ303" s="34"/>
      <c r="ALT303" s="34"/>
      <c r="ALU303" s="15"/>
      <c r="ALV303" s="15"/>
      <c r="ALX303" s="34"/>
      <c r="ALY303" s="34"/>
      <c r="AMB303" s="34"/>
      <c r="AMC303" s="15"/>
      <c r="AMD303" s="15"/>
      <c r="AMF303" s="34"/>
      <c r="AMG303" s="34"/>
      <c r="AMJ303" s="34"/>
    </row>
    <row r="304" spans="1:1024" x14ac:dyDescent="0.2">
      <c r="A304" s="1" t="s">
        <v>877</v>
      </c>
      <c r="B304" s="12">
        <v>42908</v>
      </c>
      <c r="C304">
        <v>2</v>
      </c>
      <c r="D304" s="13">
        <v>42793</v>
      </c>
      <c r="E304" s="12">
        <v>33560</v>
      </c>
      <c r="F304" s="14">
        <f t="shared" si="106"/>
        <v>25.593429158110883</v>
      </c>
      <c r="G304" s="14">
        <f t="shared" si="107"/>
        <v>0.31485284052019163</v>
      </c>
      <c r="H304" s="19" t="s">
        <v>306</v>
      </c>
      <c r="I304" s="15" t="s">
        <v>832</v>
      </c>
      <c r="J304" s="15" t="s">
        <v>183</v>
      </c>
      <c r="K304" s="15">
        <v>8</v>
      </c>
      <c r="L304" s="19">
        <v>66</v>
      </c>
      <c r="M304">
        <v>1.7</v>
      </c>
      <c r="N304" s="16">
        <f t="shared" si="108"/>
        <v>22.837370242214536</v>
      </c>
      <c r="O304" s="19">
        <v>0</v>
      </c>
      <c r="P304" s="19">
        <v>0</v>
      </c>
      <c r="Q304" s="19">
        <v>0</v>
      </c>
      <c r="R304" s="26">
        <v>0</v>
      </c>
      <c r="S304" s="26">
        <v>0</v>
      </c>
      <c r="T304" s="26">
        <v>0</v>
      </c>
      <c r="U304" s="19">
        <v>1</v>
      </c>
      <c r="V304" s="19">
        <v>4</v>
      </c>
      <c r="W304" s="19">
        <v>0</v>
      </c>
      <c r="X304" s="19">
        <v>0</v>
      </c>
      <c r="Y304" s="19">
        <v>0</v>
      </c>
      <c r="Z304" s="19">
        <v>0</v>
      </c>
      <c r="AA304" s="19">
        <v>0</v>
      </c>
      <c r="AB304" s="19">
        <v>0</v>
      </c>
      <c r="AC304" s="19">
        <v>1</v>
      </c>
      <c r="AD304" s="19">
        <v>10</v>
      </c>
      <c r="AE304" s="19">
        <v>0</v>
      </c>
      <c r="AF304" s="19">
        <v>0</v>
      </c>
      <c r="AG304" s="19">
        <v>0</v>
      </c>
      <c r="AH304" s="19">
        <v>0</v>
      </c>
      <c r="AI304" s="19">
        <v>0</v>
      </c>
      <c r="AJ304" s="19">
        <v>0</v>
      </c>
      <c r="AK304" s="19">
        <v>0</v>
      </c>
      <c r="AL304" s="19">
        <v>0</v>
      </c>
      <c r="AM304" s="19">
        <v>0</v>
      </c>
      <c r="AN304" s="19">
        <v>0</v>
      </c>
      <c r="AO304" s="19">
        <v>0</v>
      </c>
      <c r="AP304" s="19">
        <v>0</v>
      </c>
      <c r="AQ304" s="19">
        <v>0</v>
      </c>
      <c r="AR304" s="19">
        <v>0</v>
      </c>
      <c r="AS304" s="19">
        <v>0</v>
      </c>
      <c r="AT304" s="19">
        <v>0</v>
      </c>
      <c r="AU304" s="19">
        <v>0</v>
      </c>
      <c r="AV304" s="19">
        <v>0</v>
      </c>
      <c r="AW304" s="19">
        <v>0</v>
      </c>
      <c r="AX304" s="19">
        <v>0</v>
      </c>
      <c r="AY304" s="19">
        <v>0</v>
      </c>
      <c r="AZ304" s="19">
        <v>0</v>
      </c>
      <c r="BA304" s="19">
        <v>0</v>
      </c>
      <c r="BB304" s="19">
        <v>0</v>
      </c>
      <c r="BC304" s="19">
        <v>0</v>
      </c>
      <c r="BD304" s="19">
        <v>0</v>
      </c>
      <c r="BE304" s="19">
        <v>0</v>
      </c>
      <c r="BF304" s="19">
        <v>0</v>
      </c>
      <c r="BG304" s="19">
        <v>0</v>
      </c>
      <c r="BH304" s="19">
        <v>0</v>
      </c>
      <c r="BI304" s="19">
        <v>0</v>
      </c>
      <c r="BJ304" s="19">
        <v>0</v>
      </c>
      <c r="BK304" s="19">
        <v>0</v>
      </c>
      <c r="BL304" s="19">
        <v>0</v>
      </c>
      <c r="BM304" s="19">
        <v>0</v>
      </c>
      <c r="BN304" s="19">
        <v>0</v>
      </c>
      <c r="BO304" s="19">
        <v>0</v>
      </c>
      <c r="BP304" s="19">
        <v>0</v>
      </c>
      <c r="BQ304" s="19">
        <v>0</v>
      </c>
      <c r="BR304" s="19">
        <v>2</v>
      </c>
      <c r="BS304" s="19">
        <v>2</v>
      </c>
      <c r="BT304" s="19">
        <v>3</v>
      </c>
      <c r="BU304" s="19">
        <v>4</v>
      </c>
      <c r="BV304" s="19">
        <v>3</v>
      </c>
      <c r="BW304" s="19">
        <v>2</v>
      </c>
      <c r="BX304" s="19">
        <v>2</v>
      </c>
      <c r="BY304" s="19">
        <v>4</v>
      </c>
      <c r="BZ304" s="19">
        <v>4</v>
      </c>
      <c r="CA304" s="19">
        <v>3</v>
      </c>
      <c r="CB304" s="19">
        <v>4</v>
      </c>
      <c r="CC304" s="19">
        <v>5</v>
      </c>
      <c r="CD304" s="19">
        <v>4</v>
      </c>
      <c r="CE304" s="19">
        <v>4</v>
      </c>
      <c r="CF304" s="19">
        <v>4</v>
      </c>
      <c r="CG304" s="19">
        <v>4</v>
      </c>
      <c r="CH304" s="19">
        <v>4</v>
      </c>
      <c r="CI304" s="19">
        <v>4</v>
      </c>
      <c r="CJ304" s="19">
        <v>4</v>
      </c>
      <c r="CK304" s="19">
        <v>8</v>
      </c>
      <c r="CL304">
        <v>92</v>
      </c>
      <c r="CM304">
        <v>38.5</v>
      </c>
      <c r="CN304" s="16">
        <v>77.5</v>
      </c>
      <c r="CO304" s="16">
        <v>83.4</v>
      </c>
      <c r="CP304" s="16">
        <v>19.100000000000001</v>
      </c>
      <c r="CQ304">
        <v>78.180000000000007</v>
      </c>
      <c r="CR304">
        <v>0</v>
      </c>
      <c r="CS304">
        <v>2.48</v>
      </c>
      <c r="CT304">
        <v>0</v>
      </c>
      <c r="CU304">
        <v>19.34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4.1100000000000003</v>
      </c>
      <c r="DD304">
        <v>21.82</v>
      </c>
      <c r="DE304">
        <v>10.65</v>
      </c>
      <c r="DF304">
        <v>0</v>
      </c>
      <c r="DG304">
        <v>16.899999999999999</v>
      </c>
      <c r="DH304">
        <v>1</v>
      </c>
      <c r="DI304">
        <v>6</v>
      </c>
      <c r="DK304">
        <v>1</v>
      </c>
      <c r="DU304">
        <v>0</v>
      </c>
      <c r="DV304">
        <v>0</v>
      </c>
      <c r="EG304" s="18"/>
      <c r="EY304">
        <v>0</v>
      </c>
      <c r="GJ304" s="16">
        <v>0</v>
      </c>
      <c r="GK304" s="16">
        <v>0</v>
      </c>
      <c r="GL304" s="16"/>
      <c r="GM304" s="16"/>
      <c r="GN304" s="16"/>
      <c r="GO304" s="16"/>
      <c r="GP304" s="16"/>
      <c r="GQ304" s="16"/>
      <c r="GR304" s="16"/>
      <c r="GS304" s="16"/>
      <c r="GT304" s="16"/>
      <c r="GU304" s="16">
        <v>2.48</v>
      </c>
      <c r="GV304" s="16">
        <v>2.48</v>
      </c>
      <c r="GW304" s="16"/>
      <c r="GX304" s="16"/>
      <c r="GY304" s="16">
        <v>0</v>
      </c>
      <c r="GZ304" s="16">
        <v>0</v>
      </c>
      <c r="HA304" s="16">
        <v>0</v>
      </c>
      <c r="HB304">
        <v>0</v>
      </c>
      <c r="HC304" t="s">
        <v>833</v>
      </c>
      <c r="HD304">
        <v>31</v>
      </c>
      <c r="HE304" s="16">
        <v>82.6</v>
      </c>
      <c r="HF304" s="16">
        <v>83.4</v>
      </c>
      <c r="HG304" s="16">
        <v>5.7</v>
      </c>
      <c r="HH304">
        <v>99.97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7.3</v>
      </c>
      <c r="HT304">
        <v>53.74</v>
      </c>
      <c r="HU304">
        <v>0</v>
      </c>
      <c r="HV304">
        <v>0</v>
      </c>
      <c r="HW304">
        <v>0</v>
      </c>
      <c r="HX304">
        <v>17.600000000000001</v>
      </c>
      <c r="HY304">
        <v>1</v>
      </c>
      <c r="HZ304">
        <v>4.5999999999999996</v>
      </c>
      <c r="IB304">
        <v>2</v>
      </c>
      <c r="IL304">
        <v>2.4</v>
      </c>
      <c r="IM304">
        <v>0</v>
      </c>
      <c r="IX304" s="18"/>
      <c r="JP304">
        <v>1</v>
      </c>
      <c r="JQ304">
        <v>60</v>
      </c>
      <c r="JR304">
        <f>4+6+1+3+1+3</f>
        <v>18</v>
      </c>
      <c r="JS304">
        <f>0.73+2.2+0.13+0.39+0.78+0.52</f>
        <v>4.75</v>
      </c>
      <c r="JT304">
        <v>3</v>
      </c>
      <c r="JU304">
        <v>50</v>
      </c>
      <c r="JV304">
        <f>14</f>
        <v>14</v>
      </c>
      <c r="JW304">
        <f>4.4+2.94+0.52</f>
        <v>7.8599999999999994</v>
      </c>
      <c r="JX304">
        <v>3</v>
      </c>
      <c r="LA304" s="16">
        <v>0</v>
      </c>
      <c r="LB304" s="16">
        <v>0</v>
      </c>
      <c r="LC304" s="16"/>
      <c r="LD304" s="16"/>
      <c r="LE304" s="16"/>
      <c r="LF304" s="16"/>
      <c r="LG304" s="16"/>
      <c r="LH304" s="16"/>
      <c r="LI304" s="16"/>
      <c r="LJ304" s="16"/>
      <c r="LK304" s="16"/>
      <c r="LL304" s="16">
        <v>5.21</v>
      </c>
      <c r="LM304" s="16">
        <v>2.59</v>
      </c>
      <c r="LN304" s="16"/>
      <c r="LO304" s="16"/>
      <c r="LP304" s="16">
        <v>0</v>
      </c>
      <c r="LQ304" s="16">
        <v>0</v>
      </c>
      <c r="LR304" s="16">
        <v>0</v>
      </c>
      <c r="LS304">
        <v>0</v>
      </c>
      <c r="LT304" t="s">
        <v>834</v>
      </c>
      <c r="LU304">
        <v>30.5</v>
      </c>
      <c r="LV304" s="16">
        <v>73.400000000000006</v>
      </c>
      <c r="LW304" s="16">
        <v>83.4</v>
      </c>
      <c r="LX304" s="16">
        <v>5.7</v>
      </c>
      <c r="LY304">
        <v>100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7.69</v>
      </c>
      <c r="MK304">
        <v>47.61</v>
      </c>
      <c r="ML304">
        <v>0</v>
      </c>
      <c r="MM304">
        <v>0</v>
      </c>
      <c r="MN304">
        <v>0</v>
      </c>
      <c r="MO304">
        <v>16.399999999999999</v>
      </c>
      <c r="MP304">
        <v>1</v>
      </c>
      <c r="MQ304">
        <v>4.5999999999999996</v>
      </c>
      <c r="MS304">
        <v>2</v>
      </c>
      <c r="NC304">
        <v>1.4</v>
      </c>
      <c r="ND304">
        <v>0</v>
      </c>
      <c r="NO304" s="18"/>
      <c r="OG304">
        <v>1</v>
      </c>
      <c r="OH304">
        <v>60</v>
      </c>
      <c r="OI304">
        <v>7</v>
      </c>
      <c r="OJ304">
        <f>0.73+2.2+0.39</f>
        <v>3.3200000000000003</v>
      </c>
      <c r="OK304">
        <v>3</v>
      </c>
      <c r="OL304">
        <v>50</v>
      </c>
      <c r="OM304">
        <v>10</v>
      </c>
      <c r="ON304">
        <f>4.4+2.94</f>
        <v>7.34</v>
      </c>
      <c r="PR304" s="16">
        <v>0</v>
      </c>
      <c r="PS304" s="16">
        <v>0</v>
      </c>
      <c r="PT304" s="16"/>
      <c r="PU304" s="16"/>
      <c r="PV304" s="16"/>
      <c r="PW304" s="16"/>
      <c r="PX304" s="16"/>
      <c r="PY304" s="16"/>
      <c r="PZ304" s="16"/>
      <c r="QA304" s="16"/>
      <c r="QB304" s="16"/>
      <c r="QC304" s="16">
        <v>6.95</v>
      </c>
      <c r="QD304" s="16">
        <v>10.27</v>
      </c>
      <c r="QE304" s="16"/>
      <c r="QF304" s="16"/>
      <c r="QG304" s="16">
        <v>0</v>
      </c>
      <c r="QH304" s="16">
        <v>0</v>
      </c>
      <c r="QI304" s="16">
        <v>0</v>
      </c>
      <c r="QJ304">
        <v>0</v>
      </c>
      <c r="QK304" t="s">
        <v>835</v>
      </c>
      <c r="QL304">
        <v>19</v>
      </c>
      <c r="QM304" s="16">
        <v>73.2</v>
      </c>
      <c r="QN304" s="16">
        <v>83.4</v>
      </c>
      <c r="QO304" s="16">
        <v>11.1</v>
      </c>
      <c r="QP304">
        <v>92.58</v>
      </c>
      <c r="QQ304">
        <v>0</v>
      </c>
      <c r="QR304">
        <v>1.25</v>
      </c>
      <c r="QS304">
        <v>0</v>
      </c>
      <c r="QT304">
        <v>5.34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4.7699999999999996</v>
      </c>
      <c r="RB304">
        <v>22.03</v>
      </c>
      <c r="RC304">
        <v>27.08</v>
      </c>
      <c r="RD304">
        <v>1.58</v>
      </c>
      <c r="RE304">
        <v>0.83</v>
      </c>
      <c r="RF304">
        <v>0</v>
      </c>
      <c r="RG304">
        <v>0</v>
      </c>
      <c r="RT304">
        <v>0.5</v>
      </c>
      <c r="RU304">
        <v>1</v>
      </c>
      <c r="RV304">
        <v>35</v>
      </c>
      <c r="RW304">
        <v>4</v>
      </c>
      <c r="RX304">
        <v>0.1</v>
      </c>
      <c r="RY304">
        <v>3</v>
      </c>
      <c r="SF304" s="18"/>
      <c r="SX304">
        <v>1</v>
      </c>
      <c r="SY304">
        <v>40</v>
      </c>
      <c r="SZ304">
        <v>1</v>
      </c>
      <c r="TA304">
        <v>1.25</v>
      </c>
      <c r="TB304">
        <v>3</v>
      </c>
      <c r="TC304">
        <v>50</v>
      </c>
      <c r="TD304">
        <v>1</v>
      </c>
      <c r="TE304">
        <v>0.05</v>
      </c>
      <c r="TF304">
        <v>3</v>
      </c>
      <c r="TG304">
        <v>60</v>
      </c>
      <c r="TH304">
        <f>18+9</f>
        <v>27</v>
      </c>
      <c r="TI304">
        <f>2.27+1.14</f>
        <v>3.41</v>
      </c>
      <c r="TJ304">
        <v>3</v>
      </c>
      <c r="UI304" s="16">
        <v>3.7</v>
      </c>
      <c r="UJ304" s="16">
        <v>1</v>
      </c>
      <c r="UK304" s="16">
        <v>1</v>
      </c>
      <c r="UL304" s="16"/>
      <c r="UM304" s="16">
        <f>4+0.13+0.01+0.73+1.65+0.02</f>
        <v>6.5399999999999991</v>
      </c>
      <c r="UN304" s="16">
        <v>2</v>
      </c>
      <c r="UO304" s="16"/>
      <c r="UP304" s="16">
        <f>0.18*2</f>
        <v>0.36</v>
      </c>
      <c r="UQ304" s="16"/>
      <c r="UR304" s="16"/>
      <c r="US304" s="16"/>
      <c r="UT304" s="16">
        <v>3.32</v>
      </c>
      <c r="UU304" s="16">
        <v>3.31</v>
      </c>
      <c r="UV304" s="16"/>
      <c r="UW304" s="16"/>
      <c r="UX304" s="16">
        <v>0</v>
      </c>
      <c r="UY304" s="16">
        <v>0</v>
      </c>
      <c r="UZ304" s="16">
        <v>0.22</v>
      </c>
      <c r="VA304">
        <v>0</v>
      </c>
      <c r="VB304" t="s">
        <v>841</v>
      </c>
      <c r="VC304">
        <v>18.5</v>
      </c>
      <c r="VD304" s="16">
        <v>91.6</v>
      </c>
      <c r="VE304" s="16">
        <v>83.4</v>
      </c>
      <c r="VF304" s="16">
        <v>7.5</v>
      </c>
      <c r="VG304">
        <v>96.33</v>
      </c>
      <c r="VH304">
        <v>0</v>
      </c>
      <c r="VI304">
        <v>0</v>
      </c>
      <c r="VJ304">
        <v>0</v>
      </c>
      <c r="VK304">
        <v>3.67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3.67</v>
      </c>
      <c r="VS304">
        <v>45.98</v>
      </c>
      <c r="VT304">
        <v>17.899999999999999</v>
      </c>
      <c r="VU304">
        <v>0</v>
      </c>
      <c r="VV304">
        <v>0</v>
      </c>
      <c r="VW304">
        <v>0</v>
      </c>
      <c r="VX304">
        <v>0</v>
      </c>
      <c r="WK304">
        <v>0</v>
      </c>
      <c r="WL304">
        <v>0</v>
      </c>
      <c r="WW304" s="18"/>
      <c r="XO304">
        <v>0</v>
      </c>
      <c r="XS304">
        <v>1</v>
      </c>
      <c r="XT304">
        <v>50</v>
      </c>
      <c r="XU304">
        <v>1</v>
      </c>
      <c r="XV304">
        <v>0.04</v>
      </c>
      <c r="XW304">
        <v>3</v>
      </c>
      <c r="YZ304" s="16">
        <v>1.44</v>
      </c>
      <c r="ZA304" s="16">
        <v>1</v>
      </c>
      <c r="ZB304" s="16">
        <v>1</v>
      </c>
      <c r="ZC304" s="16"/>
      <c r="ZD304" s="16">
        <f t="shared" si="119"/>
        <v>11.18</v>
      </c>
      <c r="ZE304" s="16"/>
      <c r="ZF304" s="16"/>
      <c r="ZG304" s="16"/>
      <c r="ZH304" s="16"/>
      <c r="ZI304" s="16"/>
      <c r="ZJ304" s="16"/>
      <c r="ZK304" s="16">
        <v>5.88</v>
      </c>
      <c r="ZL304" s="16">
        <v>13.5</v>
      </c>
      <c r="ZM304" s="16"/>
      <c r="ZN304" s="16"/>
      <c r="ZO304" s="16">
        <v>3.6</v>
      </c>
      <c r="ZP304" s="16">
        <v>1.1000000000000001</v>
      </c>
      <c r="ZQ304" s="16">
        <v>0</v>
      </c>
      <c r="ZR304">
        <v>0</v>
      </c>
      <c r="ZS304" t="s">
        <v>837</v>
      </c>
      <c r="ZT304">
        <v>30.5</v>
      </c>
      <c r="ZU304" s="16">
        <v>92</v>
      </c>
      <c r="ZV304" s="16">
        <v>83.4</v>
      </c>
      <c r="ZW304" s="16">
        <v>5.9</v>
      </c>
      <c r="ZX304">
        <v>98.99</v>
      </c>
      <c r="ZY304">
        <v>1.01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2.66</v>
      </c>
      <c r="AAJ304">
        <v>46.99</v>
      </c>
      <c r="AAK304">
        <v>16.89</v>
      </c>
      <c r="AAL304">
        <v>0</v>
      </c>
      <c r="AAM304">
        <v>0</v>
      </c>
      <c r="AAN304">
        <v>0</v>
      </c>
      <c r="AAO304">
        <v>0</v>
      </c>
      <c r="ABB304">
        <v>0</v>
      </c>
      <c r="ABC304">
        <v>0</v>
      </c>
      <c r="ABN304" s="18"/>
      <c r="ACF304">
        <v>0</v>
      </c>
      <c r="ADQ304" s="16">
        <v>8</v>
      </c>
      <c r="ADR304" s="16">
        <v>1</v>
      </c>
      <c r="ADS304" s="16">
        <v>1</v>
      </c>
      <c r="ADT304" s="16"/>
      <c r="ADU304" s="16">
        <f>1.65+0.18*2+9.17</f>
        <v>11.18</v>
      </c>
      <c r="ADV304" s="16"/>
      <c r="ADW304" s="16"/>
      <c r="ADX304" s="16"/>
      <c r="ADY304" s="16"/>
      <c r="ADZ304" s="16"/>
      <c r="AEA304" s="16"/>
      <c r="AEB304" s="16">
        <v>6.16</v>
      </c>
      <c r="AEC304" s="16">
        <v>16.16</v>
      </c>
      <c r="AED304" s="16"/>
      <c r="AEE304" s="16"/>
      <c r="AEF304" s="16">
        <v>10</v>
      </c>
      <c r="AEG304" s="16">
        <v>1.1000000000000001</v>
      </c>
      <c r="AEH304" s="16">
        <v>0</v>
      </c>
      <c r="AEI304">
        <v>1</v>
      </c>
      <c r="AEJ304" s="34"/>
      <c r="AEK304" s="15"/>
      <c r="AEL304" s="15"/>
      <c r="AEN304" s="34"/>
      <c r="AEO304" s="34"/>
      <c r="AER304" s="34"/>
      <c r="AES304" s="15"/>
      <c r="AET304" s="15"/>
      <c r="AEV304" s="34"/>
      <c r="AEW304" s="34"/>
      <c r="AEZ304" s="34"/>
      <c r="AFA304" s="15"/>
      <c r="AFB304" s="15"/>
      <c r="AFD304" s="34"/>
      <c r="AFE304" s="34"/>
      <c r="AFH304" s="34"/>
      <c r="AFI304" s="15"/>
      <c r="AFJ304" s="15"/>
      <c r="AFL304" s="34"/>
      <c r="AFM304" s="34"/>
      <c r="AFP304" s="34"/>
      <c r="AFQ304" s="15"/>
      <c r="AFR304" s="15"/>
      <c r="AFT304" s="34"/>
      <c r="AFU304" s="34"/>
      <c r="AFX304" s="34"/>
      <c r="AFY304" s="15"/>
      <c r="AFZ304" s="15"/>
      <c r="AGB304" s="34"/>
      <c r="AGC304" s="34"/>
      <c r="AGF304" s="34"/>
      <c r="AGG304" s="15"/>
      <c r="AGH304" s="15"/>
      <c r="AGJ304" s="34"/>
      <c r="AGK304" s="34"/>
      <c r="AGN304" s="34"/>
      <c r="AGO304" s="15"/>
      <c r="AGP304" s="15"/>
      <c r="AGR304" s="34"/>
      <c r="AGS304" s="34"/>
      <c r="AGV304" s="34"/>
      <c r="AGW304" s="15"/>
      <c r="AGX304" s="15"/>
      <c r="AGZ304" s="34"/>
      <c r="AHA304" s="34"/>
      <c r="AHD304" s="34"/>
      <c r="AHE304" s="15"/>
      <c r="AHF304" s="15"/>
      <c r="AHH304" s="34"/>
      <c r="AHI304" s="34"/>
      <c r="AHL304" s="34"/>
      <c r="AHM304" s="15"/>
      <c r="AHN304" s="15"/>
      <c r="AHP304" s="34"/>
      <c r="AHQ304" s="34"/>
      <c r="AHT304" s="34"/>
      <c r="AHU304" s="15"/>
      <c r="AHV304" s="15"/>
      <c r="AHX304" s="34"/>
      <c r="AHY304" s="34"/>
      <c r="AIB304" s="34"/>
      <c r="AIC304" s="15"/>
      <c r="AID304" s="15"/>
      <c r="AIF304" s="34"/>
      <c r="AIG304" s="34"/>
      <c r="AIJ304" s="34"/>
      <c r="AIK304" s="15"/>
      <c r="AIL304" s="15"/>
      <c r="AIN304" s="34"/>
      <c r="AIO304" s="34"/>
      <c r="AIR304" s="34"/>
      <c r="AIS304" s="15"/>
      <c r="AIT304" s="15"/>
      <c r="AIV304" s="34"/>
      <c r="AIW304" s="34"/>
      <c r="AIZ304" s="34"/>
      <c r="AJA304" s="15"/>
      <c r="AJB304" s="15"/>
      <c r="AJD304" s="34"/>
      <c r="AJE304" s="34"/>
      <c r="AJH304" s="34"/>
      <c r="AJI304" s="15"/>
      <c r="AJJ304" s="15"/>
      <c r="AJL304" s="34"/>
      <c r="AJM304" s="34"/>
      <c r="AJP304" s="34"/>
      <c r="AJQ304" s="15"/>
      <c r="AJR304" s="15"/>
      <c r="AJT304" s="34"/>
      <c r="AJU304" s="34"/>
      <c r="AJX304" s="34"/>
      <c r="AJY304" s="15"/>
      <c r="AJZ304" s="15"/>
      <c r="AKB304" s="34"/>
      <c r="AKC304" s="34"/>
      <c r="AKF304" s="34"/>
      <c r="AKG304" s="15"/>
      <c r="AKH304" s="15"/>
      <c r="AKJ304" s="34"/>
      <c r="AKK304" s="34"/>
      <c r="AKN304" s="34"/>
      <c r="AKO304" s="15"/>
      <c r="AKP304" s="15"/>
      <c r="AKR304" s="34"/>
      <c r="AKS304" s="34"/>
      <c r="AKV304" s="34"/>
      <c r="AKW304" s="15"/>
      <c r="AKX304" s="15"/>
      <c r="AKZ304" s="34"/>
      <c r="ALA304" s="34"/>
      <c r="ALD304" s="34"/>
      <c r="ALE304" s="15"/>
      <c r="ALF304" s="15"/>
      <c r="ALH304" s="34"/>
      <c r="ALI304" s="34"/>
      <c r="ALL304" s="34"/>
      <c r="ALM304" s="15"/>
      <c r="ALN304" s="15"/>
      <c r="ALP304" s="34"/>
      <c r="ALQ304" s="34"/>
      <c r="ALT304" s="34"/>
      <c r="ALU304" s="15"/>
      <c r="ALV304" s="15"/>
      <c r="ALX304" s="34"/>
      <c r="ALY304" s="34"/>
      <c r="AMB304" s="34"/>
      <c r="AMC304" s="15"/>
      <c r="AMD304" s="15"/>
      <c r="AMF304" s="34"/>
      <c r="AMG304" s="34"/>
      <c r="AMJ304" s="34"/>
    </row>
    <row r="305" spans="1:1024" x14ac:dyDescent="0.2">
      <c r="A305" s="1" t="s">
        <v>878</v>
      </c>
      <c r="B305" s="12">
        <v>42909</v>
      </c>
      <c r="C305">
        <v>1</v>
      </c>
      <c r="D305" s="13">
        <v>42801</v>
      </c>
      <c r="E305" s="12">
        <v>33637</v>
      </c>
      <c r="F305" s="14">
        <f t="shared" si="106"/>
        <v>25.385352498288842</v>
      </c>
      <c r="G305" s="14">
        <f t="shared" si="107"/>
        <v>0.29568788501026694</v>
      </c>
      <c r="H305" s="19" t="s">
        <v>306</v>
      </c>
      <c r="I305" s="15" t="s">
        <v>832</v>
      </c>
      <c r="J305" s="15" t="s">
        <v>183</v>
      </c>
      <c r="K305" s="15">
        <v>8</v>
      </c>
      <c r="L305" s="19">
        <v>67</v>
      </c>
      <c r="M305">
        <v>1.74</v>
      </c>
      <c r="N305" s="16">
        <f t="shared" si="108"/>
        <v>22.129739727837229</v>
      </c>
      <c r="O305" s="19">
        <v>0</v>
      </c>
      <c r="P305" s="19">
        <v>0</v>
      </c>
      <c r="Q305" s="19">
        <v>0</v>
      </c>
      <c r="R305" s="26">
        <v>0</v>
      </c>
      <c r="S305" s="26">
        <v>0</v>
      </c>
      <c r="T305" s="26">
        <v>0</v>
      </c>
      <c r="U305" s="19">
        <v>0</v>
      </c>
      <c r="V305" s="19">
        <v>0</v>
      </c>
      <c r="W305" s="19">
        <v>0</v>
      </c>
      <c r="X305" s="19">
        <v>0</v>
      </c>
      <c r="Y305" s="19">
        <v>1</v>
      </c>
      <c r="Z305" s="19">
        <v>1</v>
      </c>
      <c r="AA305" s="19">
        <v>60</v>
      </c>
      <c r="AB305" s="19" t="s">
        <v>879</v>
      </c>
      <c r="AC305" s="19">
        <v>0</v>
      </c>
      <c r="AD305" s="19">
        <v>0</v>
      </c>
      <c r="AE305" s="19">
        <v>0</v>
      </c>
      <c r="AF305" s="19">
        <v>0</v>
      </c>
      <c r="AG305" s="19">
        <v>0</v>
      </c>
      <c r="AH305" s="19">
        <v>0</v>
      </c>
      <c r="AI305" s="19">
        <v>0</v>
      </c>
      <c r="AJ305" s="19">
        <v>0</v>
      </c>
      <c r="AK305" s="19">
        <v>0</v>
      </c>
      <c r="AL305" s="19">
        <v>0</v>
      </c>
      <c r="AM305" s="19">
        <v>0</v>
      </c>
      <c r="AN305" s="19">
        <v>0</v>
      </c>
      <c r="AO305" s="19">
        <v>0</v>
      </c>
      <c r="AP305" s="19">
        <v>0</v>
      </c>
      <c r="AQ305" s="19">
        <v>0</v>
      </c>
      <c r="AR305" s="19">
        <v>0</v>
      </c>
      <c r="AS305" s="19">
        <v>0</v>
      </c>
      <c r="AT305" s="19">
        <v>0</v>
      </c>
      <c r="AU305" s="19">
        <v>0</v>
      </c>
      <c r="AV305" s="19">
        <v>0</v>
      </c>
      <c r="AW305" s="19">
        <v>0</v>
      </c>
      <c r="AX305" s="19">
        <v>0</v>
      </c>
      <c r="AY305" s="19">
        <v>0</v>
      </c>
      <c r="AZ305" s="19">
        <v>0</v>
      </c>
      <c r="BA305" s="19">
        <v>0</v>
      </c>
      <c r="BB305" s="19">
        <v>0</v>
      </c>
      <c r="BC305" s="19">
        <v>0</v>
      </c>
      <c r="BD305" s="19">
        <v>0</v>
      </c>
      <c r="BE305" s="19">
        <v>0</v>
      </c>
      <c r="BF305" s="19">
        <v>0</v>
      </c>
      <c r="BG305" s="19">
        <v>0</v>
      </c>
      <c r="BH305" s="19">
        <v>0</v>
      </c>
      <c r="BI305" s="19">
        <v>0</v>
      </c>
      <c r="BJ305" s="19">
        <v>0</v>
      </c>
      <c r="BK305" s="19">
        <v>0</v>
      </c>
      <c r="BL305" s="19">
        <v>0</v>
      </c>
      <c r="BM305" s="19">
        <v>0</v>
      </c>
      <c r="BN305" s="19">
        <v>0</v>
      </c>
      <c r="BO305" s="19">
        <v>0</v>
      </c>
      <c r="BP305" s="19">
        <v>0</v>
      </c>
      <c r="BQ305" s="19">
        <v>0</v>
      </c>
      <c r="BR305" s="19">
        <v>1</v>
      </c>
      <c r="BS305" s="19">
        <v>1</v>
      </c>
      <c r="BT305" s="19">
        <v>3</v>
      </c>
      <c r="BU305" s="19">
        <v>5</v>
      </c>
      <c r="BV305" s="19">
        <v>3</v>
      </c>
      <c r="BW305" s="19">
        <v>2</v>
      </c>
      <c r="BX305" s="19">
        <v>1</v>
      </c>
      <c r="BY305" s="19">
        <v>5</v>
      </c>
      <c r="BZ305" s="19">
        <v>5</v>
      </c>
      <c r="CA305" s="19">
        <v>5</v>
      </c>
      <c r="CB305" s="19">
        <v>5</v>
      </c>
      <c r="CC305" s="19">
        <v>5</v>
      </c>
      <c r="CD305" s="19">
        <v>5</v>
      </c>
      <c r="CE305" s="19">
        <v>5</v>
      </c>
      <c r="CF305" s="19">
        <v>4</v>
      </c>
      <c r="CG305" s="19">
        <v>5</v>
      </c>
      <c r="CH305" s="19">
        <v>5</v>
      </c>
      <c r="CI305" s="19">
        <v>5</v>
      </c>
      <c r="CJ305" s="19">
        <v>5</v>
      </c>
      <c r="CK305" s="19">
        <v>9</v>
      </c>
      <c r="CL305" t="s">
        <v>833</v>
      </c>
      <c r="CM305">
        <v>31</v>
      </c>
      <c r="CN305" s="16">
        <v>82.6</v>
      </c>
      <c r="CO305" s="16">
        <v>83.4</v>
      </c>
      <c r="CP305" s="16">
        <v>5.7</v>
      </c>
      <c r="CQ305">
        <v>99.97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7.3</v>
      </c>
      <c r="DC305">
        <v>53.74</v>
      </c>
      <c r="DD305">
        <v>0</v>
      </c>
      <c r="DE305">
        <v>0</v>
      </c>
      <c r="DF305">
        <v>0</v>
      </c>
      <c r="DG305">
        <v>17.600000000000001</v>
      </c>
      <c r="DH305">
        <v>1</v>
      </c>
      <c r="DI305">
        <v>4.5999999999999996</v>
      </c>
      <c r="DK305">
        <v>2</v>
      </c>
      <c r="DU305">
        <v>2.4</v>
      </c>
      <c r="DV305">
        <v>0</v>
      </c>
      <c r="EG305" s="18"/>
      <c r="EY305">
        <v>1</v>
      </c>
      <c r="EZ305">
        <v>60</v>
      </c>
      <c r="FA305">
        <f>4+6+1+3+1+3</f>
        <v>18</v>
      </c>
      <c r="FB305">
        <f>0.73+2.2+0.13+0.39+0.78+0.52</f>
        <v>4.75</v>
      </c>
      <c r="FC305">
        <v>3</v>
      </c>
      <c r="FD305">
        <v>50</v>
      </c>
      <c r="FE305">
        <f>14</f>
        <v>14</v>
      </c>
      <c r="FF305">
        <f>4.4+2.94+0.52</f>
        <v>7.8599999999999994</v>
      </c>
      <c r="FG305">
        <v>3</v>
      </c>
      <c r="GJ305" s="16">
        <v>0</v>
      </c>
      <c r="GK305" s="16">
        <v>0</v>
      </c>
      <c r="GL305" s="16"/>
      <c r="GM305" s="16"/>
      <c r="GN305" s="16"/>
      <c r="GO305" s="16"/>
      <c r="GP305" s="16"/>
      <c r="GQ305" s="16"/>
      <c r="GR305" s="16"/>
      <c r="GS305" s="16"/>
      <c r="GT305" s="16"/>
      <c r="GU305" s="16">
        <v>5.21</v>
      </c>
      <c r="GV305" s="16">
        <v>2.59</v>
      </c>
      <c r="GW305" s="16"/>
      <c r="GX305" s="16"/>
      <c r="GY305" s="16">
        <v>0</v>
      </c>
      <c r="GZ305" s="16">
        <v>0</v>
      </c>
      <c r="HA305" s="16">
        <v>0</v>
      </c>
      <c r="HB305">
        <v>0</v>
      </c>
      <c r="HC305" t="s">
        <v>834</v>
      </c>
      <c r="HD305">
        <v>30.5</v>
      </c>
      <c r="HE305" s="16">
        <v>73.400000000000006</v>
      </c>
      <c r="HF305" s="16">
        <v>83.4</v>
      </c>
      <c r="HG305" s="16">
        <v>5.7</v>
      </c>
      <c r="HH305">
        <v>100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7.69</v>
      </c>
      <c r="HT305">
        <v>47.61</v>
      </c>
      <c r="HU305">
        <v>0</v>
      </c>
      <c r="HV305">
        <v>0</v>
      </c>
      <c r="HW305">
        <v>0</v>
      </c>
      <c r="HX305">
        <v>16.399999999999999</v>
      </c>
      <c r="HY305">
        <v>1</v>
      </c>
      <c r="HZ305">
        <v>4.5999999999999996</v>
      </c>
      <c r="IB305">
        <v>2</v>
      </c>
      <c r="IL305">
        <v>1.4</v>
      </c>
      <c r="IM305">
        <v>0</v>
      </c>
      <c r="IX305" s="18"/>
      <c r="JP305">
        <v>1</v>
      </c>
      <c r="JQ305">
        <v>60</v>
      </c>
      <c r="JR305">
        <v>7</v>
      </c>
      <c r="JS305">
        <f>0.73+2.2+0.39</f>
        <v>3.3200000000000003</v>
      </c>
      <c r="JT305">
        <v>3</v>
      </c>
      <c r="JU305">
        <v>50</v>
      </c>
      <c r="JV305">
        <v>10</v>
      </c>
      <c r="JW305">
        <f>4.4+2.94</f>
        <v>7.34</v>
      </c>
      <c r="LA305" s="16">
        <v>0</v>
      </c>
      <c r="LB305" s="16">
        <v>0</v>
      </c>
      <c r="LC305" s="16"/>
      <c r="LD305" s="16"/>
      <c r="LE305" s="16"/>
      <c r="LF305" s="16"/>
      <c r="LG305" s="16"/>
      <c r="LH305" s="16"/>
      <c r="LI305" s="16"/>
      <c r="LJ305" s="16"/>
      <c r="LK305" s="16"/>
      <c r="LL305" s="16">
        <v>6.95</v>
      </c>
      <c r="LM305" s="16">
        <v>10.27</v>
      </c>
      <c r="LN305" s="16"/>
      <c r="LO305" s="16"/>
      <c r="LP305" s="16">
        <v>0</v>
      </c>
      <c r="LQ305" s="16">
        <v>0</v>
      </c>
      <c r="LR305" s="16">
        <v>0</v>
      </c>
      <c r="LS305">
        <v>0</v>
      </c>
      <c r="LT305">
        <v>94</v>
      </c>
      <c r="LU305">
        <v>24.5</v>
      </c>
      <c r="LV305" s="16">
        <v>88.7</v>
      </c>
      <c r="LW305" s="16">
        <v>83.4</v>
      </c>
      <c r="LX305" s="16">
        <v>23.1</v>
      </c>
      <c r="LY305">
        <v>69.95</v>
      </c>
      <c r="LZ305">
        <v>0</v>
      </c>
      <c r="MA305">
        <v>7.16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34.04</v>
      </c>
      <c r="ML305">
        <v>20.5</v>
      </c>
      <c r="MM305">
        <v>0</v>
      </c>
      <c r="MN305">
        <v>22.9</v>
      </c>
      <c r="MO305">
        <v>0</v>
      </c>
      <c r="MP305">
        <v>0</v>
      </c>
      <c r="NC305">
        <v>0</v>
      </c>
      <c r="ND305">
        <v>0</v>
      </c>
      <c r="NO305" s="18"/>
      <c r="OG305">
        <v>0</v>
      </c>
      <c r="PR305" s="16">
        <v>0</v>
      </c>
      <c r="PS305" s="16">
        <v>0</v>
      </c>
      <c r="PT305" s="16"/>
      <c r="PU305" s="16"/>
      <c r="PV305" s="16"/>
      <c r="PW305" s="16"/>
      <c r="PX305" s="16"/>
      <c r="PY305" s="16"/>
      <c r="PZ305" s="16"/>
      <c r="QA305" s="16"/>
      <c r="QB305" s="16"/>
      <c r="QC305" s="16">
        <v>0</v>
      </c>
      <c r="QD305" s="16">
        <v>0</v>
      </c>
      <c r="QE305" s="16"/>
      <c r="QF305" s="16"/>
      <c r="QG305" s="16">
        <v>0</v>
      </c>
      <c r="QH305" s="16">
        <v>0</v>
      </c>
      <c r="QI305" s="16">
        <v>1.44</v>
      </c>
      <c r="QJ305">
        <v>0</v>
      </c>
      <c r="QK305" t="s">
        <v>841</v>
      </c>
      <c r="QL305">
        <v>18.5</v>
      </c>
      <c r="QM305" s="16">
        <v>91.6</v>
      </c>
      <c r="QN305" s="16">
        <v>83.4</v>
      </c>
      <c r="QO305" s="16">
        <v>7.5</v>
      </c>
      <c r="QP305">
        <v>96.33</v>
      </c>
      <c r="QQ305">
        <v>0</v>
      </c>
      <c r="QR305">
        <v>0</v>
      </c>
      <c r="QS305">
        <v>0</v>
      </c>
      <c r="QT305">
        <v>3.67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3.67</v>
      </c>
      <c r="RB305">
        <v>45.98</v>
      </c>
      <c r="RC305">
        <v>17.899999999999999</v>
      </c>
      <c r="RD305">
        <v>0</v>
      </c>
      <c r="RE305">
        <v>0</v>
      </c>
      <c r="RF305">
        <v>0</v>
      </c>
      <c r="RG305">
        <v>0</v>
      </c>
      <c r="RT305">
        <v>0</v>
      </c>
      <c r="RU305">
        <v>0</v>
      </c>
      <c r="SF305" s="18"/>
      <c r="SX305">
        <v>0</v>
      </c>
      <c r="TB305">
        <v>1</v>
      </c>
      <c r="TC305">
        <v>50</v>
      </c>
      <c r="TD305">
        <v>1</v>
      </c>
      <c r="TE305">
        <v>0.04</v>
      </c>
      <c r="TF305">
        <v>3</v>
      </c>
      <c r="UI305" s="16">
        <v>1.44</v>
      </c>
      <c r="UJ305" s="16">
        <v>1</v>
      </c>
      <c r="UK305" s="16">
        <v>1</v>
      </c>
      <c r="UL305" s="16"/>
      <c r="UM305" s="16">
        <f>1.65+0.18*2+9.17</f>
        <v>11.18</v>
      </c>
      <c r="UN305" s="16"/>
      <c r="UO305" s="16"/>
      <c r="UP305" s="16"/>
      <c r="UQ305" s="16"/>
      <c r="UR305" s="16"/>
      <c r="US305" s="16"/>
      <c r="UT305" s="16">
        <v>5.88</v>
      </c>
      <c r="UU305" s="16">
        <v>13.5</v>
      </c>
      <c r="UV305" s="16"/>
      <c r="UW305" s="16"/>
      <c r="UX305" s="16">
        <v>3.6</v>
      </c>
      <c r="UY305" s="16">
        <v>1.1000000000000001</v>
      </c>
      <c r="UZ305" s="16">
        <v>0</v>
      </c>
      <c r="VA305">
        <v>0</v>
      </c>
      <c r="VB305" t="s">
        <v>837</v>
      </c>
      <c r="VC305">
        <v>30.5</v>
      </c>
      <c r="VD305" s="16">
        <v>92</v>
      </c>
      <c r="VE305" s="16">
        <v>83.4</v>
      </c>
      <c r="VF305" s="16">
        <v>5.9</v>
      </c>
      <c r="VG305">
        <v>98.99</v>
      </c>
      <c r="VH305">
        <v>1.01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2.66</v>
      </c>
      <c r="VS305">
        <v>46.99</v>
      </c>
      <c r="VT305">
        <v>16.89</v>
      </c>
      <c r="VU305">
        <v>0</v>
      </c>
      <c r="VV305">
        <v>0</v>
      </c>
      <c r="VW305">
        <v>0</v>
      </c>
      <c r="VX305">
        <v>0</v>
      </c>
      <c r="WK305">
        <v>0</v>
      </c>
      <c r="WL305">
        <v>0</v>
      </c>
      <c r="WW305" s="18"/>
      <c r="XO305">
        <v>0</v>
      </c>
      <c r="YZ305" s="16">
        <v>8</v>
      </c>
      <c r="ZA305" s="16">
        <v>1</v>
      </c>
      <c r="ZB305" s="16">
        <v>1</v>
      </c>
      <c r="ZC305" s="16"/>
      <c r="ZD305" s="16">
        <f t="shared" si="119"/>
        <v>11.18</v>
      </c>
      <c r="ZE305" s="16"/>
      <c r="ZF305" s="16"/>
      <c r="ZG305" s="16"/>
      <c r="ZH305" s="16"/>
      <c r="ZI305" s="16"/>
      <c r="ZJ305" s="16"/>
      <c r="ZK305" s="16">
        <v>6.16</v>
      </c>
      <c r="ZL305" s="16">
        <v>16.16</v>
      </c>
      <c r="ZM305" s="16"/>
      <c r="ZN305" s="16"/>
      <c r="ZO305" s="16">
        <v>10</v>
      </c>
      <c r="ZP305" s="16">
        <v>1.1000000000000001</v>
      </c>
      <c r="ZQ305" s="16">
        <v>0</v>
      </c>
      <c r="ZR305">
        <v>1</v>
      </c>
      <c r="ZT305" s="34"/>
      <c r="ZU305" s="15"/>
      <c r="ZV305" s="15"/>
      <c r="ZX305" s="34"/>
      <c r="ZY305" s="34"/>
      <c r="AAB305" s="34"/>
      <c r="AAC305" s="15"/>
      <c r="AAD305" s="15"/>
      <c r="AAF305" s="34"/>
      <c r="AAG305" s="34"/>
      <c r="AAJ305" s="34"/>
      <c r="AAK305" s="15"/>
      <c r="AAL305" s="15"/>
      <c r="AAN305" s="34"/>
      <c r="AAO305" s="34"/>
      <c r="AAR305" s="34"/>
      <c r="AAS305" s="15"/>
      <c r="AAT305" s="15"/>
      <c r="AAV305" s="34"/>
      <c r="AAW305" s="34"/>
      <c r="AAZ305" s="34"/>
      <c r="ABA305" s="15"/>
      <c r="ABB305" s="15"/>
      <c r="ABD305" s="34"/>
      <c r="ABE305" s="34"/>
      <c r="ABH305" s="34"/>
      <c r="ABI305" s="15"/>
      <c r="ABJ305" s="15"/>
      <c r="ABL305" s="34"/>
      <c r="ABM305" s="34"/>
      <c r="ABP305" s="34"/>
      <c r="ABQ305" s="15"/>
      <c r="ABR305" s="15"/>
      <c r="ABT305" s="34"/>
      <c r="ABU305" s="34"/>
      <c r="ABX305" s="34"/>
      <c r="ABY305" s="15"/>
      <c r="ABZ305" s="15"/>
      <c r="ACB305" s="34"/>
      <c r="ACC305" s="34"/>
      <c r="ACF305" s="34"/>
      <c r="ACG305" s="15"/>
      <c r="ACH305" s="15"/>
      <c r="ACJ305" s="34"/>
      <c r="ACK305" s="34"/>
      <c r="ACN305" s="34"/>
      <c r="ACO305" s="15"/>
      <c r="ACP305" s="15"/>
      <c r="ACR305" s="34"/>
      <c r="ACS305" s="34"/>
      <c r="ACV305" s="34"/>
      <c r="ACW305" s="15"/>
      <c r="ACX305" s="15"/>
      <c r="ACZ305" s="34"/>
      <c r="ADA305" s="34"/>
      <c r="ADD305" s="34"/>
      <c r="ADE305" s="15"/>
      <c r="ADF305" s="15"/>
      <c r="ADH305" s="34"/>
      <c r="ADI305" s="34"/>
      <c r="ADL305" s="34"/>
      <c r="ADM305" s="15"/>
      <c r="ADN305" s="15"/>
      <c r="ADP305" s="34"/>
      <c r="ADQ305" s="34"/>
      <c r="ADT305" s="34"/>
      <c r="ADU305" s="15"/>
      <c r="ADV305" s="15"/>
      <c r="ADX305" s="34"/>
      <c r="ADY305" s="34"/>
      <c r="AEB305" s="34"/>
      <c r="AEC305" s="15"/>
      <c r="AED305" s="15"/>
      <c r="AEF305" s="34"/>
      <c r="AEG305" s="34"/>
      <c r="AEJ305" s="34"/>
      <c r="AEK305" s="15"/>
      <c r="AEL305" s="15"/>
      <c r="AEN305" s="34"/>
      <c r="AEO305" s="34"/>
      <c r="AER305" s="34"/>
      <c r="AES305" s="15"/>
      <c r="AET305" s="15"/>
      <c r="AEV305" s="34"/>
      <c r="AEW305" s="34"/>
      <c r="AEZ305" s="34"/>
      <c r="AFA305" s="15"/>
      <c r="AFB305" s="15"/>
      <c r="AFD305" s="34"/>
      <c r="AFE305" s="34"/>
      <c r="AFH305" s="34"/>
      <c r="AFI305" s="15"/>
      <c r="AFJ305" s="15"/>
      <c r="AFL305" s="34"/>
      <c r="AFM305" s="34"/>
      <c r="AFP305" s="34"/>
      <c r="AFQ305" s="15"/>
      <c r="AFR305" s="15"/>
      <c r="AFT305" s="34"/>
      <c r="AFU305" s="34"/>
      <c r="AFX305" s="34"/>
      <c r="AFY305" s="15"/>
      <c r="AFZ305" s="15"/>
      <c r="AGB305" s="34"/>
      <c r="AGC305" s="34"/>
      <c r="AGF305" s="34"/>
      <c r="AGG305" s="15"/>
      <c r="AGH305" s="15"/>
      <c r="AGJ305" s="34"/>
      <c r="AGK305" s="34"/>
      <c r="AGN305" s="34"/>
      <c r="AGO305" s="15"/>
      <c r="AGP305" s="15"/>
      <c r="AGR305" s="34"/>
      <c r="AGS305" s="34"/>
      <c r="AGV305" s="34"/>
      <c r="AGW305" s="15"/>
      <c r="AGX305" s="15"/>
      <c r="AGZ305" s="34"/>
      <c r="AHA305" s="34"/>
      <c r="AHD305" s="34"/>
      <c r="AHE305" s="15"/>
      <c r="AHF305" s="15"/>
      <c r="AHH305" s="34"/>
      <c r="AHI305" s="34"/>
      <c r="AHL305" s="34"/>
      <c r="AHM305" s="15"/>
      <c r="AHN305" s="15"/>
      <c r="AHP305" s="34"/>
      <c r="AHQ305" s="34"/>
      <c r="AHT305" s="34"/>
      <c r="AHU305" s="15"/>
      <c r="AHV305" s="15"/>
      <c r="AHX305" s="34"/>
      <c r="AHY305" s="34"/>
      <c r="AIB305" s="34"/>
      <c r="AIC305" s="15"/>
      <c r="AID305" s="15"/>
      <c r="AIF305" s="34"/>
      <c r="AIG305" s="34"/>
      <c r="AIJ305" s="34"/>
      <c r="AIK305" s="15"/>
      <c r="AIL305" s="15"/>
      <c r="AIN305" s="34"/>
      <c r="AIO305" s="34"/>
      <c r="AIR305" s="34"/>
      <c r="AIS305" s="15"/>
      <c r="AIT305" s="15"/>
      <c r="AIV305" s="34"/>
      <c r="AIW305" s="34"/>
      <c r="AIZ305" s="34"/>
      <c r="AJA305" s="15"/>
      <c r="AJB305" s="15"/>
      <c r="AJD305" s="34"/>
      <c r="AJE305" s="34"/>
      <c r="AJH305" s="34"/>
      <c r="AJI305" s="15"/>
      <c r="AJJ305" s="15"/>
      <c r="AJL305" s="34"/>
      <c r="AJM305" s="34"/>
      <c r="AJP305" s="34"/>
      <c r="AJQ305" s="15"/>
      <c r="AJR305" s="15"/>
      <c r="AJT305" s="34"/>
      <c r="AJU305" s="34"/>
      <c r="AJX305" s="34"/>
      <c r="AJY305" s="15"/>
      <c r="AJZ305" s="15"/>
      <c r="AKB305" s="34"/>
      <c r="AKC305" s="34"/>
      <c r="AKF305" s="34"/>
      <c r="AKG305" s="15"/>
      <c r="AKH305" s="15"/>
      <c r="AKJ305" s="34"/>
      <c r="AKK305" s="34"/>
      <c r="AKN305" s="34"/>
      <c r="AKO305" s="15"/>
      <c r="AKP305" s="15"/>
      <c r="AKR305" s="34"/>
      <c r="AKS305" s="34"/>
      <c r="AKV305" s="34"/>
      <c r="AKW305" s="15"/>
      <c r="AKX305" s="15"/>
      <c r="AKZ305" s="34"/>
      <c r="ALA305" s="34"/>
      <c r="ALD305" s="34"/>
      <c r="ALE305" s="15"/>
      <c r="ALF305" s="15"/>
      <c r="ALH305" s="34"/>
      <c r="ALI305" s="34"/>
      <c r="ALL305" s="34"/>
      <c r="ALM305" s="15"/>
      <c r="ALN305" s="15"/>
      <c r="ALP305" s="34"/>
      <c r="ALQ305" s="34"/>
      <c r="ALT305" s="34"/>
      <c r="ALU305" s="15"/>
      <c r="ALV305" s="15"/>
      <c r="ALX305" s="34"/>
      <c r="ALY305" s="34"/>
      <c r="AMB305" s="34"/>
      <c r="AMC305" s="15"/>
      <c r="AMD305" s="15"/>
      <c r="AMF305" s="34"/>
      <c r="AMG305" s="34"/>
      <c r="AMJ305" s="34"/>
    </row>
    <row r="306" spans="1:1024" x14ac:dyDescent="0.2">
      <c r="A306" s="1" t="s">
        <v>880</v>
      </c>
      <c r="B306" s="12">
        <v>42908</v>
      </c>
      <c r="C306">
        <v>2</v>
      </c>
      <c r="D306" s="13">
        <v>42801</v>
      </c>
      <c r="E306" s="12">
        <v>35552</v>
      </c>
      <c r="F306" s="14">
        <f t="shared" si="106"/>
        <v>20.139630390143736</v>
      </c>
      <c r="G306" s="14">
        <f t="shared" si="107"/>
        <v>0.29295003422313481</v>
      </c>
      <c r="H306" s="19" t="s">
        <v>306</v>
      </c>
      <c r="I306" s="15" t="s">
        <v>832</v>
      </c>
      <c r="J306" s="15" t="s">
        <v>183</v>
      </c>
      <c r="K306" s="15">
        <v>8</v>
      </c>
      <c r="L306" s="19">
        <v>60</v>
      </c>
      <c r="M306">
        <v>1.69</v>
      </c>
      <c r="N306" s="16">
        <f t="shared" si="108"/>
        <v>21.007667798746546</v>
      </c>
      <c r="O306" s="19">
        <v>0</v>
      </c>
      <c r="P306" s="19">
        <v>0</v>
      </c>
      <c r="Q306" s="19">
        <v>0</v>
      </c>
      <c r="R306" s="26">
        <v>0</v>
      </c>
      <c r="S306" s="26">
        <v>0</v>
      </c>
      <c r="T306" s="26">
        <v>0</v>
      </c>
      <c r="U306" s="19">
        <v>0</v>
      </c>
      <c r="V306" s="19">
        <v>0</v>
      </c>
      <c r="W306" s="19">
        <v>1</v>
      </c>
      <c r="X306" s="19">
        <v>0</v>
      </c>
      <c r="Y306" s="19">
        <v>1</v>
      </c>
      <c r="Z306" s="19">
        <v>2</v>
      </c>
      <c r="AA306" s="19">
        <v>120</v>
      </c>
      <c r="AB306" s="19" t="s">
        <v>184</v>
      </c>
      <c r="AC306" s="19">
        <v>1</v>
      </c>
      <c r="AD306" s="19">
        <v>10</v>
      </c>
      <c r="AE306" s="19">
        <v>0</v>
      </c>
      <c r="AF306" s="19">
        <v>0</v>
      </c>
      <c r="AG306" s="19">
        <v>0</v>
      </c>
      <c r="AH306" s="19">
        <v>0</v>
      </c>
      <c r="AI306" s="19">
        <v>0</v>
      </c>
      <c r="AJ306" s="19">
        <v>0</v>
      </c>
      <c r="AK306" s="19">
        <v>0</v>
      </c>
      <c r="AL306" s="19">
        <v>0</v>
      </c>
      <c r="AM306" s="19">
        <v>0</v>
      </c>
      <c r="AN306" s="19">
        <v>0</v>
      </c>
      <c r="AO306" s="19">
        <v>0</v>
      </c>
      <c r="AP306" s="19">
        <v>0</v>
      </c>
      <c r="AQ306" s="19">
        <v>0</v>
      </c>
      <c r="AR306" s="19">
        <v>0</v>
      </c>
      <c r="AS306" s="19">
        <v>0</v>
      </c>
      <c r="AT306" s="19">
        <v>0</v>
      </c>
      <c r="AU306" s="19">
        <v>0</v>
      </c>
      <c r="AV306" s="19">
        <v>0</v>
      </c>
      <c r="AW306" s="19">
        <v>0</v>
      </c>
      <c r="AX306" s="19">
        <v>1</v>
      </c>
      <c r="AY306" s="19">
        <v>1</v>
      </c>
      <c r="AZ306" s="19">
        <v>1</v>
      </c>
      <c r="BA306" s="19">
        <v>7</v>
      </c>
      <c r="BB306" s="19">
        <v>0</v>
      </c>
      <c r="BC306" s="19">
        <v>0</v>
      </c>
      <c r="BD306" s="19">
        <v>0</v>
      </c>
      <c r="BE306" s="19">
        <v>0</v>
      </c>
      <c r="BF306" s="19">
        <v>0</v>
      </c>
      <c r="BG306" s="19">
        <v>0</v>
      </c>
      <c r="BH306" s="19">
        <v>0</v>
      </c>
      <c r="BI306" s="19">
        <v>0</v>
      </c>
      <c r="BJ306" s="19">
        <v>0</v>
      </c>
      <c r="BK306" s="19">
        <v>0</v>
      </c>
      <c r="BL306" s="19">
        <v>0</v>
      </c>
      <c r="BM306" s="19">
        <v>0</v>
      </c>
      <c r="BN306" s="19">
        <v>0</v>
      </c>
      <c r="BO306" s="19">
        <v>0</v>
      </c>
      <c r="BP306" s="19">
        <v>0</v>
      </c>
      <c r="BQ306" s="19">
        <v>0</v>
      </c>
      <c r="BR306" s="19">
        <v>1</v>
      </c>
      <c r="BS306" s="19">
        <v>1</v>
      </c>
      <c r="BT306" s="19">
        <v>2</v>
      </c>
      <c r="BU306" s="19">
        <v>5</v>
      </c>
      <c r="BV306" s="19">
        <v>1</v>
      </c>
      <c r="BW306" s="19">
        <v>1</v>
      </c>
      <c r="BX306" s="19">
        <v>1</v>
      </c>
      <c r="BY306" s="19">
        <v>3</v>
      </c>
      <c r="BZ306" s="19">
        <v>1</v>
      </c>
      <c r="CA306" s="19">
        <v>3</v>
      </c>
      <c r="CB306" s="19">
        <v>5</v>
      </c>
      <c r="CC306" s="19">
        <v>5</v>
      </c>
      <c r="CD306" s="19">
        <v>3</v>
      </c>
      <c r="CE306" s="19">
        <v>5</v>
      </c>
      <c r="CF306" s="19">
        <v>5</v>
      </c>
      <c r="CG306" s="19">
        <v>5</v>
      </c>
      <c r="CH306" s="19">
        <v>4</v>
      </c>
      <c r="CI306" s="19">
        <v>4</v>
      </c>
      <c r="CJ306" s="19">
        <v>4</v>
      </c>
      <c r="CK306" s="19">
        <v>9</v>
      </c>
      <c r="CL306">
        <v>92</v>
      </c>
      <c r="CM306">
        <v>38.5</v>
      </c>
      <c r="CN306" s="16">
        <v>77.5</v>
      </c>
      <c r="CO306" s="16">
        <v>83.4</v>
      </c>
      <c r="CP306" s="16">
        <v>19.100000000000001</v>
      </c>
      <c r="CQ306">
        <v>78.180000000000007</v>
      </c>
      <c r="CR306">
        <v>0</v>
      </c>
      <c r="CS306">
        <v>2.48</v>
      </c>
      <c r="CT306">
        <v>0</v>
      </c>
      <c r="CU306">
        <v>19.34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4.1100000000000003</v>
      </c>
      <c r="DD306">
        <v>21.82</v>
      </c>
      <c r="DE306">
        <v>10.65</v>
      </c>
      <c r="DF306">
        <v>0</v>
      </c>
      <c r="DG306">
        <v>16.899999999999999</v>
      </c>
      <c r="DH306">
        <v>1</v>
      </c>
      <c r="DI306">
        <v>6</v>
      </c>
      <c r="DK306">
        <v>1</v>
      </c>
      <c r="DU306">
        <v>0</v>
      </c>
      <c r="DV306">
        <v>0</v>
      </c>
      <c r="EG306" s="18"/>
      <c r="EY306">
        <v>0</v>
      </c>
      <c r="GJ306" s="16">
        <v>0</v>
      </c>
      <c r="GK306" s="16">
        <v>0</v>
      </c>
      <c r="GL306" s="16"/>
      <c r="GM306" s="16"/>
      <c r="GN306" s="16"/>
      <c r="GO306" s="16"/>
      <c r="GP306" s="16"/>
      <c r="GQ306" s="16"/>
      <c r="GR306" s="16"/>
      <c r="GS306" s="16"/>
      <c r="GT306" s="16"/>
      <c r="GU306" s="16">
        <v>2.48</v>
      </c>
      <c r="GV306" s="16">
        <v>2.48</v>
      </c>
      <c r="GW306" s="16"/>
      <c r="GX306" s="16"/>
      <c r="GY306" s="16">
        <v>0</v>
      </c>
      <c r="GZ306" s="16">
        <v>0</v>
      </c>
      <c r="HA306" s="16">
        <v>0</v>
      </c>
      <c r="HB306">
        <v>0</v>
      </c>
      <c r="HC306" t="s">
        <v>833</v>
      </c>
      <c r="HD306">
        <v>31</v>
      </c>
      <c r="HE306" s="16">
        <v>82.6</v>
      </c>
      <c r="HF306" s="16">
        <v>83.4</v>
      </c>
      <c r="HG306" s="16">
        <v>5.7</v>
      </c>
      <c r="HH306">
        <v>99.97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7.3</v>
      </c>
      <c r="HT306">
        <v>53.74</v>
      </c>
      <c r="HU306">
        <v>0</v>
      </c>
      <c r="HV306">
        <v>0</v>
      </c>
      <c r="HW306">
        <v>0</v>
      </c>
      <c r="HX306">
        <v>17.600000000000001</v>
      </c>
      <c r="HY306">
        <v>1</v>
      </c>
      <c r="HZ306">
        <v>4.5999999999999996</v>
      </c>
      <c r="IB306">
        <v>2</v>
      </c>
      <c r="IL306">
        <v>2.4</v>
      </c>
      <c r="IM306">
        <v>0</v>
      </c>
      <c r="IX306" s="18"/>
      <c r="JP306">
        <v>1</v>
      </c>
      <c r="JQ306">
        <v>60</v>
      </c>
      <c r="JR306">
        <f>4+6+1+3+1+3</f>
        <v>18</v>
      </c>
      <c r="JS306">
        <f>0.73+2.2+0.13+0.39+0.78+0.52</f>
        <v>4.75</v>
      </c>
      <c r="JT306">
        <v>3</v>
      </c>
      <c r="JU306">
        <v>50</v>
      </c>
      <c r="JV306">
        <f>14</f>
        <v>14</v>
      </c>
      <c r="JW306">
        <f>4.4+2.94+0.52</f>
        <v>7.8599999999999994</v>
      </c>
      <c r="JX306">
        <v>3</v>
      </c>
      <c r="LA306" s="16">
        <v>0</v>
      </c>
      <c r="LB306" s="16">
        <v>0</v>
      </c>
      <c r="LC306" s="16"/>
      <c r="LD306" s="16"/>
      <c r="LE306" s="16"/>
      <c r="LF306" s="16"/>
      <c r="LG306" s="16"/>
      <c r="LH306" s="16"/>
      <c r="LI306" s="16"/>
      <c r="LJ306" s="16"/>
      <c r="LK306" s="16"/>
      <c r="LL306" s="16">
        <v>5.21</v>
      </c>
      <c r="LM306" s="16">
        <v>2.59</v>
      </c>
      <c r="LN306" s="16"/>
      <c r="LO306" s="16"/>
      <c r="LP306" s="16">
        <v>0</v>
      </c>
      <c r="LQ306" s="16">
        <v>0</v>
      </c>
      <c r="LR306" s="16">
        <v>0</v>
      </c>
      <c r="LS306">
        <v>0</v>
      </c>
      <c r="LT306" t="s">
        <v>834</v>
      </c>
      <c r="LU306">
        <v>30.5</v>
      </c>
      <c r="LV306" s="16">
        <v>73.400000000000006</v>
      </c>
      <c r="LW306" s="16">
        <v>83.4</v>
      </c>
      <c r="LX306" s="16">
        <v>5.7</v>
      </c>
      <c r="LY306">
        <v>100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7.69</v>
      </c>
      <c r="MK306">
        <v>47.61</v>
      </c>
      <c r="ML306">
        <v>0</v>
      </c>
      <c r="MM306">
        <v>0</v>
      </c>
      <c r="MN306">
        <v>0</v>
      </c>
      <c r="MO306">
        <v>16.399999999999999</v>
      </c>
      <c r="MP306">
        <v>1</v>
      </c>
      <c r="MQ306">
        <v>4.5999999999999996</v>
      </c>
      <c r="MS306">
        <v>2</v>
      </c>
      <c r="NC306">
        <v>1.4</v>
      </c>
      <c r="ND306">
        <v>0</v>
      </c>
      <c r="NO306" s="18"/>
      <c r="OG306">
        <v>1</v>
      </c>
      <c r="OH306">
        <v>60</v>
      </c>
      <c r="OI306">
        <v>7</v>
      </c>
      <c r="OJ306">
        <f>0.73+2.2+0.39</f>
        <v>3.3200000000000003</v>
      </c>
      <c r="OK306">
        <v>3</v>
      </c>
      <c r="OL306">
        <v>50</v>
      </c>
      <c r="OM306">
        <v>10</v>
      </c>
      <c r="ON306">
        <f>4.4+2.94</f>
        <v>7.34</v>
      </c>
      <c r="PR306" s="16">
        <v>0</v>
      </c>
      <c r="PS306" s="16">
        <v>0</v>
      </c>
      <c r="PT306" s="16"/>
      <c r="PU306" s="16"/>
      <c r="PV306" s="16"/>
      <c r="PW306" s="16"/>
      <c r="PX306" s="16"/>
      <c r="PY306" s="16"/>
      <c r="PZ306" s="16"/>
      <c r="QA306" s="16"/>
      <c r="QB306" s="16"/>
      <c r="QC306" s="16">
        <v>6.95</v>
      </c>
      <c r="QD306" s="16">
        <v>10.27</v>
      </c>
      <c r="QE306" s="16"/>
      <c r="QF306" s="16"/>
      <c r="QG306" s="16">
        <v>0</v>
      </c>
      <c r="QH306" s="16">
        <v>0</v>
      </c>
      <c r="QI306" s="16">
        <v>0</v>
      </c>
      <c r="QJ306">
        <v>0</v>
      </c>
      <c r="QK306" t="s">
        <v>836</v>
      </c>
      <c r="QL306">
        <v>26.5</v>
      </c>
      <c r="QM306" s="16">
        <v>70.7</v>
      </c>
      <c r="QN306" s="16">
        <v>83.4</v>
      </c>
      <c r="QO306" s="16">
        <v>8.8000000000000007</v>
      </c>
      <c r="QP306">
        <v>94.65</v>
      </c>
      <c r="QQ306">
        <v>0</v>
      </c>
      <c r="QR306">
        <v>0.21</v>
      </c>
      <c r="QS306">
        <v>0</v>
      </c>
      <c r="QT306">
        <v>4.3099999999999996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1.21</v>
      </c>
      <c r="RB306">
        <v>19.41</v>
      </c>
      <c r="RC306">
        <v>20.37</v>
      </c>
      <c r="RD306">
        <v>0.21</v>
      </c>
      <c r="RE306">
        <v>0.83</v>
      </c>
      <c r="RF306">
        <v>12.2</v>
      </c>
      <c r="RG306">
        <v>1</v>
      </c>
      <c r="RH306">
        <v>5</v>
      </c>
      <c r="RJ306">
        <v>2</v>
      </c>
      <c r="RT306">
        <v>0</v>
      </c>
      <c r="RU306">
        <v>0</v>
      </c>
      <c r="SF306" s="18"/>
      <c r="SX306">
        <v>1</v>
      </c>
      <c r="SY306">
        <v>40</v>
      </c>
      <c r="SZ306">
        <v>1</v>
      </c>
      <c r="TA306">
        <v>0.21</v>
      </c>
      <c r="TB306">
        <v>3</v>
      </c>
      <c r="TC306">
        <v>80</v>
      </c>
      <c r="TD306">
        <v>4</v>
      </c>
      <c r="TE306">
        <v>0.5</v>
      </c>
      <c r="TF306">
        <v>2</v>
      </c>
      <c r="TG306">
        <v>60</v>
      </c>
      <c r="TH306">
        <f>18+9</f>
        <v>27</v>
      </c>
      <c r="TI306">
        <f>2.27+1.14</f>
        <v>3.41</v>
      </c>
      <c r="TJ306">
        <v>2</v>
      </c>
      <c r="UI306" s="16">
        <v>3.54</v>
      </c>
      <c r="UJ306" s="16">
        <v>1</v>
      </c>
      <c r="UK306" s="16">
        <v>1</v>
      </c>
      <c r="UL306" s="16"/>
      <c r="UM306" s="16">
        <f>4+0.73*2+1.65</f>
        <v>7.1099999999999994</v>
      </c>
      <c r="UN306" s="16"/>
      <c r="UO306" s="16"/>
      <c r="UP306" s="16"/>
      <c r="UQ306" s="16"/>
      <c r="UR306" s="16"/>
      <c r="US306" s="16"/>
      <c r="UT306" s="16">
        <v>1.47</v>
      </c>
      <c r="UU306" s="16">
        <v>1.47</v>
      </c>
      <c r="UV306" s="16"/>
      <c r="UW306" s="16"/>
      <c r="UX306" s="16">
        <v>0</v>
      </c>
      <c r="UY306" s="16">
        <v>0</v>
      </c>
      <c r="UZ306" s="16">
        <v>0.22</v>
      </c>
      <c r="VA306">
        <v>0</v>
      </c>
      <c r="VB306" t="s">
        <v>841</v>
      </c>
      <c r="VC306">
        <v>18.5</v>
      </c>
      <c r="VD306" s="16">
        <v>91.6</v>
      </c>
      <c r="VE306" s="16">
        <v>83.4</v>
      </c>
      <c r="VF306" s="16">
        <v>7.5</v>
      </c>
      <c r="VG306">
        <v>96.33</v>
      </c>
      <c r="VH306">
        <v>0</v>
      </c>
      <c r="VI306">
        <v>0</v>
      </c>
      <c r="VJ306">
        <v>0</v>
      </c>
      <c r="VK306">
        <v>3.67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3.67</v>
      </c>
      <c r="VS306">
        <v>45.98</v>
      </c>
      <c r="VT306">
        <v>17.899999999999999</v>
      </c>
      <c r="VU306">
        <v>0</v>
      </c>
      <c r="VV306">
        <v>0</v>
      </c>
      <c r="VW306">
        <v>0</v>
      </c>
      <c r="VX306">
        <v>0</v>
      </c>
      <c r="WK306">
        <v>0</v>
      </c>
      <c r="WL306">
        <v>0</v>
      </c>
      <c r="WW306" s="18"/>
      <c r="XO306">
        <v>0</v>
      </c>
      <c r="XS306">
        <v>1</v>
      </c>
      <c r="XT306">
        <v>50</v>
      </c>
      <c r="XU306">
        <v>1</v>
      </c>
      <c r="XV306">
        <v>0.04</v>
      </c>
      <c r="XW306">
        <v>3</v>
      </c>
      <c r="YZ306" s="16">
        <v>1.44</v>
      </c>
      <c r="ZA306" s="16">
        <v>1</v>
      </c>
      <c r="ZB306" s="16">
        <v>1</v>
      </c>
      <c r="ZC306" s="16"/>
      <c r="ZD306" s="16">
        <f t="shared" si="119"/>
        <v>11.18</v>
      </c>
      <c r="ZE306" s="16"/>
      <c r="ZF306" s="16"/>
      <c r="ZG306" s="16"/>
      <c r="ZH306" s="16"/>
      <c r="ZI306" s="16"/>
      <c r="ZJ306" s="16"/>
      <c r="ZK306" s="16">
        <v>5.88</v>
      </c>
      <c r="ZL306" s="16">
        <v>13.5</v>
      </c>
      <c r="ZM306" s="16"/>
      <c r="ZN306" s="16"/>
      <c r="ZO306" s="16">
        <v>3.6</v>
      </c>
      <c r="ZP306" s="16">
        <v>1.1000000000000001</v>
      </c>
      <c r="ZQ306" s="16">
        <v>0</v>
      </c>
      <c r="ZR306">
        <v>0</v>
      </c>
      <c r="ZS306" t="s">
        <v>837</v>
      </c>
      <c r="ZT306">
        <v>30.5</v>
      </c>
      <c r="ZU306" s="16">
        <v>92</v>
      </c>
      <c r="ZV306" s="16">
        <v>83.4</v>
      </c>
      <c r="ZW306" s="16">
        <v>5.9</v>
      </c>
      <c r="ZX306">
        <v>98.99</v>
      </c>
      <c r="ZY306">
        <v>1.01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2.66</v>
      </c>
      <c r="AAJ306">
        <v>46.99</v>
      </c>
      <c r="AAK306">
        <v>16.89</v>
      </c>
      <c r="AAL306">
        <v>0</v>
      </c>
      <c r="AAM306">
        <v>0</v>
      </c>
      <c r="AAN306">
        <v>0</v>
      </c>
      <c r="AAO306">
        <v>0</v>
      </c>
      <c r="ABB306">
        <v>0</v>
      </c>
      <c r="ABC306">
        <v>0</v>
      </c>
      <c r="ABN306" s="18"/>
      <c r="ACF306">
        <v>0</v>
      </c>
      <c r="ADQ306" s="16">
        <v>8</v>
      </c>
      <c r="ADR306" s="16">
        <v>1</v>
      </c>
      <c r="ADS306" s="16">
        <v>1</v>
      </c>
      <c r="ADT306" s="16"/>
      <c r="ADU306" s="16">
        <f>1.65+0.18*2+9.17</f>
        <v>11.18</v>
      </c>
      <c r="ADV306" s="16"/>
      <c r="ADW306" s="16"/>
      <c r="ADX306" s="16"/>
      <c r="ADY306" s="16"/>
      <c r="ADZ306" s="16"/>
      <c r="AEA306" s="16"/>
      <c r="AEB306" s="16">
        <v>6.16</v>
      </c>
      <c r="AEC306" s="16">
        <v>16.16</v>
      </c>
      <c r="AED306" s="16"/>
      <c r="AEE306" s="16"/>
      <c r="AEF306" s="16">
        <v>10</v>
      </c>
      <c r="AEG306" s="16">
        <v>1.1000000000000001</v>
      </c>
      <c r="AEH306" s="16">
        <v>0</v>
      </c>
      <c r="AEI306">
        <v>1</v>
      </c>
      <c r="AEJ306" t="s">
        <v>838</v>
      </c>
      <c r="AEK306">
        <v>47.5</v>
      </c>
      <c r="AEL306" s="16">
        <v>86.8</v>
      </c>
      <c r="AEM306" s="16">
        <v>83.4</v>
      </c>
      <c r="AEN306" s="16">
        <v>26.7</v>
      </c>
      <c r="AEO306">
        <v>65.11</v>
      </c>
      <c r="AEP306">
        <v>0</v>
      </c>
      <c r="AEQ306">
        <v>2.75</v>
      </c>
      <c r="AER306">
        <v>0</v>
      </c>
      <c r="AES306">
        <v>32.14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24.37</v>
      </c>
      <c r="AFB306">
        <v>6.53</v>
      </c>
      <c r="AFC306">
        <v>31.2</v>
      </c>
      <c r="AFD306">
        <v>0</v>
      </c>
      <c r="AFE306">
        <v>13</v>
      </c>
      <c r="AFF306">
        <v>1</v>
      </c>
      <c r="AFG306">
        <v>7</v>
      </c>
      <c r="AFI306">
        <v>2</v>
      </c>
      <c r="AFS306">
        <v>0</v>
      </c>
      <c r="AFT306">
        <v>0</v>
      </c>
      <c r="AGE306" s="18"/>
      <c r="AGW306">
        <v>0</v>
      </c>
      <c r="AIH306" s="16">
        <v>2.27</v>
      </c>
      <c r="AII306" s="16">
        <v>1</v>
      </c>
      <c r="AIJ306" s="16">
        <v>1</v>
      </c>
      <c r="AIK306" s="16"/>
      <c r="AIL306" s="16">
        <f>3.3*3+0.36*4</f>
        <v>11.339999999999998</v>
      </c>
      <c r="AIM306" s="16"/>
      <c r="AIN306" s="16"/>
      <c r="AIO306" s="16"/>
      <c r="AIP306" s="16"/>
      <c r="AIQ306" s="16"/>
      <c r="AIR306" s="16"/>
      <c r="AIS306" s="16">
        <v>5.24</v>
      </c>
      <c r="AIT306" s="16">
        <v>7.31</v>
      </c>
      <c r="AIU306" s="16"/>
      <c r="AIV306" s="16"/>
      <c r="AIW306" s="16">
        <v>0</v>
      </c>
      <c r="AIX306" s="16">
        <v>0</v>
      </c>
      <c r="AIY306" s="16">
        <v>0</v>
      </c>
      <c r="AIZ306">
        <v>0</v>
      </c>
      <c r="AJA306" t="s">
        <v>839</v>
      </c>
      <c r="AJB306">
        <v>48</v>
      </c>
      <c r="AJC306" s="16">
        <v>84.6</v>
      </c>
      <c r="AJD306" s="16">
        <v>83.4</v>
      </c>
      <c r="AJE306" s="16">
        <v>5.9</v>
      </c>
      <c r="AJF306">
        <v>36.31</v>
      </c>
      <c r="AJG306">
        <v>0</v>
      </c>
      <c r="AJH306">
        <v>0</v>
      </c>
      <c r="AJI306">
        <v>0</v>
      </c>
      <c r="AJJ306">
        <v>63.69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2.5299999999999998</v>
      </c>
      <c r="AJR306">
        <v>8.33</v>
      </c>
      <c r="AJS306">
        <v>27.3</v>
      </c>
      <c r="AJT306">
        <v>39.369999999999997</v>
      </c>
      <c r="AJU306">
        <v>0</v>
      </c>
      <c r="AJV306">
        <v>0</v>
      </c>
      <c r="AJW306">
        <v>0</v>
      </c>
      <c r="AKJ306">
        <v>0</v>
      </c>
      <c r="AKK306">
        <v>0</v>
      </c>
      <c r="AKV306" s="18"/>
      <c r="ALN306">
        <v>0</v>
      </c>
    </row>
    <row r="307" spans="1:1024" x14ac:dyDescent="0.2">
      <c r="A307" s="1" t="s">
        <v>881</v>
      </c>
      <c r="B307" s="12">
        <v>42909</v>
      </c>
      <c r="C307">
        <v>2</v>
      </c>
      <c r="D307" s="13">
        <v>42811</v>
      </c>
      <c r="E307" s="12">
        <v>28027</v>
      </c>
      <c r="F307" s="14">
        <f t="shared" si="106"/>
        <v>40.74469541409993</v>
      </c>
      <c r="G307" s="14">
        <f t="shared" si="107"/>
        <v>0.26830937713894593</v>
      </c>
      <c r="H307" s="19" t="s">
        <v>306</v>
      </c>
      <c r="I307" s="15" t="s">
        <v>832</v>
      </c>
      <c r="J307" s="15" t="s">
        <v>183</v>
      </c>
      <c r="K307" s="15">
        <v>8</v>
      </c>
      <c r="L307" s="19">
        <v>64</v>
      </c>
      <c r="M307">
        <v>1.64</v>
      </c>
      <c r="N307" s="16">
        <f t="shared" si="108"/>
        <v>23.795359904818564</v>
      </c>
      <c r="O307" s="19">
        <v>0</v>
      </c>
      <c r="P307" s="19">
        <v>0</v>
      </c>
      <c r="Q307" s="19">
        <v>0</v>
      </c>
      <c r="R307" s="26">
        <v>0</v>
      </c>
      <c r="S307" s="26">
        <v>0</v>
      </c>
      <c r="T307" s="26">
        <v>0</v>
      </c>
      <c r="U307" s="19">
        <v>0</v>
      </c>
      <c r="V307" s="19">
        <v>0</v>
      </c>
      <c r="W307" s="19">
        <v>0</v>
      </c>
      <c r="X307" s="19">
        <v>0</v>
      </c>
      <c r="Y307" s="19">
        <v>1</v>
      </c>
      <c r="Z307" s="19">
        <v>1</v>
      </c>
      <c r="AA307" s="19">
        <v>90</v>
      </c>
      <c r="AB307" s="19" t="s">
        <v>349</v>
      </c>
      <c r="AC307" s="19">
        <v>1</v>
      </c>
      <c r="AD307" s="19">
        <v>10</v>
      </c>
      <c r="AE307" s="19">
        <v>0</v>
      </c>
      <c r="AF307" s="19">
        <v>0</v>
      </c>
      <c r="AG307" s="19">
        <v>0</v>
      </c>
      <c r="AH307" s="19">
        <v>0</v>
      </c>
      <c r="AI307" s="19">
        <v>0</v>
      </c>
      <c r="AJ307" s="19">
        <v>0</v>
      </c>
      <c r="AK307" s="19">
        <v>0</v>
      </c>
      <c r="AL307" s="19">
        <v>0</v>
      </c>
      <c r="AM307" s="19">
        <v>0</v>
      </c>
      <c r="AN307" s="19">
        <v>0</v>
      </c>
      <c r="AO307" s="19">
        <v>0</v>
      </c>
      <c r="AP307" s="19">
        <v>0</v>
      </c>
      <c r="AQ307" s="19">
        <v>0</v>
      </c>
      <c r="AR307" s="19">
        <v>0</v>
      </c>
      <c r="AS307" s="19">
        <v>1</v>
      </c>
      <c r="AT307" s="19">
        <v>0</v>
      </c>
      <c r="AU307" s="19">
        <v>0</v>
      </c>
      <c r="AV307" s="19">
        <v>0</v>
      </c>
      <c r="AW307" s="19">
        <v>0</v>
      </c>
      <c r="AX307" s="19">
        <v>0</v>
      </c>
      <c r="AY307" s="19">
        <v>0</v>
      </c>
      <c r="AZ307" s="19">
        <v>0</v>
      </c>
      <c r="BA307" s="19">
        <v>0</v>
      </c>
      <c r="BB307" s="19">
        <v>0</v>
      </c>
      <c r="BC307" s="19">
        <v>0</v>
      </c>
      <c r="BD307" s="19">
        <v>0</v>
      </c>
      <c r="BE307" s="19">
        <v>0</v>
      </c>
      <c r="BF307" s="19">
        <v>0</v>
      </c>
      <c r="BG307" s="19">
        <v>0</v>
      </c>
      <c r="BH307" s="19">
        <v>0</v>
      </c>
      <c r="BI307" s="19">
        <v>0</v>
      </c>
      <c r="BJ307" s="19">
        <v>0</v>
      </c>
      <c r="BK307" s="19">
        <v>0</v>
      </c>
      <c r="BL307" s="19">
        <v>0</v>
      </c>
      <c r="BM307" s="19">
        <v>0</v>
      </c>
      <c r="BN307" s="19">
        <v>0</v>
      </c>
      <c r="BO307" s="19">
        <v>0</v>
      </c>
      <c r="BP307" s="19">
        <v>0</v>
      </c>
      <c r="BQ307" s="19">
        <v>0</v>
      </c>
      <c r="BR307" s="19">
        <v>1</v>
      </c>
      <c r="BS307" s="19">
        <v>1</v>
      </c>
      <c r="BT307" s="19">
        <v>2</v>
      </c>
      <c r="BU307" s="19">
        <v>4</v>
      </c>
      <c r="BV307" s="19">
        <v>3</v>
      </c>
      <c r="BW307" s="19">
        <v>2</v>
      </c>
      <c r="BX307" s="19">
        <v>4</v>
      </c>
      <c r="BY307" s="19">
        <v>4</v>
      </c>
      <c r="BZ307" s="19">
        <v>5</v>
      </c>
      <c r="CA307" s="19">
        <v>4</v>
      </c>
      <c r="CB307" s="19">
        <v>3</v>
      </c>
      <c r="CC307" s="19">
        <v>5</v>
      </c>
      <c r="CD307" s="19">
        <v>3</v>
      </c>
      <c r="CE307" s="19">
        <v>5</v>
      </c>
      <c r="CF307" s="19">
        <v>4</v>
      </c>
      <c r="CG307" s="19">
        <v>5</v>
      </c>
      <c r="CH307" s="19">
        <v>4</v>
      </c>
      <c r="CI307" s="19">
        <v>4</v>
      </c>
      <c r="CJ307" s="19">
        <v>3</v>
      </c>
      <c r="CK307" s="19">
        <v>8</v>
      </c>
      <c r="CL307" t="s">
        <v>833</v>
      </c>
      <c r="CM307">
        <v>31</v>
      </c>
      <c r="CN307" s="16">
        <v>82.6</v>
      </c>
      <c r="CO307" s="16">
        <v>83.4</v>
      </c>
      <c r="CP307" s="16">
        <v>5.7</v>
      </c>
      <c r="CQ307">
        <v>99.97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7.3</v>
      </c>
      <c r="DC307">
        <v>53.74</v>
      </c>
      <c r="DD307">
        <v>0</v>
      </c>
      <c r="DE307">
        <v>0</v>
      </c>
      <c r="DF307">
        <v>0</v>
      </c>
      <c r="DG307">
        <v>17.600000000000001</v>
      </c>
      <c r="DH307">
        <v>1</v>
      </c>
      <c r="DI307">
        <v>4.5999999999999996</v>
      </c>
      <c r="DK307">
        <v>2</v>
      </c>
      <c r="DU307">
        <v>2.4</v>
      </c>
      <c r="DV307">
        <v>0</v>
      </c>
      <c r="EG307" s="18"/>
      <c r="EY307">
        <v>1</v>
      </c>
      <c r="EZ307">
        <v>60</v>
      </c>
      <c r="FA307">
        <f>4+6+1+3+1+3</f>
        <v>18</v>
      </c>
      <c r="FB307">
        <f>0.73+2.2+0.13+0.39+0.78+0.52</f>
        <v>4.75</v>
      </c>
      <c r="FC307">
        <v>3</v>
      </c>
      <c r="FD307">
        <v>50</v>
      </c>
      <c r="FE307">
        <f>14</f>
        <v>14</v>
      </c>
      <c r="FF307">
        <f>4.4+2.94+0.52</f>
        <v>7.8599999999999994</v>
      </c>
      <c r="FG307">
        <v>3</v>
      </c>
      <c r="GJ307" s="16">
        <v>0</v>
      </c>
      <c r="GK307" s="16">
        <v>0</v>
      </c>
      <c r="GL307" s="16"/>
      <c r="GM307" s="16"/>
      <c r="GN307" s="16"/>
      <c r="GO307" s="16"/>
      <c r="GP307" s="16"/>
      <c r="GQ307" s="16"/>
      <c r="GR307" s="16"/>
      <c r="GS307" s="16"/>
      <c r="GT307" s="16"/>
      <c r="GU307" s="16">
        <v>5.21</v>
      </c>
      <c r="GV307" s="16">
        <v>2.59</v>
      </c>
      <c r="GW307" s="16"/>
      <c r="GX307" s="16"/>
      <c r="GY307" s="16">
        <v>0</v>
      </c>
      <c r="GZ307" s="16">
        <v>0</v>
      </c>
      <c r="HA307" s="16">
        <v>0</v>
      </c>
      <c r="HB307">
        <v>0</v>
      </c>
      <c r="HC307" t="s">
        <v>834</v>
      </c>
      <c r="HD307">
        <v>30.5</v>
      </c>
      <c r="HE307" s="16">
        <v>73.400000000000006</v>
      </c>
      <c r="HF307" s="16">
        <v>83.4</v>
      </c>
      <c r="HG307" s="16">
        <v>5.7</v>
      </c>
      <c r="HH307">
        <v>100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7.69</v>
      </c>
      <c r="HT307">
        <v>47.61</v>
      </c>
      <c r="HU307">
        <v>0</v>
      </c>
      <c r="HV307">
        <v>0</v>
      </c>
      <c r="HW307">
        <v>0</v>
      </c>
      <c r="HX307">
        <v>16.399999999999999</v>
      </c>
      <c r="HY307">
        <v>1</v>
      </c>
      <c r="HZ307">
        <v>4.5999999999999996</v>
      </c>
      <c r="IB307">
        <v>2</v>
      </c>
      <c r="IL307">
        <v>1.4</v>
      </c>
      <c r="IM307">
        <v>0</v>
      </c>
      <c r="IX307" s="18"/>
      <c r="JP307">
        <v>1</v>
      </c>
      <c r="JQ307">
        <v>60</v>
      </c>
      <c r="JR307">
        <v>7</v>
      </c>
      <c r="JS307">
        <f>0.73+2.2+0.39</f>
        <v>3.3200000000000003</v>
      </c>
      <c r="JT307">
        <v>3</v>
      </c>
      <c r="JU307">
        <v>50</v>
      </c>
      <c r="JV307">
        <v>10</v>
      </c>
      <c r="JW307">
        <f>4.4+2.94</f>
        <v>7.34</v>
      </c>
      <c r="LA307" s="16">
        <v>0</v>
      </c>
      <c r="LB307" s="16">
        <v>0</v>
      </c>
      <c r="LC307" s="16"/>
      <c r="LD307" s="16"/>
      <c r="LE307" s="16"/>
      <c r="LF307" s="16"/>
      <c r="LG307" s="16"/>
      <c r="LH307" s="16"/>
      <c r="LI307" s="16"/>
      <c r="LJ307" s="16"/>
      <c r="LK307" s="16"/>
      <c r="LL307" s="16">
        <v>6.95</v>
      </c>
      <c r="LM307" s="16">
        <v>10.27</v>
      </c>
      <c r="LN307" s="16"/>
      <c r="LO307" s="16"/>
      <c r="LP307" s="16">
        <v>0</v>
      </c>
      <c r="LQ307" s="16">
        <v>0</v>
      </c>
      <c r="LR307" s="16">
        <v>0</v>
      </c>
      <c r="LS307">
        <v>0</v>
      </c>
      <c r="LT307" t="s">
        <v>835</v>
      </c>
      <c r="LU307">
        <v>19</v>
      </c>
      <c r="LV307" s="16">
        <v>73.2</v>
      </c>
      <c r="LW307" s="16">
        <v>83.4</v>
      </c>
      <c r="LX307" s="16">
        <v>11.1</v>
      </c>
      <c r="LY307">
        <v>92.58</v>
      </c>
      <c r="LZ307">
        <v>0</v>
      </c>
      <c r="MA307">
        <v>1.25</v>
      </c>
      <c r="MB307">
        <v>0</v>
      </c>
      <c r="MC307">
        <v>5.34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4.7699999999999996</v>
      </c>
      <c r="MK307">
        <v>22.03</v>
      </c>
      <c r="ML307">
        <v>27.08</v>
      </c>
      <c r="MM307">
        <v>1.58</v>
      </c>
      <c r="MN307">
        <v>0.83</v>
      </c>
      <c r="MO307">
        <v>0</v>
      </c>
      <c r="MP307">
        <v>0</v>
      </c>
      <c r="NC307">
        <v>0.5</v>
      </c>
      <c r="ND307">
        <v>1</v>
      </c>
      <c r="NE307">
        <v>35</v>
      </c>
      <c r="NF307">
        <v>4</v>
      </c>
      <c r="NG307">
        <v>0.1</v>
      </c>
      <c r="NH307">
        <v>3</v>
      </c>
      <c r="NO307" s="18"/>
      <c r="OG307">
        <v>1</v>
      </c>
      <c r="OH307">
        <v>40</v>
      </c>
      <c r="OI307">
        <v>1</v>
      </c>
      <c r="OJ307">
        <v>1.25</v>
      </c>
      <c r="OK307">
        <v>3</v>
      </c>
      <c r="OL307">
        <v>50</v>
      </c>
      <c r="OM307">
        <v>1</v>
      </c>
      <c r="ON307">
        <v>0.05</v>
      </c>
      <c r="OO307">
        <v>3</v>
      </c>
      <c r="OP307">
        <v>60</v>
      </c>
      <c r="OQ307">
        <f>18+9</f>
        <v>27</v>
      </c>
      <c r="OR307">
        <f>2.27+1.14</f>
        <v>3.41</v>
      </c>
      <c r="OS307">
        <v>3</v>
      </c>
      <c r="PR307" s="16">
        <v>3.7</v>
      </c>
      <c r="PS307" s="16">
        <v>1</v>
      </c>
      <c r="PT307" s="16">
        <v>1</v>
      </c>
      <c r="PU307" s="16"/>
      <c r="PV307" s="16">
        <f>4+0.13+0.01+0.73+1.65+0.02</f>
        <v>6.5399999999999991</v>
      </c>
      <c r="PW307" s="16">
        <v>2</v>
      </c>
      <c r="PX307" s="16"/>
      <c r="PY307" s="16">
        <f>0.18*2</f>
        <v>0.36</v>
      </c>
      <c r="PZ307" s="16"/>
      <c r="QA307" s="16"/>
      <c r="QB307" s="16"/>
      <c r="QC307" s="16">
        <v>3.32</v>
      </c>
      <c r="QD307" s="16">
        <v>3.31</v>
      </c>
      <c r="QE307" s="16"/>
      <c r="QF307" s="16"/>
      <c r="QG307" s="16">
        <v>0</v>
      </c>
      <c r="QH307" s="16">
        <v>0</v>
      </c>
      <c r="QI307" s="16">
        <v>0.22</v>
      </c>
      <c r="QJ307">
        <v>0</v>
      </c>
      <c r="QK307" t="s">
        <v>841</v>
      </c>
      <c r="QL307">
        <v>18.5</v>
      </c>
      <c r="QM307" s="16">
        <v>91.6</v>
      </c>
      <c r="QN307" s="16">
        <v>83.4</v>
      </c>
      <c r="QO307" s="16">
        <v>7.5</v>
      </c>
      <c r="QP307">
        <v>96.33</v>
      </c>
      <c r="QQ307">
        <v>0</v>
      </c>
      <c r="QR307">
        <v>0</v>
      </c>
      <c r="QS307">
        <v>0</v>
      </c>
      <c r="QT307">
        <v>3.67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3.67</v>
      </c>
      <c r="RB307">
        <v>45.98</v>
      </c>
      <c r="RC307">
        <v>17.899999999999999</v>
      </c>
      <c r="RD307">
        <v>0</v>
      </c>
      <c r="RE307">
        <v>0</v>
      </c>
      <c r="RF307">
        <v>0</v>
      </c>
      <c r="RG307">
        <v>0</v>
      </c>
      <c r="RT307">
        <v>0</v>
      </c>
      <c r="RU307">
        <v>0</v>
      </c>
      <c r="SF307" s="18"/>
      <c r="SX307">
        <v>0</v>
      </c>
      <c r="TB307">
        <v>1</v>
      </c>
      <c r="TC307">
        <v>50</v>
      </c>
      <c r="TD307">
        <v>1</v>
      </c>
      <c r="TE307">
        <v>0.04</v>
      </c>
      <c r="TF307">
        <v>3</v>
      </c>
      <c r="UI307" s="16">
        <v>1.44</v>
      </c>
      <c r="UJ307" s="16">
        <v>1</v>
      </c>
      <c r="UK307" s="16">
        <v>1</v>
      </c>
      <c r="UL307" s="16"/>
      <c r="UM307" s="16">
        <f>1.65+0.18*2+9.17</f>
        <v>11.18</v>
      </c>
      <c r="UN307" s="16"/>
      <c r="UO307" s="16"/>
      <c r="UP307" s="16"/>
      <c r="UQ307" s="16"/>
      <c r="UR307" s="16"/>
      <c r="US307" s="16"/>
      <c r="UT307" s="16">
        <v>5.88</v>
      </c>
      <c r="UU307" s="16">
        <v>13.5</v>
      </c>
      <c r="UV307" s="16"/>
      <c r="UW307" s="16"/>
      <c r="UX307" s="16">
        <v>3.6</v>
      </c>
      <c r="UY307" s="16">
        <v>1.1000000000000001</v>
      </c>
      <c r="UZ307" s="16">
        <v>0</v>
      </c>
      <c r="VA307">
        <v>0</v>
      </c>
      <c r="VB307" t="s">
        <v>837</v>
      </c>
      <c r="VC307">
        <v>30.5</v>
      </c>
      <c r="VD307" s="16">
        <v>92</v>
      </c>
      <c r="VE307" s="16">
        <v>83.4</v>
      </c>
      <c r="VF307" s="16">
        <v>5.9</v>
      </c>
      <c r="VG307">
        <v>98.99</v>
      </c>
      <c r="VH307">
        <v>1.01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2.66</v>
      </c>
      <c r="VS307">
        <v>46.99</v>
      </c>
      <c r="VT307">
        <v>16.89</v>
      </c>
      <c r="VU307">
        <v>0</v>
      </c>
      <c r="VV307">
        <v>0</v>
      </c>
      <c r="VW307">
        <v>0</v>
      </c>
      <c r="VX307">
        <v>0</v>
      </c>
      <c r="WK307">
        <v>0</v>
      </c>
      <c r="WL307">
        <v>0</v>
      </c>
      <c r="WW307" s="18"/>
      <c r="XO307">
        <v>0</v>
      </c>
      <c r="YZ307" s="16">
        <v>8</v>
      </c>
      <c r="ZA307" s="16">
        <v>1</v>
      </c>
      <c r="ZB307" s="16">
        <v>1</v>
      </c>
      <c r="ZC307" s="16"/>
      <c r="ZD307" s="16">
        <f t="shared" si="119"/>
        <v>11.18</v>
      </c>
      <c r="ZE307" s="16"/>
      <c r="ZF307" s="16"/>
      <c r="ZG307" s="16"/>
      <c r="ZH307" s="16"/>
      <c r="ZI307" s="16"/>
      <c r="ZJ307" s="16"/>
      <c r="ZK307" s="16">
        <v>6.16</v>
      </c>
      <c r="ZL307" s="16">
        <v>16.16</v>
      </c>
      <c r="ZM307" s="16"/>
      <c r="ZN307" s="16"/>
      <c r="ZO307" s="16">
        <v>10</v>
      </c>
      <c r="ZP307" s="16">
        <v>1.1000000000000001</v>
      </c>
      <c r="ZQ307" s="16">
        <v>0</v>
      </c>
      <c r="ZR307">
        <v>1</v>
      </c>
      <c r="ZS307" t="s">
        <v>838</v>
      </c>
      <c r="ZT307">
        <v>47.5</v>
      </c>
      <c r="ZU307" s="16">
        <v>86.8</v>
      </c>
      <c r="ZV307" s="16">
        <v>83.4</v>
      </c>
      <c r="ZW307" s="16">
        <v>26.7</v>
      </c>
      <c r="ZX307">
        <v>65.11</v>
      </c>
      <c r="ZY307">
        <v>0</v>
      </c>
      <c r="ZZ307">
        <v>2.75</v>
      </c>
      <c r="AAA307">
        <v>0</v>
      </c>
      <c r="AAB307">
        <v>32.14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24.37</v>
      </c>
      <c r="AAK307">
        <v>6.53</v>
      </c>
      <c r="AAL307">
        <v>31.2</v>
      </c>
      <c r="AAM307">
        <v>0</v>
      </c>
      <c r="AAN307">
        <v>13</v>
      </c>
      <c r="AAO307">
        <v>1</v>
      </c>
      <c r="AAP307">
        <v>7</v>
      </c>
      <c r="AAR307">
        <v>2</v>
      </c>
      <c r="ABB307">
        <v>0</v>
      </c>
      <c r="ABC307">
        <v>0</v>
      </c>
      <c r="ABN307" s="18"/>
      <c r="ACF307">
        <v>0</v>
      </c>
      <c r="ADQ307" s="16">
        <v>2.27</v>
      </c>
      <c r="ADR307" s="16">
        <v>1</v>
      </c>
      <c r="ADS307" s="16">
        <v>1</v>
      </c>
      <c r="ADT307" s="16"/>
      <c r="ADU307" s="16">
        <f>3.3*3+0.36*4</f>
        <v>11.339999999999998</v>
      </c>
      <c r="ADV307" s="16"/>
      <c r="ADW307" s="16"/>
      <c r="ADX307" s="16"/>
      <c r="ADY307" s="16"/>
      <c r="ADZ307" s="16"/>
      <c r="AEA307" s="16"/>
      <c r="AEB307" s="16">
        <v>5.24</v>
      </c>
      <c r="AEC307" s="16">
        <v>7.31</v>
      </c>
      <c r="AED307" s="16"/>
      <c r="AEE307" s="16"/>
      <c r="AEF307" s="16">
        <v>0</v>
      </c>
      <c r="AEG307" s="16">
        <v>0</v>
      </c>
      <c r="AEH307" s="16">
        <v>0</v>
      </c>
      <c r="AEI307">
        <v>0</v>
      </c>
      <c r="AEJ307" t="s">
        <v>839</v>
      </c>
      <c r="AEK307">
        <v>48</v>
      </c>
      <c r="AEL307" s="16">
        <v>84.6</v>
      </c>
      <c r="AEM307" s="16">
        <v>83.4</v>
      </c>
      <c r="AEN307" s="16">
        <v>5.9</v>
      </c>
      <c r="AEO307">
        <v>36.31</v>
      </c>
      <c r="AEP307">
        <v>0</v>
      </c>
      <c r="AEQ307">
        <v>0</v>
      </c>
      <c r="AER307">
        <v>0</v>
      </c>
      <c r="AES307">
        <v>63.69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2.5299999999999998</v>
      </c>
      <c r="AFA307">
        <v>8.33</v>
      </c>
      <c r="AFB307">
        <v>27.3</v>
      </c>
      <c r="AFC307">
        <v>39.369999999999997</v>
      </c>
      <c r="AFD307">
        <v>0</v>
      </c>
      <c r="AFE307">
        <v>0</v>
      </c>
      <c r="AFF307">
        <v>0</v>
      </c>
      <c r="AFS307">
        <v>0</v>
      </c>
      <c r="AFT307">
        <v>0</v>
      </c>
      <c r="AGE307" s="18"/>
      <c r="AGW307">
        <v>0</v>
      </c>
      <c r="AIH307" s="16">
        <v>8</v>
      </c>
      <c r="AII307" s="16">
        <v>1</v>
      </c>
      <c r="AIJ307" s="16">
        <v>1</v>
      </c>
      <c r="AIK307" s="16"/>
      <c r="AIL307" s="16">
        <f>3.3*2+4.95+0.36*5</f>
        <v>13.350000000000001</v>
      </c>
      <c r="AIM307" s="16"/>
      <c r="AIN307" s="16"/>
      <c r="AIO307" s="16"/>
      <c r="AIP307" s="16"/>
      <c r="AIQ307" s="16"/>
      <c r="AIR307" s="16"/>
      <c r="AIS307" s="16">
        <v>6.16</v>
      </c>
      <c r="AIT307" s="16">
        <v>12.89</v>
      </c>
      <c r="AIU307" s="16"/>
      <c r="AIV307" s="16"/>
      <c r="AIW307" s="16">
        <v>0</v>
      </c>
      <c r="AIX307" s="16">
        <v>0</v>
      </c>
      <c r="AIY307" s="16">
        <v>0</v>
      </c>
      <c r="AIZ307">
        <v>0</v>
      </c>
      <c r="AJA307" t="s">
        <v>882</v>
      </c>
      <c r="AJB307">
        <v>34</v>
      </c>
      <c r="AJC307" s="16">
        <v>85.8</v>
      </c>
      <c r="AJD307" s="16">
        <v>83.4</v>
      </c>
      <c r="AJE307" s="16">
        <v>4.5</v>
      </c>
      <c r="AJF307">
        <v>98.84</v>
      </c>
      <c r="AJG307">
        <v>0</v>
      </c>
      <c r="AJH307">
        <v>0</v>
      </c>
      <c r="AJI307">
        <v>0</v>
      </c>
      <c r="AJJ307">
        <v>1.1599999999999999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64.52</v>
      </c>
      <c r="AJS307">
        <v>0.34</v>
      </c>
      <c r="AJT307">
        <v>0.45</v>
      </c>
      <c r="AJU307">
        <v>0</v>
      </c>
      <c r="AJV307">
        <v>15.8</v>
      </c>
      <c r="AJW307">
        <v>1</v>
      </c>
      <c r="AJX307">
        <v>3</v>
      </c>
      <c r="AJZ307">
        <v>1</v>
      </c>
      <c r="AKJ307">
        <v>2.4</v>
      </c>
      <c r="AKK307">
        <v>0</v>
      </c>
      <c r="AKV307" s="18"/>
      <c r="ALN307">
        <v>1</v>
      </c>
      <c r="ALO307">
        <v>40</v>
      </c>
      <c r="ALP307">
        <v>2</v>
      </c>
      <c r="ALQ307">
        <v>0.01</v>
      </c>
      <c r="ALR307">
        <v>1</v>
      </c>
      <c r="ALS307">
        <v>50</v>
      </c>
      <c r="ALT307">
        <v>1</v>
      </c>
      <c r="ALU307">
        <v>0.04</v>
      </c>
      <c r="ALV307">
        <v>1</v>
      </c>
      <c r="ALW307">
        <v>80</v>
      </c>
      <c r="ALX307">
        <v>4</v>
      </c>
      <c r="ALY307">
        <v>0.52</v>
      </c>
      <c r="ALZ307">
        <v>2</v>
      </c>
      <c r="AMA307">
        <v>60</v>
      </c>
      <c r="AMB307">
        <v>27</v>
      </c>
      <c r="AMC307">
        <f>2.33+1.16</f>
        <v>3.49</v>
      </c>
      <c r="AMD307">
        <v>2</v>
      </c>
    </row>
    <row r="308" spans="1:1024" x14ac:dyDescent="0.2">
      <c r="A308" s="1" t="s">
        <v>883</v>
      </c>
      <c r="B308" s="12">
        <v>42908</v>
      </c>
      <c r="C308">
        <v>2</v>
      </c>
      <c r="D308" s="13">
        <v>42821</v>
      </c>
      <c r="E308" s="12">
        <v>35284</v>
      </c>
      <c r="F308" s="14">
        <f t="shared" si="106"/>
        <v>20.873374401095141</v>
      </c>
      <c r="G308" s="14">
        <f t="shared" si="107"/>
        <v>0.23819301848049282</v>
      </c>
      <c r="H308" s="19" t="s">
        <v>306</v>
      </c>
      <c r="I308" s="15" t="s">
        <v>832</v>
      </c>
      <c r="J308" s="15" t="s">
        <v>183</v>
      </c>
      <c r="K308" s="15">
        <v>8</v>
      </c>
      <c r="L308" s="19">
        <v>70</v>
      </c>
      <c r="M308">
        <v>1.75</v>
      </c>
      <c r="N308" s="16">
        <f t="shared" si="108"/>
        <v>22.857142857142858</v>
      </c>
      <c r="O308" s="19">
        <v>0</v>
      </c>
      <c r="P308" s="19">
        <v>0</v>
      </c>
      <c r="Q308" s="19">
        <v>0</v>
      </c>
      <c r="R308" s="26">
        <v>0</v>
      </c>
      <c r="S308" s="26">
        <v>0</v>
      </c>
      <c r="T308" s="26">
        <v>0</v>
      </c>
      <c r="U308" s="19">
        <v>0</v>
      </c>
      <c r="V308" s="19">
        <v>0</v>
      </c>
      <c r="W308" s="19">
        <v>0</v>
      </c>
      <c r="X308" s="19">
        <v>0</v>
      </c>
      <c r="Y308" s="19">
        <v>1</v>
      </c>
      <c r="Z308" s="19">
        <v>2</v>
      </c>
      <c r="AA308" s="19">
        <v>30</v>
      </c>
      <c r="AB308" s="19" t="s">
        <v>284</v>
      </c>
      <c r="AC308" s="19">
        <v>0</v>
      </c>
      <c r="AD308" s="19">
        <v>0</v>
      </c>
      <c r="AE308" s="19">
        <v>0</v>
      </c>
      <c r="AF308" s="19">
        <v>0</v>
      </c>
      <c r="AG308" s="19">
        <v>0</v>
      </c>
      <c r="AH308" s="19">
        <v>0</v>
      </c>
      <c r="AI308" s="19">
        <v>0</v>
      </c>
      <c r="AJ308" s="19">
        <v>0</v>
      </c>
      <c r="AK308" s="19">
        <v>0</v>
      </c>
      <c r="AL308" s="19">
        <v>0</v>
      </c>
      <c r="AM308" s="19">
        <v>0</v>
      </c>
      <c r="AN308" s="19">
        <v>0</v>
      </c>
      <c r="AO308" s="19">
        <v>0</v>
      </c>
      <c r="AP308" s="19">
        <v>0</v>
      </c>
      <c r="AQ308" s="19">
        <v>0</v>
      </c>
      <c r="AR308" s="19">
        <v>0</v>
      </c>
      <c r="AS308" s="19">
        <v>0</v>
      </c>
      <c r="AT308" s="19">
        <v>0</v>
      </c>
      <c r="AU308" s="19">
        <v>0</v>
      </c>
      <c r="AV308" s="19">
        <v>0</v>
      </c>
      <c r="AW308" s="19">
        <v>0</v>
      </c>
      <c r="AX308" s="19">
        <v>0</v>
      </c>
      <c r="AY308" s="19">
        <v>0</v>
      </c>
      <c r="AZ308" s="19">
        <v>0</v>
      </c>
      <c r="BA308" s="19">
        <v>0</v>
      </c>
      <c r="BB308" s="19">
        <v>0</v>
      </c>
      <c r="BC308" s="19">
        <v>0</v>
      </c>
      <c r="BD308" s="19">
        <v>0</v>
      </c>
      <c r="BE308" s="19">
        <v>0</v>
      </c>
      <c r="BF308" s="19">
        <v>0</v>
      </c>
      <c r="BG308" s="19">
        <v>0</v>
      </c>
      <c r="BH308" s="19">
        <v>0</v>
      </c>
      <c r="BI308" s="19">
        <v>0</v>
      </c>
      <c r="BJ308" s="19">
        <v>0</v>
      </c>
      <c r="BK308" s="19">
        <v>0</v>
      </c>
      <c r="BL308" s="19">
        <v>0</v>
      </c>
      <c r="BM308" s="19">
        <v>0</v>
      </c>
      <c r="BN308" s="19">
        <v>0</v>
      </c>
      <c r="BO308" s="19">
        <v>0</v>
      </c>
      <c r="BP308" s="19">
        <v>0</v>
      </c>
      <c r="BQ308" s="19">
        <v>0</v>
      </c>
      <c r="BR308" s="19">
        <v>2</v>
      </c>
      <c r="BS308" s="19">
        <v>2</v>
      </c>
      <c r="BT308" s="19">
        <v>2</v>
      </c>
      <c r="BU308" s="19">
        <v>4</v>
      </c>
      <c r="BV308" s="19">
        <v>2</v>
      </c>
      <c r="BW308" s="19">
        <v>1</v>
      </c>
      <c r="BX308" s="19">
        <v>4</v>
      </c>
      <c r="BY308" s="19">
        <v>3</v>
      </c>
      <c r="BZ308" s="19">
        <v>4</v>
      </c>
      <c r="CA308" s="19">
        <v>2</v>
      </c>
      <c r="CB308" s="19">
        <v>5</v>
      </c>
      <c r="CC308" s="19">
        <v>4</v>
      </c>
      <c r="CD308" s="19">
        <v>4</v>
      </c>
      <c r="CE308" s="19">
        <v>4</v>
      </c>
      <c r="CF308" s="19">
        <v>4</v>
      </c>
      <c r="CG308" s="19">
        <v>4</v>
      </c>
      <c r="CH308" s="19">
        <v>4</v>
      </c>
      <c r="CI308" s="19">
        <v>3</v>
      </c>
      <c r="CJ308" s="19">
        <v>4</v>
      </c>
      <c r="CK308" s="19">
        <v>8</v>
      </c>
      <c r="CL308">
        <v>92</v>
      </c>
      <c r="CM308">
        <v>38.5</v>
      </c>
      <c r="CN308" s="16">
        <v>77.5</v>
      </c>
      <c r="CO308" s="16">
        <v>83.4</v>
      </c>
      <c r="CP308" s="16">
        <v>19.100000000000001</v>
      </c>
      <c r="CQ308">
        <v>78.180000000000007</v>
      </c>
      <c r="CR308">
        <v>0</v>
      </c>
      <c r="CS308">
        <v>2.48</v>
      </c>
      <c r="CT308">
        <v>0</v>
      </c>
      <c r="CU308">
        <v>19.34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4.1100000000000003</v>
      </c>
      <c r="DD308">
        <v>21.82</v>
      </c>
      <c r="DE308">
        <v>10.65</v>
      </c>
      <c r="DF308">
        <v>0</v>
      </c>
      <c r="DG308">
        <v>16.899999999999999</v>
      </c>
      <c r="DH308">
        <v>1</v>
      </c>
      <c r="DI308">
        <v>6</v>
      </c>
      <c r="DK308">
        <v>1</v>
      </c>
      <c r="DU308">
        <v>0</v>
      </c>
      <c r="DV308">
        <v>0</v>
      </c>
      <c r="EG308" s="18"/>
      <c r="EY308">
        <v>0</v>
      </c>
      <c r="GJ308" s="16">
        <v>0</v>
      </c>
      <c r="GK308" s="16">
        <v>0</v>
      </c>
      <c r="GL308" s="16"/>
      <c r="GM308" s="16"/>
      <c r="GN308" s="16"/>
      <c r="GO308" s="16"/>
      <c r="GP308" s="16"/>
      <c r="GQ308" s="16"/>
      <c r="GR308" s="16"/>
      <c r="GS308" s="16"/>
      <c r="GT308" s="16"/>
      <c r="GU308" s="16">
        <v>2.48</v>
      </c>
      <c r="GV308" s="16">
        <v>2.48</v>
      </c>
      <c r="GW308" s="16"/>
      <c r="GX308" s="16"/>
      <c r="GY308" s="16">
        <v>0</v>
      </c>
      <c r="GZ308" s="16">
        <v>0</v>
      </c>
      <c r="HA308" s="16">
        <v>0</v>
      </c>
      <c r="HB308">
        <v>0</v>
      </c>
      <c r="HC308" t="s">
        <v>833</v>
      </c>
      <c r="HD308">
        <v>31</v>
      </c>
      <c r="HE308" s="16">
        <v>82.6</v>
      </c>
      <c r="HF308" s="16">
        <v>83.4</v>
      </c>
      <c r="HG308" s="16">
        <v>5.7</v>
      </c>
      <c r="HH308">
        <v>99.97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7.3</v>
      </c>
      <c r="HT308">
        <v>53.74</v>
      </c>
      <c r="HU308">
        <v>0</v>
      </c>
      <c r="HV308">
        <v>0</v>
      </c>
      <c r="HW308">
        <v>0</v>
      </c>
      <c r="HX308">
        <v>17.600000000000001</v>
      </c>
      <c r="HY308">
        <v>1</v>
      </c>
      <c r="HZ308">
        <v>4.5999999999999996</v>
      </c>
      <c r="IB308">
        <v>2</v>
      </c>
      <c r="IL308">
        <v>2.4</v>
      </c>
      <c r="IM308">
        <v>0</v>
      </c>
      <c r="IX308" s="18"/>
      <c r="JP308">
        <v>1</v>
      </c>
      <c r="JQ308">
        <v>60</v>
      </c>
      <c r="JR308">
        <f>4+6+1+3+1+3</f>
        <v>18</v>
      </c>
      <c r="JS308">
        <f>0.73+2.2+0.13+0.39+0.78+0.52</f>
        <v>4.75</v>
      </c>
      <c r="JT308">
        <v>3</v>
      </c>
      <c r="JU308">
        <v>50</v>
      </c>
      <c r="JV308">
        <f>14</f>
        <v>14</v>
      </c>
      <c r="JW308">
        <f>4.4+2.94+0.52</f>
        <v>7.8599999999999994</v>
      </c>
      <c r="JX308">
        <v>3</v>
      </c>
      <c r="LA308" s="16">
        <v>0</v>
      </c>
      <c r="LB308" s="16">
        <v>0</v>
      </c>
      <c r="LC308" s="16"/>
      <c r="LD308" s="16"/>
      <c r="LE308" s="16"/>
      <c r="LF308" s="16"/>
      <c r="LG308" s="16"/>
      <c r="LH308" s="16"/>
      <c r="LI308" s="16"/>
      <c r="LJ308" s="16"/>
      <c r="LK308" s="16"/>
      <c r="LL308" s="16">
        <v>5.21</v>
      </c>
      <c r="LM308" s="16">
        <v>2.59</v>
      </c>
      <c r="LN308" s="16"/>
      <c r="LO308" s="16"/>
      <c r="LP308" s="16">
        <v>0</v>
      </c>
      <c r="LQ308" s="16">
        <v>0</v>
      </c>
      <c r="LR308" s="16">
        <v>0</v>
      </c>
      <c r="LS308">
        <v>0</v>
      </c>
      <c r="LT308" t="s">
        <v>834</v>
      </c>
      <c r="LU308">
        <v>30.5</v>
      </c>
      <c r="LV308" s="16">
        <v>73.400000000000006</v>
      </c>
      <c r="LW308" s="16">
        <v>83.4</v>
      </c>
      <c r="LX308" s="16">
        <v>5.7</v>
      </c>
      <c r="LY308">
        <v>100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7.69</v>
      </c>
      <c r="MK308">
        <v>47.61</v>
      </c>
      <c r="ML308">
        <v>0</v>
      </c>
      <c r="MM308">
        <v>0</v>
      </c>
      <c r="MN308">
        <v>0</v>
      </c>
      <c r="MO308">
        <v>16.399999999999999</v>
      </c>
      <c r="MP308">
        <v>1</v>
      </c>
      <c r="MQ308">
        <v>4.5999999999999996</v>
      </c>
      <c r="MS308">
        <v>2</v>
      </c>
      <c r="NC308">
        <v>1.4</v>
      </c>
      <c r="ND308">
        <v>0</v>
      </c>
      <c r="NO308" s="18"/>
      <c r="OG308">
        <v>1</v>
      </c>
      <c r="OH308">
        <v>60</v>
      </c>
      <c r="OI308">
        <v>7</v>
      </c>
      <c r="OJ308">
        <f>0.73+2.2+0.39</f>
        <v>3.3200000000000003</v>
      </c>
      <c r="OK308">
        <v>3</v>
      </c>
      <c r="OL308">
        <v>50</v>
      </c>
      <c r="OM308">
        <v>10</v>
      </c>
      <c r="ON308">
        <f>4.4+2.94</f>
        <v>7.34</v>
      </c>
      <c r="PR308" s="16">
        <v>0</v>
      </c>
      <c r="PS308" s="16">
        <v>0</v>
      </c>
      <c r="PT308" s="16"/>
      <c r="PU308" s="16"/>
      <c r="PV308" s="16"/>
      <c r="PW308" s="16"/>
      <c r="PX308" s="16"/>
      <c r="PY308" s="16"/>
      <c r="PZ308" s="16"/>
      <c r="QA308" s="16"/>
      <c r="QB308" s="16"/>
      <c r="QC308" s="16">
        <v>6.95</v>
      </c>
      <c r="QD308" s="16">
        <v>10.27</v>
      </c>
      <c r="QE308" s="16"/>
      <c r="QF308" s="16"/>
      <c r="QG308" s="16">
        <v>0</v>
      </c>
      <c r="QH308" s="16">
        <v>0</v>
      </c>
      <c r="QI308" s="16">
        <v>0</v>
      </c>
      <c r="QJ308">
        <v>0</v>
      </c>
      <c r="QK308">
        <v>94</v>
      </c>
      <c r="QL308">
        <v>24.5</v>
      </c>
      <c r="QM308" s="16">
        <v>88.7</v>
      </c>
      <c r="QN308" s="16">
        <v>83.4</v>
      </c>
      <c r="QO308" s="16">
        <v>23.1</v>
      </c>
      <c r="QP308">
        <v>69.95</v>
      </c>
      <c r="QQ308">
        <v>0</v>
      </c>
      <c r="QR308">
        <v>7.16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34.04</v>
      </c>
      <c r="RC308">
        <v>20.5</v>
      </c>
      <c r="RD308">
        <v>0</v>
      </c>
      <c r="RE308">
        <v>22.9</v>
      </c>
      <c r="RF308">
        <v>0</v>
      </c>
      <c r="RG308">
        <v>0</v>
      </c>
      <c r="RT308">
        <v>0</v>
      </c>
      <c r="RU308">
        <v>0</v>
      </c>
      <c r="SF308" s="18"/>
      <c r="SX308">
        <v>0</v>
      </c>
      <c r="UI308" s="16">
        <v>0</v>
      </c>
      <c r="UJ308" s="16">
        <v>0</v>
      </c>
      <c r="UK308" s="16"/>
      <c r="UL308" s="16"/>
      <c r="UM308" s="16"/>
      <c r="UN308" s="16"/>
      <c r="UO308" s="16"/>
      <c r="UP308" s="16"/>
      <c r="UQ308" s="16"/>
      <c r="UR308" s="16"/>
      <c r="US308" s="16"/>
      <c r="UT308" s="16">
        <v>0</v>
      </c>
      <c r="UU308" s="16">
        <v>0</v>
      </c>
      <c r="UV308" s="16"/>
      <c r="UW308" s="16"/>
      <c r="UX308" s="16">
        <v>0</v>
      </c>
      <c r="UY308" s="16">
        <v>0</v>
      </c>
      <c r="UZ308" s="16">
        <v>1.44</v>
      </c>
      <c r="VA308">
        <v>0</v>
      </c>
      <c r="VB308" s="40" t="s">
        <v>835</v>
      </c>
      <c r="VC308" s="40">
        <v>19</v>
      </c>
      <c r="VD308" s="41">
        <v>73.2</v>
      </c>
      <c r="VE308" s="41">
        <v>83.4</v>
      </c>
      <c r="VF308" s="41">
        <v>11.1</v>
      </c>
      <c r="VG308" s="40">
        <v>92.58</v>
      </c>
      <c r="VH308" s="40">
        <v>0</v>
      </c>
      <c r="VI308" s="40">
        <v>1.25</v>
      </c>
      <c r="VJ308" s="40">
        <v>0</v>
      </c>
      <c r="VK308" s="40">
        <v>5.34</v>
      </c>
      <c r="VL308" s="40">
        <v>0</v>
      </c>
      <c r="VM308" s="40">
        <v>0</v>
      </c>
      <c r="VN308" s="40">
        <v>0</v>
      </c>
      <c r="VO308" s="40">
        <v>0</v>
      </c>
      <c r="VP308" s="40">
        <v>0</v>
      </c>
      <c r="VQ308" s="40">
        <v>0</v>
      </c>
      <c r="VR308" s="40">
        <v>4.7699999999999996</v>
      </c>
      <c r="VS308" s="40">
        <v>22.03</v>
      </c>
      <c r="VT308" s="40">
        <v>27.08</v>
      </c>
      <c r="VU308" s="40">
        <v>1.58</v>
      </c>
      <c r="VV308" s="40">
        <v>0.83</v>
      </c>
      <c r="VW308" s="40">
        <v>0</v>
      </c>
      <c r="VX308" s="40">
        <v>0</v>
      </c>
      <c r="VY308" s="40"/>
      <c r="VZ308" s="40"/>
      <c r="WA308" s="40"/>
      <c r="WB308" s="40"/>
      <c r="WC308" s="40"/>
      <c r="WD308" s="40"/>
      <c r="WE308" s="40"/>
      <c r="WF308" s="40"/>
      <c r="WG308" s="40"/>
      <c r="WH308" s="40"/>
      <c r="WI308" s="40"/>
      <c r="WJ308" s="40"/>
      <c r="WK308" s="40">
        <v>0.5</v>
      </c>
      <c r="WL308" s="40">
        <v>1</v>
      </c>
      <c r="WM308" s="40">
        <v>35</v>
      </c>
      <c r="WN308" s="40">
        <v>4</v>
      </c>
      <c r="WO308" s="40">
        <v>0.1</v>
      </c>
      <c r="WP308" s="40">
        <v>3</v>
      </c>
      <c r="WQ308" s="40"/>
      <c r="WR308" s="40"/>
      <c r="WS308" s="40"/>
      <c r="WT308" s="40"/>
      <c r="WU308" s="40"/>
      <c r="WV308" s="40"/>
      <c r="WW308" s="42"/>
      <c r="WX308" s="40"/>
      <c r="WY308" s="40"/>
      <c r="WZ308" s="40"/>
      <c r="XA308" s="40"/>
      <c r="XB308" s="40"/>
      <c r="XC308" s="40"/>
      <c r="XD308" s="40"/>
      <c r="XE308" s="40"/>
      <c r="XF308" s="40"/>
      <c r="XG308" s="40"/>
      <c r="XH308" s="40"/>
      <c r="XI308" s="40"/>
      <c r="XJ308" s="40"/>
      <c r="XK308" s="40"/>
      <c r="XL308" s="40"/>
      <c r="XM308" s="40"/>
      <c r="XN308" s="40"/>
      <c r="XO308" s="40">
        <v>1</v>
      </c>
      <c r="XP308" s="40">
        <v>40</v>
      </c>
      <c r="XQ308" s="40">
        <v>1</v>
      </c>
      <c r="XR308" s="40">
        <v>1.25</v>
      </c>
      <c r="XS308" s="40">
        <v>3</v>
      </c>
      <c r="XT308" s="40">
        <v>50</v>
      </c>
      <c r="XU308" s="40">
        <v>1</v>
      </c>
      <c r="XV308" s="40">
        <v>0.05</v>
      </c>
      <c r="XW308" s="40">
        <v>3</v>
      </c>
      <c r="XX308" s="40">
        <v>60</v>
      </c>
      <c r="XY308" s="40">
        <f>18+9</f>
        <v>27</v>
      </c>
      <c r="XZ308" s="40">
        <f>2.27+1.14</f>
        <v>3.41</v>
      </c>
      <c r="YA308" s="40">
        <v>3</v>
      </c>
      <c r="YB308" s="40"/>
      <c r="YC308" s="40"/>
      <c r="YD308" s="40"/>
      <c r="YE308" s="40"/>
      <c r="YF308" s="40"/>
      <c r="YG308" s="40"/>
      <c r="YH308" s="40"/>
      <c r="YI308" s="40"/>
      <c r="YJ308" s="40"/>
      <c r="YK308" s="40"/>
      <c r="YL308" s="40"/>
      <c r="YM308" s="40"/>
      <c r="YN308" s="40"/>
      <c r="YO308" s="40"/>
      <c r="YP308" s="40"/>
      <c r="YQ308" s="40"/>
      <c r="YR308" s="40"/>
      <c r="YS308" s="40"/>
      <c r="YT308" s="40"/>
      <c r="YU308" s="40"/>
      <c r="YV308" s="40"/>
      <c r="YW308" s="40"/>
      <c r="YX308" s="40"/>
      <c r="YY308" s="40"/>
      <c r="YZ308" s="41">
        <v>3.7</v>
      </c>
      <c r="ZA308" s="41">
        <v>1</v>
      </c>
      <c r="ZB308" s="41">
        <v>1</v>
      </c>
      <c r="ZC308" s="41"/>
      <c r="ZD308" s="41">
        <f>4+0.13+0.01+0.73+1.65+0.02</f>
        <v>6.5399999999999991</v>
      </c>
      <c r="ZE308" s="41">
        <v>2</v>
      </c>
      <c r="ZF308" s="41"/>
      <c r="ZG308" s="41">
        <f>0.18*2</f>
        <v>0.36</v>
      </c>
      <c r="ZH308" s="41"/>
      <c r="ZI308" s="41"/>
      <c r="ZJ308" s="41"/>
      <c r="ZK308" s="41">
        <v>3.32</v>
      </c>
      <c r="ZL308" s="41">
        <v>3.31</v>
      </c>
      <c r="ZM308" s="41"/>
      <c r="ZN308" s="41"/>
      <c r="ZO308" s="41">
        <v>0</v>
      </c>
      <c r="ZP308" s="41">
        <v>0</v>
      </c>
      <c r="ZQ308" s="41">
        <v>0.22</v>
      </c>
      <c r="ZR308" s="40">
        <v>0</v>
      </c>
      <c r="ZS308" t="s">
        <v>836</v>
      </c>
      <c r="ZT308">
        <v>26.5</v>
      </c>
      <c r="ZU308" s="16">
        <v>70.7</v>
      </c>
      <c r="ZV308" s="16">
        <v>83.4</v>
      </c>
      <c r="ZW308" s="16">
        <v>8.8000000000000007</v>
      </c>
      <c r="ZX308">
        <v>94.65</v>
      </c>
      <c r="ZY308">
        <v>0</v>
      </c>
      <c r="ZZ308">
        <v>0.21</v>
      </c>
      <c r="AAA308">
        <v>0</v>
      </c>
      <c r="AAB308">
        <v>4.3099999999999996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1.21</v>
      </c>
      <c r="AAJ308">
        <v>19.41</v>
      </c>
      <c r="AAK308">
        <v>20.37</v>
      </c>
      <c r="AAL308">
        <v>0.21</v>
      </c>
      <c r="AAM308">
        <v>0.83</v>
      </c>
      <c r="AAN308">
        <v>12.2</v>
      </c>
      <c r="AAO308">
        <v>1</v>
      </c>
      <c r="AAP308">
        <v>5</v>
      </c>
      <c r="AAR308">
        <v>2</v>
      </c>
      <c r="ABB308">
        <v>0</v>
      </c>
      <c r="ABC308">
        <v>0</v>
      </c>
      <c r="ABN308" s="18"/>
      <c r="ACF308">
        <v>1</v>
      </c>
      <c r="ACG308">
        <v>40</v>
      </c>
      <c r="ACH308">
        <v>1</v>
      </c>
      <c r="ACI308">
        <v>0.21</v>
      </c>
      <c r="ACJ308">
        <v>3</v>
      </c>
      <c r="ACK308">
        <v>80</v>
      </c>
      <c r="ACL308">
        <v>4</v>
      </c>
      <c r="ACM308">
        <v>0.5</v>
      </c>
      <c r="ACN308">
        <v>2</v>
      </c>
      <c r="ACO308">
        <v>60</v>
      </c>
      <c r="ACP308">
        <f>18+9</f>
        <v>27</v>
      </c>
      <c r="ACQ308">
        <f>2.27+1.14</f>
        <v>3.41</v>
      </c>
      <c r="ACR308">
        <v>2</v>
      </c>
      <c r="ADQ308" s="16">
        <v>3.54</v>
      </c>
      <c r="ADR308" s="16">
        <v>1</v>
      </c>
      <c r="ADS308" s="16">
        <v>1</v>
      </c>
      <c r="ADT308" s="16"/>
      <c r="ADU308" s="16">
        <f>4+0.73*2+1.65</f>
        <v>7.1099999999999994</v>
      </c>
      <c r="ADV308" s="16"/>
      <c r="ADW308" s="16"/>
      <c r="ADX308" s="16"/>
      <c r="ADY308" s="16"/>
      <c r="ADZ308" s="16"/>
      <c r="AEA308" s="16"/>
      <c r="AEB308" s="16">
        <v>1.47</v>
      </c>
      <c r="AEC308" s="16">
        <v>1.47</v>
      </c>
      <c r="AED308" s="16"/>
      <c r="AEE308" s="16"/>
      <c r="AEF308" s="16">
        <v>0</v>
      </c>
      <c r="AEG308" s="16">
        <v>0</v>
      </c>
      <c r="AEH308" s="16">
        <v>0.22</v>
      </c>
      <c r="AEI308">
        <v>0</v>
      </c>
      <c r="AEJ308" t="s">
        <v>841</v>
      </c>
      <c r="AEK308">
        <v>18.5</v>
      </c>
      <c r="AEL308" s="16">
        <v>91.6</v>
      </c>
      <c r="AEM308" s="16">
        <v>83.4</v>
      </c>
      <c r="AEN308" s="16">
        <v>7.5</v>
      </c>
      <c r="AEO308">
        <v>96.33</v>
      </c>
      <c r="AEP308">
        <v>0</v>
      </c>
      <c r="AEQ308">
        <v>0</v>
      </c>
      <c r="AER308">
        <v>0</v>
      </c>
      <c r="AES308">
        <v>3.67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3.67</v>
      </c>
      <c r="AFA308">
        <v>45.98</v>
      </c>
      <c r="AFB308">
        <v>17.899999999999999</v>
      </c>
      <c r="AFC308">
        <v>0</v>
      </c>
      <c r="AFD308">
        <v>0</v>
      </c>
      <c r="AFE308">
        <v>0</v>
      </c>
      <c r="AFF308">
        <v>0</v>
      </c>
      <c r="AFS308">
        <v>0</v>
      </c>
      <c r="AFT308">
        <v>0</v>
      </c>
      <c r="AGE308" s="18"/>
      <c r="AGW308">
        <v>0</v>
      </c>
      <c r="AHA308">
        <v>1</v>
      </c>
      <c r="AHB308">
        <v>50</v>
      </c>
      <c r="AHC308">
        <v>1</v>
      </c>
      <c r="AHD308">
        <v>0.04</v>
      </c>
      <c r="AHE308">
        <v>3</v>
      </c>
      <c r="AIH308" s="16">
        <v>1.44</v>
      </c>
      <c r="AII308" s="16">
        <v>1</v>
      </c>
      <c r="AIJ308" s="16">
        <v>1</v>
      </c>
      <c r="AIK308" s="16"/>
      <c r="AIL308" s="16">
        <f>1.65+0.18*2+9.17</f>
        <v>11.18</v>
      </c>
      <c r="AIM308" s="16"/>
      <c r="AIN308" s="16"/>
      <c r="AIO308" s="16"/>
      <c r="AIP308" s="16"/>
      <c r="AIQ308" s="16"/>
      <c r="AIR308" s="16"/>
      <c r="AIS308" s="16">
        <v>5.88</v>
      </c>
      <c r="AIT308" s="16">
        <v>13.5</v>
      </c>
      <c r="AIU308" s="16"/>
      <c r="AIV308" s="16"/>
      <c r="AIW308" s="16">
        <v>3.6</v>
      </c>
      <c r="AIX308" s="16">
        <v>1.1000000000000001</v>
      </c>
      <c r="AIY308" s="16">
        <v>0</v>
      </c>
      <c r="AIZ308">
        <v>0</v>
      </c>
      <c r="AJA308" t="s">
        <v>837</v>
      </c>
      <c r="AJB308">
        <v>30.5</v>
      </c>
      <c r="AJC308" s="16">
        <v>92</v>
      </c>
      <c r="AJD308" s="16">
        <v>83.4</v>
      </c>
      <c r="AJE308" s="16">
        <v>5.9</v>
      </c>
      <c r="AJF308">
        <v>98.99</v>
      </c>
      <c r="AJG308">
        <v>1.01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2.66</v>
      </c>
      <c r="AJR308">
        <v>46.99</v>
      </c>
      <c r="AJS308">
        <v>16.89</v>
      </c>
      <c r="AJT308">
        <v>0</v>
      </c>
      <c r="AJU308">
        <v>0</v>
      </c>
      <c r="AJV308">
        <v>0</v>
      </c>
      <c r="AJW308">
        <v>0</v>
      </c>
      <c r="AKJ308">
        <v>0</v>
      </c>
      <c r="AKK308">
        <v>0</v>
      </c>
      <c r="AKV308" s="18"/>
      <c r="ALN308">
        <v>0</v>
      </c>
    </row>
    <row r="309" spans="1:1024" x14ac:dyDescent="0.2">
      <c r="A309" s="1" t="s">
        <v>884</v>
      </c>
      <c r="B309" s="12">
        <v>42905</v>
      </c>
      <c r="C309">
        <v>2</v>
      </c>
      <c r="D309" s="13">
        <v>40301</v>
      </c>
      <c r="E309" s="12">
        <v>31040</v>
      </c>
      <c r="F309" s="14">
        <f t="shared" si="106"/>
        <v>32.484599589322379</v>
      </c>
      <c r="G309" s="14">
        <f t="shared" si="107"/>
        <v>7.1293634496919918</v>
      </c>
      <c r="H309" s="19" t="s">
        <v>181</v>
      </c>
      <c r="I309" s="15" t="s">
        <v>194</v>
      </c>
      <c r="J309" s="15" t="s">
        <v>181</v>
      </c>
      <c r="K309" s="15">
        <v>8</v>
      </c>
      <c r="L309" s="19">
        <v>67</v>
      </c>
      <c r="M309">
        <v>1.73</v>
      </c>
      <c r="N309" s="16">
        <f t="shared" si="108"/>
        <v>22.386314277122523</v>
      </c>
      <c r="O309" s="19">
        <v>0</v>
      </c>
      <c r="P309" s="19">
        <v>0</v>
      </c>
      <c r="Q309" s="19">
        <v>0</v>
      </c>
      <c r="R309" s="26">
        <v>0</v>
      </c>
      <c r="S309" s="26">
        <v>0</v>
      </c>
      <c r="T309" s="26">
        <v>0</v>
      </c>
      <c r="U309" s="19">
        <v>0</v>
      </c>
      <c r="V309" s="19">
        <v>0</v>
      </c>
      <c r="W309" s="19">
        <v>0</v>
      </c>
      <c r="X309" s="19">
        <v>0</v>
      </c>
      <c r="Y309" s="19">
        <v>1</v>
      </c>
      <c r="Z309" s="19">
        <v>1</v>
      </c>
      <c r="AA309" s="19">
        <v>60</v>
      </c>
      <c r="AB309" s="19" t="s">
        <v>537</v>
      </c>
      <c r="AC309" s="19">
        <v>0</v>
      </c>
      <c r="AD309" s="19">
        <v>0</v>
      </c>
      <c r="AE309" s="19">
        <v>0</v>
      </c>
      <c r="AF309" s="19">
        <v>0</v>
      </c>
      <c r="AG309" s="19">
        <v>0</v>
      </c>
      <c r="AH309" s="19">
        <v>0</v>
      </c>
      <c r="AI309" s="19">
        <v>0</v>
      </c>
      <c r="AJ309" s="19">
        <v>0</v>
      </c>
      <c r="AK309" s="19">
        <v>0</v>
      </c>
      <c r="AL309" s="19">
        <v>0</v>
      </c>
      <c r="AM309" s="19">
        <v>0</v>
      </c>
      <c r="AN309" s="19">
        <v>0</v>
      </c>
      <c r="AO309" s="19">
        <v>0</v>
      </c>
      <c r="AP309" s="19">
        <v>0</v>
      </c>
      <c r="AQ309" s="19">
        <v>0</v>
      </c>
      <c r="AR309" s="19">
        <v>0</v>
      </c>
      <c r="AS309" s="19">
        <v>0</v>
      </c>
      <c r="AT309" s="19">
        <v>0</v>
      </c>
      <c r="AU309" s="19">
        <v>0</v>
      </c>
      <c r="AV309" s="19">
        <v>0</v>
      </c>
      <c r="AW309" s="19">
        <v>0</v>
      </c>
      <c r="AX309" s="19">
        <v>0</v>
      </c>
      <c r="AY309" s="19">
        <v>0</v>
      </c>
      <c r="AZ309" s="19">
        <v>0</v>
      </c>
      <c r="BA309" s="19">
        <v>0</v>
      </c>
      <c r="BB309" s="19">
        <v>1</v>
      </c>
      <c r="BC309" s="19">
        <v>1</v>
      </c>
      <c r="BD309" s="19">
        <v>0</v>
      </c>
      <c r="BE309" s="19">
        <v>0</v>
      </c>
      <c r="BF309" s="19">
        <v>0</v>
      </c>
      <c r="BG309" s="19">
        <v>0</v>
      </c>
      <c r="BH309" s="19">
        <v>0</v>
      </c>
      <c r="BI309" s="19">
        <v>0</v>
      </c>
      <c r="BJ309" s="19">
        <v>0</v>
      </c>
      <c r="BK309" s="19">
        <v>0</v>
      </c>
      <c r="BL309" s="19">
        <v>0</v>
      </c>
      <c r="BM309" s="19">
        <v>0</v>
      </c>
      <c r="BN309" s="19">
        <v>0</v>
      </c>
      <c r="BO309" s="19">
        <v>0</v>
      </c>
      <c r="BP309" s="19">
        <v>0</v>
      </c>
      <c r="BQ309" s="19">
        <v>0</v>
      </c>
      <c r="BR309" s="19">
        <v>3</v>
      </c>
      <c r="BS309" s="19">
        <v>2</v>
      </c>
      <c r="BT309" s="19">
        <v>2</v>
      </c>
      <c r="BU309" s="19">
        <v>4</v>
      </c>
      <c r="BV309" s="19">
        <v>3</v>
      </c>
      <c r="BW309" s="19">
        <v>2</v>
      </c>
      <c r="BX309" s="19">
        <v>3</v>
      </c>
      <c r="BY309" s="19">
        <v>3</v>
      </c>
      <c r="BZ309" s="19">
        <v>3</v>
      </c>
      <c r="CA309" s="19">
        <v>3</v>
      </c>
      <c r="CB309" s="19">
        <v>4</v>
      </c>
      <c r="CC309" s="19">
        <v>5</v>
      </c>
      <c r="CD309" s="19">
        <v>3</v>
      </c>
      <c r="CE309" s="19">
        <v>3</v>
      </c>
      <c r="CF309" s="19">
        <v>4</v>
      </c>
      <c r="CG309" s="19">
        <v>4</v>
      </c>
      <c r="CH309" s="19">
        <v>3</v>
      </c>
      <c r="CI309" s="19">
        <v>3</v>
      </c>
      <c r="CJ309" s="19">
        <v>3</v>
      </c>
      <c r="CK309" s="19">
        <v>8</v>
      </c>
      <c r="CL309" t="s">
        <v>195</v>
      </c>
      <c r="CM309">
        <v>37.5</v>
      </c>
      <c r="CN309" s="16">
        <v>87.4</v>
      </c>
      <c r="CO309" s="16">
        <v>80.400000000000006</v>
      </c>
      <c r="CP309" s="16">
        <v>18.5</v>
      </c>
      <c r="CQ309">
        <v>84.21</v>
      </c>
      <c r="CR309" s="17">
        <v>0</v>
      </c>
      <c r="CS309">
        <v>0</v>
      </c>
      <c r="CT309">
        <v>0</v>
      </c>
      <c r="CU309">
        <v>15.79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26.71</v>
      </c>
      <c r="DC309">
        <v>13.13</v>
      </c>
      <c r="DD309">
        <v>49.12</v>
      </c>
      <c r="DE309">
        <v>14.67</v>
      </c>
      <c r="DF309">
        <v>0</v>
      </c>
      <c r="DG309">
        <v>0</v>
      </c>
      <c r="DH309">
        <v>0</v>
      </c>
      <c r="DU309">
        <v>1.1000000000000001</v>
      </c>
      <c r="DV309">
        <v>1</v>
      </c>
      <c r="DW309">
        <v>52</v>
      </c>
      <c r="DX309">
        <v>1</v>
      </c>
      <c r="DY309">
        <v>0.22</v>
      </c>
      <c r="DZ309">
        <v>2</v>
      </c>
      <c r="EA309">
        <v>35</v>
      </c>
      <c r="EB309">
        <v>2</v>
      </c>
      <c r="EC309">
        <v>0.16</v>
      </c>
      <c r="ED309">
        <v>3</v>
      </c>
      <c r="EG309" s="20"/>
      <c r="EY309">
        <v>0</v>
      </c>
      <c r="GJ309" s="16">
        <v>4.3</v>
      </c>
      <c r="GK309" s="16">
        <v>1</v>
      </c>
      <c r="GL309" s="16">
        <v>1</v>
      </c>
      <c r="GM309" s="16"/>
      <c r="GN309" s="16">
        <f>(2.11*6)+0.9+0.9+0.62+0.62+0.93+0.3+0.3+0.22+0.22+0.23+0.22+0.22+0.22</f>
        <v>18.559999999999995</v>
      </c>
      <c r="GO309" s="16"/>
      <c r="GP309" s="16"/>
      <c r="GQ309" s="16"/>
      <c r="GR309" s="16"/>
      <c r="GS309" s="16"/>
      <c r="GT309" s="16"/>
      <c r="GU309" s="16">
        <v>10.31</v>
      </c>
      <c r="GV309" s="16">
        <v>34.85</v>
      </c>
      <c r="GW309" s="16">
        <v>0</v>
      </c>
      <c r="GX309" s="16">
        <v>0</v>
      </c>
      <c r="GY309" s="16">
        <v>0</v>
      </c>
      <c r="GZ309" s="16">
        <v>0</v>
      </c>
      <c r="HA309" s="16">
        <v>0</v>
      </c>
      <c r="HB309">
        <v>0</v>
      </c>
      <c r="HC309" t="s">
        <v>196</v>
      </c>
      <c r="HD309">
        <v>39.5</v>
      </c>
      <c r="HE309" s="16">
        <v>89.8</v>
      </c>
      <c r="HF309" s="16">
        <v>80.400000000000006</v>
      </c>
      <c r="HG309" s="16">
        <v>5.0999999999999996</v>
      </c>
      <c r="HH309">
        <v>100</v>
      </c>
      <c r="HI309" s="17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50.37</v>
      </c>
      <c r="HU309">
        <v>16.55</v>
      </c>
      <c r="HV309">
        <v>0.4</v>
      </c>
      <c r="HW309">
        <v>0</v>
      </c>
      <c r="HX309">
        <v>27.4</v>
      </c>
      <c r="HY309">
        <v>1</v>
      </c>
      <c r="HZ309">
        <v>3</v>
      </c>
      <c r="IB309">
        <v>4</v>
      </c>
      <c r="IF309">
        <v>3</v>
      </c>
      <c r="IH309">
        <v>4</v>
      </c>
      <c r="IL309">
        <v>0.1</v>
      </c>
      <c r="IM309">
        <v>1</v>
      </c>
      <c r="IN309">
        <v>34</v>
      </c>
      <c r="IO309">
        <v>9</v>
      </c>
      <c r="IP309">
        <f>(1.71*3)+(0.2*2)</f>
        <v>5.53</v>
      </c>
      <c r="IQ309">
        <v>1</v>
      </c>
      <c r="IR309">
        <v>35</v>
      </c>
      <c r="IS309">
        <v>1</v>
      </c>
      <c r="IT309" s="16">
        <v>0.02</v>
      </c>
      <c r="IU309">
        <v>3</v>
      </c>
      <c r="IX309" s="20"/>
      <c r="JP309">
        <v>0</v>
      </c>
      <c r="LA309" s="16">
        <v>1.49</v>
      </c>
      <c r="LB309" s="16">
        <v>1</v>
      </c>
      <c r="LC309" s="16">
        <v>1</v>
      </c>
      <c r="LD309" s="16"/>
      <c r="LE309" s="16">
        <f>2.11+2.11+0.56+0.56</f>
        <v>5.34</v>
      </c>
      <c r="LF309" s="16"/>
      <c r="LG309" s="16"/>
      <c r="LH309" s="16"/>
      <c r="LI309" s="16"/>
      <c r="LJ309" s="16"/>
      <c r="LK309" s="16"/>
      <c r="LL309" s="16">
        <v>5.01</v>
      </c>
      <c r="LM309" s="16">
        <v>5.13</v>
      </c>
      <c r="LN309" s="16">
        <v>0</v>
      </c>
      <c r="LO309" s="16">
        <v>0</v>
      </c>
      <c r="LP309" s="16">
        <v>0</v>
      </c>
      <c r="LQ309" s="16">
        <v>0</v>
      </c>
      <c r="LR309" s="16">
        <v>0</v>
      </c>
      <c r="LS309">
        <v>0</v>
      </c>
      <c r="LT309" t="s">
        <v>197</v>
      </c>
      <c r="LU309">
        <v>49.5</v>
      </c>
      <c r="LV309" s="16">
        <v>90.1</v>
      </c>
      <c r="LW309" s="16">
        <v>80.400000000000006</v>
      </c>
      <c r="LX309" s="16">
        <v>9.9</v>
      </c>
      <c r="LY309">
        <v>94.62</v>
      </c>
      <c r="LZ309" s="17">
        <v>0</v>
      </c>
      <c r="MA309">
        <v>0.32</v>
      </c>
      <c r="MB309">
        <v>0</v>
      </c>
      <c r="MC309">
        <v>5.05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3.42</v>
      </c>
      <c r="MK309">
        <v>32.25</v>
      </c>
      <c r="ML309">
        <v>29.89</v>
      </c>
      <c r="MM309">
        <v>8.2799999999999994</v>
      </c>
      <c r="MN309">
        <v>0</v>
      </c>
      <c r="MO309">
        <v>12.9</v>
      </c>
      <c r="MP309">
        <v>1</v>
      </c>
      <c r="MQ309">
        <v>7</v>
      </c>
      <c r="MS309">
        <v>5</v>
      </c>
      <c r="MT309">
        <v>3</v>
      </c>
      <c r="MV309">
        <v>3</v>
      </c>
      <c r="MW309">
        <v>7</v>
      </c>
      <c r="MY309">
        <v>5</v>
      </c>
      <c r="MZ309">
        <v>3</v>
      </c>
      <c r="NB309">
        <v>3</v>
      </c>
      <c r="NC309">
        <v>16.600000000000001</v>
      </c>
      <c r="ND309">
        <v>1</v>
      </c>
      <c r="NE309">
        <v>68</v>
      </c>
      <c r="NF309">
        <v>6</v>
      </c>
      <c r="NG309">
        <v>0.21</v>
      </c>
      <c r="NH309">
        <v>1</v>
      </c>
      <c r="NI309">
        <v>35</v>
      </c>
      <c r="NJ309">
        <v>3</v>
      </c>
      <c r="NK309">
        <v>0.51</v>
      </c>
      <c r="NL309">
        <v>3</v>
      </c>
      <c r="NM309">
        <v>47</v>
      </c>
      <c r="NN309">
        <v>22</v>
      </c>
      <c r="NO309" s="20">
        <f>(0.43*3)+(0.07*4)+0.22</f>
        <v>1.79</v>
      </c>
      <c r="NP309">
        <v>3</v>
      </c>
      <c r="OG309">
        <v>1</v>
      </c>
      <c r="OH309">
        <v>60</v>
      </c>
      <c r="OI309">
        <v>17</v>
      </c>
      <c r="OJ309">
        <f>0.22+0.04+0.11+0.08+0.08+0.05</f>
        <v>0.58000000000000007</v>
      </c>
      <c r="OK309">
        <v>3</v>
      </c>
      <c r="OL309">
        <v>60</v>
      </c>
      <c r="OM309">
        <v>12</v>
      </c>
      <c r="ON309">
        <f>0.87+0.43+0.15+0.07</f>
        <v>1.52</v>
      </c>
      <c r="OO309">
        <v>1</v>
      </c>
      <c r="PR309" s="16">
        <v>2.4900000000000002</v>
      </c>
      <c r="PS309" s="16">
        <v>1</v>
      </c>
      <c r="PT309" s="16">
        <v>1</v>
      </c>
      <c r="PU309" s="16"/>
      <c r="PV309" s="16">
        <v>10.89</v>
      </c>
      <c r="PW309" s="16"/>
      <c r="PX309" s="16"/>
      <c r="PY309" s="16"/>
      <c r="PZ309" s="16"/>
      <c r="QA309" s="16"/>
      <c r="QB309" s="16"/>
      <c r="QC309" s="16">
        <v>4.17</v>
      </c>
      <c r="QD309" s="16">
        <v>3.7</v>
      </c>
      <c r="QE309" s="16">
        <v>0</v>
      </c>
      <c r="QF309" s="16">
        <v>0</v>
      </c>
      <c r="QG309" s="16">
        <v>0</v>
      </c>
      <c r="QH309" s="16">
        <v>0</v>
      </c>
      <c r="QI309" s="16">
        <v>0</v>
      </c>
      <c r="QJ309">
        <v>0</v>
      </c>
      <c r="QK309" t="s">
        <v>198</v>
      </c>
      <c r="QL309">
        <v>28.5</v>
      </c>
      <c r="QM309" s="16">
        <v>78.400000000000006</v>
      </c>
      <c r="QN309" s="16">
        <v>80.400000000000006</v>
      </c>
      <c r="QO309" s="16">
        <v>16</v>
      </c>
      <c r="QP309">
        <v>95.22</v>
      </c>
      <c r="QQ309" s="17">
        <v>0</v>
      </c>
      <c r="QR309">
        <v>4.2300000000000004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9.77</v>
      </c>
      <c r="RB309">
        <v>2.1800000000000002</v>
      </c>
      <c r="RC309">
        <v>46.81</v>
      </c>
      <c r="RD309">
        <v>10.57</v>
      </c>
      <c r="RE309">
        <v>0</v>
      </c>
      <c r="RF309">
        <v>0</v>
      </c>
      <c r="RG309">
        <v>0</v>
      </c>
      <c r="RT309">
        <v>0</v>
      </c>
      <c r="RU309">
        <v>0</v>
      </c>
      <c r="SF309" s="20"/>
      <c r="SX309">
        <v>0</v>
      </c>
      <c r="UI309" s="16">
        <v>4.2300000000000004</v>
      </c>
      <c r="UJ309" s="16">
        <v>1</v>
      </c>
      <c r="UK309" s="16">
        <v>2</v>
      </c>
      <c r="UL309" s="16"/>
      <c r="UM309" s="16">
        <v>6.34</v>
      </c>
      <c r="UN309" s="16">
        <v>1</v>
      </c>
      <c r="UO309" s="16">
        <v>1</v>
      </c>
      <c r="UP309" s="16">
        <f>9.52+3.17+3.17+3.17+1.12+1.12+1.12</f>
        <v>22.390000000000004</v>
      </c>
      <c r="UQ309" s="16"/>
      <c r="UR309" s="16"/>
      <c r="US309" s="16"/>
      <c r="UT309" s="16">
        <v>5.41</v>
      </c>
      <c r="UU309" s="16">
        <v>8.9600000000000009</v>
      </c>
      <c r="UV309" s="16">
        <v>0</v>
      </c>
      <c r="UW309" s="16">
        <v>0</v>
      </c>
      <c r="UX309" s="16">
        <v>0</v>
      </c>
      <c r="UY309" s="16">
        <v>0</v>
      </c>
      <c r="UZ309" s="16">
        <v>0</v>
      </c>
      <c r="VA309">
        <v>0</v>
      </c>
      <c r="VB309" t="s">
        <v>199</v>
      </c>
      <c r="VC309">
        <v>56.5</v>
      </c>
      <c r="VD309" s="16">
        <v>88.4</v>
      </c>
      <c r="VE309" s="16">
        <v>80.400000000000006</v>
      </c>
      <c r="VF309" s="16">
        <v>24.8</v>
      </c>
      <c r="VG309">
        <v>77.37</v>
      </c>
      <c r="VH309" s="17">
        <v>0</v>
      </c>
      <c r="VI309">
        <v>7.99</v>
      </c>
      <c r="VJ309">
        <v>0</v>
      </c>
      <c r="VK309">
        <v>14.63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8.0399999999999991</v>
      </c>
      <c r="VS309">
        <v>23.21</v>
      </c>
      <c r="VT309">
        <v>37.03</v>
      </c>
      <c r="VU309">
        <v>14.79</v>
      </c>
      <c r="VV309">
        <v>0</v>
      </c>
      <c r="VW309">
        <v>0</v>
      </c>
      <c r="VX309">
        <v>0</v>
      </c>
      <c r="WK309">
        <v>25.5</v>
      </c>
      <c r="WL309">
        <v>1</v>
      </c>
      <c r="WM309">
        <v>52</v>
      </c>
      <c r="WN309">
        <v>13</v>
      </c>
      <c r="WO309">
        <f>0.27+1.07+0.13+0.27</f>
        <v>1.7400000000000002</v>
      </c>
      <c r="WP309">
        <v>2</v>
      </c>
      <c r="WQ309">
        <v>35</v>
      </c>
      <c r="WR309">
        <v>3</v>
      </c>
      <c r="WS309">
        <f>0.13+0.08+0.24</f>
        <v>0.45</v>
      </c>
      <c r="WT309">
        <v>3</v>
      </c>
      <c r="WU309">
        <v>47</v>
      </c>
      <c r="WV309">
        <v>5</v>
      </c>
      <c r="WW309" s="20">
        <f>0.76+1.14+0.76+0.13+0.08</f>
        <v>2.87</v>
      </c>
      <c r="WX309">
        <v>3</v>
      </c>
      <c r="XO309">
        <v>0</v>
      </c>
      <c r="YZ309" s="16">
        <v>2.59</v>
      </c>
      <c r="ZA309" s="16">
        <v>1</v>
      </c>
      <c r="ZB309" s="16">
        <v>1</v>
      </c>
      <c r="ZC309" s="16"/>
      <c r="ZD309" s="16">
        <f>(2.11*4)+0.37</f>
        <v>8.8099999999999987</v>
      </c>
      <c r="ZE309" s="16"/>
      <c r="ZF309" s="16"/>
      <c r="ZG309" s="16"/>
      <c r="ZH309" s="16"/>
      <c r="ZI309" s="16"/>
      <c r="ZJ309" s="16"/>
      <c r="ZK309" s="16">
        <v>1.33</v>
      </c>
      <c r="ZL309" s="16">
        <v>0.89</v>
      </c>
      <c r="ZM309" s="16">
        <v>0</v>
      </c>
      <c r="ZN309" s="16">
        <v>0</v>
      </c>
      <c r="ZO309" s="16">
        <v>0</v>
      </c>
      <c r="ZP309" s="16">
        <v>0</v>
      </c>
      <c r="ZQ309" s="16">
        <v>0</v>
      </c>
      <c r="ZR309">
        <v>0</v>
      </c>
      <c r="ZS309" t="s">
        <v>200</v>
      </c>
      <c r="ZT309">
        <v>28.5</v>
      </c>
      <c r="ZU309" s="16">
        <v>69.400000000000006</v>
      </c>
      <c r="ZV309" s="16">
        <v>80.400000000000006</v>
      </c>
      <c r="ZW309" s="16">
        <v>9.8000000000000007</v>
      </c>
      <c r="ZX309">
        <v>96.02</v>
      </c>
      <c r="ZY309" s="17">
        <v>0</v>
      </c>
      <c r="ZZ309">
        <v>3.98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16.55</v>
      </c>
      <c r="AAK309">
        <v>26.49</v>
      </c>
      <c r="AAL309">
        <v>6.34</v>
      </c>
      <c r="AAM309">
        <v>0</v>
      </c>
      <c r="AAN309">
        <v>0</v>
      </c>
      <c r="AAO309">
        <v>0</v>
      </c>
      <c r="ABB309">
        <v>10.199999999999999</v>
      </c>
      <c r="ABC309">
        <v>1</v>
      </c>
      <c r="ABD309">
        <v>35</v>
      </c>
      <c r="ABE309">
        <v>1</v>
      </c>
      <c r="ABF309">
        <v>0.02</v>
      </c>
      <c r="ABG309">
        <v>3</v>
      </c>
      <c r="ABH309">
        <v>70</v>
      </c>
      <c r="ABI309">
        <v>2</v>
      </c>
      <c r="ABJ309">
        <v>0.27</v>
      </c>
      <c r="ABK309">
        <v>3</v>
      </c>
      <c r="ABN309" s="20"/>
      <c r="ACF309">
        <v>1</v>
      </c>
      <c r="ACG309">
        <v>50</v>
      </c>
      <c r="ACH309">
        <v>5</v>
      </c>
      <c r="ACI309">
        <f>1.52+0.5+0.19+0.12</f>
        <v>2.33</v>
      </c>
      <c r="ACJ309">
        <v>3</v>
      </c>
      <c r="ADQ309" s="16">
        <v>2.63</v>
      </c>
      <c r="ADR309" s="16">
        <v>1</v>
      </c>
      <c r="ADS309" s="16">
        <v>1</v>
      </c>
      <c r="ADT309" s="16"/>
      <c r="ADU309" s="16">
        <f>0.04+2.11+3.17+0.37+0.56</f>
        <v>6.25</v>
      </c>
      <c r="ADV309" s="16">
        <v>2</v>
      </c>
      <c r="ADW309" s="16"/>
      <c r="ADX309" s="16">
        <f>0.53+0.53+0.11+0.07+0.15</f>
        <v>1.3900000000000001</v>
      </c>
      <c r="ADY309" s="16"/>
      <c r="ADZ309" s="16"/>
      <c r="AEA309" s="16"/>
      <c r="AEB309" s="16">
        <v>3.33</v>
      </c>
      <c r="AEC309" s="16">
        <v>2.06</v>
      </c>
      <c r="AED309" s="16">
        <v>0</v>
      </c>
      <c r="AEE309" s="16">
        <v>0</v>
      </c>
      <c r="AEF309" s="16">
        <v>0</v>
      </c>
      <c r="AEG309" s="16">
        <v>0</v>
      </c>
      <c r="AEH309" s="16">
        <v>0</v>
      </c>
      <c r="AEI309">
        <v>0</v>
      </c>
      <c r="AEJ309" t="s">
        <v>201</v>
      </c>
      <c r="AEK309">
        <v>48.5</v>
      </c>
      <c r="AEL309" s="16">
        <v>89.7</v>
      </c>
      <c r="AEM309" s="16">
        <v>80.400000000000006</v>
      </c>
      <c r="AEN309" s="16">
        <v>9.3000000000000007</v>
      </c>
      <c r="AEO309">
        <v>100</v>
      </c>
      <c r="AEP309" s="17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1.65</v>
      </c>
      <c r="AFA309">
        <v>2.69</v>
      </c>
      <c r="AFB309">
        <v>54.55</v>
      </c>
      <c r="AFC309">
        <v>11.29</v>
      </c>
      <c r="AFD309">
        <v>0</v>
      </c>
      <c r="AFE309">
        <v>0</v>
      </c>
      <c r="AFF309">
        <v>0</v>
      </c>
      <c r="AFS309">
        <v>30.6</v>
      </c>
      <c r="AFT309">
        <v>1</v>
      </c>
      <c r="AFU309">
        <v>35</v>
      </c>
      <c r="AFV309">
        <v>14</v>
      </c>
      <c r="AFW309">
        <f>3.05+1.52+1.52+0.27+0.03+0.07</f>
        <v>6.46</v>
      </c>
      <c r="AFX309">
        <v>3</v>
      </c>
      <c r="AFY309">
        <v>47</v>
      </c>
      <c r="AFZ309">
        <v>6</v>
      </c>
      <c r="AGA309">
        <f>1.52+0.27*2</f>
        <v>2.06</v>
      </c>
      <c r="AGB309">
        <v>3</v>
      </c>
      <c r="AGE309" s="20"/>
      <c r="AGW309">
        <v>0</v>
      </c>
      <c r="AIH309" s="16">
        <v>3.34</v>
      </c>
      <c r="AII309" s="16">
        <v>1</v>
      </c>
      <c r="AIJ309" s="16">
        <v>1</v>
      </c>
      <c r="AIK309" s="16"/>
      <c r="AIL309" s="16">
        <f>4.23+1.14+2.11+4.23+1.37+0.02+2.03+0.75+0.37+0.13</f>
        <v>16.38</v>
      </c>
      <c r="AIM309" s="16"/>
      <c r="AIN309" s="16"/>
      <c r="AIO309" s="16"/>
      <c r="AIP309" s="16"/>
      <c r="AIQ309" s="16"/>
      <c r="AIR309" s="16"/>
      <c r="AIS309" s="16">
        <v>1.45</v>
      </c>
      <c r="AIT309" s="16">
        <v>1.46</v>
      </c>
      <c r="AIU309" s="16">
        <v>0</v>
      </c>
      <c r="AIV309" s="16">
        <v>0</v>
      </c>
      <c r="AIW309" s="16">
        <v>0</v>
      </c>
      <c r="AIX309" s="16">
        <v>0</v>
      </c>
      <c r="AIY309" s="16">
        <v>0</v>
      </c>
      <c r="AIZ309">
        <v>0</v>
      </c>
      <c r="AJA309" t="s">
        <v>202</v>
      </c>
      <c r="AJB309">
        <v>60</v>
      </c>
      <c r="AJC309" s="16">
        <v>55.4</v>
      </c>
      <c r="AJD309" s="16">
        <v>80.400000000000006</v>
      </c>
      <c r="AJE309" s="16">
        <v>29.6</v>
      </c>
      <c r="AJF309">
        <v>76.8</v>
      </c>
      <c r="AJG309" s="17">
        <v>0</v>
      </c>
      <c r="AJH309">
        <v>0</v>
      </c>
      <c r="AJI309">
        <v>0</v>
      </c>
      <c r="AJJ309">
        <v>0</v>
      </c>
      <c r="AJL309">
        <v>4.83</v>
      </c>
      <c r="AJM309">
        <v>1.71</v>
      </c>
      <c r="AJN309">
        <v>0</v>
      </c>
      <c r="AJO309">
        <v>0</v>
      </c>
      <c r="AJP309">
        <v>0</v>
      </c>
      <c r="AJQ309">
        <v>1.51</v>
      </c>
      <c r="AJR309">
        <v>1.85</v>
      </c>
      <c r="AJS309">
        <v>2.31</v>
      </c>
      <c r="AJT309">
        <v>19.079999999999998</v>
      </c>
      <c r="AJU309">
        <v>18.37</v>
      </c>
      <c r="AJV309">
        <v>0</v>
      </c>
      <c r="AJW309">
        <v>0</v>
      </c>
      <c r="AJX309">
        <v>0</v>
      </c>
      <c r="AKD309">
        <v>0</v>
      </c>
      <c r="AKJ309">
        <v>22.9</v>
      </c>
      <c r="AKK309">
        <v>1</v>
      </c>
      <c r="AKL309">
        <v>34</v>
      </c>
      <c r="AKM309">
        <v>1</v>
      </c>
      <c r="AKN309">
        <v>1.19</v>
      </c>
      <c r="AKO309">
        <v>1</v>
      </c>
      <c r="AKP309">
        <v>47</v>
      </c>
      <c r="AKQ309">
        <f>7+3+1+2+3+5+7+1+7+2+7+5+5</f>
        <v>55</v>
      </c>
      <c r="AKR309">
        <f>(0.3*7)+0.15+0.3+0.9+0.6+0.45+0.6+(0.3*3)+(0.3*5)+(0.3*7)+0.9+(0.3*7)+(0.4)+(0.3*7)+(0.3*5)+(0.3*5)</f>
        <v>18.100000000000001</v>
      </c>
      <c r="AKS309">
        <v>2</v>
      </c>
      <c r="AKV309" s="20"/>
      <c r="ALN309">
        <v>0</v>
      </c>
    </row>
    <row r="310" spans="1:1024" x14ac:dyDescent="0.2">
      <c r="A310" s="1" t="s">
        <v>885</v>
      </c>
      <c r="B310" s="12">
        <v>42905</v>
      </c>
      <c r="C310">
        <v>2</v>
      </c>
      <c r="D310" s="13">
        <v>42849</v>
      </c>
      <c r="E310" s="12">
        <v>28278</v>
      </c>
      <c r="F310" s="14">
        <f t="shared" si="106"/>
        <v>40.046543463381248</v>
      </c>
      <c r="G310" s="14">
        <f t="shared" si="107"/>
        <v>0.15331964407939766</v>
      </c>
      <c r="H310" s="19" t="s">
        <v>181</v>
      </c>
      <c r="I310" s="15" t="s">
        <v>496</v>
      </c>
      <c r="J310" s="15" t="s">
        <v>181</v>
      </c>
      <c r="K310" s="15">
        <v>8</v>
      </c>
      <c r="L310" s="19">
        <v>68</v>
      </c>
      <c r="M310">
        <v>1.71</v>
      </c>
      <c r="N310" s="16">
        <f t="shared" si="108"/>
        <v>23.255018638213471</v>
      </c>
      <c r="O310" s="19">
        <v>0</v>
      </c>
      <c r="P310" s="19">
        <v>0</v>
      </c>
      <c r="Q310" s="19">
        <v>0</v>
      </c>
      <c r="R310" s="26">
        <v>0</v>
      </c>
      <c r="S310" s="26">
        <v>0</v>
      </c>
      <c r="T310" s="26">
        <v>0</v>
      </c>
      <c r="U310" s="19">
        <v>0</v>
      </c>
      <c r="V310" s="19">
        <v>0</v>
      </c>
      <c r="W310" s="19">
        <v>0</v>
      </c>
      <c r="X310" s="19">
        <v>0</v>
      </c>
      <c r="Y310" s="19">
        <v>1</v>
      </c>
      <c r="Z310" s="19">
        <v>2</v>
      </c>
      <c r="AA310" s="19">
        <v>60</v>
      </c>
      <c r="AB310" s="19" t="s">
        <v>866</v>
      </c>
      <c r="AC310" s="19">
        <v>1</v>
      </c>
      <c r="AD310" s="19">
        <v>15</v>
      </c>
      <c r="AE310" s="19">
        <v>0</v>
      </c>
      <c r="AF310" s="19">
        <v>0</v>
      </c>
      <c r="AG310" s="19">
        <v>0</v>
      </c>
      <c r="AH310" s="19">
        <v>0</v>
      </c>
      <c r="AI310" s="19">
        <v>0</v>
      </c>
      <c r="AJ310" s="19">
        <v>0</v>
      </c>
      <c r="AK310" s="19">
        <v>0</v>
      </c>
      <c r="AL310" s="19">
        <v>0</v>
      </c>
      <c r="AM310" s="19">
        <v>0</v>
      </c>
      <c r="AN310" s="19">
        <v>0</v>
      </c>
      <c r="AO310" s="19">
        <v>0</v>
      </c>
      <c r="AP310" s="19">
        <v>0</v>
      </c>
      <c r="AQ310" s="19">
        <v>0</v>
      </c>
      <c r="AR310" s="19">
        <v>0</v>
      </c>
      <c r="AS310" s="19">
        <v>0</v>
      </c>
      <c r="AT310" s="19">
        <v>0</v>
      </c>
      <c r="AU310" s="19">
        <v>0</v>
      </c>
      <c r="AV310" s="19">
        <v>0</v>
      </c>
      <c r="AW310" s="19">
        <v>0</v>
      </c>
      <c r="AX310" s="19">
        <v>0</v>
      </c>
      <c r="AY310" s="19">
        <v>0</v>
      </c>
      <c r="AZ310" s="19">
        <v>0</v>
      </c>
      <c r="BA310" s="19">
        <v>0</v>
      </c>
      <c r="BB310" s="19">
        <v>0</v>
      </c>
      <c r="BC310" s="19">
        <v>0</v>
      </c>
      <c r="BD310" s="19">
        <v>0</v>
      </c>
      <c r="BE310" s="19">
        <v>0</v>
      </c>
      <c r="BF310" s="19">
        <v>0</v>
      </c>
      <c r="BG310" s="19">
        <v>0</v>
      </c>
      <c r="BH310" s="19">
        <v>0</v>
      </c>
      <c r="BI310" s="19">
        <v>0</v>
      </c>
      <c r="BJ310" s="19">
        <v>0</v>
      </c>
      <c r="BK310" s="19">
        <v>0</v>
      </c>
      <c r="BL310" s="19">
        <v>0</v>
      </c>
      <c r="BM310" s="19">
        <v>0</v>
      </c>
      <c r="BN310" s="19">
        <v>0</v>
      </c>
      <c r="BO310" s="19">
        <v>0</v>
      </c>
      <c r="BP310" s="19">
        <v>0</v>
      </c>
      <c r="BQ310" s="19">
        <v>0</v>
      </c>
      <c r="BR310" s="19">
        <v>1</v>
      </c>
      <c r="BS310" s="19">
        <v>1</v>
      </c>
      <c r="BT310" s="19">
        <v>3</v>
      </c>
      <c r="BU310" s="19">
        <v>5</v>
      </c>
      <c r="BV310" s="19">
        <v>1</v>
      </c>
      <c r="BW310" s="19">
        <v>2</v>
      </c>
      <c r="BX310" s="19">
        <v>4</v>
      </c>
      <c r="BY310" s="19">
        <v>5</v>
      </c>
      <c r="BZ310" s="19">
        <v>4</v>
      </c>
      <c r="CA310" s="19">
        <v>5</v>
      </c>
      <c r="CB310" s="19">
        <v>5</v>
      </c>
      <c r="CC310" s="19">
        <v>5</v>
      </c>
      <c r="CD310" s="19">
        <v>5</v>
      </c>
      <c r="CE310" s="19">
        <v>5</v>
      </c>
      <c r="CF310" s="19">
        <v>5</v>
      </c>
      <c r="CG310" s="19">
        <v>5</v>
      </c>
      <c r="CH310" s="19">
        <v>5</v>
      </c>
      <c r="CI310" s="19">
        <v>5</v>
      </c>
      <c r="CJ310" s="19">
        <v>5</v>
      </c>
      <c r="CK310" s="19">
        <v>10</v>
      </c>
      <c r="CL310" t="s">
        <v>498</v>
      </c>
      <c r="CM310">
        <v>33</v>
      </c>
      <c r="CN310" s="16">
        <v>71.2</v>
      </c>
      <c r="CO310" s="16">
        <v>80.400000000000006</v>
      </c>
      <c r="CP310" s="16">
        <v>16.3</v>
      </c>
      <c r="CQ310">
        <v>83.24</v>
      </c>
      <c r="CR310" s="17">
        <v>0</v>
      </c>
      <c r="CS310">
        <v>0</v>
      </c>
      <c r="CT310">
        <v>0</v>
      </c>
      <c r="CU310">
        <v>14.14</v>
      </c>
      <c r="CV310">
        <v>0</v>
      </c>
      <c r="CW310">
        <v>2.63</v>
      </c>
      <c r="CX310">
        <v>0</v>
      </c>
      <c r="CY310">
        <v>0</v>
      </c>
      <c r="CZ310">
        <v>0</v>
      </c>
      <c r="DA310">
        <v>0</v>
      </c>
      <c r="DB310">
        <v>2.63</v>
      </c>
      <c r="DC310">
        <v>10.16</v>
      </c>
      <c r="DD310">
        <v>20.83</v>
      </c>
      <c r="DE310">
        <v>24.81</v>
      </c>
      <c r="DF310">
        <v>0</v>
      </c>
      <c r="DG310">
        <v>11.2</v>
      </c>
      <c r="DH310">
        <v>1</v>
      </c>
      <c r="DI310">
        <v>5</v>
      </c>
      <c r="DK310">
        <v>1</v>
      </c>
      <c r="DO310">
        <v>5</v>
      </c>
      <c r="DQ310">
        <v>1</v>
      </c>
      <c r="DU310">
        <v>0</v>
      </c>
      <c r="DV310">
        <v>0</v>
      </c>
      <c r="EG310" s="18"/>
      <c r="EY310">
        <v>0</v>
      </c>
      <c r="GJ310" s="16">
        <v>2.71</v>
      </c>
      <c r="GK310" s="16">
        <v>1</v>
      </c>
      <c r="GL310" s="16">
        <v>1</v>
      </c>
      <c r="GM310" s="16"/>
      <c r="GN310" s="16">
        <f>2.11*4+0.52*2</f>
        <v>9.48</v>
      </c>
      <c r="GO310" s="16"/>
      <c r="GP310" s="16"/>
      <c r="GQ310" s="16"/>
      <c r="GR310" s="16"/>
      <c r="GS310" s="16"/>
      <c r="GT310" s="16"/>
      <c r="GU310" s="16">
        <v>2.63</v>
      </c>
      <c r="GV310" s="16">
        <v>2.6</v>
      </c>
      <c r="GW310" s="16">
        <v>0</v>
      </c>
      <c r="GX310" s="16">
        <v>0</v>
      </c>
      <c r="GY310" s="16">
        <v>0</v>
      </c>
      <c r="GZ310" s="16">
        <v>0</v>
      </c>
      <c r="HA310" s="16">
        <v>0</v>
      </c>
      <c r="HB310">
        <v>0</v>
      </c>
      <c r="HC310" t="s">
        <v>499</v>
      </c>
      <c r="HD310">
        <v>40</v>
      </c>
      <c r="HE310" s="16">
        <v>79.7</v>
      </c>
      <c r="HF310" s="16">
        <v>80.400000000000006</v>
      </c>
      <c r="HG310" s="16">
        <v>11.2</v>
      </c>
      <c r="HH310">
        <v>91.23</v>
      </c>
      <c r="HI310" s="17">
        <v>0</v>
      </c>
      <c r="HJ310">
        <v>0</v>
      </c>
      <c r="HK310">
        <v>0</v>
      </c>
      <c r="HL310">
        <v>8.77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18.64</v>
      </c>
      <c r="HU310">
        <v>42.82</v>
      </c>
      <c r="HV310">
        <v>4.6100000000000003</v>
      </c>
      <c r="HW310">
        <v>0</v>
      </c>
      <c r="HX310">
        <v>0</v>
      </c>
      <c r="HY310">
        <v>0</v>
      </c>
      <c r="IL310">
        <v>23.2</v>
      </c>
      <c r="IM310">
        <v>1</v>
      </c>
      <c r="IN310">
        <v>35</v>
      </c>
      <c r="IO310">
        <f>2+4+2+2+2+4+2+2+1</f>
        <v>21</v>
      </c>
      <c r="IP310">
        <f>1.52+1.49+0.78*2+0.27+0.43+0.12+0.13</f>
        <v>5.52</v>
      </c>
      <c r="IQ310">
        <v>3</v>
      </c>
      <c r="IR310">
        <v>10</v>
      </c>
      <c r="IS310">
        <v>1</v>
      </c>
      <c r="IT310">
        <v>0.1</v>
      </c>
      <c r="IU310">
        <v>5</v>
      </c>
      <c r="IV310">
        <v>25</v>
      </c>
      <c r="IW310">
        <v>8</v>
      </c>
      <c r="IX310" s="18">
        <f>0.19*2+0.1</f>
        <v>0.48</v>
      </c>
      <c r="IY310">
        <v>1</v>
      </c>
      <c r="JP310">
        <v>0</v>
      </c>
      <c r="LA310" s="16">
        <v>1.52</v>
      </c>
      <c r="LB310" s="16">
        <v>1</v>
      </c>
      <c r="LC310" s="16">
        <v>1</v>
      </c>
      <c r="LD310" s="16"/>
      <c r="LE310" s="16">
        <f>2.11*2+0.19*3+0.1</f>
        <v>4.8899999999999997</v>
      </c>
      <c r="LF310" s="16"/>
      <c r="LG310" s="16"/>
      <c r="LH310" s="16"/>
      <c r="LI310" s="16"/>
      <c r="LJ310" s="16"/>
      <c r="LK310" s="16"/>
      <c r="LL310" s="16">
        <v>0</v>
      </c>
      <c r="LM310" s="16">
        <v>0</v>
      </c>
      <c r="LN310" s="16">
        <v>0</v>
      </c>
      <c r="LO310" s="16">
        <v>0</v>
      </c>
      <c r="LP310" s="16">
        <v>0</v>
      </c>
      <c r="LQ310" s="16">
        <v>0</v>
      </c>
      <c r="LR310" s="16">
        <v>0.06</v>
      </c>
      <c r="LS310">
        <v>0</v>
      </c>
      <c r="LT310" t="s">
        <v>500</v>
      </c>
      <c r="LU310">
        <v>48</v>
      </c>
      <c r="LV310" s="16">
        <v>69.7</v>
      </c>
      <c r="LW310" s="16">
        <v>80.400000000000006</v>
      </c>
      <c r="LX310" s="16">
        <v>44.5</v>
      </c>
      <c r="LY310">
        <v>13.55</v>
      </c>
      <c r="LZ310" s="17">
        <v>0</v>
      </c>
      <c r="MA310">
        <v>0</v>
      </c>
      <c r="MB310">
        <v>0</v>
      </c>
      <c r="MC310">
        <v>0.1</v>
      </c>
      <c r="MD310">
        <v>0</v>
      </c>
      <c r="ME310">
        <v>86.34</v>
      </c>
      <c r="MF310">
        <v>13.26</v>
      </c>
      <c r="MG310">
        <v>28.53</v>
      </c>
      <c r="MH310">
        <v>0</v>
      </c>
      <c r="MI310">
        <v>0</v>
      </c>
      <c r="MJ310">
        <v>0.78</v>
      </c>
      <c r="MK310">
        <v>3.48</v>
      </c>
      <c r="ML310">
        <v>11.45</v>
      </c>
      <c r="MM310">
        <v>6.85</v>
      </c>
      <c r="MN310">
        <v>0</v>
      </c>
      <c r="MO310">
        <v>0</v>
      </c>
      <c r="MP310">
        <v>0</v>
      </c>
      <c r="NC310">
        <v>0</v>
      </c>
      <c r="ND310">
        <v>0</v>
      </c>
      <c r="NO310" s="18"/>
      <c r="OG310">
        <v>0</v>
      </c>
      <c r="PR310" s="16">
        <v>0.75</v>
      </c>
      <c r="PS310" s="16">
        <v>1</v>
      </c>
      <c r="PT310" s="16">
        <v>1</v>
      </c>
      <c r="PU310" s="16"/>
      <c r="PV310" s="16">
        <f>2.11+0.37</f>
        <v>2.48</v>
      </c>
      <c r="PW310" s="16"/>
      <c r="PX310" s="16"/>
      <c r="PY310" s="16"/>
      <c r="PZ310" s="16"/>
      <c r="QA310" s="16"/>
      <c r="QB310" s="16"/>
      <c r="QC310" s="16">
        <v>2.66</v>
      </c>
      <c r="QD310" s="16">
        <v>2.64</v>
      </c>
      <c r="QE310" s="16">
        <v>0</v>
      </c>
      <c r="QF310" s="16">
        <v>0</v>
      </c>
      <c r="QG310" s="16">
        <v>0</v>
      </c>
      <c r="QH310" s="16">
        <v>0</v>
      </c>
      <c r="QI310" s="16">
        <v>0</v>
      </c>
      <c r="QJ310">
        <v>0</v>
      </c>
      <c r="QK310" t="s">
        <v>503</v>
      </c>
      <c r="QL310">
        <v>47</v>
      </c>
      <c r="QM310" s="16">
        <v>54.1</v>
      </c>
      <c r="QN310" s="16">
        <v>80.400000000000006</v>
      </c>
      <c r="QO310" s="16">
        <v>34.5</v>
      </c>
      <c r="QP310">
        <v>71.45</v>
      </c>
      <c r="QQ310" s="17">
        <v>0</v>
      </c>
      <c r="QR310">
        <v>21.93</v>
      </c>
      <c r="QS310">
        <v>6.49</v>
      </c>
      <c r="QT310">
        <v>0.12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1.01</v>
      </c>
      <c r="RB310">
        <v>0.45</v>
      </c>
      <c r="RC310">
        <v>18.399999999999999</v>
      </c>
      <c r="RD310">
        <v>11.28</v>
      </c>
      <c r="RE310">
        <v>0</v>
      </c>
      <c r="RF310">
        <v>0</v>
      </c>
      <c r="RG310">
        <v>0</v>
      </c>
      <c r="RT310">
        <v>6</v>
      </c>
      <c r="RU310">
        <v>1</v>
      </c>
      <c r="RV310">
        <v>35</v>
      </c>
      <c r="RW310">
        <v>8</v>
      </c>
      <c r="RX310">
        <f>0.25+0.25+0.25+0.13+0.13+0.13+0.13</f>
        <v>1.27</v>
      </c>
      <c r="RY310">
        <v>3</v>
      </c>
      <c r="SF310" s="18"/>
      <c r="SX310">
        <v>1</v>
      </c>
      <c r="SY310">
        <v>50</v>
      </c>
      <c r="SZ310">
        <v>2</v>
      </c>
      <c r="TA310">
        <f>0.76*2</f>
        <v>1.52</v>
      </c>
      <c r="TB310">
        <v>1</v>
      </c>
      <c r="UI310" s="16">
        <v>0.42</v>
      </c>
      <c r="UJ310" s="16">
        <v>1</v>
      </c>
      <c r="UK310" s="16">
        <v>1</v>
      </c>
      <c r="UL310" s="16"/>
      <c r="UM310" s="16">
        <f>0.68+0.68+0.03</f>
        <v>1.3900000000000001</v>
      </c>
      <c r="UN310" s="16"/>
      <c r="UO310" s="16"/>
      <c r="UP310" s="16"/>
      <c r="UQ310" s="16"/>
      <c r="UR310" s="16"/>
      <c r="US310" s="16"/>
      <c r="UT310" s="16">
        <v>5.21</v>
      </c>
      <c r="UU310" s="16">
        <v>7.05</v>
      </c>
      <c r="UV310" s="16"/>
      <c r="UW310" s="16"/>
      <c r="UX310" s="16">
        <v>0</v>
      </c>
      <c r="UY310" s="16">
        <v>0</v>
      </c>
      <c r="UZ310" s="16">
        <v>0</v>
      </c>
      <c r="VA310">
        <v>0</v>
      </c>
      <c r="VB310" t="s">
        <v>505</v>
      </c>
      <c r="VC310">
        <v>59</v>
      </c>
      <c r="VD310" s="16">
        <v>90.4</v>
      </c>
      <c r="VE310" s="16">
        <v>80.400000000000006</v>
      </c>
      <c r="VF310" s="16">
        <v>54.7</v>
      </c>
      <c r="VG310">
        <v>26.42</v>
      </c>
      <c r="VH310" s="17">
        <v>0</v>
      </c>
      <c r="VI310">
        <v>0</v>
      </c>
      <c r="VJ310">
        <v>0</v>
      </c>
      <c r="VK310">
        <v>0</v>
      </c>
      <c r="VL310">
        <v>0</v>
      </c>
      <c r="VM310">
        <v>66.959999999999994</v>
      </c>
      <c r="VN310">
        <v>6.55</v>
      </c>
      <c r="VO310">
        <v>30.83</v>
      </c>
      <c r="VP310">
        <v>0</v>
      </c>
      <c r="VQ310">
        <v>0</v>
      </c>
      <c r="VR310">
        <v>14.46</v>
      </c>
      <c r="VS310">
        <v>11.57</v>
      </c>
      <c r="VT310">
        <v>6.5</v>
      </c>
      <c r="VU310">
        <v>6.03</v>
      </c>
      <c r="VV310">
        <v>6.62</v>
      </c>
      <c r="VW310">
        <v>0</v>
      </c>
      <c r="VX310">
        <v>0</v>
      </c>
      <c r="WK310">
        <v>3.2</v>
      </c>
      <c r="WL310">
        <v>0</v>
      </c>
      <c r="WW310" s="18"/>
      <c r="XO310">
        <v>1</v>
      </c>
      <c r="XP310">
        <v>60</v>
      </c>
      <c r="XQ310">
        <v>2</v>
      </c>
      <c r="XR310">
        <v>1.52</v>
      </c>
      <c r="XS310">
        <v>3</v>
      </c>
      <c r="YZ310" s="16">
        <v>0.63</v>
      </c>
      <c r="ZA310" s="16">
        <v>1</v>
      </c>
      <c r="ZB310" s="16">
        <v>1</v>
      </c>
      <c r="ZC310" s="16"/>
      <c r="ZD310" s="16">
        <v>3.17</v>
      </c>
      <c r="ZE310" s="16"/>
      <c r="ZF310" s="16"/>
      <c r="ZG310" s="16"/>
      <c r="ZH310" s="16"/>
      <c r="ZI310" s="16"/>
      <c r="ZJ310" s="16"/>
      <c r="ZK310" s="16">
        <v>0</v>
      </c>
      <c r="ZL310" s="16">
        <v>0</v>
      </c>
      <c r="ZM310" s="16"/>
      <c r="ZN310" s="16"/>
      <c r="ZO310" s="16">
        <v>0</v>
      </c>
      <c r="ZP310" s="16">
        <v>0</v>
      </c>
      <c r="ZQ310" s="16">
        <v>0</v>
      </c>
      <c r="ZR310">
        <v>0</v>
      </c>
      <c r="ZS310" t="s">
        <v>619</v>
      </c>
      <c r="ZT310">
        <v>42</v>
      </c>
      <c r="ZU310" s="16">
        <v>97.3</v>
      </c>
      <c r="ZV310" s="16">
        <v>80.400000000000006</v>
      </c>
      <c r="ZW310" s="16">
        <v>14.9</v>
      </c>
      <c r="ZX310">
        <v>88.72</v>
      </c>
      <c r="ZY310" s="17">
        <v>0</v>
      </c>
      <c r="ZZ310">
        <v>0</v>
      </c>
      <c r="AAA310">
        <v>0</v>
      </c>
      <c r="AAB310">
        <v>11.28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1.1399999999999999</v>
      </c>
      <c r="AAK310">
        <v>50.12</v>
      </c>
      <c r="AAL310">
        <v>30.38</v>
      </c>
      <c r="AAM310">
        <v>0</v>
      </c>
      <c r="AAN310">
        <v>0</v>
      </c>
      <c r="AAO310">
        <v>1</v>
      </c>
      <c r="AAP310">
        <v>2</v>
      </c>
      <c r="AAR310">
        <v>4</v>
      </c>
      <c r="AAV310">
        <v>2</v>
      </c>
      <c r="AAX310">
        <v>4</v>
      </c>
      <c r="ABB310">
        <v>0</v>
      </c>
      <c r="ABC310">
        <v>0</v>
      </c>
      <c r="ABN310" s="18"/>
      <c r="ACF310">
        <v>0</v>
      </c>
      <c r="ADQ310" s="16">
        <v>9.5299999999999994</v>
      </c>
      <c r="ADR310" s="16">
        <v>1</v>
      </c>
      <c r="ADS310" s="16">
        <v>1</v>
      </c>
      <c r="ADT310" s="16"/>
      <c r="ADU310" s="16">
        <f>3.17+6.34+4.23+0.56+1.12</f>
        <v>15.420000000000002</v>
      </c>
      <c r="ADV310" s="16">
        <v>2</v>
      </c>
      <c r="ADW310" s="16"/>
      <c r="ADX310" s="16">
        <f>8.46+1.59+1.59+1.49+0.28+1.49</f>
        <v>14.9</v>
      </c>
      <c r="ADY310" s="16"/>
      <c r="ADZ310" s="16"/>
      <c r="AEA310" s="16"/>
      <c r="AEB310" s="16">
        <v>14.15</v>
      </c>
      <c r="AEC310" s="16">
        <v>35.369999999999997</v>
      </c>
      <c r="AED310" s="16"/>
      <c r="AEE310" s="16"/>
      <c r="AEF310" s="16">
        <v>0</v>
      </c>
      <c r="AEG310" s="16">
        <v>0</v>
      </c>
      <c r="AEH310" s="16">
        <v>0</v>
      </c>
      <c r="AEI310">
        <v>0</v>
      </c>
      <c r="AEK310" s="15"/>
      <c r="AEL310" s="15"/>
      <c r="AES310" s="15"/>
      <c r="AET310" s="15"/>
      <c r="AFA310" s="15"/>
      <c r="AFB310" s="15"/>
      <c r="AFI310" s="15"/>
      <c r="AFJ310" s="15"/>
      <c r="AFQ310" s="15"/>
      <c r="AFR310" s="15"/>
      <c r="AFY310" s="15"/>
      <c r="AFZ310" s="15"/>
      <c r="AGG310" s="15"/>
      <c r="AGH310" s="15"/>
      <c r="AGO310" s="15"/>
      <c r="AGP310" s="15"/>
      <c r="AGW310" s="15"/>
      <c r="AGX310" s="15"/>
      <c r="AHE310" s="15"/>
      <c r="AHF310" s="15"/>
      <c r="AHM310" s="15"/>
      <c r="AHN310" s="15"/>
      <c r="AHU310" s="15"/>
      <c r="AHV310" s="15"/>
      <c r="AIC310" s="15"/>
      <c r="AID310" s="15"/>
      <c r="AIK310" s="15"/>
      <c r="AIL310" s="15"/>
      <c r="AIS310" s="15"/>
      <c r="AIT310" s="15"/>
      <c r="AJA310" s="15"/>
      <c r="AJB310" s="15"/>
      <c r="AJI310" s="15"/>
      <c r="AJJ310" s="15"/>
      <c r="AJQ310" s="15"/>
      <c r="AJR310" s="15"/>
      <c r="AJY310" s="15"/>
      <c r="AJZ310" s="15"/>
      <c r="AKG310" s="15"/>
      <c r="AKH310" s="15"/>
      <c r="AKO310" s="15"/>
      <c r="AKP310" s="15"/>
      <c r="AKW310" s="15"/>
      <c r="AKX310" s="15"/>
      <c r="ALE310" s="15"/>
      <c r="ALF310" s="15"/>
      <c r="ALM310" s="15"/>
      <c r="ALN310" s="15"/>
      <c r="ALU310" s="15"/>
      <c r="ALV310" s="15"/>
      <c r="AMC310" s="15"/>
      <c r="AMD310" s="15"/>
    </row>
    <row r="311" spans="1:1024" x14ac:dyDescent="0.2">
      <c r="A311" s="1" t="s">
        <v>886</v>
      </c>
      <c r="B311" s="12">
        <v>42907</v>
      </c>
      <c r="C311">
        <v>2</v>
      </c>
      <c r="D311" s="13">
        <v>40301</v>
      </c>
      <c r="E311" s="12">
        <v>31712</v>
      </c>
      <c r="F311" s="14">
        <f t="shared" si="106"/>
        <v>30.650239561943874</v>
      </c>
      <c r="G311" s="14">
        <f t="shared" si="107"/>
        <v>7.1348391512662559</v>
      </c>
      <c r="H311" s="19" t="s">
        <v>181</v>
      </c>
      <c r="I311" s="15" t="s">
        <v>496</v>
      </c>
      <c r="J311" s="15" t="s">
        <v>181</v>
      </c>
      <c r="K311" s="15">
        <v>8</v>
      </c>
      <c r="L311" s="19">
        <v>103</v>
      </c>
      <c r="M311">
        <v>1.81</v>
      </c>
      <c r="N311" s="16">
        <f t="shared" si="108"/>
        <v>31.439821739263149</v>
      </c>
      <c r="O311" s="19">
        <v>0</v>
      </c>
      <c r="P311" s="19">
        <v>0</v>
      </c>
      <c r="Q311" s="19">
        <v>0</v>
      </c>
      <c r="R311" s="26">
        <v>0</v>
      </c>
      <c r="S311" s="26">
        <v>0</v>
      </c>
      <c r="T311" s="26">
        <v>0</v>
      </c>
      <c r="U311" s="19">
        <v>1</v>
      </c>
      <c r="V311" s="19">
        <v>5</v>
      </c>
      <c r="W311" s="19">
        <v>0</v>
      </c>
      <c r="X311" s="19">
        <v>0</v>
      </c>
      <c r="Y311" s="19">
        <v>0</v>
      </c>
      <c r="Z311" s="19">
        <v>0</v>
      </c>
      <c r="AA311" s="19">
        <v>0</v>
      </c>
      <c r="AB311" s="19">
        <v>0</v>
      </c>
      <c r="AC311" s="19">
        <v>1</v>
      </c>
      <c r="AD311" s="19">
        <v>15</v>
      </c>
      <c r="AE311" s="19">
        <v>0</v>
      </c>
      <c r="AF311" s="19">
        <v>0</v>
      </c>
      <c r="AG311" s="19">
        <v>0</v>
      </c>
      <c r="AH311" s="19">
        <v>0</v>
      </c>
      <c r="AI311" s="19">
        <v>1</v>
      </c>
      <c r="AJ311" s="19">
        <v>1</v>
      </c>
      <c r="AK311" s="19">
        <v>0</v>
      </c>
      <c r="AL311" s="19">
        <v>0</v>
      </c>
      <c r="AM311" s="19">
        <v>0</v>
      </c>
      <c r="AN311" s="19">
        <v>0</v>
      </c>
      <c r="AO311" s="19">
        <v>0</v>
      </c>
      <c r="AP311" s="19">
        <v>0</v>
      </c>
      <c r="AQ311" s="19">
        <v>0</v>
      </c>
      <c r="AR311" s="19">
        <v>0</v>
      </c>
      <c r="AS311" s="19">
        <v>1</v>
      </c>
      <c r="AT311" s="19">
        <v>1</v>
      </c>
      <c r="AU311" s="19">
        <v>0</v>
      </c>
      <c r="AV311" s="19">
        <v>0</v>
      </c>
      <c r="AW311" s="19">
        <v>0</v>
      </c>
      <c r="AX311" s="19">
        <v>0</v>
      </c>
      <c r="AY311" s="19">
        <v>0</v>
      </c>
      <c r="AZ311" s="19">
        <v>0</v>
      </c>
      <c r="BA311" s="19">
        <v>0</v>
      </c>
      <c r="BB311" s="19">
        <v>1</v>
      </c>
      <c r="BC311" s="19">
        <v>1</v>
      </c>
      <c r="BD311" s="19">
        <v>1</v>
      </c>
      <c r="BE311" s="19">
        <v>7</v>
      </c>
      <c r="BF311" s="19">
        <v>0</v>
      </c>
      <c r="BG311" s="19">
        <v>0</v>
      </c>
      <c r="BH311" s="19">
        <v>0</v>
      </c>
      <c r="BI311" s="19">
        <v>0</v>
      </c>
      <c r="BJ311" s="19">
        <v>0</v>
      </c>
      <c r="BK311" s="19">
        <v>0</v>
      </c>
      <c r="BL311" s="19">
        <v>0</v>
      </c>
      <c r="BM311" s="19">
        <v>0</v>
      </c>
      <c r="BN311" s="19">
        <v>0</v>
      </c>
      <c r="BO311" s="19">
        <v>0</v>
      </c>
      <c r="BP311" s="19">
        <v>0</v>
      </c>
      <c r="BQ311" s="19">
        <v>0</v>
      </c>
      <c r="BR311" s="19">
        <v>3</v>
      </c>
      <c r="BS311" s="19">
        <v>2</v>
      </c>
      <c r="BT311" s="19">
        <v>3</v>
      </c>
      <c r="BU311" s="19">
        <v>4</v>
      </c>
      <c r="BV311" s="19">
        <v>3</v>
      </c>
      <c r="BW311" s="19">
        <v>2</v>
      </c>
      <c r="BX311" s="19">
        <v>4</v>
      </c>
      <c r="BY311" s="19">
        <v>5</v>
      </c>
      <c r="BZ311" s="19">
        <v>3</v>
      </c>
      <c r="CA311" s="19">
        <v>3</v>
      </c>
      <c r="CB311" s="19">
        <v>3</v>
      </c>
      <c r="CC311" s="19">
        <v>4</v>
      </c>
      <c r="CD311" s="19">
        <v>3</v>
      </c>
      <c r="CE311" s="19">
        <v>3</v>
      </c>
      <c r="CF311" s="19">
        <v>3</v>
      </c>
      <c r="CG311" s="19">
        <v>5</v>
      </c>
      <c r="CH311" s="19">
        <v>4</v>
      </c>
      <c r="CI311" s="19">
        <v>3</v>
      </c>
      <c r="CJ311" s="19">
        <v>4</v>
      </c>
      <c r="CK311" s="19">
        <v>8</v>
      </c>
      <c r="CL311" t="s">
        <v>498</v>
      </c>
      <c r="CM311">
        <v>33</v>
      </c>
      <c r="CN311" s="16">
        <v>71.2</v>
      </c>
      <c r="CO311" s="16">
        <v>80.400000000000006</v>
      </c>
      <c r="CP311" s="16">
        <v>16.3</v>
      </c>
      <c r="CQ311">
        <v>83.24</v>
      </c>
      <c r="CR311" s="17">
        <v>0</v>
      </c>
      <c r="CS311">
        <v>0</v>
      </c>
      <c r="CT311">
        <v>0</v>
      </c>
      <c r="CU311">
        <v>14.14</v>
      </c>
      <c r="CV311">
        <v>0</v>
      </c>
      <c r="CW311">
        <v>2.63</v>
      </c>
      <c r="CX311">
        <v>0</v>
      </c>
      <c r="CY311">
        <v>0</v>
      </c>
      <c r="CZ311">
        <v>0</v>
      </c>
      <c r="DA311">
        <v>0</v>
      </c>
      <c r="DB311">
        <v>2.63</v>
      </c>
      <c r="DC311">
        <v>10.16</v>
      </c>
      <c r="DD311">
        <v>20.83</v>
      </c>
      <c r="DE311">
        <v>24.81</v>
      </c>
      <c r="DF311">
        <v>0</v>
      </c>
      <c r="DG311">
        <v>11.2</v>
      </c>
      <c r="DH311">
        <v>1</v>
      </c>
      <c r="DI311">
        <v>5</v>
      </c>
      <c r="DK311">
        <v>1</v>
      </c>
      <c r="DO311">
        <v>5</v>
      </c>
      <c r="DQ311">
        <v>1</v>
      </c>
      <c r="DU311">
        <v>0</v>
      </c>
      <c r="DV311">
        <v>0</v>
      </c>
      <c r="EG311" s="18"/>
      <c r="EY311">
        <v>0</v>
      </c>
      <c r="GJ311" s="16">
        <v>2.71</v>
      </c>
      <c r="GK311" s="16">
        <v>1</v>
      </c>
      <c r="GL311" s="16">
        <v>1</v>
      </c>
      <c r="GM311" s="16"/>
      <c r="GN311" s="16">
        <f>2.11*4+0.52*2</f>
        <v>9.48</v>
      </c>
      <c r="GO311" s="16"/>
      <c r="GP311" s="16"/>
      <c r="GQ311" s="16"/>
      <c r="GR311" s="16"/>
      <c r="GS311" s="16"/>
      <c r="GT311" s="16"/>
      <c r="GU311" s="16">
        <v>2.63</v>
      </c>
      <c r="GV311" s="16">
        <v>2.6</v>
      </c>
      <c r="GW311" s="16">
        <v>0</v>
      </c>
      <c r="GX311" s="16">
        <v>0</v>
      </c>
      <c r="GY311" s="16">
        <v>0</v>
      </c>
      <c r="GZ311" s="16">
        <v>0</v>
      </c>
      <c r="HA311" s="16">
        <v>0</v>
      </c>
      <c r="HB311">
        <v>0</v>
      </c>
      <c r="HC311" t="s">
        <v>501</v>
      </c>
      <c r="HD311">
        <v>58</v>
      </c>
      <c r="HE311" s="16">
        <v>79.900000000000006</v>
      </c>
      <c r="HF311" s="16">
        <v>80.400000000000006</v>
      </c>
      <c r="HG311" s="16">
        <v>43.6</v>
      </c>
      <c r="HH311">
        <v>26.15</v>
      </c>
      <c r="HI311" s="17">
        <v>0</v>
      </c>
      <c r="HJ311">
        <v>0</v>
      </c>
      <c r="HK311">
        <v>0</v>
      </c>
      <c r="HL311">
        <v>0</v>
      </c>
      <c r="HM311">
        <v>0</v>
      </c>
      <c r="HN311">
        <v>73.849999999999994</v>
      </c>
      <c r="HO311">
        <v>18.43</v>
      </c>
      <c r="HP311">
        <v>20.420000000000002</v>
      </c>
      <c r="HQ311">
        <v>0</v>
      </c>
      <c r="HR311">
        <v>0</v>
      </c>
      <c r="HS311">
        <v>2.44</v>
      </c>
      <c r="HT311">
        <v>0.13</v>
      </c>
      <c r="HU311">
        <v>9.7100000000000009</v>
      </c>
      <c r="HV311">
        <v>18.309999999999999</v>
      </c>
      <c r="HW311">
        <v>0</v>
      </c>
      <c r="HX311">
        <v>0</v>
      </c>
      <c r="HY311">
        <v>0</v>
      </c>
      <c r="IL311">
        <v>9.1</v>
      </c>
      <c r="IM311">
        <v>1</v>
      </c>
      <c r="IN311">
        <v>68</v>
      </c>
      <c r="IO311">
        <v>1</v>
      </c>
      <c r="IP311">
        <v>0.05</v>
      </c>
      <c r="IQ311">
        <v>1</v>
      </c>
      <c r="IR311">
        <v>35</v>
      </c>
      <c r="IS311">
        <v>3</v>
      </c>
      <c r="IT311">
        <f>0.76+0.64</f>
        <v>1.4</v>
      </c>
      <c r="IU311">
        <v>3</v>
      </c>
      <c r="IV311">
        <v>47</v>
      </c>
      <c r="IW311">
        <v>2</v>
      </c>
      <c r="IX311" s="18">
        <v>0.23</v>
      </c>
      <c r="IY311">
        <v>3</v>
      </c>
      <c r="JP311">
        <v>1</v>
      </c>
      <c r="JQ311">
        <v>60</v>
      </c>
      <c r="JR311">
        <v>2</v>
      </c>
      <c r="JS311">
        <v>0.26</v>
      </c>
      <c r="JT311">
        <v>3</v>
      </c>
      <c r="LA311" s="16">
        <v>0</v>
      </c>
      <c r="LB311" s="16">
        <v>0</v>
      </c>
      <c r="LC311" s="16"/>
      <c r="LD311" s="16"/>
      <c r="LE311" s="16"/>
      <c r="LF311" s="16"/>
      <c r="LG311" s="16"/>
      <c r="LH311" s="16"/>
      <c r="LI311" s="16"/>
      <c r="LJ311" s="16"/>
      <c r="LK311" s="16"/>
      <c r="LL311" s="16">
        <v>1.97</v>
      </c>
      <c r="LM311" s="16">
        <v>1.24</v>
      </c>
      <c r="LN311" s="16">
        <v>0</v>
      </c>
      <c r="LO311" s="16">
        <v>0</v>
      </c>
      <c r="LP311" s="16">
        <v>0</v>
      </c>
      <c r="LQ311" s="16">
        <v>0</v>
      </c>
      <c r="LR311" s="16">
        <v>3</v>
      </c>
      <c r="LS311">
        <v>0</v>
      </c>
      <c r="LT311" t="s">
        <v>502</v>
      </c>
      <c r="LU311">
        <v>34.5</v>
      </c>
      <c r="LV311" s="16">
        <v>53.2</v>
      </c>
      <c r="LW311" s="16">
        <v>80.400000000000006</v>
      </c>
      <c r="LX311" s="16">
        <v>8.3000000000000007</v>
      </c>
      <c r="LY311">
        <v>99.94</v>
      </c>
      <c r="LZ311" s="17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9.15</v>
      </c>
      <c r="ML311">
        <v>18.41</v>
      </c>
      <c r="MM311">
        <v>11.73</v>
      </c>
      <c r="MN311">
        <v>0</v>
      </c>
      <c r="MO311">
        <v>0</v>
      </c>
      <c r="MP311">
        <v>0</v>
      </c>
      <c r="NC311">
        <v>11.9</v>
      </c>
      <c r="ND311">
        <v>1</v>
      </c>
      <c r="NE311">
        <v>47</v>
      </c>
      <c r="NF311">
        <v>3</v>
      </c>
      <c r="NG311">
        <v>1.52</v>
      </c>
      <c r="NH311">
        <v>2</v>
      </c>
      <c r="NO311" s="18"/>
      <c r="OG311">
        <v>0</v>
      </c>
      <c r="PR311" s="16">
        <v>5.7</v>
      </c>
      <c r="PS311" s="16">
        <v>1</v>
      </c>
      <c r="PT311" s="16">
        <v>1</v>
      </c>
      <c r="PU311" s="16"/>
      <c r="PV311" s="16">
        <f>2.11+2.11+0.05+0.05+0.37</f>
        <v>4.6899999999999995</v>
      </c>
      <c r="PW311" s="16">
        <v>2</v>
      </c>
      <c r="PX311" s="16"/>
      <c r="PY311" s="16">
        <f>3.17+3.17+0.56+0.56+0.33</f>
        <v>7.7900000000000009</v>
      </c>
      <c r="PZ311" s="16"/>
      <c r="QA311" s="16"/>
      <c r="QB311" s="16"/>
      <c r="QC311" s="16">
        <v>0</v>
      </c>
      <c r="QD311" s="16">
        <v>0</v>
      </c>
      <c r="QE311" s="16"/>
      <c r="QF311" s="16"/>
      <c r="QG311" s="16">
        <v>5.97</v>
      </c>
      <c r="QH311" s="16">
        <v>0</v>
      </c>
      <c r="QI311" s="16">
        <v>0</v>
      </c>
      <c r="QJ311">
        <v>1</v>
      </c>
      <c r="QK311" t="s">
        <v>503</v>
      </c>
      <c r="QL311">
        <v>47</v>
      </c>
      <c r="QM311" s="16">
        <v>54.1</v>
      </c>
      <c r="QN311" s="16">
        <v>80.400000000000006</v>
      </c>
      <c r="QO311" s="16">
        <v>34.5</v>
      </c>
      <c r="QP311">
        <v>71.45</v>
      </c>
      <c r="QQ311" s="17">
        <v>0</v>
      </c>
      <c r="QR311">
        <v>21.93</v>
      </c>
      <c r="QS311">
        <v>6.49</v>
      </c>
      <c r="QT311">
        <v>0.12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1.01</v>
      </c>
      <c r="RB311">
        <v>0.45</v>
      </c>
      <c r="RC311">
        <v>18.399999999999999</v>
      </c>
      <c r="RD311">
        <v>11.28</v>
      </c>
      <c r="RE311">
        <v>0</v>
      </c>
      <c r="RF311">
        <v>0</v>
      </c>
      <c r="RG311">
        <v>0</v>
      </c>
      <c r="RT311">
        <v>6</v>
      </c>
      <c r="RU311">
        <v>1</v>
      </c>
      <c r="RV311">
        <v>35</v>
      </c>
      <c r="RW311">
        <v>8</v>
      </c>
      <c r="RX311">
        <f>0.25+0.25+0.25+0.13+0.13+0.13+0.13</f>
        <v>1.27</v>
      </c>
      <c r="RY311">
        <v>3</v>
      </c>
      <c r="SF311" s="18"/>
      <c r="SX311">
        <v>1</v>
      </c>
      <c r="SY311">
        <v>50</v>
      </c>
      <c r="SZ311">
        <v>2</v>
      </c>
      <c r="TA311">
        <f>0.76*2</f>
        <v>1.52</v>
      </c>
      <c r="TB311">
        <v>1</v>
      </c>
      <c r="UI311" s="16">
        <v>0.42</v>
      </c>
      <c r="UJ311" s="16">
        <v>1</v>
      </c>
      <c r="UK311" s="16">
        <v>1</v>
      </c>
      <c r="UL311" s="16"/>
      <c r="UM311" s="16">
        <f>0.68+0.68+0.03</f>
        <v>1.3900000000000001</v>
      </c>
      <c r="UN311" s="16"/>
      <c r="UO311" s="16"/>
      <c r="UP311" s="16"/>
      <c r="UQ311" s="16"/>
      <c r="UR311" s="16"/>
      <c r="US311" s="16"/>
      <c r="UT311" s="16">
        <v>5.21</v>
      </c>
      <c r="UU311" s="16">
        <v>7.05</v>
      </c>
      <c r="UV311" s="16"/>
      <c r="UW311" s="16"/>
      <c r="UX311" s="16">
        <v>0</v>
      </c>
      <c r="UY311" s="16">
        <v>0</v>
      </c>
      <c r="UZ311" s="16">
        <v>0</v>
      </c>
      <c r="VA311">
        <v>0</v>
      </c>
      <c r="VB311" t="s">
        <v>504</v>
      </c>
      <c r="VC311">
        <v>65.5</v>
      </c>
      <c r="VD311" s="16">
        <v>92.2</v>
      </c>
      <c r="VE311" s="16">
        <v>80.400000000000006</v>
      </c>
      <c r="VF311" s="16">
        <v>61.7</v>
      </c>
      <c r="VG311">
        <v>22.46</v>
      </c>
      <c r="VH311" s="17">
        <v>0</v>
      </c>
      <c r="VI311">
        <v>0</v>
      </c>
      <c r="VJ311">
        <v>0</v>
      </c>
      <c r="VK311">
        <v>0</v>
      </c>
      <c r="VL311">
        <v>0</v>
      </c>
      <c r="VM311">
        <v>70.92</v>
      </c>
      <c r="VN311">
        <v>9.4</v>
      </c>
      <c r="VO311">
        <v>33.69</v>
      </c>
      <c r="VP311">
        <v>0</v>
      </c>
      <c r="VQ311">
        <v>0</v>
      </c>
      <c r="VR311">
        <v>14.46</v>
      </c>
      <c r="VS311">
        <v>11.32</v>
      </c>
      <c r="VT311">
        <v>6.58</v>
      </c>
      <c r="VU311">
        <v>8.8800000000000008</v>
      </c>
      <c r="VV311">
        <v>6.62</v>
      </c>
      <c r="VW311">
        <v>0</v>
      </c>
      <c r="VX311">
        <v>0</v>
      </c>
      <c r="WK311">
        <v>3.2</v>
      </c>
      <c r="WL311">
        <v>0</v>
      </c>
      <c r="WW311" s="18"/>
      <c r="XO311">
        <v>1</v>
      </c>
      <c r="XP311">
        <v>60</v>
      </c>
      <c r="XQ311">
        <v>2</v>
      </c>
      <c r="XR311">
        <f>0.76*2</f>
        <v>1.52</v>
      </c>
      <c r="XS311">
        <v>3</v>
      </c>
      <c r="YZ311" s="16">
        <v>0.63</v>
      </c>
      <c r="ZA311" s="16">
        <v>1</v>
      </c>
      <c r="ZB311" s="16">
        <v>1</v>
      </c>
      <c r="ZC311" s="16"/>
      <c r="ZD311" s="16">
        <v>3.17</v>
      </c>
      <c r="ZE311" s="16"/>
      <c r="ZF311" s="16"/>
      <c r="ZG311" s="16"/>
      <c r="ZH311" s="16"/>
      <c r="ZI311" s="16"/>
      <c r="ZJ311" s="16"/>
      <c r="ZK311" s="16">
        <v>0</v>
      </c>
      <c r="ZL311" s="16">
        <v>0</v>
      </c>
      <c r="ZM311" s="16"/>
      <c r="ZN311" s="16"/>
      <c r="ZO311" s="16">
        <v>0</v>
      </c>
      <c r="ZP311" s="16">
        <v>0</v>
      </c>
      <c r="ZQ311" s="16">
        <v>0</v>
      </c>
      <c r="ZR311">
        <v>0</v>
      </c>
      <c r="ZS311" t="s">
        <v>505</v>
      </c>
      <c r="ZT311">
        <v>59</v>
      </c>
      <c r="ZU311" s="16">
        <v>90.4</v>
      </c>
      <c r="ZV311" s="16">
        <v>80.400000000000006</v>
      </c>
      <c r="ZW311" s="16">
        <v>54.7</v>
      </c>
      <c r="ZX311">
        <v>26.42</v>
      </c>
      <c r="ZY311" s="17">
        <v>0</v>
      </c>
      <c r="ZZ311">
        <v>0</v>
      </c>
      <c r="AAA311">
        <v>0</v>
      </c>
      <c r="AAB311">
        <v>0</v>
      </c>
      <c r="AAC311">
        <v>0</v>
      </c>
      <c r="AAD311">
        <v>66.959999999999994</v>
      </c>
      <c r="AAE311">
        <v>6.55</v>
      </c>
      <c r="AAF311">
        <v>30.83</v>
      </c>
      <c r="AAG311">
        <v>0</v>
      </c>
      <c r="AAH311">
        <v>0</v>
      </c>
      <c r="AAI311">
        <v>14.46</v>
      </c>
      <c r="AAJ311">
        <v>11.57</v>
      </c>
      <c r="AAK311">
        <v>6.5</v>
      </c>
      <c r="AAL311">
        <v>6.03</v>
      </c>
      <c r="AAM311">
        <v>6.62</v>
      </c>
      <c r="AAN311">
        <v>0</v>
      </c>
      <c r="AAO311">
        <v>0</v>
      </c>
      <c r="ABB311">
        <v>3.2</v>
      </c>
      <c r="ABC311">
        <v>0</v>
      </c>
      <c r="ABN311" s="18"/>
      <c r="ACF311">
        <v>1</v>
      </c>
      <c r="ACG311">
        <v>60</v>
      </c>
      <c r="ACH311">
        <v>2</v>
      </c>
      <c r="ACI311">
        <v>1.52</v>
      </c>
      <c r="ACJ311">
        <v>3</v>
      </c>
      <c r="ADQ311" s="16">
        <v>0.63</v>
      </c>
      <c r="ADR311" s="16">
        <v>1</v>
      </c>
      <c r="ADS311" s="16">
        <v>1</v>
      </c>
      <c r="ADT311" s="16"/>
      <c r="ADU311" s="16">
        <v>3.17</v>
      </c>
      <c r="ADV311" s="16"/>
      <c r="ADW311" s="16"/>
      <c r="ADX311" s="16"/>
      <c r="ADY311" s="16"/>
      <c r="ADZ311" s="16"/>
      <c r="AEA311" s="16"/>
      <c r="AEB311" s="16">
        <v>0</v>
      </c>
      <c r="AEC311" s="16">
        <v>0</v>
      </c>
      <c r="AED311" s="16"/>
      <c r="AEE311" s="16"/>
      <c r="AEF311" s="16">
        <v>0</v>
      </c>
      <c r="AEG311" s="16">
        <v>0</v>
      </c>
      <c r="AEH311" s="16">
        <v>0</v>
      </c>
      <c r="AEI311">
        <v>0</v>
      </c>
      <c r="AEJ311" t="s">
        <v>619</v>
      </c>
      <c r="AEK311">
        <v>42</v>
      </c>
      <c r="AEL311" s="16">
        <v>97.3</v>
      </c>
      <c r="AEM311" s="16">
        <v>80.400000000000006</v>
      </c>
      <c r="AEN311" s="16">
        <v>14.9</v>
      </c>
      <c r="AEO311">
        <v>88.72</v>
      </c>
      <c r="AEP311" s="17">
        <v>0</v>
      </c>
      <c r="AEQ311">
        <v>0</v>
      </c>
      <c r="AER311">
        <v>0</v>
      </c>
      <c r="AES311">
        <v>11.28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1.1399999999999999</v>
      </c>
      <c r="AFB311">
        <v>50.12</v>
      </c>
      <c r="AFC311">
        <v>30.38</v>
      </c>
      <c r="AFD311">
        <v>0</v>
      </c>
      <c r="AFE311">
        <v>0</v>
      </c>
      <c r="AFF311">
        <v>1</v>
      </c>
      <c r="AFG311">
        <v>2</v>
      </c>
      <c r="AFI311">
        <v>4</v>
      </c>
      <c r="AFM311">
        <v>2</v>
      </c>
      <c r="AFO311">
        <v>4</v>
      </c>
      <c r="AFS311">
        <v>0</v>
      </c>
      <c r="AFT311">
        <v>0</v>
      </c>
      <c r="AGE311" s="18"/>
      <c r="AGW311">
        <v>0</v>
      </c>
      <c r="AIH311" s="16">
        <v>9.5299999999999994</v>
      </c>
      <c r="AII311" s="16">
        <v>1</v>
      </c>
      <c r="AIJ311" s="16">
        <v>1</v>
      </c>
      <c r="AIK311" s="16"/>
      <c r="AIL311" s="16">
        <f>3.17+6.34+4.23+0.56+1.12</f>
        <v>15.420000000000002</v>
      </c>
      <c r="AIM311" s="16">
        <v>2</v>
      </c>
      <c r="AIN311" s="16"/>
      <c r="AIO311" s="16">
        <f>8.46+1.59+1.59+1.49+0.28+1.49</f>
        <v>14.9</v>
      </c>
      <c r="AIP311" s="16"/>
      <c r="AIQ311" s="16"/>
      <c r="AIR311" s="16"/>
      <c r="AIS311" s="16">
        <v>14.15</v>
      </c>
      <c r="AIT311" s="16">
        <v>35.369999999999997</v>
      </c>
      <c r="AIU311" s="16"/>
      <c r="AIV311" s="16"/>
      <c r="AIW311" s="16">
        <v>0</v>
      </c>
      <c r="AIX311" s="16">
        <v>0</v>
      </c>
      <c r="AIY311" s="16">
        <v>0</v>
      </c>
      <c r="AIZ311">
        <v>0</v>
      </c>
      <c r="AJA311" t="s">
        <v>887</v>
      </c>
      <c r="AJB311">
        <v>19</v>
      </c>
      <c r="AJC311" s="16">
        <v>85.1</v>
      </c>
      <c r="AJD311" s="16">
        <v>80.400000000000006</v>
      </c>
      <c r="AJE311" s="16">
        <v>10.3</v>
      </c>
      <c r="AJF311">
        <v>100</v>
      </c>
      <c r="AJG311" s="17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16.760000000000002</v>
      </c>
      <c r="AJT311">
        <v>22.28</v>
      </c>
      <c r="AJU311">
        <v>0</v>
      </c>
      <c r="AJV311">
        <v>0</v>
      </c>
      <c r="AJW311">
        <v>0</v>
      </c>
      <c r="AKJ311">
        <v>0</v>
      </c>
      <c r="AKK311">
        <v>0</v>
      </c>
      <c r="AKV311" s="18"/>
      <c r="ALN311">
        <v>0</v>
      </c>
    </row>
    <row r="312" spans="1:1024" x14ac:dyDescent="0.2">
      <c r="A312" s="1" t="s">
        <v>888</v>
      </c>
      <c r="B312" s="12">
        <v>42905</v>
      </c>
      <c r="C312">
        <v>2</v>
      </c>
      <c r="D312" s="13">
        <v>42797</v>
      </c>
      <c r="E312" s="12">
        <v>31717</v>
      </c>
      <c r="F312" s="14">
        <f t="shared" si="106"/>
        <v>30.631074606433948</v>
      </c>
      <c r="G312" s="14">
        <f t="shared" si="107"/>
        <v>0.29568788501026694</v>
      </c>
      <c r="H312" s="19" t="s">
        <v>181</v>
      </c>
      <c r="I312" s="15" t="s">
        <v>496</v>
      </c>
      <c r="J312" s="15" t="s">
        <v>181</v>
      </c>
      <c r="K312" s="15">
        <v>8</v>
      </c>
      <c r="L312" s="19">
        <v>72</v>
      </c>
      <c r="M312">
        <v>1.74</v>
      </c>
      <c r="N312" s="16">
        <f t="shared" si="108"/>
        <v>23.781212841854934</v>
      </c>
      <c r="O312" s="19">
        <v>0</v>
      </c>
      <c r="P312" s="19">
        <v>0</v>
      </c>
      <c r="Q312" s="19">
        <v>0</v>
      </c>
      <c r="R312" s="26">
        <v>0</v>
      </c>
      <c r="S312" s="26">
        <v>0</v>
      </c>
      <c r="T312" s="26">
        <v>0</v>
      </c>
      <c r="U312" s="19">
        <v>0</v>
      </c>
      <c r="V312" s="19">
        <v>0</v>
      </c>
      <c r="W312" s="19">
        <v>0</v>
      </c>
      <c r="X312" s="19">
        <v>0</v>
      </c>
      <c r="Y312" s="19">
        <v>1</v>
      </c>
      <c r="Z312" s="19">
        <v>2</v>
      </c>
      <c r="AA312" s="19">
        <v>120</v>
      </c>
      <c r="AB312" s="19" t="s">
        <v>811</v>
      </c>
      <c r="AC312" s="19">
        <v>0</v>
      </c>
      <c r="AD312" s="19">
        <v>0</v>
      </c>
      <c r="AE312" s="19">
        <v>0</v>
      </c>
      <c r="AF312" s="19">
        <v>0</v>
      </c>
      <c r="AG312" s="19">
        <v>0</v>
      </c>
      <c r="AH312" s="19">
        <v>0</v>
      </c>
      <c r="AI312" s="19">
        <v>0</v>
      </c>
      <c r="AJ312" s="19">
        <v>0</v>
      </c>
      <c r="AK312" s="19">
        <v>0</v>
      </c>
      <c r="AL312" s="19">
        <v>0</v>
      </c>
      <c r="AM312" s="19">
        <v>0</v>
      </c>
      <c r="AN312" s="19">
        <v>0</v>
      </c>
      <c r="AO312" s="19">
        <v>0</v>
      </c>
      <c r="AP312" s="19">
        <v>0</v>
      </c>
      <c r="AQ312" s="19">
        <v>0</v>
      </c>
      <c r="AR312" s="19">
        <v>0</v>
      </c>
      <c r="AS312" s="19">
        <v>1</v>
      </c>
      <c r="AT312" s="19">
        <v>1</v>
      </c>
      <c r="AU312" s="19"/>
      <c r="AV312" s="19"/>
      <c r="AW312" s="19"/>
      <c r="AX312" s="19">
        <v>0</v>
      </c>
      <c r="AY312" s="19">
        <v>0</v>
      </c>
      <c r="AZ312" s="19">
        <v>0</v>
      </c>
      <c r="BA312" s="19">
        <v>0</v>
      </c>
      <c r="BB312" s="19">
        <v>0</v>
      </c>
      <c r="BC312" s="19">
        <v>0</v>
      </c>
      <c r="BD312" s="19">
        <v>0</v>
      </c>
      <c r="BE312" s="19">
        <v>0</v>
      </c>
      <c r="BF312" s="19">
        <v>0</v>
      </c>
      <c r="BG312" s="19">
        <v>0</v>
      </c>
      <c r="BH312" s="19">
        <v>0</v>
      </c>
      <c r="BI312" s="19">
        <v>0</v>
      </c>
      <c r="BJ312" s="19">
        <v>0</v>
      </c>
      <c r="BK312" s="19">
        <v>0</v>
      </c>
      <c r="BL312" s="19">
        <v>0</v>
      </c>
      <c r="BM312" s="19">
        <v>0</v>
      </c>
      <c r="BN312" s="19">
        <v>0</v>
      </c>
      <c r="BO312" s="19">
        <v>0</v>
      </c>
      <c r="BP312" s="19">
        <v>0</v>
      </c>
      <c r="BQ312" s="19">
        <v>0</v>
      </c>
      <c r="BR312" s="19">
        <v>2</v>
      </c>
      <c r="BS312" s="19">
        <v>1</v>
      </c>
      <c r="BT312" s="19">
        <v>4</v>
      </c>
      <c r="BU312" s="19">
        <v>5</v>
      </c>
      <c r="BV312" s="19">
        <v>3</v>
      </c>
      <c r="BW312" s="19">
        <v>4</v>
      </c>
      <c r="BX312" s="19">
        <v>4</v>
      </c>
      <c r="BY312" s="19">
        <v>4</v>
      </c>
      <c r="BZ312" s="19">
        <v>4</v>
      </c>
      <c r="CA312" s="19">
        <v>4</v>
      </c>
      <c r="CB312" s="19">
        <v>4</v>
      </c>
      <c r="CC312" s="19">
        <v>5</v>
      </c>
      <c r="CD312" s="19">
        <v>4</v>
      </c>
      <c r="CE312" s="19">
        <v>4</v>
      </c>
      <c r="CF312" s="19">
        <v>5</v>
      </c>
      <c r="CG312" s="19">
        <v>5</v>
      </c>
      <c r="CH312" s="19">
        <v>5</v>
      </c>
      <c r="CI312" s="19">
        <v>5</v>
      </c>
      <c r="CJ312" s="19">
        <v>4</v>
      </c>
      <c r="CK312" s="19">
        <v>9</v>
      </c>
      <c r="CL312" t="s">
        <v>498</v>
      </c>
      <c r="CM312">
        <v>33</v>
      </c>
      <c r="CN312" s="16">
        <v>71.2</v>
      </c>
      <c r="CO312" s="16">
        <v>80.400000000000006</v>
      </c>
      <c r="CP312" s="16">
        <v>16.3</v>
      </c>
      <c r="CQ312">
        <v>83.24</v>
      </c>
      <c r="CR312" s="17">
        <v>0</v>
      </c>
      <c r="CS312">
        <v>0</v>
      </c>
      <c r="CT312">
        <v>0</v>
      </c>
      <c r="CU312">
        <v>14.14</v>
      </c>
      <c r="CV312">
        <v>0</v>
      </c>
      <c r="CW312">
        <v>2.63</v>
      </c>
      <c r="CX312">
        <v>0</v>
      </c>
      <c r="CY312">
        <v>0</v>
      </c>
      <c r="CZ312">
        <v>0</v>
      </c>
      <c r="DA312">
        <v>0</v>
      </c>
      <c r="DB312">
        <v>2.63</v>
      </c>
      <c r="DC312">
        <v>10.16</v>
      </c>
      <c r="DD312">
        <v>20.83</v>
      </c>
      <c r="DE312">
        <v>24.81</v>
      </c>
      <c r="DF312">
        <v>0</v>
      </c>
      <c r="DG312">
        <v>11.2</v>
      </c>
      <c r="DH312">
        <v>1</v>
      </c>
      <c r="DI312">
        <v>5</v>
      </c>
      <c r="DK312">
        <v>1</v>
      </c>
      <c r="DO312">
        <v>5</v>
      </c>
      <c r="DQ312">
        <v>1</v>
      </c>
      <c r="DU312">
        <v>0</v>
      </c>
      <c r="DV312">
        <v>0</v>
      </c>
      <c r="EG312" s="18"/>
      <c r="EY312">
        <v>0</v>
      </c>
      <c r="GJ312" s="16">
        <v>2.71</v>
      </c>
      <c r="GK312" s="16">
        <v>1</v>
      </c>
      <c r="GL312" s="16">
        <v>1</v>
      </c>
      <c r="GM312" s="16"/>
      <c r="GN312" s="16">
        <f>2.11*4+0.52*2</f>
        <v>9.48</v>
      </c>
      <c r="GO312" s="16"/>
      <c r="GP312" s="16"/>
      <c r="GQ312" s="16"/>
      <c r="GR312" s="16"/>
      <c r="GS312" s="16"/>
      <c r="GT312" s="16"/>
      <c r="GU312" s="16">
        <v>2.63</v>
      </c>
      <c r="GV312" s="16">
        <v>2.6</v>
      </c>
      <c r="GW312" s="16">
        <v>0</v>
      </c>
      <c r="GX312" s="16">
        <v>0</v>
      </c>
      <c r="GY312" s="16">
        <v>0</v>
      </c>
      <c r="GZ312" s="16">
        <v>0</v>
      </c>
      <c r="HA312" s="16">
        <v>0</v>
      </c>
      <c r="HB312">
        <v>0</v>
      </c>
      <c r="HC312" t="s">
        <v>501</v>
      </c>
      <c r="HD312">
        <v>58</v>
      </c>
      <c r="HE312" s="16">
        <v>79.900000000000006</v>
      </c>
      <c r="HF312" s="16">
        <v>80.400000000000006</v>
      </c>
      <c r="HG312" s="16">
        <v>43.6</v>
      </c>
      <c r="HH312">
        <v>26.15</v>
      </c>
      <c r="HI312" s="17">
        <v>0</v>
      </c>
      <c r="HJ312">
        <v>0</v>
      </c>
      <c r="HK312">
        <v>0</v>
      </c>
      <c r="HL312">
        <v>0</v>
      </c>
      <c r="HM312">
        <v>0</v>
      </c>
      <c r="HN312">
        <v>73.849999999999994</v>
      </c>
      <c r="HO312">
        <v>18.43</v>
      </c>
      <c r="HP312">
        <v>20.420000000000002</v>
      </c>
      <c r="HQ312">
        <v>0</v>
      </c>
      <c r="HR312">
        <v>0</v>
      </c>
      <c r="HS312">
        <v>2.44</v>
      </c>
      <c r="HT312">
        <v>0.13</v>
      </c>
      <c r="HU312">
        <v>9.7100000000000009</v>
      </c>
      <c r="HV312">
        <v>18.309999999999999</v>
      </c>
      <c r="HW312">
        <v>0</v>
      </c>
      <c r="HX312">
        <v>0</v>
      </c>
      <c r="HY312">
        <v>0</v>
      </c>
      <c r="IL312">
        <v>9.1</v>
      </c>
      <c r="IM312">
        <v>1</v>
      </c>
      <c r="IN312">
        <v>68</v>
      </c>
      <c r="IO312">
        <v>1</v>
      </c>
      <c r="IP312">
        <v>0.05</v>
      </c>
      <c r="IQ312">
        <v>1</v>
      </c>
      <c r="IR312">
        <v>35</v>
      </c>
      <c r="IS312">
        <v>3</v>
      </c>
      <c r="IT312">
        <f>0.76+0.64</f>
        <v>1.4</v>
      </c>
      <c r="IU312">
        <v>3</v>
      </c>
      <c r="IV312">
        <v>47</v>
      </c>
      <c r="IW312">
        <v>2</v>
      </c>
      <c r="IX312" s="18">
        <v>0.23</v>
      </c>
      <c r="IY312">
        <v>3</v>
      </c>
      <c r="JP312">
        <v>1</v>
      </c>
      <c r="JQ312">
        <v>60</v>
      </c>
      <c r="JR312">
        <v>2</v>
      </c>
      <c r="JS312">
        <v>0.26</v>
      </c>
      <c r="JT312">
        <v>3</v>
      </c>
      <c r="LA312" s="16">
        <v>0</v>
      </c>
      <c r="LB312" s="16">
        <v>0</v>
      </c>
      <c r="LC312" s="16"/>
      <c r="LD312" s="16"/>
      <c r="LE312" s="16"/>
      <c r="LF312" s="16"/>
      <c r="LG312" s="16"/>
      <c r="LH312" s="16"/>
      <c r="LI312" s="16"/>
      <c r="LJ312" s="16"/>
      <c r="LK312" s="16"/>
      <c r="LL312" s="16">
        <v>1.97</v>
      </c>
      <c r="LM312" s="16">
        <v>1.24</v>
      </c>
      <c r="LN312" s="16">
        <v>0</v>
      </c>
      <c r="LO312" s="16">
        <v>0</v>
      </c>
      <c r="LP312" s="16">
        <v>0</v>
      </c>
      <c r="LQ312" s="16">
        <v>0</v>
      </c>
      <c r="LR312" s="16">
        <v>3</v>
      </c>
      <c r="LS312">
        <v>0</v>
      </c>
      <c r="LT312" t="s">
        <v>503</v>
      </c>
      <c r="LU312">
        <v>47</v>
      </c>
      <c r="LV312" s="16">
        <v>54.1</v>
      </c>
      <c r="LW312" s="16">
        <v>80.400000000000006</v>
      </c>
      <c r="LX312" s="16">
        <v>34.5</v>
      </c>
      <c r="LY312">
        <v>71.45</v>
      </c>
      <c r="LZ312" s="17">
        <v>0</v>
      </c>
      <c r="MA312">
        <v>21.93</v>
      </c>
      <c r="MB312">
        <v>6.49</v>
      </c>
      <c r="MC312">
        <v>0.12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1.01</v>
      </c>
      <c r="MK312">
        <v>0.45</v>
      </c>
      <c r="ML312">
        <v>18.399999999999999</v>
      </c>
      <c r="MM312">
        <v>11.28</v>
      </c>
      <c r="MN312">
        <v>0</v>
      </c>
      <c r="MO312">
        <v>0</v>
      </c>
      <c r="MP312">
        <v>0</v>
      </c>
      <c r="NC312">
        <v>6</v>
      </c>
      <c r="ND312">
        <v>1</v>
      </c>
      <c r="NE312">
        <v>35</v>
      </c>
      <c r="NF312">
        <v>8</v>
      </c>
      <c r="NG312">
        <f>0.25+0.25+0.25+0.13+0.13+0.13+0.13</f>
        <v>1.27</v>
      </c>
      <c r="NH312">
        <v>3</v>
      </c>
      <c r="NO312" s="18"/>
      <c r="OG312">
        <v>1</v>
      </c>
      <c r="OH312">
        <v>50</v>
      </c>
      <c r="OI312">
        <v>2</v>
      </c>
      <c r="OJ312">
        <f>0.76*2</f>
        <v>1.52</v>
      </c>
      <c r="OK312">
        <v>1</v>
      </c>
      <c r="PR312" s="16">
        <v>0.42</v>
      </c>
      <c r="PS312" s="16">
        <v>1</v>
      </c>
      <c r="PT312" s="16">
        <v>1</v>
      </c>
      <c r="PU312" s="16"/>
      <c r="PV312" s="16">
        <f>0.68+0.68+0.03</f>
        <v>1.3900000000000001</v>
      </c>
      <c r="PW312" s="16"/>
      <c r="PX312" s="16"/>
      <c r="PY312" s="16"/>
      <c r="PZ312" s="16"/>
      <c r="QA312" s="16"/>
      <c r="QB312" s="16"/>
      <c r="QC312" s="16">
        <v>5.21</v>
      </c>
      <c r="QD312" s="16">
        <v>7.05</v>
      </c>
      <c r="QE312" s="16"/>
      <c r="QF312" s="16"/>
      <c r="QG312" s="16">
        <v>0</v>
      </c>
      <c r="QH312" s="16">
        <v>0</v>
      </c>
      <c r="QI312" s="16">
        <v>0</v>
      </c>
      <c r="QJ312">
        <v>0</v>
      </c>
      <c r="QK312" t="s">
        <v>505</v>
      </c>
      <c r="QL312">
        <v>59</v>
      </c>
      <c r="QM312" s="16">
        <v>90.4</v>
      </c>
      <c r="QN312" s="16">
        <v>80.400000000000006</v>
      </c>
      <c r="QO312" s="16">
        <v>54.7</v>
      </c>
      <c r="QP312">
        <v>26.42</v>
      </c>
      <c r="QQ312" s="17">
        <v>0</v>
      </c>
      <c r="QR312">
        <v>0</v>
      </c>
      <c r="QS312">
        <v>0</v>
      </c>
      <c r="QT312">
        <v>0</v>
      </c>
      <c r="QU312">
        <v>0</v>
      </c>
      <c r="QV312">
        <v>66.959999999999994</v>
      </c>
      <c r="QW312">
        <v>6.55</v>
      </c>
      <c r="QX312">
        <v>30.83</v>
      </c>
      <c r="QY312">
        <v>0</v>
      </c>
      <c r="QZ312">
        <v>0</v>
      </c>
      <c r="RA312">
        <v>14.46</v>
      </c>
      <c r="RB312">
        <v>11.57</v>
      </c>
      <c r="RC312">
        <v>6.5</v>
      </c>
      <c r="RD312">
        <v>6.03</v>
      </c>
      <c r="RE312">
        <v>6.62</v>
      </c>
      <c r="RF312">
        <v>0</v>
      </c>
      <c r="RG312">
        <v>0</v>
      </c>
      <c r="RT312">
        <v>3.2</v>
      </c>
      <c r="RU312">
        <v>0</v>
      </c>
      <c r="SF312" s="18"/>
      <c r="SX312">
        <v>1</v>
      </c>
      <c r="SY312">
        <v>60</v>
      </c>
      <c r="SZ312">
        <v>2</v>
      </c>
      <c r="TA312">
        <v>1.52</v>
      </c>
      <c r="TB312">
        <v>3</v>
      </c>
      <c r="UI312" s="16">
        <v>0.63</v>
      </c>
      <c r="UJ312" s="16">
        <v>1</v>
      </c>
      <c r="UK312" s="16">
        <v>1</v>
      </c>
      <c r="UL312" s="16"/>
      <c r="UM312" s="16">
        <v>3.17</v>
      </c>
      <c r="UN312" s="16"/>
      <c r="UO312" s="16"/>
      <c r="UP312" s="16"/>
      <c r="UQ312" s="16"/>
      <c r="UR312" s="16"/>
      <c r="US312" s="16"/>
      <c r="UT312" s="16">
        <v>0</v>
      </c>
      <c r="UU312" s="16">
        <v>0</v>
      </c>
      <c r="UV312" s="16"/>
      <c r="UW312" s="16"/>
      <c r="UX312" s="16">
        <v>0</v>
      </c>
      <c r="UY312" s="16">
        <v>0</v>
      </c>
      <c r="UZ312" s="16">
        <v>0</v>
      </c>
      <c r="VA312">
        <v>0</v>
      </c>
      <c r="VB312" t="s">
        <v>710</v>
      </c>
      <c r="VC312">
        <v>69.5</v>
      </c>
      <c r="VD312" s="16">
        <v>70.900000000000006</v>
      </c>
      <c r="VE312" s="16">
        <v>80.400000000000006</v>
      </c>
      <c r="VF312" s="16">
        <v>23.6</v>
      </c>
      <c r="VG312">
        <v>19.149999999999999</v>
      </c>
      <c r="VH312" s="17">
        <v>0</v>
      </c>
      <c r="VI312">
        <v>0</v>
      </c>
      <c r="VJ312">
        <v>0</v>
      </c>
      <c r="VK312">
        <v>0</v>
      </c>
      <c r="VL312">
        <v>0</v>
      </c>
      <c r="VM312">
        <v>71.09</v>
      </c>
      <c r="VN312">
        <v>0</v>
      </c>
      <c r="VO312">
        <v>0</v>
      </c>
      <c r="VP312">
        <v>2.25</v>
      </c>
      <c r="VQ312">
        <v>0</v>
      </c>
      <c r="VR312">
        <v>14.15</v>
      </c>
      <c r="VS312">
        <v>0.83</v>
      </c>
      <c r="VT312">
        <v>20.78</v>
      </c>
      <c r="VU312">
        <v>13.14</v>
      </c>
      <c r="VV312">
        <v>9.76</v>
      </c>
      <c r="VW312">
        <v>0</v>
      </c>
      <c r="VX312">
        <v>0</v>
      </c>
      <c r="WK312">
        <v>24.4</v>
      </c>
      <c r="WL312">
        <v>1</v>
      </c>
      <c r="WM312">
        <v>70</v>
      </c>
      <c r="WN312">
        <v>1</v>
      </c>
      <c r="WO312">
        <v>1.5</v>
      </c>
      <c r="WP312">
        <v>3</v>
      </c>
      <c r="WQ312">
        <v>68</v>
      </c>
      <c r="WR312">
        <v>2.25</v>
      </c>
      <c r="WS312">
        <v>1</v>
      </c>
      <c r="WT312">
        <v>1</v>
      </c>
      <c r="WU312">
        <v>47</v>
      </c>
      <c r="WV312">
        <v>1</v>
      </c>
      <c r="WW312" s="18">
        <v>1.5</v>
      </c>
      <c r="WX312">
        <v>3</v>
      </c>
      <c r="XO312">
        <v>0</v>
      </c>
      <c r="YZ312" s="16">
        <v>1.42</v>
      </c>
      <c r="ZA312" s="16">
        <v>1</v>
      </c>
      <c r="ZB312" s="16">
        <v>1</v>
      </c>
      <c r="ZC312" s="16"/>
      <c r="ZD312" s="16">
        <f>1.56*2+0.1+0.06+0.08</f>
        <v>3.3600000000000003</v>
      </c>
      <c r="ZE312" s="16"/>
      <c r="ZF312" s="16"/>
      <c r="ZG312" s="16"/>
      <c r="ZH312" s="16"/>
      <c r="ZI312" s="16"/>
      <c r="ZJ312" s="16"/>
      <c r="ZK312" s="16">
        <v>7.54</v>
      </c>
      <c r="ZL312" s="16">
        <v>22.5</v>
      </c>
      <c r="ZM312" s="16"/>
      <c r="ZN312" s="16"/>
      <c r="ZO312" s="16">
        <v>6.72</v>
      </c>
      <c r="ZP312" s="16">
        <v>0</v>
      </c>
      <c r="ZQ312" s="16">
        <v>5.54</v>
      </c>
      <c r="ZR312">
        <v>2</v>
      </c>
      <c r="ZU312" s="15"/>
      <c r="ZV312" s="15"/>
      <c r="AAC312" s="15"/>
      <c r="AAD312" s="15"/>
      <c r="AAK312" s="15"/>
      <c r="AAL312" s="15"/>
      <c r="AAS312" s="15"/>
      <c r="AAT312" s="15"/>
      <c r="ABA312" s="15"/>
      <c r="ABB312" s="15"/>
      <c r="ABI312" s="15"/>
      <c r="ABJ312" s="15"/>
      <c r="ABQ312" s="15"/>
      <c r="ABR312" s="15"/>
      <c r="ABY312" s="15"/>
      <c r="ABZ312" s="15"/>
      <c r="ACG312" s="15"/>
      <c r="ACH312" s="15"/>
      <c r="ACO312" s="15"/>
      <c r="ACP312" s="15"/>
      <c r="ACW312" s="15"/>
      <c r="ACX312" s="15"/>
      <c r="ADE312" s="15"/>
      <c r="ADF312" s="15"/>
      <c r="ADM312" s="15"/>
      <c r="ADN312" s="15"/>
      <c r="ADU312" s="15"/>
      <c r="ADV312" s="15"/>
      <c r="AEC312" s="15"/>
      <c r="AED312" s="15"/>
      <c r="AEK312" s="15"/>
      <c r="AEL312" s="15"/>
      <c r="AES312" s="15"/>
      <c r="AET312" s="15"/>
      <c r="AFA312" s="15"/>
      <c r="AFB312" s="15"/>
      <c r="AFI312" s="15"/>
      <c r="AFJ312" s="15"/>
      <c r="AFQ312" s="15"/>
      <c r="AFR312" s="15"/>
      <c r="AFY312" s="15"/>
      <c r="AFZ312" s="15"/>
      <c r="AGG312" s="15"/>
      <c r="AGH312" s="15"/>
      <c r="AGO312" s="15"/>
      <c r="AGP312" s="15"/>
      <c r="AGW312" s="15"/>
      <c r="AGX312" s="15"/>
      <c r="AHE312" s="15"/>
      <c r="AHF312" s="15"/>
      <c r="AHM312" s="15"/>
      <c r="AHN312" s="15"/>
      <c r="AHU312" s="15"/>
      <c r="AHV312" s="15"/>
      <c r="AIC312" s="15"/>
      <c r="AID312" s="15"/>
      <c r="AIK312" s="15"/>
      <c r="AIL312" s="15"/>
      <c r="AIS312" s="15"/>
      <c r="AIT312" s="15"/>
      <c r="AJA312" s="15"/>
      <c r="AJB312" s="15"/>
      <c r="AJI312" s="15"/>
      <c r="AJJ312" s="15"/>
      <c r="AJQ312" s="15"/>
      <c r="AJR312" s="15"/>
      <c r="AJY312" s="15"/>
      <c r="AJZ312" s="15"/>
      <c r="AKG312" s="15"/>
      <c r="AKH312" s="15"/>
      <c r="AKO312" s="15"/>
      <c r="AKP312" s="15"/>
      <c r="AKW312" s="15"/>
      <c r="AKX312" s="15"/>
      <c r="ALE312" s="15"/>
      <c r="ALF312" s="15"/>
      <c r="ALM312" s="15"/>
      <c r="ALN312" s="15"/>
      <c r="ALU312" s="15"/>
      <c r="ALV312" s="15"/>
      <c r="AMC312" s="15"/>
      <c r="AMD312" s="15"/>
    </row>
    <row r="313" spans="1:1024" x14ac:dyDescent="0.2">
      <c r="A313" s="1" t="s">
        <v>889</v>
      </c>
      <c r="B313" s="12">
        <v>42905</v>
      </c>
      <c r="C313">
        <v>2</v>
      </c>
      <c r="D313" s="13">
        <v>42814</v>
      </c>
      <c r="E313" s="12">
        <v>31533</v>
      </c>
      <c r="F313" s="14">
        <f t="shared" si="106"/>
        <v>31.134839151266256</v>
      </c>
      <c r="G313" s="14">
        <f t="shared" si="107"/>
        <v>0.24914442162902123</v>
      </c>
      <c r="H313" s="19" t="s">
        <v>181</v>
      </c>
      <c r="I313" s="15" t="s">
        <v>496</v>
      </c>
      <c r="J313" s="15" t="s">
        <v>181</v>
      </c>
      <c r="K313" s="15">
        <v>8</v>
      </c>
      <c r="L313" s="19">
        <v>70</v>
      </c>
      <c r="M313">
        <v>1.7</v>
      </c>
      <c r="N313" s="16">
        <f t="shared" si="108"/>
        <v>24.221453287197235</v>
      </c>
      <c r="O313" s="19">
        <v>0</v>
      </c>
      <c r="P313" s="19">
        <v>0</v>
      </c>
      <c r="Q313" s="19">
        <v>0</v>
      </c>
      <c r="R313" s="26">
        <v>0</v>
      </c>
      <c r="S313" s="26">
        <v>0</v>
      </c>
      <c r="T313" s="26">
        <v>0</v>
      </c>
      <c r="U313" s="19">
        <v>0</v>
      </c>
      <c r="V313" s="19">
        <v>0</v>
      </c>
      <c r="W313" s="19">
        <v>0</v>
      </c>
      <c r="X313" s="19">
        <v>0</v>
      </c>
      <c r="Y313" s="19">
        <v>1</v>
      </c>
      <c r="Z313" s="19">
        <v>1</v>
      </c>
      <c r="AA313" s="19">
        <v>30</v>
      </c>
      <c r="AB313" s="19" t="s">
        <v>284</v>
      </c>
      <c r="AC313" s="19">
        <v>0</v>
      </c>
      <c r="AD313" s="19">
        <v>0</v>
      </c>
      <c r="AE313" s="19">
        <v>0</v>
      </c>
      <c r="AF313" s="19">
        <v>0</v>
      </c>
      <c r="AG313" s="19">
        <v>0</v>
      </c>
      <c r="AH313" s="19">
        <v>0</v>
      </c>
      <c r="AI313" s="19">
        <v>0</v>
      </c>
      <c r="AJ313" s="19">
        <v>0</v>
      </c>
      <c r="AK313" s="19">
        <v>0</v>
      </c>
      <c r="AL313" s="19">
        <v>0</v>
      </c>
      <c r="AM313" s="19">
        <v>0</v>
      </c>
      <c r="AN313" s="19">
        <v>0</v>
      </c>
      <c r="AO313" s="19">
        <v>0</v>
      </c>
      <c r="AP313" s="19">
        <v>0</v>
      </c>
      <c r="AQ313" s="19">
        <v>0</v>
      </c>
      <c r="AR313" s="19">
        <v>0</v>
      </c>
      <c r="AS313" s="19">
        <v>0</v>
      </c>
      <c r="AT313" s="19">
        <v>0</v>
      </c>
      <c r="AU313" s="19">
        <v>0</v>
      </c>
      <c r="AV313" s="19">
        <v>0</v>
      </c>
      <c r="AW313" s="19">
        <v>0</v>
      </c>
      <c r="AX313" s="19">
        <v>0</v>
      </c>
      <c r="AY313" s="19">
        <v>0</v>
      </c>
      <c r="AZ313" s="19">
        <v>0</v>
      </c>
      <c r="BA313" s="19">
        <v>0</v>
      </c>
      <c r="BB313" s="19">
        <v>0</v>
      </c>
      <c r="BC313" s="19">
        <v>0</v>
      </c>
      <c r="BD313" s="19">
        <v>0</v>
      </c>
      <c r="BE313" s="19">
        <v>0</v>
      </c>
      <c r="BF313" s="19">
        <v>0</v>
      </c>
      <c r="BG313" s="19">
        <v>0</v>
      </c>
      <c r="BH313" s="19">
        <v>0</v>
      </c>
      <c r="BI313" s="19">
        <v>0</v>
      </c>
      <c r="BJ313" s="19">
        <v>0</v>
      </c>
      <c r="BK313" s="19">
        <v>0</v>
      </c>
      <c r="BL313" s="19">
        <v>0</v>
      </c>
      <c r="BM313" s="19">
        <v>0</v>
      </c>
      <c r="BN313" s="19">
        <v>0</v>
      </c>
      <c r="BO313" s="19">
        <v>0</v>
      </c>
      <c r="BP313" s="19">
        <v>0</v>
      </c>
      <c r="BQ313" s="19">
        <v>0</v>
      </c>
      <c r="BR313" s="19">
        <v>2</v>
      </c>
      <c r="BS313" s="19">
        <v>3</v>
      </c>
      <c r="BT313" s="19">
        <v>3</v>
      </c>
      <c r="BU313" s="19">
        <v>3</v>
      </c>
      <c r="BV313" s="19">
        <v>2</v>
      </c>
      <c r="BW313" s="19">
        <v>2</v>
      </c>
      <c r="BX313" s="19">
        <v>2</v>
      </c>
      <c r="BY313" s="19">
        <v>3</v>
      </c>
      <c r="BZ313" s="19">
        <v>3</v>
      </c>
      <c r="CA313" s="19">
        <v>3</v>
      </c>
      <c r="CB313" s="19">
        <v>3</v>
      </c>
      <c r="CC313" s="19">
        <v>4</v>
      </c>
      <c r="CD313" s="19">
        <v>4</v>
      </c>
      <c r="CE313" s="19">
        <v>4</v>
      </c>
      <c r="CF313" s="19">
        <v>5</v>
      </c>
      <c r="CG313" s="19">
        <v>5</v>
      </c>
      <c r="CH313" s="19">
        <v>4</v>
      </c>
      <c r="CI313" s="19">
        <v>4</v>
      </c>
      <c r="CJ313" s="19">
        <v>4</v>
      </c>
      <c r="CK313" s="19">
        <v>10</v>
      </c>
      <c r="CL313" t="s">
        <v>498</v>
      </c>
      <c r="CM313">
        <v>33</v>
      </c>
      <c r="CN313" s="16">
        <v>71.2</v>
      </c>
      <c r="CO313" s="16">
        <v>80.400000000000006</v>
      </c>
      <c r="CP313" s="16">
        <v>16.3</v>
      </c>
      <c r="CQ313">
        <v>83.24</v>
      </c>
      <c r="CR313" s="17">
        <v>0</v>
      </c>
      <c r="CS313">
        <v>0</v>
      </c>
      <c r="CT313">
        <v>0</v>
      </c>
      <c r="CU313">
        <v>14.14</v>
      </c>
      <c r="CV313">
        <v>0</v>
      </c>
      <c r="CW313">
        <v>2.63</v>
      </c>
      <c r="CX313">
        <v>0</v>
      </c>
      <c r="CY313">
        <v>0</v>
      </c>
      <c r="CZ313">
        <v>0</v>
      </c>
      <c r="DA313">
        <v>0</v>
      </c>
      <c r="DB313">
        <v>2.63</v>
      </c>
      <c r="DC313">
        <v>10.16</v>
      </c>
      <c r="DD313">
        <v>20.83</v>
      </c>
      <c r="DE313">
        <v>24.81</v>
      </c>
      <c r="DF313">
        <v>0</v>
      </c>
      <c r="DG313">
        <v>11.2</v>
      </c>
      <c r="DH313">
        <v>1</v>
      </c>
      <c r="DI313">
        <v>5</v>
      </c>
      <c r="DK313">
        <v>1</v>
      </c>
      <c r="DO313">
        <v>5</v>
      </c>
      <c r="DQ313">
        <v>1</v>
      </c>
      <c r="DU313">
        <v>0</v>
      </c>
      <c r="DV313">
        <v>0</v>
      </c>
      <c r="EG313" s="18"/>
      <c r="EY313">
        <v>0</v>
      </c>
      <c r="GJ313" s="16">
        <v>2.71</v>
      </c>
      <c r="GK313" s="16">
        <v>1</v>
      </c>
      <c r="GL313" s="16">
        <v>1</v>
      </c>
      <c r="GM313" s="16"/>
      <c r="GN313" s="16">
        <f>2.11*4+0.52*2</f>
        <v>9.48</v>
      </c>
      <c r="GO313" s="16"/>
      <c r="GP313" s="16"/>
      <c r="GQ313" s="16"/>
      <c r="GR313" s="16"/>
      <c r="GS313" s="16"/>
      <c r="GT313" s="16"/>
      <c r="GU313" s="16">
        <v>2.63</v>
      </c>
      <c r="GV313" s="16">
        <v>2.6</v>
      </c>
      <c r="GW313" s="16">
        <v>0</v>
      </c>
      <c r="GX313" s="16">
        <v>0</v>
      </c>
      <c r="GY313" s="16">
        <v>0</v>
      </c>
      <c r="GZ313" s="16">
        <v>0</v>
      </c>
      <c r="HA313" s="16">
        <v>0</v>
      </c>
      <c r="HB313">
        <v>0</v>
      </c>
      <c r="HC313" t="s">
        <v>501</v>
      </c>
      <c r="HD313">
        <v>58</v>
      </c>
      <c r="HE313" s="16">
        <v>79.900000000000006</v>
      </c>
      <c r="HF313" s="16">
        <v>80.400000000000006</v>
      </c>
      <c r="HG313" s="16">
        <v>43.6</v>
      </c>
      <c r="HH313">
        <v>26.15</v>
      </c>
      <c r="HI313" s="17">
        <v>0</v>
      </c>
      <c r="HJ313">
        <v>0</v>
      </c>
      <c r="HK313">
        <v>0</v>
      </c>
      <c r="HL313">
        <v>0</v>
      </c>
      <c r="HM313">
        <v>0</v>
      </c>
      <c r="HN313">
        <v>73.849999999999994</v>
      </c>
      <c r="HO313">
        <v>18.43</v>
      </c>
      <c r="HP313">
        <v>20.420000000000002</v>
      </c>
      <c r="HQ313">
        <v>0</v>
      </c>
      <c r="HR313">
        <v>0</v>
      </c>
      <c r="HS313">
        <v>2.44</v>
      </c>
      <c r="HT313">
        <v>0.13</v>
      </c>
      <c r="HU313">
        <v>9.7100000000000009</v>
      </c>
      <c r="HV313">
        <v>18.309999999999999</v>
      </c>
      <c r="HW313">
        <v>0</v>
      </c>
      <c r="HX313">
        <v>0</v>
      </c>
      <c r="HY313">
        <v>0</v>
      </c>
      <c r="IL313">
        <v>9.1</v>
      </c>
      <c r="IM313">
        <v>1</v>
      </c>
      <c r="IN313">
        <v>68</v>
      </c>
      <c r="IO313">
        <v>1</v>
      </c>
      <c r="IP313">
        <v>0.05</v>
      </c>
      <c r="IQ313">
        <v>1</v>
      </c>
      <c r="IR313">
        <v>35</v>
      </c>
      <c r="IS313">
        <v>3</v>
      </c>
      <c r="IT313">
        <f>0.76+0.64</f>
        <v>1.4</v>
      </c>
      <c r="IU313">
        <v>3</v>
      </c>
      <c r="IV313">
        <v>47</v>
      </c>
      <c r="IW313">
        <v>2</v>
      </c>
      <c r="IX313" s="18">
        <v>0.23</v>
      </c>
      <c r="IY313">
        <v>3</v>
      </c>
      <c r="JP313">
        <v>1</v>
      </c>
      <c r="JQ313">
        <v>60</v>
      </c>
      <c r="JR313">
        <v>2</v>
      </c>
      <c r="JS313">
        <v>0.26</v>
      </c>
      <c r="JT313">
        <v>3</v>
      </c>
      <c r="LA313" s="16">
        <v>0</v>
      </c>
      <c r="LB313" s="16">
        <v>0</v>
      </c>
      <c r="LC313" s="16"/>
      <c r="LD313" s="16"/>
      <c r="LE313" s="16"/>
      <c r="LF313" s="16"/>
      <c r="LG313" s="16"/>
      <c r="LH313" s="16"/>
      <c r="LI313" s="16"/>
      <c r="LJ313" s="16"/>
      <c r="LK313" s="16"/>
      <c r="LL313" s="16">
        <v>1.97</v>
      </c>
      <c r="LM313" s="16">
        <v>1.24</v>
      </c>
      <c r="LN313" s="16">
        <v>0</v>
      </c>
      <c r="LO313" s="16">
        <v>0</v>
      </c>
      <c r="LP313" s="16">
        <v>0</v>
      </c>
      <c r="LQ313" s="16">
        <v>0</v>
      </c>
      <c r="LR313" s="16">
        <v>3</v>
      </c>
      <c r="LS313">
        <v>0</v>
      </c>
      <c r="LT313" t="s">
        <v>503</v>
      </c>
      <c r="LU313">
        <v>47</v>
      </c>
      <c r="LV313" s="16">
        <v>54.1</v>
      </c>
      <c r="LW313" s="16">
        <v>80.400000000000006</v>
      </c>
      <c r="LX313" s="16">
        <v>34.5</v>
      </c>
      <c r="LY313">
        <v>71.45</v>
      </c>
      <c r="LZ313" s="17">
        <v>0</v>
      </c>
      <c r="MA313">
        <v>21.93</v>
      </c>
      <c r="MB313">
        <v>6.49</v>
      </c>
      <c r="MC313">
        <v>0.12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1.01</v>
      </c>
      <c r="MK313">
        <v>0.45</v>
      </c>
      <c r="ML313">
        <v>18.399999999999999</v>
      </c>
      <c r="MM313">
        <v>11.28</v>
      </c>
      <c r="MN313">
        <v>0</v>
      </c>
      <c r="MO313">
        <v>0</v>
      </c>
      <c r="MP313">
        <v>0</v>
      </c>
      <c r="NC313">
        <v>6</v>
      </c>
      <c r="ND313">
        <v>1</v>
      </c>
      <c r="NE313">
        <v>35</v>
      </c>
      <c r="NF313">
        <v>8</v>
      </c>
      <c r="NG313">
        <f>0.25+0.25+0.25+0.13+0.13+0.13+0.13</f>
        <v>1.27</v>
      </c>
      <c r="NH313">
        <v>3</v>
      </c>
      <c r="NO313" s="18"/>
      <c r="OG313">
        <v>1</v>
      </c>
      <c r="OH313">
        <v>50</v>
      </c>
      <c r="OI313">
        <v>2</v>
      </c>
      <c r="OJ313">
        <f>0.76*2</f>
        <v>1.52</v>
      </c>
      <c r="OK313">
        <v>1</v>
      </c>
      <c r="PR313" s="16">
        <v>0.42</v>
      </c>
      <c r="PS313" s="16">
        <v>1</v>
      </c>
      <c r="PT313" s="16">
        <v>1</v>
      </c>
      <c r="PU313" s="16"/>
      <c r="PV313" s="16">
        <f>0.68+0.68+0.03</f>
        <v>1.3900000000000001</v>
      </c>
      <c r="PW313" s="16"/>
      <c r="PX313" s="16"/>
      <c r="PY313" s="16"/>
      <c r="PZ313" s="16"/>
      <c r="QA313" s="16"/>
      <c r="QB313" s="16"/>
      <c r="QC313" s="16">
        <v>5.21</v>
      </c>
      <c r="QD313" s="16">
        <v>7.05</v>
      </c>
      <c r="QE313" s="16"/>
      <c r="QF313" s="16"/>
      <c r="QG313" s="16">
        <v>0</v>
      </c>
      <c r="QH313" s="16">
        <v>0</v>
      </c>
      <c r="QI313" s="16">
        <v>0</v>
      </c>
      <c r="QJ313">
        <v>0</v>
      </c>
      <c r="QK313" t="s">
        <v>505</v>
      </c>
      <c r="QL313">
        <v>59</v>
      </c>
      <c r="QM313" s="16">
        <v>90.4</v>
      </c>
      <c r="QN313" s="16">
        <v>80.400000000000006</v>
      </c>
      <c r="QO313" s="16">
        <v>54.7</v>
      </c>
      <c r="QP313">
        <v>26.42</v>
      </c>
      <c r="QQ313" s="17">
        <v>0</v>
      </c>
      <c r="QR313">
        <v>0</v>
      </c>
      <c r="QS313">
        <v>0</v>
      </c>
      <c r="QT313">
        <v>0</v>
      </c>
      <c r="QU313">
        <v>0</v>
      </c>
      <c r="QV313">
        <v>66.959999999999994</v>
      </c>
      <c r="QW313">
        <v>6.55</v>
      </c>
      <c r="QX313">
        <v>30.83</v>
      </c>
      <c r="QY313">
        <v>0</v>
      </c>
      <c r="QZ313">
        <v>0</v>
      </c>
      <c r="RA313">
        <v>14.46</v>
      </c>
      <c r="RB313">
        <v>11.57</v>
      </c>
      <c r="RC313">
        <v>6.5</v>
      </c>
      <c r="RD313">
        <v>6.03</v>
      </c>
      <c r="RE313">
        <v>6.62</v>
      </c>
      <c r="RF313">
        <v>0</v>
      </c>
      <c r="RG313">
        <v>0</v>
      </c>
      <c r="RT313">
        <v>3.2</v>
      </c>
      <c r="RU313">
        <v>0</v>
      </c>
      <c r="SF313" s="18"/>
      <c r="SX313">
        <v>1</v>
      </c>
      <c r="SY313">
        <v>60</v>
      </c>
      <c r="SZ313">
        <v>2</v>
      </c>
      <c r="TA313">
        <v>1.52</v>
      </c>
      <c r="TB313">
        <v>3</v>
      </c>
      <c r="UI313" s="16">
        <v>0.63</v>
      </c>
      <c r="UJ313" s="16">
        <v>1</v>
      </c>
      <c r="UK313" s="16">
        <v>1</v>
      </c>
      <c r="UL313" s="16"/>
      <c r="UM313" s="16">
        <v>3.17</v>
      </c>
      <c r="UN313" s="16"/>
      <c r="UO313" s="16"/>
      <c r="UP313" s="16"/>
      <c r="UQ313" s="16"/>
      <c r="UR313" s="16"/>
      <c r="US313" s="16"/>
      <c r="UT313" s="16">
        <v>0</v>
      </c>
      <c r="UU313" s="16">
        <v>0</v>
      </c>
      <c r="UV313" s="16"/>
      <c r="UW313" s="16"/>
      <c r="UX313" s="16">
        <v>0</v>
      </c>
      <c r="UY313" s="16">
        <v>0</v>
      </c>
      <c r="UZ313" s="16">
        <v>0</v>
      </c>
      <c r="VA313">
        <v>0</v>
      </c>
      <c r="VE313" s="15"/>
      <c r="VF313" s="15"/>
      <c r="VM313" s="15"/>
      <c r="VN313" s="15"/>
      <c r="VU313" s="15"/>
      <c r="VV313" s="15"/>
      <c r="WC313" s="15"/>
      <c r="WD313" s="15"/>
      <c r="WK313" s="15"/>
      <c r="WL313" s="15"/>
      <c r="WS313" s="15"/>
      <c r="WT313" s="15"/>
      <c r="XA313" s="15"/>
      <c r="XB313" s="15"/>
      <c r="XI313" s="15"/>
      <c r="XJ313" s="15"/>
      <c r="XQ313" s="15"/>
      <c r="XR313" s="15"/>
      <c r="XY313" s="15"/>
      <c r="XZ313" s="15"/>
      <c r="YG313" s="15"/>
      <c r="YH313" s="15"/>
      <c r="YO313" s="15"/>
      <c r="YP313" s="15"/>
      <c r="YW313" s="15"/>
      <c r="YX313" s="15"/>
      <c r="ZE313" s="15"/>
      <c r="ZF313" s="15"/>
      <c r="ZM313" s="15"/>
      <c r="ZN313" s="15"/>
      <c r="ZU313" s="15"/>
      <c r="ZV313" s="15"/>
      <c r="AAC313" s="15"/>
      <c r="AAD313" s="15"/>
      <c r="AAK313" s="15"/>
      <c r="AAL313" s="15"/>
      <c r="AAS313" s="15"/>
      <c r="AAT313" s="15"/>
      <c r="ABA313" s="15"/>
      <c r="ABB313" s="15"/>
      <c r="ABI313" s="15"/>
      <c r="ABJ313" s="15"/>
      <c r="ABQ313" s="15"/>
      <c r="ABR313" s="15"/>
      <c r="ABY313" s="15"/>
      <c r="ABZ313" s="15"/>
      <c r="ACG313" s="15"/>
      <c r="ACH313" s="15"/>
      <c r="ACO313" s="15"/>
      <c r="ACP313" s="15"/>
      <c r="ACW313" s="15"/>
      <c r="ACX313" s="15"/>
      <c r="ADE313" s="15"/>
      <c r="ADF313" s="15"/>
      <c r="ADM313" s="15"/>
      <c r="ADN313" s="15"/>
      <c r="ADU313" s="15"/>
      <c r="ADV313" s="15"/>
      <c r="AEC313" s="15"/>
      <c r="AED313" s="15"/>
      <c r="AEK313" s="15"/>
      <c r="AEL313" s="15"/>
      <c r="AES313" s="15"/>
      <c r="AET313" s="15"/>
      <c r="AFA313" s="15"/>
      <c r="AFB313" s="15"/>
      <c r="AFI313" s="15"/>
      <c r="AFJ313" s="15"/>
      <c r="AFQ313" s="15"/>
      <c r="AFR313" s="15"/>
      <c r="AFY313" s="15"/>
      <c r="AFZ313" s="15"/>
      <c r="AGG313" s="15"/>
      <c r="AGH313" s="15"/>
      <c r="AGO313" s="15"/>
      <c r="AGP313" s="15"/>
      <c r="AGW313" s="15"/>
      <c r="AGX313" s="15"/>
      <c r="AHE313" s="15"/>
      <c r="AHF313" s="15"/>
      <c r="AHM313" s="15"/>
      <c r="AHN313" s="15"/>
      <c r="AHU313" s="15"/>
      <c r="AHV313" s="15"/>
      <c r="AIC313" s="15"/>
      <c r="AID313" s="15"/>
      <c r="AIK313" s="15"/>
      <c r="AIL313" s="15"/>
      <c r="AIS313" s="15"/>
      <c r="AIT313" s="15"/>
      <c r="AJA313" s="15"/>
      <c r="AJB313" s="15"/>
      <c r="AJI313" s="15"/>
      <c r="AJJ313" s="15"/>
      <c r="AJQ313" s="15"/>
      <c r="AJR313" s="15"/>
      <c r="AJY313" s="15"/>
      <c r="AJZ313" s="15"/>
      <c r="AKG313" s="15"/>
      <c r="AKH313" s="15"/>
      <c r="AKO313" s="15"/>
      <c r="AKP313" s="15"/>
      <c r="AKW313" s="15"/>
      <c r="AKX313" s="15"/>
      <c r="ALE313" s="15"/>
      <c r="ALF313" s="15"/>
      <c r="ALM313" s="15"/>
      <c r="ALN313" s="15"/>
      <c r="ALU313" s="15"/>
      <c r="ALV313" s="15"/>
      <c r="AMC313" s="15"/>
      <c r="AMD313" s="15"/>
    </row>
    <row r="314" spans="1:1024" x14ac:dyDescent="0.2">
      <c r="A314" s="1" t="s">
        <v>890</v>
      </c>
      <c r="B314" s="12">
        <v>42905</v>
      </c>
      <c r="C314">
        <v>1</v>
      </c>
      <c r="D314" s="13">
        <v>42776</v>
      </c>
      <c r="E314" s="12">
        <v>28928</v>
      </c>
      <c r="F314" s="14">
        <f t="shared" si="106"/>
        <v>38.266940451745377</v>
      </c>
      <c r="G314" s="14">
        <f t="shared" si="107"/>
        <v>0.35318275154004108</v>
      </c>
      <c r="H314" s="19" t="s">
        <v>181</v>
      </c>
      <c r="I314" s="15" t="s">
        <v>496</v>
      </c>
      <c r="J314" s="15" t="s">
        <v>181</v>
      </c>
      <c r="K314" s="15">
        <v>8</v>
      </c>
      <c r="L314" s="19">
        <v>55</v>
      </c>
      <c r="M314">
        <v>1.62</v>
      </c>
      <c r="N314" s="16">
        <f t="shared" si="108"/>
        <v>20.957171162932475</v>
      </c>
      <c r="O314" s="19">
        <v>0</v>
      </c>
      <c r="P314" s="19">
        <v>0</v>
      </c>
      <c r="Q314" s="19">
        <v>0</v>
      </c>
      <c r="R314" s="26">
        <v>0</v>
      </c>
      <c r="S314" s="26">
        <v>0</v>
      </c>
      <c r="T314" s="26">
        <v>0</v>
      </c>
      <c r="U314" s="19">
        <v>0</v>
      </c>
      <c r="V314" s="19">
        <v>0</v>
      </c>
      <c r="W314" s="19">
        <v>0</v>
      </c>
      <c r="X314" s="19">
        <v>0</v>
      </c>
      <c r="Y314" s="19">
        <v>1</v>
      </c>
      <c r="Z314" s="19">
        <v>2</v>
      </c>
      <c r="AA314" s="19">
        <v>40</v>
      </c>
      <c r="AB314" s="19" t="s">
        <v>891</v>
      </c>
      <c r="AC314" s="19">
        <v>0</v>
      </c>
      <c r="AD314" s="19">
        <v>0</v>
      </c>
      <c r="AE314" s="19">
        <v>0</v>
      </c>
      <c r="AF314" s="19">
        <v>0</v>
      </c>
      <c r="AG314" s="19">
        <v>0</v>
      </c>
      <c r="AH314" s="19">
        <v>0</v>
      </c>
      <c r="AI314" s="19">
        <v>0</v>
      </c>
      <c r="AJ314" s="19">
        <v>0</v>
      </c>
      <c r="AK314" s="19">
        <v>0</v>
      </c>
      <c r="AL314" s="19">
        <v>0</v>
      </c>
      <c r="AM314" s="19">
        <v>0</v>
      </c>
      <c r="AN314" s="19">
        <v>0</v>
      </c>
      <c r="AO314" s="19">
        <v>0</v>
      </c>
      <c r="AP314" s="19">
        <v>0</v>
      </c>
      <c r="AQ314" s="19">
        <v>0</v>
      </c>
      <c r="AR314" s="19">
        <v>0</v>
      </c>
      <c r="AS314" s="19">
        <v>0</v>
      </c>
      <c r="AT314" s="19">
        <v>0</v>
      </c>
      <c r="AU314" s="19">
        <v>0</v>
      </c>
      <c r="AV314" s="19">
        <v>0</v>
      </c>
      <c r="AW314" s="19">
        <v>0</v>
      </c>
      <c r="AX314" s="19">
        <v>0</v>
      </c>
      <c r="AY314" s="19">
        <v>0</v>
      </c>
      <c r="AZ314" s="19">
        <v>0</v>
      </c>
      <c r="BA314" s="19">
        <v>0</v>
      </c>
      <c r="BB314" s="19">
        <v>0</v>
      </c>
      <c r="BC314" s="19">
        <v>0</v>
      </c>
      <c r="BD314" s="19">
        <v>0</v>
      </c>
      <c r="BE314" s="19">
        <v>0</v>
      </c>
      <c r="BF314" s="19">
        <v>0</v>
      </c>
      <c r="BG314" s="19">
        <v>0</v>
      </c>
      <c r="BH314" s="19">
        <v>0</v>
      </c>
      <c r="BI314" s="19">
        <v>0</v>
      </c>
      <c r="BJ314" s="19">
        <v>0</v>
      </c>
      <c r="BK314" s="19">
        <v>0</v>
      </c>
      <c r="BL314" s="19">
        <v>0</v>
      </c>
      <c r="BM314" s="19">
        <v>0</v>
      </c>
      <c r="BN314" s="19">
        <v>0</v>
      </c>
      <c r="BO314" s="19">
        <v>0</v>
      </c>
      <c r="BP314" s="19">
        <v>0</v>
      </c>
      <c r="BQ314" s="19">
        <v>0</v>
      </c>
      <c r="BR314" s="19">
        <v>1</v>
      </c>
      <c r="BS314" s="19">
        <v>2</v>
      </c>
      <c r="BT314" s="19">
        <v>3</v>
      </c>
      <c r="BU314" s="19">
        <v>3</v>
      </c>
      <c r="BV314" s="19">
        <v>3</v>
      </c>
      <c r="BW314" s="19">
        <v>3</v>
      </c>
      <c r="BX314" s="19">
        <v>3</v>
      </c>
      <c r="BY314" s="19">
        <v>5</v>
      </c>
      <c r="BZ314" s="19">
        <v>5</v>
      </c>
      <c r="CA314" s="19">
        <v>5</v>
      </c>
      <c r="CB314" s="19">
        <v>5</v>
      </c>
      <c r="CC314" s="19">
        <v>5</v>
      </c>
      <c r="CD314" s="19">
        <v>5</v>
      </c>
      <c r="CE314" s="19">
        <v>5</v>
      </c>
      <c r="CF314" s="19">
        <v>3</v>
      </c>
      <c r="CG314" s="19">
        <v>5</v>
      </c>
      <c r="CH314" s="19">
        <v>5</v>
      </c>
      <c r="CI314" s="19">
        <v>5</v>
      </c>
      <c r="CJ314" s="19">
        <v>5</v>
      </c>
      <c r="CK314" s="19">
        <v>9</v>
      </c>
      <c r="CL314" t="s">
        <v>498</v>
      </c>
      <c r="CM314">
        <v>33</v>
      </c>
      <c r="CN314" s="16">
        <v>71.2</v>
      </c>
      <c r="CO314" s="16">
        <v>80.400000000000006</v>
      </c>
      <c r="CP314" s="16">
        <v>16.3</v>
      </c>
      <c r="CQ314">
        <v>83.24</v>
      </c>
      <c r="CR314" s="17">
        <v>0</v>
      </c>
      <c r="CS314">
        <v>0</v>
      </c>
      <c r="CT314">
        <v>0</v>
      </c>
      <c r="CU314">
        <v>14.14</v>
      </c>
      <c r="CV314">
        <v>0</v>
      </c>
      <c r="CW314">
        <v>2.63</v>
      </c>
      <c r="CX314">
        <v>0</v>
      </c>
      <c r="CY314">
        <v>0</v>
      </c>
      <c r="CZ314">
        <v>0</v>
      </c>
      <c r="DA314">
        <v>0</v>
      </c>
      <c r="DB314">
        <v>2.63</v>
      </c>
      <c r="DC314">
        <v>10.16</v>
      </c>
      <c r="DD314">
        <v>20.83</v>
      </c>
      <c r="DE314">
        <v>24.81</v>
      </c>
      <c r="DF314">
        <v>0</v>
      </c>
      <c r="DG314">
        <v>11.2</v>
      </c>
      <c r="DH314">
        <v>1</v>
      </c>
      <c r="DI314">
        <v>5</v>
      </c>
      <c r="DK314">
        <v>1</v>
      </c>
      <c r="DO314">
        <v>5</v>
      </c>
      <c r="DQ314">
        <v>1</v>
      </c>
      <c r="DU314">
        <v>0</v>
      </c>
      <c r="DV314">
        <v>0</v>
      </c>
      <c r="EG314" s="18"/>
      <c r="EY314">
        <v>0</v>
      </c>
      <c r="GJ314" s="16">
        <v>2.71</v>
      </c>
      <c r="GK314" s="16">
        <v>1</v>
      </c>
      <c r="GL314" s="16">
        <v>1</v>
      </c>
      <c r="GM314" s="16"/>
      <c r="GN314" s="16">
        <f>2.11*4+0.52*2</f>
        <v>9.48</v>
      </c>
      <c r="GO314" s="16"/>
      <c r="GP314" s="16"/>
      <c r="GQ314" s="16"/>
      <c r="GR314" s="16"/>
      <c r="GS314" s="16"/>
      <c r="GT314" s="16"/>
      <c r="GU314" s="16">
        <v>2.63</v>
      </c>
      <c r="GV314" s="16">
        <v>2.6</v>
      </c>
      <c r="GW314" s="16">
        <v>0</v>
      </c>
      <c r="GX314" s="16">
        <v>0</v>
      </c>
      <c r="GY314" s="16">
        <v>0</v>
      </c>
      <c r="GZ314" s="16">
        <v>0</v>
      </c>
      <c r="HA314" s="16">
        <v>0</v>
      </c>
      <c r="HB314">
        <v>0</v>
      </c>
      <c r="HC314" t="s">
        <v>501</v>
      </c>
      <c r="HD314">
        <v>58</v>
      </c>
      <c r="HE314" s="16">
        <v>79.900000000000006</v>
      </c>
      <c r="HF314" s="16">
        <v>80.400000000000006</v>
      </c>
      <c r="HG314" s="16">
        <v>43.6</v>
      </c>
      <c r="HH314">
        <v>26.15</v>
      </c>
      <c r="HI314" s="17">
        <v>0</v>
      </c>
      <c r="HJ314">
        <v>0</v>
      </c>
      <c r="HK314">
        <v>0</v>
      </c>
      <c r="HL314">
        <v>0</v>
      </c>
      <c r="HM314">
        <v>0</v>
      </c>
      <c r="HN314">
        <v>73.849999999999994</v>
      </c>
      <c r="HO314">
        <v>18.43</v>
      </c>
      <c r="HP314">
        <v>20.420000000000002</v>
      </c>
      <c r="HQ314">
        <v>0</v>
      </c>
      <c r="HR314">
        <v>0</v>
      </c>
      <c r="HS314">
        <v>2.44</v>
      </c>
      <c r="HT314">
        <v>0.13</v>
      </c>
      <c r="HU314">
        <v>9.7100000000000009</v>
      </c>
      <c r="HV314">
        <v>18.309999999999999</v>
      </c>
      <c r="HW314">
        <v>0</v>
      </c>
      <c r="HX314">
        <v>0</v>
      </c>
      <c r="HY314">
        <v>0</v>
      </c>
      <c r="IL314">
        <v>9.1</v>
      </c>
      <c r="IM314">
        <v>1</v>
      </c>
      <c r="IN314">
        <v>68</v>
      </c>
      <c r="IO314">
        <v>1</v>
      </c>
      <c r="IP314">
        <v>0.05</v>
      </c>
      <c r="IQ314">
        <v>1</v>
      </c>
      <c r="IR314">
        <v>35</v>
      </c>
      <c r="IS314">
        <v>3</v>
      </c>
      <c r="IT314">
        <f>0.76+0.64</f>
        <v>1.4</v>
      </c>
      <c r="IU314">
        <v>3</v>
      </c>
      <c r="IV314">
        <v>47</v>
      </c>
      <c r="IW314">
        <v>2</v>
      </c>
      <c r="IX314" s="18">
        <v>0.23</v>
      </c>
      <c r="IY314">
        <v>3</v>
      </c>
      <c r="JP314">
        <v>1</v>
      </c>
      <c r="JQ314">
        <v>60</v>
      </c>
      <c r="JR314">
        <v>2</v>
      </c>
      <c r="JS314">
        <v>0.26</v>
      </c>
      <c r="JT314">
        <v>3</v>
      </c>
      <c r="LA314" s="16">
        <v>0</v>
      </c>
      <c r="LB314" s="16">
        <v>0</v>
      </c>
      <c r="LC314" s="16"/>
      <c r="LD314" s="16"/>
      <c r="LE314" s="16"/>
      <c r="LF314" s="16"/>
      <c r="LG314" s="16"/>
      <c r="LH314" s="16"/>
      <c r="LI314" s="16"/>
      <c r="LJ314" s="16"/>
      <c r="LK314" s="16"/>
      <c r="LL314" s="16">
        <v>1.97</v>
      </c>
      <c r="LM314" s="16">
        <v>1.24</v>
      </c>
      <c r="LN314" s="16">
        <v>0</v>
      </c>
      <c r="LO314" s="16">
        <v>0</v>
      </c>
      <c r="LP314" s="16">
        <v>0</v>
      </c>
      <c r="LQ314" s="16">
        <v>0</v>
      </c>
      <c r="LR314" s="16">
        <v>3</v>
      </c>
      <c r="LS314">
        <v>0</v>
      </c>
      <c r="LT314" t="s">
        <v>503</v>
      </c>
      <c r="LU314">
        <v>47</v>
      </c>
      <c r="LV314" s="16">
        <v>54.1</v>
      </c>
      <c r="LW314" s="16">
        <v>80.400000000000006</v>
      </c>
      <c r="LX314" s="16">
        <v>34.5</v>
      </c>
      <c r="LY314">
        <v>71.45</v>
      </c>
      <c r="LZ314" s="17">
        <v>0</v>
      </c>
      <c r="MA314">
        <v>21.93</v>
      </c>
      <c r="MB314">
        <v>6.49</v>
      </c>
      <c r="MC314">
        <v>0.12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1.01</v>
      </c>
      <c r="MK314">
        <v>0.45</v>
      </c>
      <c r="ML314">
        <v>18.399999999999999</v>
      </c>
      <c r="MM314">
        <v>11.28</v>
      </c>
      <c r="MN314">
        <v>0</v>
      </c>
      <c r="MO314">
        <v>0</v>
      </c>
      <c r="MP314">
        <v>0</v>
      </c>
      <c r="NC314">
        <v>6</v>
      </c>
      <c r="ND314">
        <v>1</v>
      </c>
      <c r="NE314">
        <v>35</v>
      </c>
      <c r="NF314">
        <v>8</v>
      </c>
      <c r="NG314">
        <f>0.25+0.25+0.25+0.13+0.13+0.13+0.13</f>
        <v>1.27</v>
      </c>
      <c r="NH314">
        <v>3</v>
      </c>
      <c r="NO314" s="18"/>
      <c r="OG314">
        <v>1</v>
      </c>
      <c r="OH314">
        <v>50</v>
      </c>
      <c r="OI314">
        <v>2</v>
      </c>
      <c r="OJ314">
        <f>0.76*2</f>
        <v>1.52</v>
      </c>
      <c r="OK314">
        <v>1</v>
      </c>
      <c r="PR314" s="16">
        <v>0.42</v>
      </c>
      <c r="PS314" s="16">
        <v>1</v>
      </c>
      <c r="PT314" s="16">
        <v>1</v>
      </c>
      <c r="PU314" s="16"/>
      <c r="PV314" s="16">
        <f>0.68+0.68+0.03</f>
        <v>1.3900000000000001</v>
      </c>
      <c r="PW314" s="16"/>
      <c r="PX314" s="16"/>
      <c r="PY314" s="16"/>
      <c r="PZ314" s="16"/>
      <c r="QA314" s="16"/>
      <c r="QB314" s="16"/>
      <c r="QC314" s="16">
        <v>5.21</v>
      </c>
      <c r="QD314" s="16">
        <v>7.05</v>
      </c>
      <c r="QE314" s="16"/>
      <c r="QF314" s="16"/>
      <c r="QG314" s="16">
        <v>0</v>
      </c>
      <c r="QH314" s="16">
        <v>0</v>
      </c>
      <c r="QI314" s="16">
        <v>0</v>
      </c>
      <c r="QJ314">
        <v>0</v>
      </c>
      <c r="QK314" t="s">
        <v>505</v>
      </c>
      <c r="QL314">
        <v>59</v>
      </c>
      <c r="QM314" s="16">
        <v>90.4</v>
      </c>
      <c r="QN314" s="16">
        <v>80.400000000000006</v>
      </c>
      <c r="QO314" s="16">
        <v>54.7</v>
      </c>
      <c r="QP314">
        <v>26.42</v>
      </c>
      <c r="QQ314" s="17">
        <v>0</v>
      </c>
      <c r="QR314">
        <v>0</v>
      </c>
      <c r="QS314">
        <v>0</v>
      </c>
      <c r="QT314">
        <v>0</v>
      </c>
      <c r="QU314">
        <v>0</v>
      </c>
      <c r="QV314">
        <v>66.959999999999994</v>
      </c>
      <c r="QW314">
        <v>6.55</v>
      </c>
      <c r="QX314">
        <v>30.83</v>
      </c>
      <c r="QY314">
        <v>0</v>
      </c>
      <c r="QZ314">
        <v>0</v>
      </c>
      <c r="RA314">
        <v>14.46</v>
      </c>
      <c r="RB314">
        <v>11.57</v>
      </c>
      <c r="RC314">
        <v>6.5</v>
      </c>
      <c r="RD314">
        <v>6.03</v>
      </c>
      <c r="RE314">
        <v>6.62</v>
      </c>
      <c r="RF314">
        <v>0</v>
      </c>
      <c r="RG314">
        <v>0</v>
      </c>
      <c r="RT314">
        <v>3.2</v>
      </c>
      <c r="RU314">
        <v>0</v>
      </c>
      <c r="SF314" s="18"/>
      <c r="SX314">
        <v>1</v>
      </c>
      <c r="SY314">
        <v>60</v>
      </c>
      <c r="SZ314">
        <v>2</v>
      </c>
      <c r="TA314">
        <v>1.52</v>
      </c>
      <c r="TB314">
        <v>3</v>
      </c>
      <c r="UI314" s="16">
        <v>0.63</v>
      </c>
      <c r="UJ314" s="16">
        <v>1</v>
      </c>
      <c r="UK314" s="16">
        <v>1</v>
      </c>
      <c r="UL314" s="16"/>
      <c r="UM314" s="16">
        <v>3.17</v>
      </c>
      <c r="UN314" s="16"/>
      <c r="UO314" s="16"/>
      <c r="UP314" s="16"/>
      <c r="UQ314" s="16"/>
      <c r="UR314" s="16"/>
      <c r="US314" s="16"/>
      <c r="UT314" s="16">
        <v>0</v>
      </c>
      <c r="UU314" s="16">
        <v>0</v>
      </c>
      <c r="UV314" s="16"/>
      <c r="UW314" s="16"/>
      <c r="UX314" s="16">
        <v>0</v>
      </c>
      <c r="UY314" s="16">
        <v>0</v>
      </c>
      <c r="UZ314" s="16">
        <v>0</v>
      </c>
      <c r="VA314">
        <v>0</v>
      </c>
      <c r="VB314" t="s">
        <v>619</v>
      </c>
      <c r="VC314">
        <v>42</v>
      </c>
      <c r="VD314" s="16">
        <v>97.3</v>
      </c>
      <c r="VE314" s="16">
        <v>80.400000000000006</v>
      </c>
      <c r="VF314" s="16">
        <v>14.9</v>
      </c>
      <c r="VG314">
        <v>88.72</v>
      </c>
      <c r="VH314" s="17">
        <v>0</v>
      </c>
      <c r="VI314">
        <v>0</v>
      </c>
      <c r="VJ314">
        <v>0</v>
      </c>
      <c r="VK314">
        <v>11.28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1.1399999999999999</v>
      </c>
      <c r="VT314">
        <v>50.12</v>
      </c>
      <c r="VU314">
        <v>30.38</v>
      </c>
      <c r="VV314">
        <v>0</v>
      </c>
      <c r="VW314">
        <v>0</v>
      </c>
      <c r="VX314">
        <v>1</v>
      </c>
      <c r="VY314">
        <v>2</v>
      </c>
      <c r="WA314">
        <v>4</v>
      </c>
      <c r="WE314">
        <v>2</v>
      </c>
      <c r="WG314">
        <v>4</v>
      </c>
      <c r="WK314">
        <v>0</v>
      </c>
      <c r="WL314">
        <v>0</v>
      </c>
      <c r="WW314" s="18"/>
      <c r="XO314">
        <v>0</v>
      </c>
      <c r="YZ314" s="16">
        <v>9.5299999999999994</v>
      </c>
      <c r="ZA314" s="16">
        <v>1</v>
      </c>
      <c r="ZB314" s="16">
        <v>1</v>
      </c>
      <c r="ZC314" s="16"/>
      <c r="ZD314" s="16">
        <f>3.17+6.34+4.23+0.56+1.12</f>
        <v>15.420000000000002</v>
      </c>
      <c r="ZE314" s="16">
        <v>2</v>
      </c>
      <c r="ZF314" s="16"/>
      <c r="ZG314" s="16">
        <f>8.46+1.59+1.59+1.49+0.28+1.49</f>
        <v>14.9</v>
      </c>
      <c r="ZH314" s="16"/>
      <c r="ZI314" s="16"/>
      <c r="ZJ314" s="16"/>
      <c r="ZK314" s="16">
        <v>14.15</v>
      </c>
      <c r="ZL314" s="16">
        <v>35.369999999999997</v>
      </c>
      <c r="ZM314" s="16"/>
      <c r="ZN314" s="16"/>
      <c r="ZO314" s="16">
        <v>0</v>
      </c>
      <c r="ZP314" s="16">
        <v>0</v>
      </c>
      <c r="ZQ314" s="16">
        <v>0</v>
      </c>
      <c r="ZR314">
        <v>0</v>
      </c>
      <c r="ZS314" t="s">
        <v>887</v>
      </c>
      <c r="ZT314">
        <v>19</v>
      </c>
      <c r="ZU314" s="16">
        <v>85.1</v>
      </c>
      <c r="ZV314" s="16">
        <v>80.400000000000006</v>
      </c>
      <c r="ZW314" s="16">
        <v>10.3</v>
      </c>
      <c r="ZX314">
        <v>100</v>
      </c>
      <c r="ZY314" s="17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16.760000000000002</v>
      </c>
      <c r="AAL314">
        <v>22.28</v>
      </c>
      <c r="AAM314">
        <v>0</v>
      </c>
      <c r="AAN314">
        <v>0</v>
      </c>
      <c r="AAO314">
        <v>0</v>
      </c>
      <c r="ABB314">
        <v>0</v>
      </c>
      <c r="ABC314">
        <v>0</v>
      </c>
      <c r="ABN314" s="18"/>
      <c r="ACF314">
        <v>0</v>
      </c>
      <c r="ADQ314" s="16">
        <v>0.99</v>
      </c>
      <c r="ADR314" s="16">
        <v>1</v>
      </c>
      <c r="ADS314" s="16">
        <v>1</v>
      </c>
      <c r="ADT314" s="16"/>
      <c r="ADU314" s="16">
        <f>2.11+0.37+0.27*3</f>
        <v>3.29</v>
      </c>
      <c r="ADV314" s="16"/>
      <c r="ADW314" s="16"/>
      <c r="ADX314" s="16"/>
      <c r="ADY314" s="16"/>
      <c r="ADZ314" s="16"/>
      <c r="AEA314" s="16"/>
      <c r="AEB314" s="16">
        <v>5.78</v>
      </c>
      <c r="AEC314" s="16">
        <v>12.6</v>
      </c>
      <c r="AED314" s="16"/>
      <c r="AEE314" s="16"/>
      <c r="AEF314" s="16">
        <v>0</v>
      </c>
      <c r="AEG314" s="16">
        <v>0</v>
      </c>
      <c r="AEH314" s="16">
        <v>0</v>
      </c>
      <c r="AEI314">
        <v>0</v>
      </c>
      <c r="AEJ314" t="s">
        <v>710</v>
      </c>
      <c r="AEK314">
        <v>69.5</v>
      </c>
      <c r="AEL314" s="16">
        <v>70.900000000000006</v>
      </c>
      <c r="AEM314" s="16">
        <v>80.400000000000006</v>
      </c>
      <c r="AEN314" s="16">
        <v>23.6</v>
      </c>
      <c r="AEO314">
        <v>19.149999999999999</v>
      </c>
      <c r="AEP314" s="17">
        <v>0</v>
      </c>
      <c r="AEQ314">
        <v>0</v>
      </c>
      <c r="AER314">
        <v>0</v>
      </c>
      <c r="AES314">
        <v>0</v>
      </c>
      <c r="AET314">
        <v>0</v>
      </c>
      <c r="AEU314">
        <v>71.09</v>
      </c>
      <c r="AEV314">
        <v>0</v>
      </c>
      <c r="AEW314">
        <v>0</v>
      </c>
      <c r="AEX314">
        <v>2.25</v>
      </c>
      <c r="AEY314">
        <v>0</v>
      </c>
      <c r="AEZ314">
        <v>14.15</v>
      </c>
      <c r="AFA314">
        <v>0.83</v>
      </c>
      <c r="AFB314">
        <v>20.78</v>
      </c>
      <c r="AFC314">
        <v>13.14</v>
      </c>
      <c r="AFD314">
        <v>9.76</v>
      </c>
      <c r="AFE314">
        <v>0</v>
      </c>
      <c r="AFF314">
        <v>0</v>
      </c>
      <c r="AFS314">
        <v>24.4</v>
      </c>
      <c r="AFT314">
        <v>1</v>
      </c>
      <c r="AFU314">
        <v>70</v>
      </c>
      <c r="AFV314">
        <v>1</v>
      </c>
      <c r="AFW314">
        <v>1.5</v>
      </c>
      <c r="AFX314">
        <v>3</v>
      </c>
      <c r="AFY314">
        <v>68</v>
      </c>
      <c r="AFZ314">
        <v>2.25</v>
      </c>
      <c r="AGA314">
        <v>1</v>
      </c>
      <c r="AGB314">
        <v>1</v>
      </c>
      <c r="AGC314">
        <v>47</v>
      </c>
      <c r="AGD314">
        <v>1</v>
      </c>
      <c r="AGE314" s="18">
        <v>1.5</v>
      </c>
      <c r="AGF314">
        <v>3</v>
      </c>
      <c r="AGW314">
        <v>0</v>
      </c>
      <c r="AIH314" s="16">
        <v>1.42</v>
      </c>
      <c r="AII314" s="16">
        <v>1</v>
      </c>
      <c r="AIJ314" s="16">
        <v>1</v>
      </c>
      <c r="AIK314" s="16"/>
      <c r="AIL314" s="16">
        <f>1.56*2+0.1+0.06+0.08</f>
        <v>3.3600000000000003</v>
      </c>
      <c r="AIM314" s="16"/>
      <c r="AIN314" s="16"/>
      <c r="AIO314" s="16"/>
      <c r="AIP314" s="16"/>
      <c r="AIQ314" s="16"/>
      <c r="AIR314" s="16"/>
      <c r="AIS314" s="16">
        <v>7.54</v>
      </c>
      <c r="AIT314" s="16">
        <v>22.5</v>
      </c>
      <c r="AIU314" s="16"/>
      <c r="AIV314" s="16"/>
      <c r="AIW314" s="16">
        <v>6.72</v>
      </c>
      <c r="AIX314" s="16">
        <v>0</v>
      </c>
      <c r="AIY314" s="16">
        <v>5.54</v>
      </c>
      <c r="AIZ314">
        <v>2</v>
      </c>
      <c r="AJA314" s="15"/>
      <c r="AJB314" s="15"/>
      <c r="AJI314" s="15"/>
      <c r="AJJ314" s="15"/>
      <c r="AJQ314" s="15"/>
      <c r="AJR314" s="15"/>
      <c r="AJY314" s="15"/>
      <c r="AJZ314" s="15"/>
      <c r="AKG314" s="15"/>
      <c r="AKH314" s="15"/>
      <c r="AKO314" s="15"/>
      <c r="AKP314" s="15"/>
      <c r="AKW314" s="15"/>
      <c r="AKX314" s="15"/>
      <c r="ALE314" s="15"/>
      <c r="ALF314" s="15"/>
      <c r="ALM314" s="15"/>
      <c r="ALN314" s="15"/>
      <c r="ALU314" s="15"/>
      <c r="ALV314" s="15"/>
      <c r="AMC314" s="15"/>
      <c r="AMD314" s="15"/>
    </row>
    <row r="315" spans="1:1024" x14ac:dyDescent="0.2">
      <c r="A315" s="1" t="s">
        <v>892</v>
      </c>
      <c r="B315" s="12">
        <v>42905</v>
      </c>
      <c r="C315">
        <v>1</v>
      </c>
      <c r="D315" s="13">
        <v>42790</v>
      </c>
      <c r="E315" s="12">
        <v>35738</v>
      </c>
      <c r="F315" s="14">
        <f t="shared" si="106"/>
        <v>19.622176591375769</v>
      </c>
      <c r="G315" s="14">
        <f t="shared" si="107"/>
        <v>0.31485284052019163</v>
      </c>
      <c r="H315" s="19" t="s">
        <v>181</v>
      </c>
      <c r="I315" s="15" t="s">
        <v>496</v>
      </c>
      <c r="J315" s="15" t="s">
        <v>181</v>
      </c>
      <c r="K315" s="15">
        <v>8</v>
      </c>
      <c r="L315" s="19">
        <v>45</v>
      </c>
      <c r="M315">
        <v>1.56</v>
      </c>
      <c r="N315" s="16">
        <f t="shared" si="108"/>
        <v>18.491124260355029</v>
      </c>
      <c r="O315" s="19">
        <v>0</v>
      </c>
      <c r="P315" s="19">
        <v>0</v>
      </c>
      <c r="Q315" s="19">
        <v>0</v>
      </c>
      <c r="R315" s="26">
        <v>0</v>
      </c>
      <c r="S315" s="26">
        <v>0</v>
      </c>
      <c r="T315" s="26">
        <v>0</v>
      </c>
      <c r="U315" s="19">
        <v>0</v>
      </c>
      <c r="V315" s="19">
        <v>0</v>
      </c>
      <c r="W315" s="19">
        <v>0</v>
      </c>
      <c r="X315" s="19">
        <v>0</v>
      </c>
      <c r="Y315" s="19">
        <v>0</v>
      </c>
      <c r="Z315" s="19">
        <v>0</v>
      </c>
      <c r="AA315" s="19">
        <v>0</v>
      </c>
      <c r="AB315" s="19">
        <v>0</v>
      </c>
      <c r="AC315" s="19">
        <v>1</v>
      </c>
      <c r="AD315" s="19">
        <v>6</v>
      </c>
      <c r="AE315" s="19">
        <v>0</v>
      </c>
      <c r="AF315" s="19">
        <v>0</v>
      </c>
      <c r="AG315" s="19">
        <v>0</v>
      </c>
      <c r="AH315" s="19">
        <v>0</v>
      </c>
      <c r="AI315" s="19">
        <v>0</v>
      </c>
      <c r="AJ315" s="19">
        <v>0</v>
      </c>
      <c r="AK315" s="19">
        <v>0</v>
      </c>
      <c r="AL315" s="19">
        <v>0</v>
      </c>
      <c r="AM315" s="19">
        <v>0</v>
      </c>
      <c r="AN315" s="19">
        <v>0</v>
      </c>
      <c r="AO315" s="19">
        <v>0</v>
      </c>
      <c r="AP315" s="19">
        <v>0</v>
      </c>
      <c r="AQ315" s="19">
        <v>0</v>
      </c>
      <c r="AR315" s="19">
        <v>0</v>
      </c>
      <c r="AS315" s="19">
        <v>0</v>
      </c>
      <c r="AT315" s="19">
        <v>0</v>
      </c>
      <c r="AU315" s="19">
        <v>0</v>
      </c>
      <c r="AV315" s="19">
        <v>0</v>
      </c>
      <c r="AW315" s="19">
        <v>0</v>
      </c>
      <c r="AX315" s="19">
        <v>0</v>
      </c>
      <c r="AY315" s="19">
        <v>0</v>
      </c>
      <c r="AZ315" s="19">
        <v>0</v>
      </c>
      <c r="BA315" s="19">
        <v>0</v>
      </c>
      <c r="BB315" s="19">
        <v>0</v>
      </c>
      <c r="BC315" s="19">
        <v>0</v>
      </c>
      <c r="BD315" s="19">
        <v>0</v>
      </c>
      <c r="BE315" s="19">
        <v>0</v>
      </c>
      <c r="BF315" s="19">
        <v>0</v>
      </c>
      <c r="BG315" s="19">
        <v>0</v>
      </c>
      <c r="BH315" s="19">
        <v>0</v>
      </c>
      <c r="BI315" s="19">
        <v>0</v>
      </c>
      <c r="BJ315" s="19">
        <v>0</v>
      </c>
      <c r="BK315" s="19">
        <v>0</v>
      </c>
      <c r="BL315" s="19">
        <v>0</v>
      </c>
      <c r="BM315" s="19">
        <v>0</v>
      </c>
      <c r="BN315" s="19">
        <v>0</v>
      </c>
      <c r="BO315" s="19">
        <v>0</v>
      </c>
      <c r="BP315" s="19">
        <v>0</v>
      </c>
      <c r="BQ315" s="19">
        <v>0</v>
      </c>
      <c r="BR315" s="19">
        <v>1</v>
      </c>
      <c r="BS315" s="19">
        <v>1</v>
      </c>
      <c r="BT315" s="19">
        <v>1</v>
      </c>
      <c r="BU315" s="19">
        <v>2</v>
      </c>
      <c r="BV315" s="19">
        <v>1</v>
      </c>
      <c r="BW315" s="19">
        <v>1</v>
      </c>
      <c r="BX315" s="19">
        <v>1</v>
      </c>
      <c r="BY315" s="19">
        <v>2</v>
      </c>
      <c r="BZ315" s="19">
        <v>4</v>
      </c>
      <c r="CA315" s="19">
        <v>5</v>
      </c>
      <c r="CB315" s="19">
        <v>5</v>
      </c>
      <c r="CC315" s="19">
        <v>5</v>
      </c>
      <c r="CD315" s="19">
        <v>4</v>
      </c>
      <c r="CE315" s="19">
        <v>5</v>
      </c>
      <c r="CF315" s="19">
        <v>5</v>
      </c>
      <c r="CG315" s="19">
        <v>5</v>
      </c>
      <c r="CH315" s="19">
        <v>5</v>
      </c>
      <c r="CI315" s="19">
        <v>5</v>
      </c>
      <c r="CJ315" s="19">
        <v>5</v>
      </c>
      <c r="CK315" s="19">
        <v>10</v>
      </c>
      <c r="CL315" t="s">
        <v>500</v>
      </c>
      <c r="CM315">
        <v>48</v>
      </c>
      <c r="CN315" s="16">
        <v>69.7</v>
      </c>
      <c r="CO315" s="16">
        <v>80.400000000000006</v>
      </c>
      <c r="CP315" s="16">
        <v>44.5</v>
      </c>
      <c r="CQ315">
        <v>13.55</v>
      </c>
      <c r="CR315" s="17">
        <v>0</v>
      </c>
      <c r="CS315">
        <v>0</v>
      </c>
      <c r="CT315">
        <v>0</v>
      </c>
      <c r="CU315">
        <v>0.1</v>
      </c>
      <c r="CV315">
        <v>0</v>
      </c>
      <c r="CW315">
        <v>86.34</v>
      </c>
      <c r="CX315">
        <v>13.26</v>
      </c>
      <c r="CY315">
        <v>28.53</v>
      </c>
      <c r="CZ315">
        <v>0</v>
      </c>
      <c r="DA315">
        <v>0</v>
      </c>
      <c r="DB315">
        <v>0.78</v>
      </c>
      <c r="DC315">
        <v>3.48</v>
      </c>
      <c r="DD315">
        <v>11.45</v>
      </c>
      <c r="DE315">
        <v>6.85</v>
      </c>
      <c r="DF315">
        <v>0</v>
      </c>
      <c r="DG315">
        <v>0</v>
      </c>
      <c r="DH315">
        <v>0</v>
      </c>
      <c r="DU315">
        <v>0</v>
      </c>
      <c r="DV315">
        <v>0</v>
      </c>
      <c r="EG315" s="18"/>
      <c r="EY315">
        <v>0</v>
      </c>
      <c r="GJ315" s="16">
        <v>0.75</v>
      </c>
      <c r="GK315" s="16">
        <v>1</v>
      </c>
      <c r="GL315" s="16">
        <v>1</v>
      </c>
      <c r="GM315" s="16"/>
      <c r="GN315" s="16">
        <f>2.11+0.37</f>
        <v>2.48</v>
      </c>
      <c r="GO315" s="16"/>
      <c r="GP315" s="16"/>
      <c r="GQ315" s="16"/>
      <c r="GR315" s="16"/>
      <c r="GS315" s="16"/>
      <c r="GT315" s="16"/>
      <c r="GU315" s="16">
        <v>2.66</v>
      </c>
      <c r="GV315" s="16">
        <v>2.64</v>
      </c>
      <c r="GW315" s="16">
        <v>0</v>
      </c>
      <c r="GX315" s="16">
        <v>0</v>
      </c>
      <c r="GY315" s="16">
        <v>0</v>
      </c>
      <c r="GZ315" s="16">
        <v>0</v>
      </c>
      <c r="HA315" s="16">
        <v>0</v>
      </c>
      <c r="HB315">
        <v>0</v>
      </c>
      <c r="HC315" t="s">
        <v>499</v>
      </c>
      <c r="HD315">
        <v>40</v>
      </c>
      <c r="HE315" s="16">
        <v>79.7</v>
      </c>
      <c r="HF315" s="16">
        <v>80.400000000000006</v>
      </c>
      <c r="HG315" s="16">
        <v>11.2</v>
      </c>
      <c r="HH315">
        <v>91.23</v>
      </c>
      <c r="HI315" s="17">
        <v>0</v>
      </c>
      <c r="HJ315">
        <v>0</v>
      </c>
      <c r="HK315">
        <v>0</v>
      </c>
      <c r="HL315">
        <v>8.77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18.64</v>
      </c>
      <c r="HU315">
        <v>42.82</v>
      </c>
      <c r="HV315">
        <v>4.6100000000000003</v>
      </c>
      <c r="HW315">
        <v>0</v>
      </c>
      <c r="HX315">
        <v>0</v>
      </c>
      <c r="HY315">
        <v>0</v>
      </c>
      <c r="IL315">
        <v>23.2</v>
      </c>
      <c r="IM315">
        <v>1</v>
      </c>
      <c r="IN315">
        <v>35</v>
      </c>
      <c r="IO315">
        <f>2+4+2+2+2+4+2+2+1</f>
        <v>21</v>
      </c>
      <c r="IP315">
        <f>1.52+1.49+0.78*2+0.27+0.43+0.12+0.13</f>
        <v>5.52</v>
      </c>
      <c r="IQ315">
        <v>3</v>
      </c>
      <c r="IR315">
        <v>10</v>
      </c>
      <c r="IS315">
        <v>1</v>
      </c>
      <c r="IT315">
        <v>0.1</v>
      </c>
      <c r="IU315">
        <v>5</v>
      </c>
      <c r="IV315">
        <v>25</v>
      </c>
      <c r="IW315">
        <v>8</v>
      </c>
      <c r="IX315" s="18">
        <f>0.19*2+0.1</f>
        <v>0.48</v>
      </c>
      <c r="IY315">
        <v>1</v>
      </c>
      <c r="JP315">
        <v>0</v>
      </c>
      <c r="LA315" s="16">
        <v>1.52</v>
      </c>
      <c r="LB315" s="16">
        <v>1</v>
      </c>
      <c r="LC315" s="16">
        <v>1</v>
      </c>
      <c r="LD315" s="16"/>
      <c r="LE315" s="16">
        <f>2.11*2+0.19*3+0.1</f>
        <v>4.8899999999999997</v>
      </c>
      <c r="LF315" s="16"/>
      <c r="LG315" s="16"/>
      <c r="LH315" s="16"/>
      <c r="LI315" s="16"/>
      <c r="LJ315" s="16"/>
      <c r="LK315" s="16"/>
      <c r="LL315" s="16">
        <v>0</v>
      </c>
      <c r="LM315" s="16">
        <v>0</v>
      </c>
      <c r="LN315" s="16">
        <v>0</v>
      </c>
      <c r="LO315" s="16">
        <v>0</v>
      </c>
      <c r="LP315" s="16">
        <v>0</v>
      </c>
      <c r="LQ315" s="16">
        <v>0</v>
      </c>
      <c r="LR315" s="16">
        <v>0.06</v>
      </c>
      <c r="LS315">
        <v>0</v>
      </c>
      <c r="LT315" t="s">
        <v>500</v>
      </c>
      <c r="LU315">
        <v>48</v>
      </c>
      <c r="LV315" s="16">
        <v>69.7</v>
      </c>
      <c r="LW315" s="16">
        <v>80.400000000000006</v>
      </c>
      <c r="LX315" s="16">
        <v>44.5</v>
      </c>
      <c r="LY315">
        <v>13.55</v>
      </c>
      <c r="LZ315" s="17">
        <v>0</v>
      </c>
      <c r="MA315">
        <v>0</v>
      </c>
      <c r="MB315">
        <v>0</v>
      </c>
      <c r="MC315">
        <v>0.1</v>
      </c>
      <c r="MD315">
        <v>0</v>
      </c>
      <c r="ME315">
        <v>86.34</v>
      </c>
      <c r="MF315">
        <v>13.26</v>
      </c>
      <c r="MG315">
        <v>28.53</v>
      </c>
      <c r="MH315">
        <v>0</v>
      </c>
      <c r="MI315">
        <v>0</v>
      </c>
      <c r="MJ315">
        <v>0.78</v>
      </c>
      <c r="MK315">
        <v>3.48</v>
      </c>
      <c r="ML315">
        <v>11.45</v>
      </c>
      <c r="MM315">
        <v>6.85</v>
      </c>
      <c r="MN315">
        <v>0</v>
      </c>
      <c r="MO315">
        <v>0</v>
      </c>
      <c r="MP315">
        <v>0</v>
      </c>
      <c r="NC315">
        <v>0</v>
      </c>
      <c r="ND315">
        <v>0</v>
      </c>
      <c r="NO315" s="18"/>
      <c r="OG315">
        <v>0</v>
      </c>
      <c r="PR315" s="16">
        <v>0.75</v>
      </c>
      <c r="PS315" s="16">
        <v>1</v>
      </c>
      <c r="PT315" s="16">
        <v>1</v>
      </c>
      <c r="PU315" s="16"/>
      <c r="PV315" s="16">
        <f>2.11+0.37</f>
        <v>2.48</v>
      </c>
      <c r="PW315" s="16"/>
      <c r="PX315" s="16"/>
      <c r="PY315" s="16"/>
      <c r="PZ315" s="16"/>
      <c r="QA315" s="16"/>
      <c r="QB315" s="16"/>
      <c r="QC315" s="16">
        <v>2.66</v>
      </c>
      <c r="QD315" s="16">
        <v>2.64</v>
      </c>
      <c r="QE315" s="16">
        <v>0</v>
      </c>
      <c r="QF315" s="16">
        <v>0</v>
      </c>
      <c r="QG315" s="16">
        <v>0</v>
      </c>
      <c r="QH315" s="16">
        <v>0</v>
      </c>
      <c r="QI315" s="16">
        <v>0</v>
      </c>
      <c r="QJ315">
        <v>0</v>
      </c>
      <c r="QK315" t="s">
        <v>498</v>
      </c>
      <c r="QL315">
        <v>33</v>
      </c>
      <c r="QM315" s="16">
        <v>71.2</v>
      </c>
      <c r="QN315" s="16">
        <v>80.400000000000006</v>
      </c>
      <c r="QO315" s="16">
        <v>16.3</v>
      </c>
      <c r="QP315">
        <v>83.24</v>
      </c>
      <c r="QQ315" s="17">
        <v>0</v>
      </c>
      <c r="QR315">
        <v>0</v>
      </c>
      <c r="QS315">
        <v>0</v>
      </c>
      <c r="QT315">
        <v>14.14</v>
      </c>
      <c r="QU315">
        <v>0</v>
      </c>
      <c r="QV315">
        <v>2.63</v>
      </c>
      <c r="QW315">
        <v>0</v>
      </c>
      <c r="QX315">
        <v>0</v>
      </c>
      <c r="QY315">
        <v>0</v>
      </c>
      <c r="QZ315">
        <v>0</v>
      </c>
      <c r="RA315">
        <v>2.63</v>
      </c>
      <c r="RB315">
        <v>10.16</v>
      </c>
      <c r="RC315">
        <v>20.83</v>
      </c>
      <c r="RD315">
        <v>24.81</v>
      </c>
      <c r="RE315">
        <v>0</v>
      </c>
      <c r="RF315">
        <v>11.2</v>
      </c>
      <c r="RG315">
        <v>1</v>
      </c>
      <c r="RH315">
        <v>5</v>
      </c>
      <c r="RJ315">
        <v>1</v>
      </c>
      <c r="RN315">
        <v>5</v>
      </c>
      <c r="RP315">
        <v>1</v>
      </c>
      <c r="RT315">
        <v>0</v>
      </c>
      <c r="RU315">
        <v>0</v>
      </c>
      <c r="SF315" s="18"/>
      <c r="SX315">
        <v>0</v>
      </c>
      <c r="UI315" s="16">
        <v>2.71</v>
      </c>
      <c r="UJ315" s="16">
        <v>1</v>
      </c>
      <c r="UK315" s="16">
        <v>1</v>
      </c>
      <c r="UL315" s="16"/>
      <c r="UM315" s="16">
        <f>2.11*4+0.52*2</f>
        <v>9.48</v>
      </c>
      <c r="UN315" s="16"/>
      <c r="UO315" s="16"/>
      <c r="UP315" s="16"/>
      <c r="UQ315" s="16"/>
      <c r="UR315" s="16"/>
      <c r="US315" s="16"/>
      <c r="UT315" s="16">
        <v>2.63</v>
      </c>
      <c r="UU315" s="16">
        <v>2.6</v>
      </c>
      <c r="UV315" s="16">
        <v>0</v>
      </c>
      <c r="UW315" s="16">
        <v>0</v>
      </c>
      <c r="UX315" s="16">
        <v>0</v>
      </c>
      <c r="UY315" s="16">
        <v>0</v>
      </c>
      <c r="UZ315" s="16">
        <v>0</v>
      </c>
      <c r="VA315">
        <v>0</v>
      </c>
      <c r="VB315" t="s">
        <v>502</v>
      </c>
      <c r="VC315">
        <v>34.5</v>
      </c>
      <c r="VD315" s="16">
        <v>53.2</v>
      </c>
      <c r="VE315" s="16">
        <v>80.400000000000006</v>
      </c>
      <c r="VF315" s="16">
        <v>8.3000000000000007</v>
      </c>
      <c r="VG315">
        <v>99.94</v>
      </c>
      <c r="VH315" s="17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9.15</v>
      </c>
      <c r="VT315">
        <v>18.41</v>
      </c>
      <c r="VU315">
        <v>11.73</v>
      </c>
      <c r="VV315">
        <v>0</v>
      </c>
      <c r="VW315">
        <v>0</v>
      </c>
      <c r="VX315">
        <v>0</v>
      </c>
      <c r="WK315">
        <v>11.9</v>
      </c>
      <c r="WL315">
        <v>1</v>
      </c>
      <c r="WM315">
        <v>47</v>
      </c>
      <c r="WN315">
        <v>3</v>
      </c>
      <c r="WO315">
        <v>1.52</v>
      </c>
      <c r="WP315">
        <v>2</v>
      </c>
      <c r="WW315" s="18"/>
      <c r="XO315">
        <v>0</v>
      </c>
      <c r="YZ315" s="16">
        <v>5.7</v>
      </c>
      <c r="ZA315" s="16">
        <v>1</v>
      </c>
      <c r="ZB315" s="16">
        <v>1</v>
      </c>
      <c r="ZC315" s="16"/>
      <c r="ZD315" s="16">
        <f>2.11+2.11+0.05+0.05+0.37</f>
        <v>4.6899999999999995</v>
      </c>
      <c r="ZE315" s="16">
        <v>2</v>
      </c>
      <c r="ZF315" s="16"/>
      <c r="ZG315" s="16">
        <f>3.17+3.17+0.56+0.56+0.33</f>
        <v>7.7900000000000009</v>
      </c>
      <c r="ZH315" s="16"/>
      <c r="ZI315" s="16"/>
      <c r="ZJ315" s="16"/>
      <c r="ZK315" s="16">
        <v>0</v>
      </c>
      <c r="ZL315" s="16">
        <v>0</v>
      </c>
      <c r="ZM315" s="16"/>
      <c r="ZN315" s="16"/>
      <c r="ZO315" s="16">
        <v>5.97</v>
      </c>
      <c r="ZP315" s="16">
        <v>0</v>
      </c>
      <c r="ZQ315" s="16">
        <v>0</v>
      </c>
      <c r="ZR315">
        <v>1</v>
      </c>
      <c r="ZT315" s="34"/>
      <c r="ZU315" s="15"/>
      <c r="ZV315" s="15"/>
      <c r="ZX315" s="34"/>
      <c r="ZY315" s="34"/>
      <c r="AAB315" s="34"/>
      <c r="AAC315" s="15"/>
      <c r="AAD315" s="15"/>
      <c r="AAF315" s="34"/>
      <c r="AAG315" s="34"/>
      <c r="AAJ315" s="34"/>
      <c r="AAK315" s="15"/>
      <c r="AAL315" s="15"/>
      <c r="AAN315" s="34"/>
      <c r="AAO315" s="34"/>
      <c r="AAR315" s="34"/>
      <c r="AAS315" s="15"/>
      <c r="AAT315" s="15"/>
      <c r="AAV315" s="34"/>
      <c r="AAW315" s="34"/>
      <c r="AAZ315" s="34"/>
      <c r="ABA315" s="15"/>
      <c r="ABB315" s="15"/>
      <c r="ABD315" s="34"/>
      <c r="ABE315" s="34"/>
      <c r="ABH315" s="34"/>
      <c r="ABI315" s="15"/>
      <c r="ABJ315" s="15"/>
      <c r="ABL315" s="34"/>
      <c r="ABM315" s="34"/>
      <c r="ABP315" s="34"/>
      <c r="ABQ315" s="15"/>
      <c r="ABR315" s="15"/>
      <c r="ABT315" s="34"/>
      <c r="ABU315" s="34"/>
      <c r="ABX315" s="34"/>
      <c r="ABY315" s="15"/>
      <c r="ABZ315" s="15"/>
      <c r="ACB315" s="34"/>
      <c r="ACC315" s="34"/>
      <c r="ACF315" s="34"/>
      <c r="ACG315" s="15"/>
      <c r="ACH315" s="15"/>
      <c r="ACJ315" s="34"/>
      <c r="ACK315" s="34"/>
      <c r="ACN315" s="34"/>
      <c r="ACO315" s="15"/>
      <c r="ACP315" s="15"/>
      <c r="ACR315" s="34"/>
      <c r="ACS315" s="34"/>
      <c r="ACV315" s="34"/>
      <c r="ACW315" s="15"/>
      <c r="ACX315" s="15"/>
      <c r="ACZ315" s="34"/>
      <c r="ADA315" s="34"/>
      <c r="ADD315" s="34"/>
      <c r="ADE315" s="15"/>
      <c r="ADF315" s="15"/>
      <c r="ADH315" s="34"/>
      <c r="ADI315" s="34"/>
      <c r="ADL315" s="34"/>
      <c r="ADM315" s="15"/>
      <c r="ADN315" s="15"/>
      <c r="ADP315" s="34"/>
      <c r="ADQ315" s="34"/>
      <c r="ADT315" s="34"/>
      <c r="ADU315" s="15"/>
      <c r="ADV315" s="15"/>
      <c r="ADX315" s="34"/>
      <c r="ADY315" s="34"/>
      <c r="AEB315" s="34"/>
      <c r="AEC315" s="15"/>
      <c r="AED315" s="15"/>
      <c r="AEF315" s="34"/>
      <c r="AEG315" s="34"/>
      <c r="AEJ315" s="34"/>
      <c r="AEK315" s="15"/>
      <c r="AEL315" s="15"/>
      <c r="AEN315" s="34"/>
      <c r="AEO315" s="34"/>
      <c r="AER315" s="34"/>
      <c r="AES315" s="15"/>
      <c r="AET315" s="15"/>
      <c r="AEV315" s="34"/>
      <c r="AEW315" s="34"/>
      <c r="AEZ315" s="34"/>
      <c r="AFA315" s="15"/>
      <c r="AFB315" s="15"/>
      <c r="AFD315" s="34"/>
      <c r="AFE315" s="34"/>
      <c r="AFH315" s="34"/>
      <c r="AFI315" s="15"/>
      <c r="AFJ315" s="15"/>
      <c r="AFL315" s="34"/>
      <c r="AFM315" s="34"/>
      <c r="AFP315" s="34"/>
      <c r="AFQ315" s="15"/>
      <c r="AFR315" s="15"/>
      <c r="AFT315" s="34"/>
      <c r="AFU315" s="34"/>
      <c r="AFX315" s="34"/>
      <c r="AFY315" s="15"/>
      <c r="AFZ315" s="15"/>
      <c r="AGB315" s="34"/>
      <c r="AGC315" s="34"/>
      <c r="AGF315" s="34"/>
      <c r="AGG315" s="15"/>
      <c r="AGH315" s="15"/>
      <c r="AGJ315" s="34"/>
      <c r="AGK315" s="34"/>
      <c r="AGN315" s="34"/>
      <c r="AGO315" s="15"/>
      <c r="AGP315" s="15"/>
      <c r="AGR315" s="34"/>
      <c r="AGS315" s="34"/>
      <c r="AGV315" s="34"/>
      <c r="AGW315" s="15"/>
      <c r="AGX315" s="15"/>
      <c r="AGZ315" s="34"/>
      <c r="AHA315" s="34"/>
      <c r="AHD315" s="34"/>
      <c r="AHE315" s="15"/>
      <c r="AHF315" s="15"/>
      <c r="AHH315" s="34"/>
      <c r="AHI315" s="34"/>
      <c r="AHL315" s="34"/>
      <c r="AHM315" s="15"/>
      <c r="AHN315" s="15"/>
      <c r="AHP315" s="34"/>
      <c r="AHQ315" s="34"/>
      <c r="AHT315" s="34"/>
      <c r="AHU315" s="15"/>
      <c r="AHV315" s="15"/>
      <c r="AHX315" s="34"/>
      <c r="AHY315" s="34"/>
      <c r="AIB315" s="34"/>
      <c r="AIC315" s="15"/>
      <c r="AID315" s="15"/>
      <c r="AIF315" s="34"/>
      <c r="AIG315" s="34"/>
      <c r="AIJ315" s="34"/>
      <c r="AIK315" s="15"/>
      <c r="AIL315" s="15"/>
      <c r="AIN315" s="34"/>
      <c r="AIO315" s="34"/>
      <c r="AIR315" s="34"/>
      <c r="AIS315" s="15"/>
      <c r="AIT315" s="15"/>
      <c r="AIV315" s="34"/>
      <c r="AIW315" s="34"/>
      <c r="AIZ315" s="34"/>
      <c r="AJA315" s="15"/>
      <c r="AJB315" s="15"/>
      <c r="AJD315" s="34"/>
      <c r="AJE315" s="34"/>
      <c r="AJH315" s="34"/>
      <c r="AJI315" s="15"/>
      <c r="AJJ315" s="15"/>
      <c r="AJL315" s="34"/>
      <c r="AJM315" s="34"/>
      <c r="AJP315" s="34"/>
      <c r="AJQ315" s="15"/>
      <c r="AJR315" s="15"/>
      <c r="AJT315" s="34"/>
      <c r="AJU315" s="34"/>
      <c r="AJX315" s="34"/>
      <c r="AJY315" s="15"/>
      <c r="AJZ315" s="15"/>
      <c r="AKB315" s="34"/>
      <c r="AKC315" s="34"/>
      <c r="AKF315" s="34"/>
      <c r="AKG315" s="15"/>
      <c r="AKH315" s="15"/>
      <c r="AKJ315" s="34"/>
      <c r="AKK315" s="34"/>
      <c r="AKN315" s="34"/>
      <c r="AKO315" s="15"/>
      <c r="AKP315" s="15"/>
      <c r="AKR315" s="34"/>
      <c r="AKS315" s="34"/>
      <c r="AKV315" s="34"/>
      <c r="AKW315" s="15"/>
      <c r="AKX315" s="15"/>
      <c r="AKZ315" s="34"/>
      <c r="ALA315" s="34"/>
      <c r="ALD315" s="34"/>
      <c r="ALE315" s="15"/>
      <c r="ALF315" s="15"/>
      <c r="ALH315" s="34"/>
      <c r="ALI315" s="34"/>
      <c r="ALL315" s="34"/>
      <c r="ALM315" s="15"/>
      <c r="ALN315" s="15"/>
      <c r="ALP315" s="34"/>
      <c r="ALQ315" s="34"/>
      <c r="ALT315" s="34"/>
      <c r="ALU315" s="15"/>
      <c r="ALV315" s="15"/>
      <c r="ALX315" s="34"/>
      <c r="ALY315" s="34"/>
      <c r="AMB315" s="34"/>
      <c r="AMC315" s="15"/>
      <c r="AMD315" s="15"/>
      <c r="AMF315" s="34"/>
      <c r="AMG315" s="34"/>
      <c r="AMJ315" s="34"/>
    </row>
    <row r="316" spans="1:1024" x14ac:dyDescent="0.2">
      <c r="A316" s="1" t="s">
        <v>893</v>
      </c>
      <c r="B316" s="12">
        <v>42905</v>
      </c>
      <c r="C316">
        <v>2</v>
      </c>
      <c r="D316" s="13">
        <v>42811</v>
      </c>
      <c r="E316" s="12">
        <v>34255</v>
      </c>
      <c r="F316" s="14">
        <f t="shared" si="106"/>
        <v>23.682409308692677</v>
      </c>
      <c r="G316" s="14">
        <f t="shared" si="107"/>
        <v>0.25735797399041754</v>
      </c>
      <c r="H316" s="19" t="s">
        <v>181</v>
      </c>
      <c r="I316" s="15" t="s">
        <v>496</v>
      </c>
      <c r="J316" s="15" t="s">
        <v>181</v>
      </c>
      <c r="K316" s="15">
        <v>8</v>
      </c>
      <c r="L316" s="19">
        <v>70</v>
      </c>
      <c r="M316">
        <v>1.83</v>
      </c>
      <c r="N316" s="16">
        <f t="shared" si="108"/>
        <v>20.902385858042937</v>
      </c>
      <c r="O316" s="19">
        <v>0</v>
      </c>
      <c r="P316" s="19">
        <v>0</v>
      </c>
      <c r="Q316" s="19">
        <v>0</v>
      </c>
      <c r="R316" s="26">
        <v>0</v>
      </c>
      <c r="S316" s="26">
        <v>0</v>
      </c>
      <c r="T316" s="26">
        <v>0</v>
      </c>
      <c r="U316" s="19">
        <v>0</v>
      </c>
      <c r="V316" s="19">
        <v>0</v>
      </c>
      <c r="W316" s="19">
        <v>0</v>
      </c>
      <c r="X316" s="19">
        <v>0</v>
      </c>
      <c r="Y316" s="19">
        <v>1</v>
      </c>
      <c r="Z316" s="19">
        <v>2</v>
      </c>
      <c r="AA316" s="19">
        <v>90</v>
      </c>
      <c r="AB316" s="19" t="s">
        <v>284</v>
      </c>
      <c r="AC316" s="19">
        <v>1</v>
      </c>
      <c r="AD316" s="19">
        <v>10</v>
      </c>
      <c r="AE316" s="19">
        <v>0</v>
      </c>
      <c r="AF316" s="19">
        <v>0</v>
      </c>
      <c r="AG316" s="19">
        <v>0</v>
      </c>
      <c r="AH316" s="19">
        <v>0</v>
      </c>
      <c r="AI316" s="19">
        <v>0</v>
      </c>
      <c r="AJ316" s="19">
        <v>0</v>
      </c>
      <c r="AK316" s="19">
        <v>0</v>
      </c>
      <c r="AL316" s="19">
        <v>0</v>
      </c>
      <c r="AM316" s="19">
        <v>0</v>
      </c>
      <c r="AN316" s="19">
        <v>0</v>
      </c>
      <c r="AO316" s="19">
        <v>0</v>
      </c>
      <c r="AP316" s="19">
        <v>0</v>
      </c>
      <c r="AQ316" s="19">
        <v>0</v>
      </c>
      <c r="AR316" s="19">
        <v>0</v>
      </c>
      <c r="AS316" s="19">
        <v>0</v>
      </c>
      <c r="AT316" s="19">
        <v>0</v>
      </c>
      <c r="AU316" s="19">
        <v>0</v>
      </c>
      <c r="AV316" s="19">
        <v>0</v>
      </c>
      <c r="AW316" s="19">
        <v>0</v>
      </c>
      <c r="AX316" s="19">
        <v>0</v>
      </c>
      <c r="AY316" s="19">
        <v>0</v>
      </c>
      <c r="AZ316" s="19">
        <v>0</v>
      </c>
      <c r="BA316" s="19">
        <v>0</v>
      </c>
      <c r="BB316" s="19">
        <v>1</v>
      </c>
      <c r="BC316" s="19">
        <v>0</v>
      </c>
      <c r="BD316" s="19">
        <v>0</v>
      </c>
      <c r="BE316" s="19">
        <v>0</v>
      </c>
      <c r="BF316" s="19">
        <v>0</v>
      </c>
      <c r="BG316" s="19">
        <v>0</v>
      </c>
      <c r="BH316" s="19">
        <v>0</v>
      </c>
      <c r="BI316" s="19">
        <v>0</v>
      </c>
      <c r="BJ316" s="19">
        <v>0</v>
      </c>
      <c r="BK316" s="19">
        <v>0</v>
      </c>
      <c r="BL316" s="19">
        <v>0</v>
      </c>
      <c r="BM316" s="19">
        <v>0</v>
      </c>
      <c r="BN316" s="19">
        <v>0</v>
      </c>
      <c r="BO316" s="19">
        <v>0</v>
      </c>
      <c r="BP316" s="19">
        <v>0</v>
      </c>
      <c r="BQ316" s="19">
        <v>0</v>
      </c>
      <c r="BR316" s="19">
        <v>1</v>
      </c>
      <c r="BS316" s="19">
        <v>2</v>
      </c>
      <c r="BT316" s="19">
        <v>2</v>
      </c>
      <c r="BU316" s="19">
        <v>4</v>
      </c>
      <c r="BV316" s="19">
        <v>2</v>
      </c>
      <c r="BW316" s="19">
        <v>2</v>
      </c>
      <c r="BX316" s="19">
        <v>3</v>
      </c>
      <c r="BY316" s="19">
        <v>4</v>
      </c>
      <c r="BZ316" s="19">
        <v>5</v>
      </c>
      <c r="CA316" s="19">
        <v>4</v>
      </c>
      <c r="CB316" s="19">
        <v>4</v>
      </c>
      <c r="CC316" s="19">
        <v>4</v>
      </c>
      <c r="CD316" s="19">
        <v>3</v>
      </c>
      <c r="CE316" s="19">
        <v>4</v>
      </c>
      <c r="CF316" s="19">
        <v>5</v>
      </c>
      <c r="CG316" s="19">
        <v>5</v>
      </c>
      <c r="CH316" s="19">
        <v>5</v>
      </c>
      <c r="CI316" s="19">
        <v>5</v>
      </c>
      <c r="CJ316" s="19">
        <v>4</v>
      </c>
      <c r="CK316" s="19">
        <v>8</v>
      </c>
      <c r="CL316" t="s">
        <v>499</v>
      </c>
      <c r="CM316">
        <v>40</v>
      </c>
      <c r="CN316" s="16">
        <v>79.7</v>
      </c>
      <c r="CO316" s="16">
        <v>80.400000000000006</v>
      </c>
      <c r="CP316" s="16">
        <v>11.2</v>
      </c>
      <c r="CQ316">
        <v>91.23</v>
      </c>
      <c r="CR316" s="17">
        <v>0</v>
      </c>
      <c r="CS316">
        <v>0</v>
      </c>
      <c r="CT316">
        <v>0</v>
      </c>
      <c r="CU316">
        <v>8.77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18.64</v>
      </c>
      <c r="DD316">
        <v>42.82</v>
      </c>
      <c r="DE316">
        <v>4.6100000000000003</v>
      </c>
      <c r="DF316">
        <v>0</v>
      </c>
      <c r="DG316">
        <v>0</v>
      </c>
      <c r="DH316">
        <v>0</v>
      </c>
      <c r="DU316">
        <v>23.2</v>
      </c>
      <c r="DV316">
        <v>1</v>
      </c>
      <c r="DW316">
        <v>35</v>
      </c>
      <c r="DX316">
        <f>2+4+2+2+2+4+2+2+1</f>
        <v>21</v>
      </c>
      <c r="DY316">
        <f>1.52+1.49+0.78*2+0.27+0.43+0.12+0.13</f>
        <v>5.52</v>
      </c>
      <c r="DZ316">
        <v>3</v>
      </c>
      <c r="EA316">
        <v>10</v>
      </c>
      <c r="EB316">
        <v>1</v>
      </c>
      <c r="EC316">
        <v>0.1</v>
      </c>
      <c r="ED316">
        <v>5</v>
      </c>
      <c r="EE316">
        <v>25</v>
      </c>
      <c r="EF316">
        <v>8</v>
      </c>
      <c r="EG316" s="18">
        <f>0.19*2+0.1</f>
        <v>0.48</v>
      </c>
      <c r="EH316">
        <v>1</v>
      </c>
      <c r="EY316">
        <v>0</v>
      </c>
      <c r="GJ316" s="16">
        <v>1.52</v>
      </c>
      <c r="GK316" s="16">
        <v>1</v>
      </c>
      <c r="GL316" s="16">
        <v>1</v>
      </c>
      <c r="GM316" s="16"/>
      <c r="GN316" s="16">
        <f>2.11*2+0.19*3+0.1</f>
        <v>4.8899999999999997</v>
      </c>
      <c r="GO316" s="16"/>
      <c r="GP316" s="16"/>
      <c r="GQ316" s="16"/>
      <c r="GR316" s="16"/>
      <c r="GS316" s="16"/>
      <c r="GT316" s="16"/>
      <c r="GU316" s="16">
        <v>0</v>
      </c>
      <c r="GV316" s="16">
        <v>0</v>
      </c>
      <c r="GW316" s="16">
        <v>0</v>
      </c>
      <c r="GX316" s="16">
        <v>0</v>
      </c>
      <c r="GY316" s="16">
        <v>0</v>
      </c>
      <c r="GZ316" s="16">
        <v>0</v>
      </c>
      <c r="HA316" s="16">
        <v>0.06</v>
      </c>
      <c r="HB316">
        <v>0</v>
      </c>
      <c r="HC316" t="s">
        <v>501</v>
      </c>
      <c r="HD316">
        <v>58</v>
      </c>
      <c r="HE316" s="16">
        <v>79.900000000000006</v>
      </c>
      <c r="HF316" s="16">
        <v>80.400000000000006</v>
      </c>
      <c r="HG316" s="16">
        <v>43.6</v>
      </c>
      <c r="HH316">
        <v>26.15</v>
      </c>
      <c r="HI316" s="17">
        <v>0</v>
      </c>
      <c r="HJ316">
        <v>0</v>
      </c>
      <c r="HK316">
        <v>0</v>
      </c>
      <c r="HL316">
        <v>0</v>
      </c>
      <c r="HM316">
        <v>0</v>
      </c>
      <c r="HN316">
        <v>73.849999999999994</v>
      </c>
      <c r="HO316">
        <v>18.43</v>
      </c>
      <c r="HP316">
        <v>20.420000000000002</v>
      </c>
      <c r="HQ316">
        <v>0</v>
      </c>
      <c r="HR316">
        <v>0</v>
      </c>
      <c r="HS316">
        <v>2.44</v>
      </c>
      <c r="HT316">
        <v>0.13</v>
      </c>
      <c r="HU316">
        <v>9.7100000000000009</v>
      </c>
      <c r="HV316">
        <v>18.309999999999999</v>
      </c>
      <c r="HW316">
        <v>0</v>
      </c>
      <c r="HX316">
        <v>0</v>
      </c>
      <c r="HY316">
        <v>0</v>
      </c>
      <c r="IL316">
        <v>9.1</v>
      </c>
      <c r="IM316">
        <v>1</v>
      </c>
      <c r="IN316">
        <v>68</v>
      </c>
      <c r="IO316">
        <v>1</v>
      </c>
      <c r="IP316">
        <v>0.05</v>
      </c>
      <c r="IQ316">
        <v>1</v>
      </c>
      <c r="IR316">
        <v>35</v>
      </c>
      <c r="IS316">
        <v>3</v>
      </c>
      <c r="IT316">
        <f>0.76+0.64</f>
        <v>1.4</v>
      </c>
      <c r="IU316">
        <v>3</v>
      </c>
      <c r="IV316">
        <v>47</v>
      </c>
      <c r="IW316">
        <v>2</v>
      </c>
      <c r="IX316" s="18">
        <v>0.23</v>
      </c>
      <c r="IY316">
        <v>3</v>
      </c>
      <c r="JP316">
        <v>1</v>
      </c>
      <c r="JQ316">
        <v>60</v>
      </c>
      <c r="JR316">
        <v>2</v>
      </c>
      <c r="JS316">
        <v>0.26</v>
      </c>
      <c r="JT316">
        <v>3</v>
      </c>
      <c r="LA316" s="16">
        <v>0</v>
      </c>
      <c r="LB316" s="16">
        <v>0</v>
      </c>
      <c r="LC316" s="16"/>
      <c r="LD316" s="16"/>
      <c r="LE316" s="16"/>
      <c r="LF316" s="16"/>
      <c r="LG316" s="16"/>
      <c r="LH316" s="16"/>
      <c r="LI316" s="16"/>
      <c r="LJ316" s="16"/>
      <c r="LK316" s="16"/>
      <c r="LL316" s="16">
        <v>1.97</v>
      </c>
      <c r="LM316" s="16">
        <v>1.24</v>
      </c>
      <c r="LN316" s="16">
        <v>0</v>
      </c>
      <c r="LO316" s="16">
        <v>0</v>
      </c>
      <c r="LP316" s="16">
        <v>0</v>
      </c>
      <c r="LQ316" s="16">
        <v>0</v>
      </c>
      <c r="LR316" s="16">
        <v>3</v>
      </c>
      <c r="LS316">
        <v>0</v>
      </c>
      <c r="LT316" t="s">
        <v>502</v>
      </c>
      <c r="LU316">
        <v>34.5</v>
      </c>
      <c r="LV316" s="16">
        <v>53.2</v>
      </c>
      <c r="LW316" s="16">
        <v>80.400000000000006</v>
      </c>
      <c r="LX316" s="16">
        <v>8.3000000000000007</v>
      </c>
      <c r="LY316">
        <v>99.94</v>
      </c>
      <c r="LZ316" s="17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9.15</v>
      </c>
      <c r="ML316">
        <v>18.41</v>
      </c>
      <c r="MM316">
        <v>11.73</v>
      </c>
      <c r="MN316">
        <v>0</v>
      </c>
      <c r="MO316">
        <v>0</v>
      </c>
      <c r="MP316">
        <v>0</v>
      </c>
      <c r="NC316">
        <v>11.9</v>
      </c>
      <c r="ND316">
        <v>1</v>
      </c>
      <c r="NE316">
        <v>47</v>
      </c>
      <c r="NF316">
        <v>3</v>
      </c>
      <c r="NG316">
        <v>1.52</v>
      </c>
      <c r="NH316">
        <v>2</v>
      </c>
      <c r="NO316" s="18"/>
      <c r="OG316">
        <v>0</v>
      </c>
      <c r="PR316" s="16">
        <v>5.7</v>
      </c>
      <c r="PS316" s="16">
        <v>1</v>
      </c>
      <c r="PT316" s="16">
        <v>1</v>
      </c>
      <c r="PU316" s="16"/>
      <c r="PV316" s="16">
        <f>2.11+2.11+0.05+0.05+0.37</f>
        <v>4.6899999999999995</v>
      </c>
      <c r="PW316" s="16">
        <v>2</v>
      </c>
      <c r="PX316" s="16"/>
      <c r="PY316" s="16">
        <f>3.17+3.17+0.56+0.56+0.33</f>
        <v>7.7900000000000009</v>
      </c>
      <c r="PZ316" s="16"/>
      <c r="QA316" s="16"/>
      <c r="QB316" s="16"/>
      <c r="QC316" s="16">
        <v>0</v>
      </c>
      <c r="QD316" s="16">
        <v>0</v>
      </c>
      <c r="QE316" s="16"/>
      <c r="QF316" s="16"/>
      <c r="QG316" s="16">
        <v>5.97</v>
      </c>
      <c r="QH316" s="16">
        <v>0</v>
      </c>
      <c r="QI316" s="16">
        <v>0</v>
      </c>
      <c r="QJ316">
        <v>1</v>
      </c>
      <c r="QK316" t="s">
        <v>503</v>
      </c>
      <c r="QL316">
        <v>47</v>
      </c>
      <c r="QM316" s="16">
        <v>54.1</v>
      </c>
      <c r="QN316" s="16">
        <v>80.400000000000006</v>
      </c>
      <c r="QO316" s="16">
        <v>34.5</v>
      </c>
      <c r="QP316">
        <v>71.45</v>
      </c>
      <c r="QQ316" s="17">
        <v>0</v>
      </c>
      <c r="QR316">
        <v>21.93</v>
      </c>
      <c r="QS316">
        <v>6.49</v>
      </c>
      <c r="QT316">
        <v>0.12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1.01</v>
      </c>
      <c r="RB316">
        <v>0.45</v>
      </c>
      <c r="RC316">
        <v>18.399999999999999</v>
      </c>
      <c r="RD316">
        <v>11.28</v>
      </c>
      <c r="RE316">
        <v>0</v>
      </c>
      <c r="RF316">
        <v>0</v>
      </c>
      <c r="RG316">
        <v>0</v>
      </c>
      <c r="RT316">
        <v>6</v>
      </c>
      <c r="RU316">
        <v>1</v>
      </c>
      <c r="RV316">
        <v>35</v>
      </c>
      <c r="RW316">
        <v>8</v>
      </c>
      <c r="RX316">
        <f>0.25+0.25+0.25+0.13+0.13+0.13+0.13</f>
        <v>1.27</v>
      </c>
      <c r="RY316">
        <v>3</v>
      </c>
      <c r="SF316" s="18"/>
      <c r="SX316">
        <v>1</v>
      </c>
      <c r="SY316">
        <v>50</v>
      </c>
      <c r="SZ316">
        <v>2</v>
      </c>
      <c r="TA316">
        <f>0.76*2</f>
        <v>1.52</v>
      </c>
      <c r="TB316">
        <v>1</v>
      </c>
      <c r="UI316" s="16">
        <v>0.42</v>
      </c>
      <c r="UJ316" s="16">
        <v>1</v>
      </c>
      <c r="UK316" s="16">
        <v>1</v>
      </c>
      <c r="UL316" s="16"/>
      <c r="UM316" s="16">
        <f>0.68+0.68+0.03</f>
        <v>1.3900000000000001</v>
      </c>
      <c r="UN316" s="16"/>
      <c r="UO316" s="16"/>
      <c r="UP316" s="16"/>
      <c r="UQ316" s="16"/>
      <c r="UR316" s="16"/>
      <c r="US316" s="16"/>
      <c r="UT316" s="16">
        <v>5.21</v>
      </c>
      <c r="UU316" s="16">
        <v>7.05</v>
      </c>
      <c r="UV316" s="16"/>
      <c r="UW316" s="16"/>
      <c r="UX316" s="16">
        <v>0</v>
      </c>
      <c r="UY316" s="16">
        <v>0</v>
      </c>
      <c r="UZ316" s="16">
        <v>0</v>
      </c>
      <c r="VA316">
        <v>0</v>
      </c>
      <c r="VB316" t="s">
        <v>505</v>
      </c>
      <c r="VC316">
        <v>59</v>
      </c>
      <c r="VD316" s="16">
        <v>90.4</v>
      </c>
      <c r="VE316" s="16">
        <v>80.400000000000006</v>
      </c>
      <c r="VF316" s="16">
        <v>54.7</v>
      </c>
      <c r="VG316">
        <v>26.42</v>
      </c>
      <c r="VH316" s="17">
        <v>0</v>
      </c>
      <c r="VI316">
        <v>0</v>
      </c>
      <c r="VJ316">
        <v>0</v>
      </c>
      <c r="VK316">
        <v>0</v>
      </c>
      <c r="VL316">
        <v>0</v>
      </c>
      <c r="VM316">
        <v>66.959999999999994</v>
      </c>
      <c r="VN316">
        <v>6.55</v>
      </c>
      <c r="VO316">
        <v>30.83</v>
      </c>
      <c r="VP316">
        <v>0</v>
      </c>
      <c r="VQ316">
        <v>0</v>
      </c>
      <c r="VR316">
        <v>14.46</v>
      </c>
      <c r="VS316">
        <v>11.57</v>
      </c>
      <c r="VT316">
        <v>6.5</v>
      </c>
      <c r="VU316">
        <v>6.03</v>
      </c>
      <c r="VV316">
        <v>6.62</v>
      </c>
      <c r="VW316">
        <v>0</v>
      </c>
      <c r="VX316">
        <v>0</v>
      </c>
      <c r="WK316">
        <v>3.2</v>
      </c>
      <c r="WL316">
        <v>0</v>
      </c>
      <c r="WW316" s="18"/>
      <c r="XO316">
        <v>1</v>
      </c>
      <c r="XP316">
        <v>60</v>
      </c>
      <c r="XQ316">
        <v>2</v>
      </c>
      <c r="XR316">
        <v>1.52</v>
      </c>
      <c r="XS316">
        <v>3</v>
      </c>
      <c r="YZ316" s="16">
        <v>0.63</v>
      </c>
      <c r="ZA316" s="16">
        <v>1</v>
      </c>
      <c r="ZB316" s="16">
        <v>1</v>
      </c>
      <c r="ZC316" s="16"/>
      <c r="ZD316" s="16">
        <v>3.17</v>
      </c>
      <c r="ZE316" s="16"/>
      <c r="ZF316" s="16"/>
      <c r="ZG316" s="16"/>
      <c r="ZH316" s="16"/>
      <c r="ZI316" s="16"/>
      <c r="ZJ316" s="16"/>
      <c r="ZK316" s="16">
        <v>0</v>
      </c>
      <c r="ZL316" s="16">
        <v>0</v>
      </c>
      <c r="ZM316" s="16"/>
      <c r="ZN316" s="16"/>
      <c r="ZO316" s="16">
        <v>0</v>
      </c>
      <c r="ZP316" s="16">
        <v>0</v>
      </c>
      <c r="ZQ316" s="16">
        <v>0</v>
      </c>
      <c r="ZR316">
        <v>0</v>
      </c>
      <c r="ZS316" s="40" t="s">
        <v>619</v>
      </c>
      <c r="ZT316" s="40">
        <v>42</v>
      </c>
      <c r="ZU316" s="41">
        <v>97.3</v>
      </c>
      <c r="ZV316" s="41">
        <v>80.400000000000006</v>
      </c>
      <c r="ZW316" s="41">
        <v>14.9</v>
      </c>
      <c r="ZX316" s="40">
        <v>88.72</v>
      </c>
      <c r="ZY316" s="43">
        <v>0</v>
      </c>
      <c r="ZZ316" s="40">
        <v>0</v>
      </c>
      <c r="AAA316" s="40">
        <v>0</v>
      </c>
      <c r="AAB316" s="40">
        <v>11.28</v>
      </c>
      <c r="AAC316" s="40">
        <v>0</v>
      </c>
      <c r="AAD316" s="40">
        <v>0</v>
      </c>
      <c r="AAE316" s="40">
        <v>0</v>
      </c>
      <c r="AAF316" s="40">
        <v>0</v>
      </c>
      <c r="AAG316" s="40">
        <v>0</v>
      </c>
      <c r="AAH316" s="40">
        <v>0</v>
      </c>
      <c r="AAI316" s="40">
        <v>0</v>
      </c>
      <c r="AAJ316" s="40">
        <v>1.1399999999999999</v>
      </c>
      <c r="AAK316" s="40">
        <v>50.12</v>
      </c>
      <c r="AAL316" s="40">
        <v>30.38</v>
      </c>
      <c r="AAM316" s="40">
        <v>0</v>
      </c>
      <c r="AAN316" s="40">
        <v>0</v>
      </c>
      <c r="AAO316" s="40">
        <v>1</v>
      </c>
      <c r="AAP316" s="40">
        <v>2</v>
      </c>
      <c r="AAQ316" s="40"/>
      <c r="AAR316" s="40">
        <v>4</v>
      </c>
      <c r="AAS316" s="40"/>
      <c r="AAT316" s="40"/>
      <c r="AAU316" s="40"/>
      <c r="AAV316" s="40">
        <v>2</v>
      </c>
      <c r="AAW316" s="40"/>
      <c r="AAX316" s="40">
        <v>4</v>
      </c>
      <c r="AAY316" s="40"/>
      <c r="AAZ316" s="40"/>
      <c r="ABA316" s="40"/>
      <c r="ABB316" s="40">
        <v>0</v>
      </c>
      <c r="ABC316" s="40">
        <v>0</v>
      </c>
      <c r="ABD316" s="40"/>
      <c r="ABE316" s="40"/>
      <c r="ABF316" s="40"/>
      <c r="ABG316" s="40"/>
      <c r="ABH316" s="40"/>
      <c r="ABI316" s="40"/>
      <c r="ABJ316" s="40"/>
      <c r="ABK316" s="40"/>
      <c r="ABL316" s="40"/>
      <c r="ABM316" s="40"/>
      <c r="ABN316" s="42"/>
      <c r="ABO316" s="40"/>
      <c r="ABP316" s="40"/>
      <c r="ABQ316" s="40"/>
      <c r="ABR316" s="40"/>
      <c r="ABS316" s="40"/>
      <c r="ABT316" s="40"/>
      <c r="ABU316" s="40"/>
      <c r="ABV316" s="40"/>
      <c r="ABW316" s="40"/>
      <c r="ABX316" s="40"/>
      <c r="ABY316" s="40"/>
      <c r="ABZ316" s="40"/>
      <c r="ACA316" s="40"/>
      <c r="ACB316" s="40"/>
      <c r="ACC316" s="40"/>
      <c r="ACD316" s="40"/>
      <c r="ACE316" s="40"/>
      <c r="ACF316" s="40">
        <v>0</v>
      </c>
      <c r="ACG316" s="40"/>
      <c r="ACH316" s="40"/>
      <c r="ACI316" s="40"/>
      <c r="ACJ316" s="40"/>
      <c r="ACK316" s="40"/>
      <c r="ACL316" s="40"/>
      <c r="ACM316" s="40"/>
      <c r="ACN316" s="40"/>
      <c r="ACO316" s="40"/>
      <c r="ACP316" s="40"/>
      <c r="ACQ316" s="40"/>
      <c r="ACR316" s="40"/>
      <c r="ACS316" s="40"/>
      <c r="ACT316" s="40"/>
      <c r="ACU316" s="40"/>
      <c r="ACV316" s="40"/>
      <c r="ACW316" s="40"/>
      <c r="ACX316" s="40"/>
      <c r="ACY316" s="40"/>
      <c r="ACZ316" s="40"/>
      <c r="ADA316" s="40"/>
      <c r="ADB316" s="40"/>
      <c r="ADC316" s="40"/>
      <c r="ADD316" s="40"/>
      <c r="ADE316" s="40"/>
      <c r="ADF316" s="40"/>
      <c r="ADG316" s="40"/>
      <c r="ADH316" s="40"/>
      <c r="ADI316" s="40"/>
      <c r="ADJ316" s="40"/>
      <c r="ADK316" s="40"/>
      <c r="ADL316" s="40"/>
      <c r="ADM316" s="40"/>
      <c r="ADN316" s="40"/>
      <c r="ADO316" s="40"/>
      <c r="ADP316" s="40"/>
      <c r="ADQ316" s="41">
        <v>9.5299999999999994</v>
      </c>
      <c r="ADR316" s="41">
        <v>1</v>
      </c>
      <c r="ADS316" s="41">
        <v>1</v>
      </c>
      <c r="ADT316" s="41"/>
      <c r="ADU316" s="41">
        <f>3.17+6.34+4.23+0.56+1.12</f>
        <v>15.420000000000002</v>
      </c>
      <c r="ADV316" s="41">
        <v>2</v>
      </c>
      <c r="ADW316" s="41"/>
      <c r="ADX316" s="41">
        <f>8.46+1.59+1.59+1.49+0.28+1.49</f>
        <v>14.9</v>
      </c>
      <c r="ADY316" s="41"/>
      <c r="ADZ316" s="41"/>
      <c r="AEA316" s="41"/>
      <c r="AEB316" s="41">
        <v>14.15</v>
      </c>
      <c r="AEC316" s="41">
        <v>35.369999999999997</v>
      </c>
      <c r="AED316" s="41"/>
      <c r="AEE316" s="41"/>
      <c r="AEF316" s="41">
        <v>0</v>
      </c>
      <c r="AEG316" s="41">
        <v>0</v>
      </c>
      <c r="AEH316" s="41">
        <v>0</v>
      </c>
      <c r="AEI316" s="40">
        <v>0</v>
      </c>
      <c r="AEJ316" t="s">
        <v>887</v>
      </c>
      <c r="AEK316">
        <v>19</v>
      </c>
      <c r="AEL316" s="16">
        <v>85.1</v>
      </c>
      <c r="AEM316" s="16">
        <v>80.400000000000006</v>
      </c>
      <c r="AEN316" s="16">
        <v>10.3</v>
      </c>
      <c r="AEO316">
        <v>100</v>
      </c>
      <c r="AEP316" s="17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16.760000000000002</v>
      </c>
      <c r="AFC316">
        <v>22.28</v>
      </c>
      <c r="AFD316">
        <v>0</v>
      </c>
      <c r="AFE316">
        <v>0</v>
      </c>
      <c r="AFF316">
        <v>0</v>
      </c>
      <c r="AFS316">
        <v>0</v>
      </c>
      <c r="AFT316">
        <v>0</v>
      </c>
      <c r="AGE316" s="18"/>
      <c r="AGW316">
        <v>0</v>
      </c>
      <c r="AIH316" s="16">
        <v>0.99</v>
      </c>
      <c r="AII316" s="16">
        <v>1</v>
      </c>
      <c r="AIJ316" s="16">
        <v>1</v>
      </c>
      <c r="AIK316" s="16"/>
      <c r="AIL316" s="16">
        <f>2.11+0.37+0.27*3</f>
        <v>3.29</v>
      </c>
      <c r="AIM316" s="16"/>
      <c r="AIN316" s="16"/>
      <c r="AIO316" s="16"/>
      <c r="AIP316" s="16"/>
      <c r="AIQ316" s="16"/>
      <c r="AIR316" s="16"/>
      <c r="AIS316" s="16">
        <v>5.78</v>
      </c>
      <c r="AIT316" s="16">
        <v>12.6</v>
      </c>
      <c r="AIU316" s="16"/>
      <c r="AIV316" s="16"/>
      <c r="AIW316" s="16">
        <v>0</v>
      </c>
      <c r="AIX316" s="16">
        <v>0</v>
      </c>
      <c r="AIY316" s="16">
        <v>0</v>
      </c>
      <c r="AIZ316">
        <v>0</v>
      </c>
      <c r="AJA316" t="s">
        <v>710</v>
      </c>
      <c r="AJB316">
        <v>69.5</v>
      </c>
      <c r="AJC316" s="16">
        <v>70.900000000000006</v>
      </c>
      <c r="AJD316" s="16">
        <v>80.400000000000006</v>
      </c>
      <c r="AJE316" s="16">
        <v>23.6</v>
      </c>
      <c r="AJF316">
        <v>19.149999999999999</v>
      </c>
      <c r="AJG316" s="17">
        <v>0</v>
      </c>
      <c r="AJH316">
        <v>0</v>
      </c>
      <c r="AJI316">
        <v>0</v>
      </c>
      <c r="AJJ316">
        <v>0</v>
      </c>
      <c r="AJK316">
        <v>0</v>
      </c>
      <c r="AJL316">
        <v>71.09</v>
      </c>
      <c r="AJM316">
        <v>0</v>
      </c>
      <c r="AJN316">
        <v>0</v>
      </c>
      <c r="AJO316">
        <v>2.25</v>
      </c>
      <c r="AJP316">
        <v>0</v>
      </c>
      <c r="AJQ316">
        <v>14.15</v>
      </c>
      <c r="AJR316">
        <v>0.83</v>
      </c>
      <c r="AJS316">
        <v>20.78</v>
      </c>
      <c r="AJT316">
        <v>13.14</v>
      </c>
      <c r="AJU316">
        <v>9.76</v>
      </c>
      <c r="AJV316">
        <v>0</v>
      </c>
      <c r="AJW316">
        <v>0</v>
      </c>
      <c r="AKJ316">
        <v>24.4</v>
      </c>
      <c r="AKK316">
        <v>1</v>
      </c>
      <c r="AKL316">
        <v>70</v>
      </c>
      <c r="AKM316">
        <v>1</v>
      </c>
      <c r="AKN316">
        <v>1.5</v>
      </c>
      <c r="AKO316">
        <v>3</v>
      </c>
      <c r="AKP316">
        <v>68</v>
      </c>
      <c r="AKQ316">
        <v>2.25</v>
      </c>
      <c r="AKR316">
        <v>1</v>
      </c>
      <c r="AKS316">
        <v>1</v>
      </c>
      <c r="AKT316">
        <v>47</v>
      </c>
      <c r="AKU316">
        <v>1</v>
      </c>
      <c r="AKV316" s="18">
        <v>1.5</v>
      </c>
      <c r="AKW316">
        <v>3</v>
      </c>
      <c r="ALN316">
        <v>0</v>
      </c>
    </row>
    <row r="317" spans="1:1024" x14ac:dyDescent="0.2">
      <c r="A317" s="1" t="s">
        <v>894</v>
      </c>
      <c r="B317" s="12">
        <v>42905</v>
      </c>
      <c r="C317">
        <v>2</v>
      </c>
      <c r="D317" s="13">
        <v>42793</v>
      </c>
      <c r="E317" s="12">
        <v>31577</v>
      </c>
      <c r="F317" s="14">
        <f t="shared" si="106"/>
        <v>31.014373716632445</v>
      </c>
      <c r="G317" s="14">
        <f t="shared" si="107"/>
        <v>0.30663928815879532</v>
      </c>
      <c r="H317" s="19" t="s">
        <v>181</v>
      </c>
      <c r="I317" s="15" t="s">
        <v>496</v>
      </c>
      <c r="J317" s="15" t="s">
        <v>181</v>
      </c>
      <c r="K317" s="15">
        <v>8</v>
      </c>
      <c r="L317" s="19">
        <v>80</v>
      </c>
      <c r="M317">
        <v>1.75</v>
      </c>
      <c r="N317" s="16">
        <f t="shared" si="108"/>
        <v>26.122448979591837</v>
      </c>
      <c r="O317" s="19">
        <v>0</v>
      </c>
      <c r="P317" s="19">
        <v>0</v>
      </c>
      <c r="Q317" s="19">
        <v>0</v>
      </c>
      <c r="R317" s="26">
        <v>0</v>
      </c>
      <c r="S317" s="26">
        <v>0</v>
      </c>
      <c r="T317" s="26">
        <v>0</v>
      </c>
      <c r="U317" s="19">
        <v>0</v>
      </c>
      <c r="V317" s="19">
        <v>0</v>
      </c>
      <c r="W317" s="19">
        <v>0</v>
      </c>
      <c r="X317" s="19">
        <v>0</v>
      </c>
      <c r="Y317" s="19">
        <v>1</v>
      </c>
      <c r="Z317" s="19">
        <v>1</v>
      </c>
      <c r="AA317" s="19">
        <v>90</v>
      </c>
      <c r="AB317" s="19" t="s">
        <v>895</v>
      </c>
      <c r="AC317" s="19">
        <v>0</v>
      </c>
      <c r="AD317" s="19">
        <v>0</v>
      </c>
      <c r="AE317" s="19">
        <v>0</v>
      </c>
      <c r="AF317" s="19">
        <v>0</v>
      </c>
      <c r="AG317" s="19">
        <v>0</v>
      </c>
      <c r="AH317" s="19">
        <v>0</v>
      </c>
      <c r="AI317" s="19">
        <v>0</v>
      </c>
      <c r="AJ317" s="19">
        <v>0</v>
      </c>
      <c r="AK317" s="19">
        <v>0</v>
      </c>
      <c r="AL317" s="19">
        <v>0</v>
      </c>
      <c r="AM317" s="19">
        <v>0</v>
      </c>
      <c r="AN317" s="19"/>
      <c r="AO317" s="19"/>
      <c r="AP317" s="19"/>
      <c r="AQ317" s="19"/>
      <c r="AR317" s="19"/>
      <c r="AS317" s="19">
        <v>0</v>
      </c>
      <c r="AT317" s="19">
        <v>0</v>
      </c>
      <c r="AU317" s="19">
        <v>0</v>
      </c>
      <c r="AV317" s="19">
        <v>0</v>
      </c>
      <c r="AW317" s="19">
        <v>0</v>
      </c>
      <c r="AX317" s="19">
        <v>0</v>
      </c>
      <c r="AY317" s="19">
        <v>0</v>
      </c>
      <c r="AZ317" s="19">
        <v>0</v>
      </c>
      <c r="BA317" s="19">
        <v>0</v>
      </c>
      <c r="BB317" s="19">
        <v>0</v>
      </c>
      <c r="BC317" s="19">
        <v>0</v>
      </c>
      <c r="BD317" s="19">
        <v>0</v>
      </c>
      <c r="BE317" s="19">
        <v>0</v>
      </c>
      <c r="BF317" s="19">
        <v>0</v>
      </c>
      <c r="BG317" s="19">
        <v>0</v>
      </c>
      <c r="BH317" s="19">
        <v>0</v>
      </c>
      <c r="BI317" s="19">
        <v>0</v>
      </c>
      <c r="BJ317" s="19">
        <v>0</v>
      </c>
      <c r="BK317" s="19">
        <v>0</v>
      </c>
      <c r="BL317" s="19">
        <v>0</v>
      </c>
      <c r="BM317" s="19">
        <v>0</v>
      </c>
      <c r="BN317" s="19">
        <v>0</v>
      </c>
      <c r="BO317" s="19">
        <v>0</v>
      </c>
      <c r="BP317" s="19">
        <v>0</v>
      </c>
      <c r="BQ317" s="19">
        <v>0</v>
      </c>
      <c r="BR317" s="19">
        <v>2</v>
      </c>
      <c r="BS317" s="19">
        <v>1</v>
      </c>
      <c r="BT317" s="19">
        <v>3</v>
      </c>
      <c r="BU317" s="19">
        <v>5</v>
      </c>
      <c r="BV317" s="19">
        <v>2</v>
      </c>
      <c r="BW317" s="19">
        <v>1</v>
      </c>
      <c r="BX317" s="19">
        <v>3</v>
      </c>
      <c r="BY317" s="19">
        <v>3</v>
      </c>
      <c r="BZ317" s="19">
        <v>4</v>
      </c>
      <c r="CA317" s="19">
        <v>5</v>
      </c>
      <c r="CB317" s="19">
        <v>5</v>
      </c>
      <c r="CC317" s="19">
        <v>4</v>
      </c>
      <c r="CD317" s="19">
        <v>4</v>
      </c>
      <c r="CE317" s="19">
        <v>5</v>
      </c>
      <c r="CF317" s="19">
        <v>5</v>
      </c>
      <c r="CG317" s="19">
        <v>5</v>
      </c>
      <c r="CH317" s="19">
        <v>5</v>
      </c>
      <c r="CI317" s="19">
        <v>5</v>
      </c>
      <c r="CJ317" s="19">
        <v>5</v>
      </c>
      <c r="CK317" s="19">
        <v>9</v>
      </c>
      <c r="CL317" t="s">
        <v>498</v>
      </c>
      <c r="CM317">
        <v>33</v>
      </c>
      <c r="CN317" s="16">
        <v>71.2</v>
      </c>
      <c r="CO317" s="16">
        <v>80.400000000000006</v>
      </c>
      <c r="CP317" s="16">
        <v>16.3</v>
      </c>
      <c r="CQ317">
        <v>83.24</v>
      </c>
      <c r="CR317" s="17">
        <v>0</v>
      </c>
      <c r="CS317">
        <v>0</v>
      </c>
      <c r="CT317">
        <v>0</v>
      </c>
      <c r="CU317">
        <v>14.14</v>
      </c>
      <c r="CV317">
        <v>0</v>
      </c>
      <c r="CW317">
        <v>2.63</v>
      </c>
      <c r="CX317">
        <v>0</v>
      </c>
      <c r="CY317">
        <v>0</v>
      </c>
      <c r="CZ317">
        <v>0</v>
      </c>
      <c r="DA317">
        <v>0</v>
      </c>
      <c r="DB317">
        <v>2.63</v>
      </c>
      <c r="DC317">
        <v>10.16</v>
      </c>
      <c r="DD317">
        <v>20.83</v>
      </c>
      <c r="DE317">
        <v>24.81</v>
      </c>
      <c r="DF317">
        <v>0</v>
      </c>
      <c r="DG317">
        <v>11.2</v>
      </c>
      <c r="DH317">
        <v>1</v>
      </c>
      <c r="DI317">
        <v>5</v>
      </c>
      <c r="DK317">
        <v>1</v>
      </c>
      <c r="DO317">
        <v>5</v>
      </c>
      <c r="DQ317">
        <v>1</v>
      </c>
      <c r="DU317">
        <v>0</v>
      </c>
      <c r="DV317">
        <v>0</v>
      </c>
      <c r="EG317" s="18"/>
      <c r="EY317">
        <v>0</v>
      </c>
      <c r="GJ317" s="16">
        <v>2.71</v>
      </c>
      <c r="GK317" s="16">
        <v>1</v>
      </c>
      <c r="GL317" s="16">
        <v>1</v>
      </c>
      <c r="GM317" s="16"/>
      <c r="GN317" s="16">
        <f>2.11*4+0.52*2</f>
        <v>9.48</v>
      </c>
      <c r="GO317" s="16"/>
      <c r="GP317" s="16"/>
      <c r="GQ317" s="16"/>
      <c r="GR317" s="16"/>
      <c r="GS317" s="16"/>
      <c r="GT317" s="16"/>
      <c r="GU317" s="16">
        <v>2.63</v>
      </c>
      <c r="GV317" s="16">
        <v>2.6</v>
      </c>
      <c r="GW317" s="16">
        <v>0</v>
      </c>
      <c r="GX317" s="16">
        <v>0</v>
      </c>
      <c r="GY317" s="16">
        <v>0</v>
      </c>
      <c r="GZ317" s="16">
        <v>0</v>
      </c>
      <c r="HA317" s="16">
        <v>0</v>
      </c>
      <c r="HB317">
        <v>0</v>
      </c>
      <c r="HC317" t="s">
        <v>500</v>
      </c>
      <c r="HD317">
        <v>48</v>
      </c>
      <c r="HE317" s="16">
        <v>69.7</v>
      </c>
      <c r="HF317" s="16">
        <v>80.400000000000006</v>
      </c>
      <c r="HG317" s="16">
        <v>44.5</v>
      </c>
      <c r="HH317">
        <v>13.55</v>
      </c>
      <c r="HI317" s="17">
        <v>0</v>
      </c>
      <c r="HJ317">
        <v>0</v>
      </c>
      <c r="HK317">
        <v>0</v>
      </c>
      <c r="HL317">
        <v>0.1</v>
      </c>
      <c r="HM317">
        <v>0</v>
      </c>
      <c r="HN317">
        <v>86.34</v>
      </c>
      <c r="HO317">
        <v>13.26</v>
      </c>
      <c r="HP317">
        <v>28.53</v>
      </c>
      <c r="HQ317">
        <v>0</v>
      </c>
      <c r="HR317">
        <v>0</v>
      </c>
      <c r="HS317">
        <v>0.78</v>
      </c>
      <c r="HT317">
        <v>3.48</v>
      </c>
      <c r="HU317">
        <v>11.45</v>
      </c>
      <c r="HV317">
        <v>6.85</v>
      </c>
      <c r="HW317">
        <v>0</v>
      </c>
      <c r="HX317">
        <v>0</v>
      </c>
      <c r="HY317">
        <v>0</v>
      </c>
      <c r="IL317">
        <v>0</v>
      </c>
      <c r="IM317">
        <v>0</v>
      </c>
      <c r="IX317" s="18"/>
      <c r="JP317">
        <v>0</v>
      </c>
      <c r="LA317" s="16">
        <v>0.75</v>
      </c>
      <c r="LB317" s="16">
        <v>1</v>
      </c>
      <c r="LC317" s="16">
        <v>1</v>
      </c>
      <c r="LD317" s="16"/>
      <c r="LE317" s="16">
        <f>2.11+0.37</f>
        <v>2.48</v>
      </c>
      <c r="LF317" s="16"/>
      <c r="LG317" s="16"/>
      <c r="LH317" s="16"/>
      <c r="LI317" s="16"/>
      <c r="LJ317" s="16"/>
      <c r="LK317" s="16"/>
      <c r="LL317" s="16">
        <v>2.66</v>
      </c>
      <c r="LM317" s="16">
        <v>2.64</v>
      </c>
      <c r="LN317" s="16">
        <v>0</v>
      </c>
      <c r="LO317" s="16">
        <v>0</v>
      </c>
      <c r="LP317" s="16">
        <v>0</v>
      </c>
      <c r="LQ317" s="16">
        <v>0</v>
      </c>
      <c r="LR317" s="16">
        <v>0</v>
      </c>
      <c r="LS317">
        <v>0</v>
      </c>
      <c r="LT317" t="s">
        <v>501</v>
      </c>
      <c r="LU317">
        <v>58</v>
      </c>
      <c r="LV317" s="16">
        <v>79.900000000000006</v>
      </c>
      <c r="LW317" s="16">
        <v>80.400000000000006</v>
      </c>
      <c r="LX317" s="16">
        <v>43.6</v>
      </c>
      <c r="LY317">
        <v>26.15</v>
      </c>
      <c r="LZ317" s="17">
        <v>0</v>
      </c>
      <c r="MA317">
        <v>0</v>
      </c>
      <c r="MB317">
        <v>0</v>
      </c>
      <c r="MC317">
        <v>0</v>
      </c>
      <c r="MD317">
        <v>0</v>
      </c>
      <c r="ME317">
        <v>73.849999999999994</v>
      </c>
      <c r="MF317">
        <v>18.43</v>
      </c>
      <c r="MG317">
        <v>20.420000000000002</v>
      </c>
      <c r="MH317">
        <v>0</v>
      </c>
      <c r="MI317">
        <v>0</v>
      </c>
      <c r="MJ317">
        <v>2.44</v>
      </c>
      <c r="MK317">
        <v>0.13</v>
      </c>
      <c r="ML317">
        <v>9.7100000000000009</v>
      </c>
      <c r="MM317">
        <v>18.309999999999999</v>
      </c>
      <c r="MN317">
        <v>0</v>
      </c>
      <c r="MO317">
        <v>0</v>
      </c>
      <c r="MP317">
        <v>0</v>
      </c>
      <c r="NC317">
        <v>9.1</v>
      </c>
      <c r="ND317">
        <v>1</v>
      </c>
      <c r="NE317">
        <v>68</v>
      </c>
      <c r="NF317">
        <v>1</v>
      </c>
      <c r="NG317">
        <v>0.05</v>
      </c>
      <c r="NH317">
        <v>1</v>
      </c>
      <c r="NI317">
        <v>35</v>
      </c>
      <c r="NJ317">
        <v>3</v>
      </c>
      <c r="NK317">
        <f>0.76+0.64</f>
        <v>1.4</v>
      </c>
      <c r="NL317">
        <v>3</v>
      </c>
      <c r="NM317">
        <v>47</v>
      </c>
      <c r="NN317">
        <v>2</v>
      </c>
      <c r="NO317" s="18">
        <v>0.23</v>
      </c>
      <c r="NP317">
        <v>3</v>
      </c>
      <c r="OG317">
        <v>1</v>
      </c>
      <c r="OH317">
        <v>60</v>
      </c>
      <c r="OI317">
        <v>2</v>
      </c>
      <c r="OJ317">
        <v>0.26</v>
      </c>
      <c r="OK317">
        <v>3</v>
      </c>
      <c r="PR317" s="16">
        <v>0</v>
      </c>
      <c r="PS317" s="16">
        <v>0</v>
      </c>
      <c r="PT317" s="16"/>
      <c r="PU317" s="16"/>
      <c r="PV317" s="16"/>
      <c r="PW317" s="16"/>
      <c r="PX317" s="16"/>
      <c r="PY317" s="16"/>
      <c r="PZ317" s="16"/>
      <c r="QA317" s="16"/>
      <c r="QB317" s="16"/>
      <c r="QC317" s="16">
        <v>1.97</v>
      </c>
      <c r="QD317" s="16">
        <v>1.24</v>
      </c>
      <c r="QE317" s="16">
        <v>0</v>
      </c>
      <c r="QF317" s="16">
        <v>0</v>
      </c>
      <c r="QG317" s="16">
        <v>0</v>
      </c>
      <c r="QH317" s="16">
        <v>0</v>
      </c>
      <c r="QI317" s="16">
        <v>3</v>
      </c>
      <c r="QJ317">
        <v>0</v>
      </c>
      <c r="QK317" t="s">
        <v>503</v>
      </c>
      <c r="QL317">
        <v>47</v>
      </c>
      <c r="QM317" s="16">
        <v>54.1</v>
      </c>
      <c r="QN317" s="16">
        <v>80.400000000000006</v>
      </c>
      <c r="QO317" s="16">
        <v>34.5</v>
      </c>
      <c r="QP317">
        <v>71.45</v>
      </c>
      <c r="QQ317" s="17">
        <v>0</v>
      </c>
      <c r="QR317">
        <v>21.93</v>
      </c>
      <c r="QS317">
        <v>6.49</v>
      </c>
      <c r="QT317">
        <v>0.12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1.01</v>
      </c>
      <c r="RB317">
        <v>0.45</v>
      </c>
      <c r="RC317">
        <v>18.399999999999999</v>
      </c>
      <c r="RD317">
        <v>11.28</v>
      </c>
      <c r="RE317">
        <v>0</v>
      </c>
      <c r="RF317">
        <v>0</v>
      </c>
      <c r="RG317">
        <v>0</v>
      </c>
      <c r="RT317">
        <v>6</v>
      </c>
      <c r="RU317">
        <v>1</v>
      </c>
      <c r="RV317">
        <v>35</v>
      </c>
      <c r="RW317">
        <v>8</v>
      </c>
      <c r="RX317">
        <f>0.25+0.25+0.25+0.13+0.13+0.13+0.13</f>
        <v>1.27</v>
      </c>
      <c r="RY317">
        <v>3</v>
      </c>
      <c r="SF317" s="18"/>
      <c r="SX317">
        <v>1</v>
      </c>
      <c r="SY317">
        <v>50</v>
      </c>
      <c r="SZ317">
        <v>2</v>
      </c>
      <c r="TA317">
        <f>0.76*2</f>
        <v>1.52</v>
      </c>
      <c r="TB317">
        <v>1</v>
      </c>
      <c r="UI317" s="16">
        <v>0.42</v>
      </c>
      <c r="UJ317" s="16">
        <v>1</v>
      </c>
      <c r="UK317" s="16">
        <v>1</v>
      </c>
      <c r="UL317" s="16"/>
      <c r="UM317" s="16">
        <f>0.68+0.68+0.03</f>
        <v>1.3900000000000001</v>
      </c>
      <c r="UN317" s="16"/>
      <c r="UO317" s="16"/>
      <c r="UP317" s="16"/>
      <c r="UQ317" s="16"/>
      <c r="UR317" s="16"/>
      <c r="US317" s="16"/>
      <c r="UT317" s="16">
        <v>5.21</v>
      </c>
      <c r="UU317" s="16">
        <v>7.05</v>
      </c>
      <c r="UV317" s="16"/>
      <c r="UW317" s="16"/>
      <c r="UX317" s="16">
        <v>0</v>
      </c>
      <c r="UY317" s="16">
        <v>0</v>
      </c>
      <c r="UZ317" s="16">
        <v>0</v>
      </c>
      <c r="VA317">
        <v>0</v>
      </c>
      <c r="VB317" t="s">
        <v>504</v>
      </c>
      <c r="VC317">
        <v>65.5</v>
      </c>
      <c r="VD317" s="16">
        <v>92.2</v>
      </c>
      <c r="VE317" s="16">
        <v>80.400000000000006</v>
      </c>
      <c r="VF317" s="16">
        <v>61.7</v>
      </c>
      <c r="VG317">
        <v>22.46</v>
      </c>
      <c r="VH317" s="17">
        <v>0</v>
      </c>
      <c r="VI317">
        <v>0</v>
      </c>
      <c r="VJ317">
        <v>0</v>
      </c>
      <c r="VK317">
        <v>0</v>
      </c>
      <c r="VL317">
        <v>0</v>
      </c>
      <c r="VM317">
        <v>70.92</v>
      </c>
      <c r="VN317">
        <v>9.4</v>
      </c>
      <c r="VO317">
        <v>33.69</v>
      </c>
      <c r="VP317">
        <v>0</v>
      </c>
      <c r="VQ317">
        <v>0</v>
      </c>
      <c r="VR317">
        <v>14.46</v>
      </c>
      <c r="VS317">
        <v>11.32</v>
      </c>
      <c r="VT317">
        <v>6.58</v>
      </c>
      <c r="VU317">
        <v>8.8800000000000008</v>
      </c>
      <c r="VV317">
        <v>6.62</v>
      </c>
      <c r="VW317">
        <v>0</v>
      </c>
      <c r="VX317">
        <v>0</v>
      </c>
      <c r="WK317">
        <v>3.2</v>
      </c>
      <c r="WL317">
        <v>0</v>
      </c>
      <c r="WW317" s="18"/>
      <c r="XO317">
        <v>1</v>
      </c>
      <c r="XP317">
        <v>60</v>
      </c>
      <c r="XQ317">
        <v>2</v>
      </c>
      <c r="XR317">
        <f>0.76*2</f>
        <v>1.52</v>
      </c>
      <c r="XS317">
        <v>3</v>
      </c>
      <c r="YZ317" s="16">
        <v>0.63</v>
      </c>
      <c r="ZA317" s="16">
        <v>1</v>
      </c>
      <c r="ZB317" s="16">
        <v>1</v>
      </c>
      <c r="ZC317" s="16"/>
      <c r="ZD317" s="16">
        <v>3.17</v>
      </c>
      <c r="ZE317" s="16"/>
      <c r="ZF317" s="16"/>
      <c r="ZG317" s="16"/>
      <c r="ZH317" s="16"/>
      <c r="ZI317" s="16"/>
      <c r="ZJ317" s="16"/>
      <c r="ZK317" s="16">
        <v>0</v>
      </c>
      <c r="ZL317" s="16">
        <v>0</v>
      </c>
      <c r="ZM317" s="16"/>
      <c r="ZN317" s="16"/>
      <c r="ZO317" s="16">
        <v>0</v>
      </c>
      <c r="ZP317" s="16">
        <v>0</v>
      </c>
      <c r="ZQ317" s="16">
        <v>0</v>
      </c>
      <c r="ZR317">
        <v>0</v>
      </c>
      <c r="ZS317" t="s">
        <v>505</v>
      </c>
      <c r="ZT317">
        <v>59</v>
      </c>
      <c r="ZU317" s="16">
        <v>90.4</v>
      </c>
      <c r="ZV317" s="16">
        <v>80.400000000000006</v>
      </c>
      <c r="ZW317" s="16">
        <v>54.7</v>
      </c>
      <c r="ZX317">
        <v>26.42</v>
      </c>
      <c r="ZY317" s="17">
        <v>0</v>
      </c>
      <c r="ZZ317">
        <v>0</v>
      </c>
      <c r="AAA317">
        <v>0</v>
      </c>
      <c r="AAB317">
        <v>0</v>
      </c>
      <c r="AAC317">
        <v>0</v>
      </c>
      <c r="AAD317">
        <v>66.959999999999994</v>
      </c>
      <c r="AAE317">
        <v>6.55</v>
      </c>
      <c r="AAF317">
        <v>30.83</v>
      </c>
      <c r="AAG317">
        <v>0</v>
      </c>
      <c r="AAH317">
        <v>0</v>
      </c>
      <c r="AAI317">
        <v>14.46</v>
      </c>
      <c r="AAJ317">
        <v>11.57</v>
      </c>
      <c r="AAK317">
        <v>6.5</v>
      </c>
      <c r="AAL317">
        <v>6.03</v>
      </c>
      <c r="AAM317">
        <v>6.62</v>
      </c>
      <c r="AAN317">
        <v>0</v>
      </c>
      <c r="AAO317">
        <v>0</v>
      </c>
      <c r="ABB317">
        <v>3.2</v>
      </c>
      <c r="ABC317">
        <v>0</v>
      </c>
      <c r="ABN317" s="18"/>
      <c r="ACF317">
        <v>1</v>
      </c>
      <c r="ACG317">
        <v>60</v>
      </c>
      <c r="ACH317">
        <v>2</v>
      </c>
      <c r="ACI317">
        <v>1.52</v>
      </c>
      <c r="ACJ317">
        <v>3</v>
      </c>
      <c r="ADQ317" s="16">
        <v>0.63</v>
      </c>
      <c r="ADR317" s="16">
        <v>1</v>
      </c>
      <c r="ADS317" s="16">
        <v>1</v>
      </c>
      <c r="ADT317" s="16"/>
      <c r="ADU317" s="16">
        <v>3.17</v>
      </c>
      <c r="ADV317" s="16"/>
      <c r="ADW317" s="16"/>
      <c r="ADX317" s="16"/>
      <c r="ADY317" s="16"/>
      <c r="ADZ317" s="16"/>
      <c r="AEA317" s="16"/>
      <c r="AEB317" s="16">
        <v>0</v>
      </c>
      <c r="AEC317" s="16">
        <v>0</v>
      </c>
      <c r="AED317" s="16"/>
      <c r="AEE317" s="16"/>
      <c r="AEF317" s="16">
        <v>0</v>
      </c>
      <c r="AEG317" s="16">
        <v>0</v>
      </c>
      <c r="AEH317" s="16">
        <v>0</v>
      </c>
      <c r="AEI317">
        <v>0</v>
      </c>
      <c r="AEK317" s="15"/>
      <c r="AEL317" s="15"/>
      <c r="AES317" s="15"/>
      <c r="AET317" s="15"/>
      <c r="AFA317" s="15"/>
      <c r="AFB317" s="15"/>
      <c r="AFI317" s="15"/>
      <c r="AFJ317" s="15"/>
      <c r="AFQ317" s="15"/>
      <c r="AFR317" s="15"/>
      <c r="AFY317" s="15"/>
      <c r="AFZ317" s="15"/>
      <c r="AGG317" s="15"/>
      <c r="AGH317" s="15"/>
      <c r="AGO317" s="15"/>
      <c r="AGP317" s="15"/>
      <c r="AGW317" s="15"/>
      <c r="AGX317" s="15"/>
      <c r="AHE317" s="15"/>
      <c r="AHF317" s="15"/>
      <c r="AHM317" s="15"/>
      <c r="AHN317" s="15"/>
      <c r="AHU317" s="15"/>
      <c r="AHV317" s="15"/>
      <c r="AIC317" s="15"/>
      <c r="AID317" s="15"/>
      <c r="AIK317" s="15"/>
      <c r="AIL317" s="15"/>
      <c r="AIS317" s="15"/>
      <c r="AIT317" s="15"/>
      <c r="AJA317" s="15"/>
      <c r="AJB317" s="15"/>
      <c r="AJI317" s="15"/>
      <c r="AJJ317" s="15"/>
      <c r="AJQ317" s="15"/>
      <c r="AJR317" s="15"/>
      <c r="AJY317" s="15"/>
      <c r="AJZ317" s="15"/>
      <c r="AKG317" s="15"/>
      <c r="AKH317" s="15"/>
      <c r="AKO317" s="15"/>
      <c r="AKP317" s="15"/>
      <c r="AKW317" s="15"/>
      <c r="AKX317" s="15"/>
      <c r="ALE317" s="15"/>
      <c r="ALF317" s="15"/>
      <c r="ALM317" s="15"/>
      <c r="ALN317" s="15"/>
      <c r="ALU317" s="15"/>
      <c r="ALV317" s="15"/>
      <c r="AMC317" s="15"/>
      <c r="AMD317" s="15"/>
    </row>
    <row r="318" spans="1:1024" x14ac:dyDescent="0.2">
      <c r="A318" s="1" t="s">
        <v>896</v>
      </c>
      <c r="B318" s="12">
        <v>42905</v>
      </c>
      <c r="C318">
        <v>1</v>
      </c>
      <c r="D318" s="13">
        <v>40738</v>
      </c>
      <c r="E318" s="12">
        <v>26334</v>
      </c>
      <c r="F318" s="14">
        <f t="shared" si="106"/>
        <v>45.368925393566052</v>
      </c>
      <c r="G318" s="14">
        <f t="shared" si="107"/>
        <v>5.9329226557152639</v>
      </c>
      <c r="H318" s="19" t="s">
        <v>181</v>
      </c>
      <c r="I318" s="15" t="s">
        <v>496</v>
      </c>
      <c r="J318" s="15" t="s">
        <v>181</v>
      </c>
      <c r="K318" s="15">
        <v>8</v>
      </c>
      <c r="L318" s="19">
        <v>80</v>
      </c>
      <c r="M318">
        <v>1.77</v>
      </c>
      <c r="N318" s="16">
        <f t="shared" si="108"/>
        <v>25.535446391522228</v>
      </c>
      <c r="O318" s="19">
        <v>1</v>
      </c>
      <c r="P318" s="19">
        <v>1</v>
      </c>
      <c r="Q318" s="19" t="s">
        <v>897</v>
      </c>
      <c r="R318" s="26">
        <v>0</v>
      </c>
      <c r="S318" s="26">
        <v>0</v>
      </c>
      <c r="T318" s="26">
        <v>0</v>
      </c>
      <c r="U318" s="19">
        <v>0</v>
      </c>
      <c r="V318" s="19">
        <v>0</v>
      </c>
      <c r="W318" s="19">
        <v>0</v>
      </c>
      <c r="X318" s="19">
        <v>0</v>
      </c>
      <c r="Y318" s="19">
        <v>0</v>
      </c>
      <c r="Z318" s="19">
        <v>0</v>
      </c>
      <c r="AA318" s="19">
        <v>0</v>
      </c>
      <c r="AB318" s="19">
        <v>0</v>
      </c>
      <c r="AC318" s="19">
        <v>0</v>
      </c>
      <c r="AD318" s="19">
        <v>0</v>
      </c>
      <c r="AE318" s="19">
        <v>1</v>
      </c>
      <c r="AF318" s="19">
        <v>0</v>
      </c>
      <c r="AG318" s="19">
        <v>0</v>
      </c>
      <c r="AH318" s="19">
        <v>0</v>
      </c>
      <c r="AI318" s="19">
        <v>1</v>
      </c>
      <c r="AJ318" s="19">
        <v>1</v>
      </c>
      <c r="AK318" s="19">
        <v>3</v>
      </c>
      <c r="AL318" s="19">
        <v>9</v>
      </c>
      <c r="AM318" s="19">
        <v>6</v>
      </c>
      <c r="AN318" s="19">
        <v>2</v>
      </c>
      <c r="AO318" s="19">
        <v>0</v>
      </c>
      <c r="AP318" s="19">
        <v>0</v>
      </c>
      <c r="AQ318" s="19">
        <v>0</v>
      </c>
      <c r="AR318" s="19">
        <v>0</v>
      </c>
      <c r="AS318" s="19">
        <v>3</v>
      </c>
      <c r="AT318" s="19">
        <v>0</v>
      </c>
      <c r="AU318" s="19">
        <v>3</v>
      </c>
      <c r="AV318" s="19">
        <v>6</v>
      </c>
      <c r="AW318" s="19">
        <v>6</v>
      </c>
      <c r="AX318" s="19">
        <v>0</v>
      </c>
      <c r="AY318" s="19">
        <v>0</v>
      </c>
      <c r="AZ318" s="19">
        <v>0</v>
      </c>
      <c r="BA318" s="19">
        <v>0</v>
      </c>
      <c r="BB318" s="19">
        <v>0</v>
      </c>
      <c r="BC318" s="19">
        <v>0</v>
      </c>
      <c r="BD318" s="19">
        <v>0</v>
      </c>
      <c r="BE318" s="19">
        <v>0</v>
      </c>
      <c r="BF318" s="19">
        <v>0</v>
      </c>
      <c r="BG318" s="19">
        <v>0</v>
      </c>
      <c r="BH318" s="19">
        <v>0</v>
      </c>
      <c r="BI318" s="19">
        <v>0</v>
      </c>
      <c r="BJ318" s="19">
        <v>1</v>
      </c>
      <c r="BK318" s="19">
        <v>0</v>
      </c>
      <c r="BL318" s="19">
        <v>1</v>
      </c>
      <c r="BM318" s="19">
        <v>5</v>
      </c>
      <c r="BN318" s="19">
        <v>0</v>
      </c>
      <c r="BO318" s="19">
        <v>0</v>
      </c>
      <c r="BP318" s="19">
        <v>0</v>
      </c>
      <c r="BQ318" s="19">
        <v>0</v>
      </c>
      <c r="BR318" s="19">
        <v>3</v>
      </c>
      <c r="BS318" s="19">
        <v>3</v>
      </c>
      <c r="BT318" s="19">
        <v>5</v>
      </c>
      <c r="BU318" s="19">
        <v>5</v>
      </c>
      <c r="BV318" s="19">
        <v>2</v>
      </c>
      <c r="BW318" s="19">
        <v>4</v>
      </c>
      <c r="BX318" s="19">
        <v>3</v>
      </c>
      <c r="BY318" s="19">
        <v>5</v>
      </c>
      <c r="BZ318" s="19">
        <v>3</v>
      </c>
      <c r="CA318" s="19">
        <v>4</v>
      </c>
      <c r="CB318" s="19">
        <v>4</v>
      </c>
      <c r="CC318" s="19">
        <v>5</v>
      </c>
      <c r="CD318" s="19">
        <v>2</v>
      </c>
      <c r="CE318" s="19">
        <v>4</v>
      </c>
      <c r="CF318" s="19">
        <v>5</v>
      </c>
      <c r="CG318" s="19">
        <v>5</v>
      </c>
      <c r="CH318" s="19">
        <v>4</v>
      </c>
      <c r="CI318" s="19">
        <v>5</v>
      </c>
      <c r="CJ318" s="19">
        <v>5</v>
      </c>
      <c r="CK318" s="19">
        <v>9</v>
      </c>
      <c r="CL318" t="s">
        <v>498</v>
      </c>
      <c r="CM318">
        <v>33</v>
      </c>
      <c r="CN318" s="16">
        <v>71.2</v>
      </c>
      <c r="CO318" s="16">
        <v>80.400000000000006</v>
      </c>
      <c r="CP318" s="16">
        <v>16.3</v>
      </c>
      <c r="CQ318">
        <v>83.24</v>
      </c>
      <c r="CR318" s="17">
        <v>0</v>
      </c>
      <c r="CS318">
        <v>0</v>
      </c>
      <c r="CT318">
        <v>0</v>
      </c>
      <c r="CU318">
        <v>14.14</v>
      </c>
      <c r="CV318">
        <v>0</v>
      </c>
      <c r="CW318">
        <v>2.63</v>
      </c>
      <c r="CX318">
        <v>0</v>
      </c>
      <c r="CY318">
        <v>0</v>
      </c>
      <c r="CZ318">
        <v>0</v>
      </c>
      <c r="DA318">
        <v>0</v>
      </c>
      <c r="DB318">
        <v>2.63</v>
      </c>
      <c r="DC318">
        <v>10.16</v>
      </c>
      <c r="DD318">
        <v>20.83</v>
      </c>
      <c r="DE318">
        <v>24.81</v>
      </c>
      <c r="DF318">
        <v>0</v>
      </c>
      <c r="DG318">
        <v>11.2</v>
      </c>
      <c r="DH318">
        <v>1</v>
      </c>
      <c r="DI318">
        <v>5</v>
      </c>
      <c r="DK318">
        <v>1</v>
      </c>
      <c r="DO318">
        <v>5</v>
      </c>
      <c r="DQ318">
        <v>1</v>
      </c>
      <c r="DU318">
        <v>0</v>
      </c>
      <c r="DV318">
        <v>0</v>
      </c>
      <c r="EG318" s="18"/>
      <c r="EY318">
        <v>0</v>
      </c>
      <c r="GJ318" s="16">
        <v>2.71</v>
      </c>
      <c r="GK318" s="16">
        <v>1</v>
      </c>
      <c r="GL318" s="16">
        <v>1</v>
      </c>
      <c r="GM318" s="16"/>
      <c r="GN318" s="16">
        <f>2.11*4+0.52*2</f>
        <v>9.48</v>
      </c>
      <c r="GO318" s="16"/>
      <c r="GP318" s="16"/>
      <c r="GQ318" s="16"/>
      <c r="GR318" s="16"/>
      <c r="GS318" s="16"/>
      <c r="GT318" s="16"/>
      <c r="GU318" s="16">
        <v>2.63</v>
      </c>
      <c r="GV318" s="16">
        <v>2.6</v>
      </c>
      <c r="GW318" s="16">
        <v>0</v>
      </c>
      <c r="GX318" s="16">
        <v>0</v>
      </c>
      <c r="GY318" s="16">
        <v>0</v>
      </c>
      <c r="GZ318" s="16">
        <v>0</v>
      </c>
      <c r="HA318" s="16">
        <v>0</v>
      </c>
      <c r="HB318">
        <v>0</v>
      </c>
      <c r="HC318" t="s">
        <v>499</v>
      </c>
      <c r="HD318">
        <v>40</v>
      </c>
      <c r="HE318" s="16">
        <v>79.7</v>
      </c>
      <c r="HF318" s="16">
        <v>80.400000000000006</v>
      </c>
      <c r="HG318" s="16">
        <v>11.2</v>
      </c>
      <c r="HH318">
        <v>91.23</v>
      </c>
      <c r="HI318" s="17">
        <v>0</v>
      </c>
      <c r="HJ318">
        <v>0</v>
      </c>
      <c r="HK318">
        <v>0</v>
      </c>
      <c r="HL318">
        <v>8.77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18.64</v>
      </c>
      <c r="HU318">
        <v>42.82</v>
      </c>
      <c r="HV318">
        <v>4.6100000000000003</v>
      </c>
      <c r="HW318">
        <v>0</v>
      </c>
      <c r="HX318">
        <v>0</v>
      </c>
      <c r="HY318">
        <v>0</v>
      </c>
      <c r="IL318">
        <v>23.2</v>
      </c>
      <c r="IM318">
        <v>1</v>
      </c>
      <c r="IN318">
        <v>35</v>
      </c>
      <c r="IO318">
        <f>2+4+2+2+2+4+2+2+1</f>
        <v>21</v>
      </c>
      <c r="IP318">
        <f>1.52+1.49+0.78*2+0.27+0.43+0.12+0.13</f>
        <v>5.52</v>
      </c>
      <c r="IQ318">
        <v>3</v>
      </c>
      <c r="IR318">
        <v>10</v>
      </c>
      <c r="IS318">
        <v>1</v>
      </c>
      <c r="IT318">
        <v>0.1</v>
      </c>
      <c r="IU318">
        <v>5</v>
      </c>
      <c r="IV318">
        <v>25</v>
      </c>
      <c r="IW318">
        <v>8</v>
      </c>
      <c r="IX318" s="18">
        <f>0.19*2+0.1</f>
        <v>0.48</v>
      </c>
      <c r="IY318">
        <v>1</v>
      </c>
      <c r="JP318">
        <v>0</v>
      </c>
      <c r="LA318" s="16">
        <v>1.52</v>
      </c>
      <c r="LB318" s="16">
        <v>1</v>
      </c>
      <c r="LC318" s="16">
        <v>1</v>
      </c>
      <c r="LD318" s="16"/>
      <c r="LE318" s="16">
        <f>2.11*2+0.19*3+0.1</f>
        <v>4.8899999999999997</v>
      </c>
      <c r="LF318" s="16"/>
      <c r="LG318" s="16"/>
      <c r="LH318" s="16"/>
      <c r="LI318" s="16"/>
      <c r="LJ318" s="16"/>
      <c r="LK318" s="16"/>
      <c r="LL318" s="16">
        <v>0</v>
      </c>
      <c r="LM318" s="16">
        <v>0</v>
      </c>
      <c r="LN318" s="16">
        <v>0</v>
      </c>
      <c r="LO318" s="16">
        <v>0</v>
      </c>
      <c r="LP318" s="16">
        <v>0</v>
      </c>
      <c r="LQ318" s="16">
        <v>0</v>
      </c>
      <c r="LR318" s="16">
        <v>0.06</v>
      </c>
      <c r="LS318">
        <v>0</v>
      </c>
      <c r="LT318" t="s">
        <v>500</v>
      </c>
      <c r="LU318">
        <v>48</v>
      </c>
      <c r="LV318" s="16">
        <v>69.7</v>
      </c>
      <c r="LW318" s="16">
        <v>80.400000000000006</v>
      </c>
      <c r="LX318" s="16">
        <v>44.5</v>
      </c>
      <c r="LY318">
        <v>13.55</v>
      </c>
      <c r="LZ318" s="17">
        <v>0</v>
      </c>
      <c r="MA318">
        <v>0</v>
      </c>
      <c r="MB318">
        <v>0</v>
      </c>
      <c r="MC318">
        <v>0.1</v>
      </c>
      <c r="MD318">
        <v>0</v>
      </c>
      <c r="ME318">
        <v>86.34</v>
      </c>
      <c r="MF318">
        <v>13.26</v>
      </c>
      <c r="MG318">
        <v>28.53</v>
      </c>
      <c r="MH318">
        <v>0</v>
      </c>
      <c r="MI318">
        <v>0</v>
      </c>
      <c r="MJ318">
        <v>0.78</v>
      </c>
      <c r="MK318">
        <v>3.48</v>
      </c>
      <c r="ML318">
        <v>11.45</v>
      </c>
      <c r="MM318">
        <v>6.85</v>
      </c>
      <c r="MN318">
        <v>0</v>
      </c>
      <c r="MO318">
        <v>0</v>
      </c>
      <c r="MP318">
        <v>0</v>
      </c>
      <c r="NC318">
        <v>0</v>
      </c>
      <c r="ND318">
        <v>0</v>
      </c>
      <c r="NO318" s="18"/>
      <c r="OG318">
        <v>0</v>
      </c>
      <c r="PR318" s="16">
        <v>0.75</v>
      </c>
      <c r="PS318" s="16">
        <v>1</v>
      </c>
      <c r="PT318" s="16">
        <v>1</v>
      </c>
      <c r="PU318" s="16"/>
      <c r="PV318" s="16">
        <f>2.11+0.37</f>
        <v>2.48</v>
      </c>
      <c r="PW318" s="16"/>
      <c r="PX318" s="16"/>
      <c r="PY318" s="16"/>
      <c r="PZ318" s="16"/>
      <c r="QA318" s="16"/>
      <c r="QB318" s="16"/>
      <c r="QC318" s="16">
        <v>2.66</v>
      </c>
      <c r="QD318" s="16">
        <v>2.64</v>
      </c>
      <c r="QE318" s="16">
        <v>0</v>
      </c>
      <c r="QF318" s="16">
        <v>0</v>
      </c>
      <c r="QG318" s="16">
        <v>0</v>
      </c>
      <c r="QH318" s="16">
        <v>0</v>
      </c>
      <c r="QI318" s="16">
        <v>0</v>
      </c>
      <c r="QJ318">
        <v>0</v>
      </c>
      <c r="QK318" t="s">
        <v>501</v>
      </c>
      <c r="QL318">
        <v>58</v>
      </c>
      <c r="QM318" s="16">
        <v>79.900000000000006</v>
      </c>
      <c r="QN318" s="16">
        <v>80.400000000000006</v>
      </c>
      <c r="QO318" s="16">
        <v>43.6</v>
      </c>
      <c r="QP318">
        <v>26.15</v>
      </c>
      <c r="QQ318" s="17">
        <v>0</v>
      </c>
      <c r="QR318">
        <v>0</v>
      </c>
      <c r="QS318">
        <v>0</v>
      </c>
      <c r="QT318">
        <v>0</v>
      </c>
      <c r="QU318">
        <v>0</v>
      </c>
      <c r="QV318">
        <v>73.849999999999994</v>
      </c>
      <c r="QW318">
        <v>18.43</v>
      </c>
      <c r="QX318">
        <v>20.420000000000002</v>
      </c>
      <c r="QY318">
        <v>0</v>
      </c>
      <c r="QZ318">
        <v>0</v>
      </c>
      <c r="RA318">
        <v>2.44</v>
      </c>
      <c r="RB318">
        <v>0.13</v>
      </c>
      <c r="RC318">
        <v>9.7100000000000009</v>
      </c>
      <c r="RD318">
        <v>18.309999999999999</v>
      </c>
      <c r="RE318">
        <v>0</v>
      </c>
      <c r="RF318">
        <v>0</v>
      </c>
      <c r="RG318">
        <v>0</v>
      </c>
      <c r="RT318">
        <v>9.1</v>
      </c>
      <c r="RU318">
        <v>1</v>
      </c>
      <c r="RV318">
        <v>68</v>
      </c>
      <c r="RW318">
        <v>1</v>
      </c>
      <c r="RX318">
        <v>0.05</v>
      </c>
      <c r="RY318">
        <v>1</v>
      </c>
      <c r="RZ318">
        <v>35</v>
      </c>
      <c r="SA318">
        <v>3</v>
      </c>
      <c r="SB318">
        <f>0.76+0.64</f>
        <v>1.4</v>
      </c>
      <c r="SC318">
        <v>3</v>
      </c>
      <c r="SD318">
        <v>47</v>
      </c>
      <c r="SE318">
        <v>2</v>
      </c>
      <c r="SF318" s="18">
        <v>0.23</v>
      </c>
      <c r="SG318">
        <v>3</v>
      </c>
      <c r="SX318">
        <v>1</v>
      </c>
      <c r="SY318">
        <v>60</v>
      </c>
      <c r="SZ318">
        <v>2</v>
      </c>
      <c r="TA318">
        <v>0.26</v>
      </c>
      <c r="TB318">
        <v>3</v>
      </c>
      <c r="UI318" s="16">
        <v>0</v>
      </c>
      <c r="UJ318" s="16">
        <v>0</v>
      </c>
      <c r="UK318" s="16"/>
      <c r="UL318" s="16"/>
      <c r="UM318" s="16"/>
      <c r="UN318" s="16"/>
      <c r="UO318" s="16"/>
      <c r="UP318" s="16"/>
      <c r="UQ318" s="16"/>
      <c r="UR318" s="16"/>
      <c r="US318" s="16"/>
      <c r="UT318" s="16">
        <v>1.97</v>
      </c>
      <c r="UU318" s="16">
        <v>1.24</v>
      </c>
      <c r="UV318" s="16">
        <v>0</v>
      </c>
      <c r="UW318" s="16">
        <v>0</v>
      </c>
      <c r="UX318" s="16">
        <v>0</v>
      </c>
      <c r="UY318" s="16">
        <v>0</v>
      </c>
      <c r="UZ318" s="16">
        <v>3</v>
      </c>
      <c r="VA318">
        <v>0</v>
      </c>
      <c r="VB318" t="s">
        <v>502</v>
      </c>
      <c r="VC318">
        <v>34.5</v>
      </c>
      <c r="VD318" s="16">
        <v>53.2</v>
      </c>
      <c r="VE318" s="16">
        <v>80.400000000000006</v>
      </c>
      <c r="VF318" s="16">
        <v>8.3000000000000007</v>
      </c>
      <c r="VG318">
        <v>99.94</v>
      </c>
      <c r="VH318" s="17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9.15</v>
      </c>
      <c r="VT318">
        <v>18.41</v>
      </c>
      <c r="VU318">
        <v>11.73</v>
      </c>
      <c r="VV318">
        <v>0</v>
      </c>
      <c r="VW318">
        <v>0</v>
      </c>
      <c r="VX318">
        <v>0</v>
      </c>
      <c r="WK318">
        <v>11.9</v>
      </c>
      <c r="WL318">
        <v>1</v>
      </c>
      <c r="WM318">
        <v>47</v>
      </c>
      <c r="WN318">
        <v>3</v>
      </c>
      <c r="WO318">
        <v>1.52</v>
      </c>
      <c r="WP318">
        <v>2</v>
      </c>
      <c r="WW318" s="18"/>
      <c r="XO318">
        <v>0</v>
      </c>
      <c r="YZ318" s="16">
        <v>5.7</v>
      </c>
      <c r="ZA318" s="16">
        <v>1</v>
      </c>
      <c r="ZB318" s="16">
        <v>1</v>
      </c>
      <c r="ZC318" s="16"/>
      <c r="ZD318" s="16">
        <f>2.11+2.11+0.05+0.05+0.37</f>
        <v>4.6899999999999995</v>
      </c>
      <c r="ZE318" s="16">
        <v>2</v>
      </c>
      <c r="ZF318" s="16"/>
      <c r="ZG318" s="16">
        <f>3.17+3.17+0.56+0.56+0.33</f>
        <v>7.7900000000000009</v>
      </c>
      <c r="ZH318" s="16"/>
      <c r="ZI318" s="16"/>
      <c r="ZJ318" s="16"/>
      <c r="ZK318" s="16">
        <v>0</v>
      </c>
      <c r="ZL318" s="16">
        <v>0</v>
      </c>
      <c r="ZM318" s="16"/>
      <c r="ZN318" s="16"/>
      <c r="ZO318" s="16">
        <v>5.97</v>
      </c>
      <c r="ZP318" s="16">
        <v>0</v>
      </c>
      <c r="ZQ318" s="16">
        <v>0</v>
      </c>
      <c r="ZR318">
        <v>1</v>
      </c>
      <c r="ZS318" t="s">
        <v>503</v>
      </c>
      <c r="ZT318">
        <v>47</v>
      </c>
      <c r="ZU318" s="16">
        <v>54.1</v>
      </c>
      <c r="ZV318" s="16">
        <v>80.400000000000006</v>
      </c>
      <c r="ZW318" s="16">
        <v>34.5</v>
      </c>
      <c r="ZX318">
        <v>71.45</v>
      </c>
      <c r="ZY318" s="17">
        <v>0</v>
      </c>
      <c r="ZZ318">
        <v>21.93</v>
      </c>
      <c r="AAA318">
        <v>6.49</v>
      </c>
      <c r="AAB318">
        <v>0.12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1.01</v>
      </c>
      <c r="AAJ318">
        <v>0.45</v>
      </c>
      <c r="AAK318">
        <v>18.399999999999999</v>
      </c>
      <c r="AAL318">
        <v>11.28</v>
      </c>
      <c r="AAM318">
        <v>0</v>
      </c>
      <c r="AAN318">
        <v>0</v>
      </c>
      <c r="AAO318">
        <v>0</v>
      </c>
      <c r="ABB318">
        <v>6</v>
      </c>
      <c r="ABC318">
        <v>1</v>
      </c>
      <c r="ABD318">
        <v>35</v>
      </c>
      <c r="ABE318">
        <v>8</v>
      </c>
      <c r="ABF318">
        <f>0.25+0.25+0.25+0.13+0.13+0.13+0.13</f>
        <v>1.27</v>
      </c>
      <c r="ABG318">
        <v>3</v>
      </c>
      <c r="ABN318" s="18"/>
      <c r="ACF318">
        <v>1</v>
      </c>
      <c r="ACG318">
        <v>50</v>
      </c>
      <c r="ACH318">
        <v>2</v>
      </c>
      <c r="ACI318">
        <f>0.76*2</f>
        <v>1.52</v>
      </c>
      <c r="ACJ318">
        <v>1</v>
      </c>
      <c r="ADQ318" s="16">
        <v>0.42</v>
      </c>
      <c r="ADR318" s="16">
        <v>1</v>
      </c>
      <c r="ADS318" s="16">
        <v>1</v>
      </c>
      <c r="ADT318" s="16"/>
      <c r="ADU318" s="16">
        <f>0.68+0.68+0.03</f>
        <v>1.3900000000000001</v>
      </c>
      <c r="ADV318" s="16"/>
      <c r="ADW318" s="16"/>
      <c r="ADX318" s="16"/>
      <c r="ADY318" s="16"/>
      <c r="ADZ318" s="16"/>
      <c r="AEA318" s="16"/>
      <c r="AEB318" s="16">
        <v>5.21</v>
      </c>
      <c r="AEC318" s="16">
        <v>7.05</v>
      </c>
      <c r="AED318" s="16"/>
      <c r="AEE318" s="16"/>
      <c r="AEF318" s="16">
        <v>0</v>
      </c>
      <c r="AEG318" s="16">
        <v>0</v>
      </c>
      <c r="AEH318" s="16">
        <v>0</v>
      </c>
      <c r="AEI318">
        <v>0</v>
      </c>
      <c r="AEJ318" t="s">
        <v>504</v>
      </c>
      <c r="AEK318">
        <v>65.5</v>
      </c>
      <c r="AEL318" s="16">
        <v>92.2</v>
      </c>
      <c r="AEM318" s="16">
        <v>80.400000000000006</v>
      </c>
      <c r="AEN318" s="16">
        <v>61.7</v>
      </c>
      <c r="AEO318">
        <v>22.46</v>
      </c>
      <c r="AEP318" s="17">
        <v>0</v>
      </c>
      <c r="AEQ318">
        <v>0</v>
      </c>
      <c r="AER318">
        <v>0</v>
      </c>
      <c r="AES318">
        <v>0</v>
      </c>
      <c r="AET318">
        <v>0</v>
      </c>
      <c r="AEU318">
        <v>70.92</v>
      </c>
      <c r="AEV318">
        <v>9.4</v>
      </c>
      <c r="AEW318">
        <v>33.69</v>
      </c>
      <c r="AEX318">
        <v>0</v>
      </c>
      <c r="AEY318">
        <v>0</v>
      </c>
      <c r="AEZ318">
        <v>14.46</v>
      </c>
      <c r="AFA318">
        <v>11.32</v>
      </c>
      <c r="AFB318">
        <v>6.58</v>
      </c>
      <c r="AFC318">
        <v>8.8800000000000008</v>
      </c>
      <c r="AFD318">
        <v>6.62</v>
      </c>
      <c r="AFE318">
        <v>0</v>
      </c>
      <c r="AFF318">
        <v>0</v>
      </c>
      <c r="AFS318">
        <v>3.2</v>
      </c>
      <c r="AFT318">
        <v>0</v>
      </c>
      <c r="AGE318" s="18"/>
      <c r="AGW318">
        <v>1</v>
      </c>
      <c r="AGX318">
        <v>60</v>
      </c>
      <c r="AGY318">
        <v>2</v>
      </c>
      <c r="AGZ318">
        <f>0.76*2</f>
        <v>1.52</v>
      </c>
      <c r="AHA318">
        <v>3</v>
      </c>
      <c r="AIH318" s="16">
        <v>0.63</v>
      </c>
      <c r="AII318" s="16">
        <v>1</v>
      </c>
      <c r="AIJ318" s="16">
        <v>1</v>
      </c>
      <c r="AIK318" s="16"/>
      <c r="AIL318" s="16">
        <v>3.17</v>
      </c>
      <c r="AIM318" s="16"/>
      <c r="AIN318" s="16"/>
      <c r="AIO318" s="16"/>
      <c r="AIP318" s="16"/>
      <c r="AIQ318" s="16"/>
      <c r="AIR318" s="16"/>
      <c r="AIS318" s="16">
        <v>0</v>
      </c>
      <c r="AIT318" s="16">
        <v>0</v>
      </c>
      <c r="AIU318" s="16"/>
      <c r="AIV318" s="16"/>
      <c r="AIW318" s="16">
        <v>0</v>
      </c>
      <c r="AIX318" s="16">
        <v>0</v>
      </c>
      <c r="AIY318" s="16">
        <v>0</v>
      </c>
      <c r="AIZ318">
        <v>0</v>
      </c>
      <c r="AJA318" t="s">
        <v>505</v>
      </c>
      <c r="AJB318">
        <v>59</v>
      </c>
      <c r="AJC318" s="16">
        <v>90.4</v>
      </c>
      <c r="AJD318" s="16">
        <v>80.400000000000006</v>
      </c>
      <c r="AJE318" s="16">
        <v>54.7</v>
      </c>
      <c r="AJF318">
        <v>26.42</v>
      </c>
      <c r="AJG318" s="17">
        <v>0</v>
      </c>
      <c r="AJH318">
        <v>0</v>
      </c>
      <c r="AJI318">
        <v>0</v>
      </c>
      <c r="AJJ318">
        <v>0</v>
      </c>
      <c r="AJK318">
        <v>0</v>
      </c>
      <c r="AJL318">
        <v>66.959999999999994</v>
      </c>
      <c r="AJM318">
        <v>6.55</v>
      </c>
      <c r="AJN318">
        <v>30.83</v>
      </c>
      <c r="AJO318">
        <v>0</v>
      </c>
      <c r="AJP318">
        <v>0</v>
      </c>
      <c r="AJQ318">
        <v>14.46</v>
      </c>
      <c r="AJR318">
        <v>11.57</v>
      </c>
      <c r="AJS318">
        <v>6.5</v>
      </c>
      <c r="AJT318">
        <v>6.03</v>
      </c>
      <c r="AJU318">
        <v>6.62</v>
      </c>
      <c r="AJV318">
        <v>0</v>
      </c>
      <c r="AJW318">
        <v>0</v>
      </c>
      <c r="AKJ318">
        <v>3.2</v>
      </c>
      <c r="AKK318">
        <v>0</v>
      </c>
      <c r="AKV318" s="18"/>
      <c r="ALN318">
        <v>1</v>
      </c>
      <c r="ALO318">
        <v>60</v>
      </c>
      <c r="ALP318">
        <v>2</v>
      </c>
      <c r="ALQ318">
        <v>1.52</v>
      </c>
      <c r="ALR318">
        <v>3</v>
      </c>
    </row>
    <row r="319" spans="1:1024" x14ac:dyDescent="0.2">
      <c r="A319" s="1" t="s">
        <v>898</v>
      </c>
      <c r="B319" s="12">
        <v>42905</v>
      </c>
      <c r="C319">
        <v>2</v>
      </c>
      <c r="D319" s="13">
        <v>42801</v>
      </c>
      <c r="E319" s="12">
        <v>34735</v>
      </c>
      <c r="F319" s="14">
        <f t="shared" si="106"/>
        <v>22.368240930869266</v>
      </c>
      <c r="G319" s="14">
        <f t="shared" si="107"/>
        <v>0.28473648186173856</v>
      </c>
      <c r="H319" s="19" t="s">
        <v>181</v>
      </c>
      <c r="I319" s="15" t="s">
        <v>496</v>
      </c>
      <c r="J319" s="15" t="s">
        <v>181</v>
      </c>
      <c r="K319" s="15">
        <v>8</v>
      </c>
      <c r="L319" s="19">
        <v>75</v>
      </c>
      <c r="M319">
        <v>1.75</v>
      </c>
      <c r="N319" s="16">
        <f t="shared" si="108"/>
        <v>24.489795918367346</v>
      </c>
      <c r="O319" s="19">
        <v>0</v>
      </c>
      <c r="P319" s="19">
        <v>0</v>
      </c>
      <c r="Q319" s="19">
        <v>0</v>
      </c>
      <c r="R319" s="26">
        <v>0</v>
      </c>
      <c r="S319" s="26">
        <v>0</v>
      </c>
      <c r="T319" s="26">
        <v>0</v>
      </c>
      <c r="U319" s="19">
        <v>0</v>
      </c>
      <c r="V319" s="19">
        <v>0</v>
      </c>
      <c r="W319" s="19"/>
      <c r="X319" s="19"/>
      <c r="Y319" s="19">
        <v>1</v>
      </c>
      <c r="Z319" s="19">
        <v>1</v>
      </c>
      <c r="AA319" s="19">
        <v>120</v>
      </c>
      <c r="AB319" s="19" t="s">
        <v>899</v>
      </c>
      <c r="AC319" s="19">
        <v>0</v>
      </c>
      <c r="AD319" s="19">
        <v>0</v>
      </c>
      <c r="AE319" s="19">
        <v>0</v>
      </c>
      <c r="AF319" s="19">
        <v>0</v>
      </c>
      <c r="AG319" s="19">
        <v>0</v>
      </c>
      <c r="AH319" s="19">
        <v>0</v>
      </c>
      <c r="AI319" s="19">
        <v>0</v>
      </c>
      <c r="AJ319" s="19">
        <v>0</v>
      </c>
      <c r="AK319" s="19">
        <v>0</v>
      </c>
      <c r="AL319" s="19">
        <v>0</v>
      </c>
      <c r="AM319" s="19">
        <v>0</v>
      </c>
      <c r="AN319" s="19">
        <v>0</v>
      </c>
      <c r="AO319" s="19">
        <v>0</v>
      </c>
      <c r="AP319" s="19">
        <v>0</v>
      </c>
      <c r="AQ319" s="19">
        <v>0</v>
      </c>
      <c r="AR319" s="19">
        <v>0</v>
      </c>
      <c r="AS319" s="19">
        <v>1</v>
      </c>
      <c r="AT319" s="19">
        <v>0</v>
      </c>
      <c r="AU319" s="19">
        <v>3</v>
      </c>
      <c r="AV319" s="19">
        <v>7</v>
      </c>
      <c r="AW319" s="19">
        <v>3</v>
      </c>
      <c r="AX319" s="19">
        <v>0</v>
      </c>
      <c r="AY319" s="19">
        <v>0</v>
      </c>
      <c r="AZ319" s="19">
        <v>0</v>
      </c>
      <c r="BA319" s="19">
        <v>0</v>
      </c>
      <c r="BB319" s="19">
        <v>0</v>
      </c>
      <c r="BC319" s="19">
        <v>0</v>
      </c>
      <c r="BD319" s="19">
        <v>0</v>
      </c>
      <c r="BE319" s="19">
        <v>0</v>
      </c>
      <c r="BF319" s="19">
        <v>0</v>
      </c>
      <c r="BG319" s="19">
        <v>0</v>
      </c>
      <c r="BH319" s="19">
        <v>0</v>
      </c>
      <c r="BI319" s="19">
        <v>0</v>
      </c>
      <c r="BJ319" s="19">
        <v>1</v>
      </c>
      <c r="BK319" s="19">
        <v>0</v>
      </c>
      <c r="BL319" s="19">
        <v>1</v>
      </c>
      <c r="BM319" s="19">
        <v>8</v>
      </c>
      <c r="BN319" s="19">
        <v>1</v>
      </c>
      <c r="BO319" s="19">
        <v>0</v>
      </c>
      <c r="BP319" s="19">
        <v>1</v>
      </c>
      <c r="BQ319" s="19">
        <v>8</v>
      </c>
      <c r="BR319" s="19">
        <v>2</v>
      </c>
      <c r="BS319" s="19">
        <v>3</v>
      </c>
      <c r="BT319" s="19">
        <v>3</v>
      </c>
      <c r="BU319" s="19">
        <v>4</v>
      </c>
      <c r="BV319" s="19">
        <v>3</v>
      </c>
      <c r="BW319" s="19">
        <v>2</v>
      </c>
      <c r="BX319" s="19">
        <v>3</v>
      </c>
      <c r="BY319" s="19">
        <v>3</v>
      </c>
      <c r="BZ319" s="19">
        <v>4</v>
      </c>
      <c r="CA319" s="19">
        <v>4</v>
      </c>
      <c r="CB319" s="19">
        <v>4</v>
      </c>
      <c r="CC319" s="19">
        <v>5</v>
      </c>
      <c r="CD319" s="19">
        <v>3</v>
      </c>
      <c r="CE319" s="19">
        <v>4</v>
      </c>
      <c r="CF319" s="19">
        <v>5</v>
      </c>
      <c r="CG319" s="19">
        <v>5</v>
      </c>
      <c r="CH319" s="19">
        <v>4</v>
      </c>
      <c r="CI319" s="19">
        <v>5</v>
      </c>
      <c r="CJ319" s="19">
        <v>5</v>
      </c>
      <c r="CK319" s="19">
        <v>10</v>
      </c>
      <c r="CL319" t="s">
        <v>498</v>
      </c>
      <c r="CM319">
        <v>33</v>
      </c>
      <c r="CN319" s="16">
        <v>71.2</v>
      </c>
      <c r="CO319" s="16">
        <v>80.400000000000006</v>
      </c>
      <c r="CP319" s="16">
        <v>16.3</v>
      </c>
      <c r="CQ319">
        <v>83.24</v>
      </c>
      <c r="CR319" s="17">
        <v>0</v>
      </c>
      <c r="CS319">
        <v>0</v>
      </c>
      <c r="CT319">
        <v>0</v>
      </c>
      <c r="CU319">
        <v>14.14</v>
      </c>
      <c r="CV319">
        <v>0</v>
      </c>
      <c r="CW319">
        <v>2.63</v>
      </c>
      <c r="CX319">
        <v>0</v>
      </c>
      <c r="CY319">
        <v>0</v>
      </c>
      <c r="CZ319">
        <v>0</v>
      </c>
      <c r="DA319">
        <v>0</v>
      </c>
      <c r="DB319">
        <v>2.63</v>
      </c>
      <c r="DC319">
        <v>10.16</v>
      </c>
      <c r="DD319">
        <v>20.83</v>
      </c>
      <c r="DE319">
        <v>24.81</v>
      </c>
      <c r="DF319">
        <v>0</v>
      </c>
      <c r="DG319">
        <v>11.2</v>
      </c>
      <c r="DH319">
        <v>1</v>
      </c>
      <c r="DI319">
        <v>5</v>
      </c>
      <c r="DK319">
        <v>1</v>
      </c>
      <c r="DO319">
        <v>5</v>
      </c>
      <c r="DQ319">
        <v>1</v>
      </c>
      <c r="DU319">
        <v>0</v>
      </c>
      <c r="DV319">
        <v>0</v>
      </c>
      <c r="EG319" s="18"/>
      <c r="EY319">
        <v>0</v>
      </c>
      <c r="GJ319" s="16">
        <v>2.71</v>
      </c>
      <c r="GK319" s="16">
        <v>1</v>
      </c>
      <c r="GL319" s="16">
        <v>1</v>
      </c>
      <c r="GM319" s="16"/>
      <c r="GN319" s="16">
        <f>2.11*4+0.52*2</f>
        <v>9.48</v>
      </c>
      <c r="GO319" s="16"/>
      <c r="GP319" s="16"/>
      <c r="GQ319" s="16"/>
      <c r="GR319" s="16"/>
      <c r="GS319" s="16"/>
      <c r="GT319" s="16"/>
      <c r="GU319" s="16">
        <v>2.63</v>
      </c>
      <c r="GV319" s="16">
        <v>2.6</v>
      </c>
      <c r="GW319" s="16">
        <v>0</v>
      </c>
      <c r="GX319" s="16">
        <v>0</v>
      </c>
      <c r="GY319" s="16">
        <v>0</v>
      </c>
      <c r="GZ319" s="16">
        <v>0</v>
      </c>
      <c r="HA319" s="16">
        <v>0</v>
      </c>
      <c r="HB319">
        <v>0</v>
      </c>
      <c r="HC319" t="s">
        <v>500</v>
      </c>
      <c r="HD319">
        <v>48</v>
      </c>
      <c r="HE319" s="16">
        <v>69.7</v>
      </c>
      <c r="HF319" s="16">
        <v>80.400000000000006</v>
      </c>
      <c r="HG319" s="16">
        <v>44.5</v>
      </c>
      <c r="HH319">
        <v>13.55</v>
      </c>
      <c r="HI319" s="17">
        <v>0</v>
      </c>
      <c r="HJ319">
        <v>0</v>
      </c>
      <c r="HK319">
        <v>0</v>
      </c>
      <c r="HL319">
        <v>0.1</v>
      </c>
      <c r="HM319">
        <v>0</v>
      </c>
      <c r="HN319">
        <v>86.34</v>
      </c>
      <c r="HO319">
        <v>13.26</v>
      </c>
      <c r="HP319">
        <v>28.53</v>
      </c>
      <c r="HQ319">
        <v>0</v>
      </c>
      <c r="HR319">
        <v>0</v>
      </c>
      <c r="HS319">
        <v>0.78</v>
      </c>
      <c r="HT319">
        <v>3.48</v>
      </c>
      <c r="HU319">
        <v>11.45</v>
      </c>
      <c r="HV319">
        <v>6.85</v>
      </c>
      <c r="HW319">
        <v>0</v>
      </c>
      <c r="HX319">
        <v>0</v>
      </c>
      <c r="HY319">
        <v>0</v>
      </c>
      <c r="IL319">
        <v>0</v>
      </c>
      <c r="IM319">
        <v>0</v>
      </c>
      <c r="IX319" s="18"/>
      <c r="JP319">
        <v>0</v>
      </c>
      <c r="LA319" s="16">
        <v>0.75</v>
      </c>
      <c r="LB319" s="16">
        <v>1</v>
      </c>
      <c r="LC319" s="16">
        <v>1</v>
      </c>
      <c r="LD319" s="16"/>
      <c r="LE319" s="16">
        <f>2.11+0.37</f>
        <v>2.48</v>
      </c>
      <c r="LF319" s="16"/>
      <c r="LG319" s="16"/>
      <c r="LH319" s="16"/>
      <c r="LI319" s="16"/>
      <c r="LJ319" s="16"/>
      <c r="LK319" s="16"/>
      <c r="LL319" s="16">
        <v>2.66</v>
      </c>
      <c r="LM319" s="16">
        <v>2.64</v>
      </c>
      <c r="LN319" s="16">
        <v>0</v>
      </c>
      <c r="LO319" s="16">
        <v>0</v>
      </c>
      <c r="LP319" s="16">
        <v>0</v>
      </c>
      <c r="LQ319" s="16">
        <v>0</v>
      </c>
      <c r="LR319" s="16">
        <v>0</v>
      </c>
      <c r="LS319">
        <v>0</v>
      </c>
      <c r="LT319" t="s">
        <v>499</v>
      </c>
      <c r="LU319">
        <v>40</v>
      </c>
      <c r="LV319" s="16">
        <v>79.7</v>
      </c>
      <c r="LW319" s="16">
        <v>80.400000000000006</v>
      </c>
      <c r="LX319" s="16">
        <v>11.2</v>
      </c>
      <c r="LY319">
        <v>91.23</v>
      </c>
      <c r="LZ319" s="17">
        <v>0</v>
      </c>
      <c r="MA319">
        <v>0</v>
      </c>
      <c r="MB319">
        <v>0</v>
      </c>
      <c r="MC319">
        <v>8.77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18.64</v>
      </c>
      <c r="ML319">
        <v>42.82</v>
      </c>
      <c r="MM319">
        <v>4.6100000000000003</v>
      </c>
      <c r="MN319">
        <v>0</v>
      </c>
      <c r="MO319">
        <v>0</v>
      </c>
      <c r="MP319">
        <v>0</v>
      </c>
      <c r="NC319">
        <v>23.2</v>
      </c>
      <c r="ND319">
        <v>1</v>
      </c>
      <c r="NE319">
        <v>35</v>
      </c>
      <c r="NF319">
        <f>2+4+2+2+2+4+2+2+1</f>
        <v>21</v>
      </c>
      <c r="NG319">
        <f>1.52+1.49+0.78*2+0.27+0.43+0.12+0.13</f>
        <v>5.52</v>
      </c>
      <c r="NH319">
        <v>3</v>
      </c>
      <c r="NI319">
        <v>10</v>
      </c>
      <c r="NJ319">
        <v>1</v>
      </c>
      <c r="NK319">
        <v>0.1</v>
      </c>
      <c r="NL319">
        <v>5</v>
      </c>
      <c r="NM319">
        <v>25</v>
      </c>
      <c r="NN319">
        <v>8</v>
      </c>
      <c r="NO319" s="18">
        <f>0.19*2+0.1</f>
        <v>0.48</v>
      </c>
      <c r="NP319">
        <v>1</v>
      </c>
      <c r="OG319">
        <v>0</v>
      </c>
      <c r="PR319" s="16">
        <v>1.52</v>
      </c>
      <c r="PS319" s="16">
        <v>1</v>
      </c>
      <c r="PT319" s="16">
        <v>1</v>
      </c>
      <c r="PU319" s="16"/>
      <c r="PV319" s="16">
        <f>2.11*2+0.19*3+0.1</f>
        <v>4.8899999999999997</v>
      </c>
      <c r="PW319" s="16"/>
      <c r="PX319" s="16"/>
      <c r="PY319" s="16"/>
      <c r="PZ319" s="16"/>
      <c r="QA319" s="16"/>
      <c r="QB319" s="16"/>
      <c r="QC319" s="16">
        <v>0</v>
      </c>
      <c r="QD319" s="16">
        <v>0</v>
      </c>
      <c r="QE319" s="16">
        <v>0</v>
      </c>
      <c r="QF319" s="16">
        <v>0</v>
      </c>
      <c r="QG319" s="16">
        <v>0</v>
      </c>
      <c r="QH319" s="16">
        <v>0</v>
      </c>
      <c r="QI319" s="16">
        <v>0.06</v>
      </c>
      <c r="QJ319">
        <v>0</v>
      </c>
      <c r="QK319" t="s">
        <v>501</v>
      </c>
      <c r="QL319">
        <v>58</v>
      </c>
      <c r="QM319" s="16">
        <v>79.900000000000006</v>
      </c>
      <c r="QN319" s="16">
        <v>80.400000000000006</v>
      </c>
      <c r="QO319" s="16">
        <v>43.6</v>
      </c>
      <c r="QP319">
        <v>26.15</v>
      </c>
      <c r="QQ319" s="17">
        <v>0</v>
      </c>
      <c r="QR319">
        <v>0</v>
      </c>
      <c r="QS319">
        <v>0</v>
      </c>
      <c r="QT319">
        <v>0</v>
      </c>
      <c r="QU319">
        <v>0</v>
      </c>
      <c r="QV319">
        <v>73.849999999999994</v>
      </c>
      <c r="QW319">
        <v>18.43</v>
      </c>
      <c r="QX319">
        <v>20.420000000000002</v>
      </c>
      <c r="QY319">
        <v>0</v>
      </c>
      <c r="QZ319">
        <v>0</v>
      </c>
      <c r="RA319">
        <v>2.44</v>
      </c>
      <c r="RB319">
        <v>0.13</v>
      </c>
      <c r="RC319">
        <v>9.7100000000000009</v>
      </c>
      <c r="RD319">
        <v>18.309999999999999</v>
      </c>
      <c r="RE319">
        <v>0</v>
      </c>
      <c r="RF319">
        <v>0</v>
      </c>
      <c r="RG319">
        <v>0</v>
      </c>
      <c r="RT319">
        <v>9.1</v>
      </c>
      <c r="RU319">
        <v>1</v>
      </c>
      <c r="RV319">
        <v>68</v>
      </c>
      <c r="RW319">
        <v>1</v>
      </c>
      <c r="RX319">
        <v>0.05</v>
      </c>
      <c r="RY319">
        <v>1</v>
      </c>
      <c r="RZ319">
        <v>35</v>
      </c>
      <c r="SA319">
        <v>3</v>
      </c>
      <c r="SB319">
        <f>0.76+0.64</f>
        <v>1.4</v>
      </c>
      <c r="SC319">
        <v>3</v>
      </c>
      <c r="SD319">
        <v>47</v>
      </c>
      <c r="SE319">
        <v>2</v>
      </c>
      <c r="SF319" s="18">
        <v>0.23</v>
      </c>
      <c r="SG319">
        <v>3</v>
      </c>
      <c r="SX319">
        <v>1</v>
      </c>
      <c r="SY319">
        <v>60</v>
      </c>
      <c r="SZ319">
        <v>2</v>
      </c>
      <c r="TA319">
        <v>0.26</v>
      </c>
      <c r="TB319">
        <v>3</v>
      </c>
      <c r="UI319" s="16">
        <v>0</v>
      </c>
      <c r="UJ319" s="16">
        <v>0</v>
      </c>
      <c r="UK319" s="16"/>
      <c r="UL319" s="16"/>
      <c r="UM319" s="16"/>
      <c r="UN319" s="16"/>
      <c r="UO319" s="16"/>
      <c r="UP319" s="16"/>
      <c r="UQ319" s="16"/>
      <c r="UR319" s="16"/>
      <c r="US319" s="16"/>
      <c r="UT319" s="16">
        <v>1.97</v>
      </c>
      <c r="UU319" s="16">
        <v>1.24</v>
      </c>
      <c r="UV319" s="16">
        <v>0</v>
      </c>
      <c r="UW319" s="16">
        <v>0</v>
      </c>
      <c r="UX319" s="16">
        <v>0</v>
      </c>
      <c r="UY319" s="16">
        <v>0</v>
      </c>
      <c r="UZ319" s="16">
        <v>3</v>
      </c>
      <c r="VA319">
        <v>0</v>
      </c>
      <c r="VB319" t="s">
        <v>502</v>
      </c>
      <c r="VC319">
        <v>34.5</v>
      </c>
      <c r="VD319" s="16">
        <v>53.2</v>
      </c>
      <c r="VE319" s="16">
        <v>80.400000000000006</v>
      </c>
      <c r="VF319" s="16">
        <v>8.3000000000000007</v>
      </c>
      <c r="VG319">
        <v>99.94</v>
      </c>
      <c r="VH319" s="17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9.15</v>
      </c>
      <c r="VT319">
        <v>18.41</v>
      </c>
      <c r="VU319">
        <v>11.73</v>
      </c>
      <c r="VV319">
        <v>0</v>
      </c>
      <c r="VW319">
        <v>0</v>
      </c>
      <c r="VX319">
        <v>0</v>
      </c>
      <c r="WK319">
        <v>11.9</v>
      </c>
      <c r="WL319">
        <v>1</v>
      </c>
      <c r="WM319">
        <v>47</v>
      </c>
      <c r="WN319">
        <v>3</v>
      </c>
      <c r="WO319">
        <v>1.52</v>
      </c>
      <c r="WP319">
        <v>2</v>
      </c>
      <c r="WW319" s="18"/>
      <c r="XO319">
        <v>0</v>
      </c>
      <c r="YZ319" s="16">
        <v>5.7</v>
      </c>
      <c r="ZA319" s="16">
        <v>1</v>
      </c>
      <c r="ZB319" s="16">
        <v>1</v>
      </c>
      <c r="ZC319" s="16"/>
      <c r="ZD319" s="16">
        <f>2.11+2.11+0.05+0.05+0.37</f>
        <v>4.6899999999999995</v>
      </c>
      <c r="ZE319" s="16">
        <v>2</v>
      </c>
      <c r="ZF319" s="16"/>
      <c r="ZG319" s="16">
        <f>3.17+3.17+0.56+0.56+0.33</f>
        <v>7.7900000000000009</v>
      </c>
      <c r="ZH319" s="16"/>
      <c r="ZI319" s="16"/>
      <c r="ZJ319" s="16"/>
      <c r="ZK319" s="16">
        <v>0</v>
      </c>
      <c r="ZL319" s="16">
        <v>0</v>
      </c>
      <c r="ZM319" s="16"/>
      <c r="ZN319" s="16"/>
      <c r="ZO319" s="16">
        <v>5.97</v>
      </c>
      <c r="ZP319" s="16">
        <v>0</v>
      </c>
      <c r="ZQ319" s="16">
        <v>0</v>
      </c>
      <c r="ZR319">
        <v>1</v>
      </c>
      <c r="ZS319" t="s">
        <v>503</v>
      </c>
      <c r="ZT319">
        <v>47</v>
      </c>
      <c r="ZU319" s="16">
        <v>54.1</v>
      </c>
      <c r="ZV319" s="16">
        <v>80.400000000000006</v>
      </c>
      <c r="ZW319" s="16">
        <v>34.5</v>
      </c>
      <c r="ZX319">
        <v>71.45</v>
      </c>
      <c r="ZY319" s="17">
        <v>0</v>
      </c>
      <c r="ZZ319">
        <v>21.93</v>
      </c>
      <c r="AAA319">
        <v>6.49</v>
      </c>
      <c r="AAB319">
        <v>0.12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1.01</v>
      </c>
      <c r="AAJ319">
        <v>0.45</v>
      </c>
      <c r="AAK319">
        <v>18.399999999999999</v>
      </c>
      <c r="AAL319">
        <v>11.28</v>
      </c>
      <c r="AAM319">
        <v>0</v>
      </c>
      <c r="AAN319">
        <v>0</v>
      </c>
      <c r="AAO319">
        <v>0</v>
      </c>
      <c r="ABB319">
        <v>6</v>
      </c>
      <c r="ABC319">
        <v>1</v>
      </c>
      <c r="ABD319">
        <v>35</v>
      </c>
      <c r="ABE319">
        <v>8</v>
      </c>
      <c r="ABF319">
        <f>0.25+0.25+0.25+0.13+0.13+0.13+0.13</f>
        <v>1.27</v>
      </c>
      <c r="ABG319">
        <v>3</v>
      </c>
      <c r="ABN319" s="18"/>
      <c r="ACF319">
        <v>1</v>
      </c>
      <c r="ACG319">
        <v>50</v>
      </c>
      <c r="ACH319">
        <v>2</v>
      </c>
      <c r="ACI319">
        <f>0.76*2</f>
        <v>1.52</v>
      </c>
      <c r="ACJ319">
        <v>1</v>
      </c>
      <c r="ADQ319" s="16">
        <v>0.42</v>
      </c>
      <c r="ADR319" s="16">
        <v>1</v>
      </c>
      <c r="ADS319" s="16">
        <v>1</v>
      </c>
      <c r="ADT319" s="16"/>
      <c r="ADU319" s="16">
        <f>0.68+0.68+0.03</f>
        <v>1.3900000000000001</v>
      </c>
      <c r="ADV319" s="16"/>
      <c r="ADW319" s="16"/>
      <c r="ADX319" s="16"/>
      <c r="ADY319" s="16"/>
      <c r="ADZ319" s="16"/>
      <c r="AEA319" s="16"/>
      <c r="AEB319" s="16">
        <v>5.21</v>
      </c>
      <c r="AEC319" s="16">
        <v>7.05</v>
      </c>
      <c r="AED319" s="16"/>
      <c r="AEE319" s="16"/>
      <c r="AEF319" s="16">
        <v>0</v>
      </c>
      <c r="AEG319" s="16">
        <v>0</v>
      </c>
      <c r="AEH319" s="16">
        <v>0</v>
      </c>
      <c r="AEI319">
        <v>0</v>
      </c>
      <c r="AEJ319" t="s">
        <v>504</v>
      </c>
      <c r="AEK319">
        <v>65.5</v>
      </c>
      <c r="AEL319" s="16">
        <v>92.2</v>
      </c>
      <c r="AEM319" s="16">
        <v>80.400000000000006</v>
      </c>
      <c r="AEN319" s="16">
        <v>61.7</v>
      </c>
      <c r="AEO319">
        <v>22.46</v>
      </c>
      <c r="AEP319" s="17">
        <v>0</v>
      </c>
      <c r="AEQ319">
        <v>0</v>
      </c>
      <c r="AER319">
        <v>0</v>
      </c>
      <c r="AES319">
        <v>0</v>
      </c>
      <c r="AET319">
        <v>0</v>
      </c>
      <c r="AEU319">
        <v>70.92</v>
      </c>
      <c r="AEV319">
        <v>9.4</v>
      </c>
      <c r="AEW319">
        <v>33.69</v>
      </c>
      <c r="AEX319">
        <v>0</v>
      </c>
      <c r="AEY319">
        <v>0</v>
      </c>
      <c r="AEZ319">
        <v>14.46</v>
      </c>
      <c r="AFA319">
        <v>11.32</v>
      </c>
      <c r="AFB319">
        <v>6.58</v>
      </c>
      <c r="AFC319">
        <v>8.8800000000000008</v>
      </c>
      <c r="AFD319">
        <v>6.62</v>
      </c>
      <c r="AFE319">
        <v>0</v>
      </c>
      <c r="AFF319">
        <v>0</v>
      </c>
      <c r="AFS319">
        <v>3.2</v>
      </c>
      <c r="AFT319">
        <v>0</v>
      </c>
      <c r="AGE319" s="18"/>
      <c r="AGW319">
        <v>1</v>
      </c>
      <c r="AGX319">
        <v>60</v>
      </c>
      <c r="AGY319">
        <v>2</v>
      </c>
      <c r="AGZ319">
        <f>0.76*2</f>
        <v>1.52</v>
      </c>
      <c r="AHA319">
        <v>3</v>
      </c>
      <c r="AIH319" s="16">
        <v>0.63</v>
      </c>
      <c r="AII319" s="16">
        <v>1</v>
      </c>
      <c r="AIJ319" s="16">
        <v>1</v>
      </c>
      <c r="AIK319" s="16"/>
      <c r="AIL319" s="16">
        <v>3.17</v>
      </c>
      <c r="AIM319" s="16"/>
      <c r="AIN319" s="16"/>
      <c r="AIO319" s="16"/>
      <c r="AIP319" s="16"/>
      <c r="AIQ319" s="16"/>
      <c r="AIR319" s="16"/>
      <c r="AIS319" s="16">
        <v>0</v>
      </c>
      <c r="AIT319" s="16">
        <v>0</v>
      </c>
      <c r="AIU319" s="16"/>
      <c r="AIV319" s="16"/>
      <c r="AIW319" s="16">
        <v>0</v>
      </c>
      <c r="AIX319" s="16">
        <v>0</v>
      </c>
      <c r="AIY319" s="16">
        <v>0</v>
      </c>
      <c r="AIZ319">
        <v>0</v>
      </c>
      <c r="AJA319" s="15"/>
      <c r="AJB319" s="15"/>
      <c r="AJD319" s="34"/>
      <c r="AJE319" s="34"/>
      <c r="AJH319" s="34"/>
      <c r="AJI319" s="15"/>
      <c r="AJJ319" s="15"/>
      <c r="AJL319" s="34"/>
      <c r="AJM319" s="34"/>
      <c r="AJP319" s="34"/>
      <c r="AJQ319" s="15"/>
      <c r="AJR319" s="15"/>
      <c r="AJT319" s="34"/>
      <c r="AJU319" s="34"/>
      <c r="AJX319" s="34"/>
      <c r="AJY319" s="15"/>
      <c r="AJZ319" s="15"/>
      <c r="AKB319" s="34"/>
      <c r="AKC319" s="34"/>
      <c r="AKF319" s="34"/>
      <c r="AKG319" s="15"/>
      <c r="AKH319" s="15"/>
      <c r="AKJ319" s="34"/>
      <c r="AKK319" s="34"/>
      <c r="AKN319" s="34"/>
      <c r="AKO319" s="15"/>
      <c r="AKP319" s="15"/>
      <c r="AKR319" s="34"/>
      <c r="AKS319" s="34"/>
      <c r="AKV319" s="34"/>
      <c r="AKW319" s="15"/>
      <c r="AKX319" s="15"/>
      <c r="AKZ319" s="34"/>
      <c r="ALA319" s="34"/>
      <c r="ALD319" s="34"/>
      <c r="ALE319" s="15"/>
      <c r="ALF319" s="15"/>
      <c r="ALH319" s="34"/>
      <c r="ALI319" s="34"/>
      <c r="ALL319" s="34"/>
      <c r="ALM319" s="15"/>
      <c r="ALN319" s="15"/>
      <c r="ALP319" s="34"/>
      <c r="ALQ319" s="34"/>
      <c r="ALT319" s="34"/>
      <c r="ALU319" s="15"/>
      <c r="ALV319" s="15"/>
      <c r="ALX319" s="34"/>
      <c r="ALY319" s="34"/>
      <c r="AMB319" s="34"/>
      <c r="AMC319" s="15"/>
      <c r="AMD319" s="15"/>
      <c r="AMF319" s="34"/>
      <c r="AMG319" s="34"/>
      <c r="AMJ319" s="34"/>
    </row>
    <row r="320" spans="1:1024" x14ac:dyDescent="0.2">
      <c r="A320" s="1" t="s">
        <v>900</v>
      </c>
      <c r="B320" s="12">
        <v>42907</v>
      </c>
      <c r="C320">
        <v>2</v>
      </c>
      <c r="D320" s="13">
        <v>42801</v>
      </c>
      <c r="E320" s="12">
        <v>33088</v>
      </c>
      <c r="F320" s="14">
        <f t="shared" si="106"/>
        <v>26.882956878850102</v>
      </c>
      <c r="G320" s="14">
        <f t="shared" si="107"/>
        <v>0.29021218343600275</v>
      </c>
      <c r="H320" s="19" t="s">
        <v>181</v>
      </c>
      <c r="I320" s="15" t="s">
        <v>496</v>
      </c>
      <c r="J320" s="15" t="s">
        <v>181</v>
      </c>
      <c r="K320" s="15">
        <v>8</v>
      </c>
      <c r="L320" s="19">
        <v>69</v>
      </c>
      <c r="M320">
        <v>1.74</v>
      </c>
      <c r="N320" s="16">
        <f t="shared" si="108"/>
        <v>22.790328973444311</v>
      </c>
      <c r="O320" s="19">
        <v>0</v>
      </c>
      <c r="P320" s="19">
        <v>0</v>
      </c>
      <c r="Q320" s="19">
        <v>0</v>
      </c>
      <c r="R320" s="26">
        <v>0</v>
      </c>
      <c r="S320" s="26">
        <v>0</v>
      </c>
      <c r="T320" s="26">
        <v>0</v>
      </c>
      <c r="U320" s="19">
        <v>0</v>
      </c>
      <c r="V320" s="19"/>
      <c r="W320" s="19">
        <v>0</v>
      </c>
      <c r="X320" s="19">
        <v>0</v>
      </c>
      <c r="Y320" s="19">
        <v>1</v>
      </c>
      <c r="Z320" s="19">
        <v>2</v>
      </c>
      <c r="AA320" s="19">
        <v>60</v>
      </c>
      <c r="AB320" s="19" t="s">
        <v>308</v>
      </c>
      <c r="AC320" s="19">
        <v>1</v>
      </c>
      <c r="AD320" s="19">
        <v>10</v>
      </c>
      <c r="AE320" s="19">
        <v>0</v>
      </c>
      <c r="AF320" s="19">
        <v>0</v>
      </c>
      <c r="AG320" s="19">
        <v>0</v>
      </c>
      <c r="AH320" s="19">
        <v>0</v>
      </c>
      <c r="AI320" s="19">
        <v>0</v>
      </c>
      <c r="AJ320" s="19">
        <v>0</v>
      </c>
      <c r="AK320" s="19">
        <v>0</v>
      </c>
      <c r="AL320" s="19">
        <v>0</v>
      </c>
      <c r="AM320" s="19">
        <v>0</v>
      </c>
      <c r="AN320" s="19">
        <v>0</v>
      </c>
      <c r="AO320" s="19">
        <v>0</v>
      </c>
      <c r="AP320" s="19">
        <v>0</v>
      </c>
      <c r="AQ320" s="19">
        <v>0</v>
      </c>
      <c r="AR320" s="19">
        <v>0</v>
      </c>
      <c r="AS320" s="19">
        <v>0</v>
      </c>
      <c r="AT320" s="19">
        <v>0</v>
      </c>
      <c r="AU320" s="19">
        <v>0</v>
      </c>
      <c r="AV320" s="19">
        <v>0</v>
      </c>
      <c r="AW320" s="19">
        <v>0</v>
      </c>
      <c r="AX320" s="19">
        <v>0</v>
      </c>
      <c r="AY320" s="19">
        <v>0</v>
      </c>
      <c r="AZ320" s="19">
        <v>0</v>
      </c>
      <c r="BA320" s="19">
        <v>0</v>
      </c>
      <c r="BB320" s="19">
        <v>0</v>
      </c>
      <c r="BC320" s="19">
        <v>0</v>
      </c>
      <c r="BD320" s="19">
        <v>0</v>
      </c>
      <c r="BE320" s="19">
        <v>0</v>
      </c>
      <c r="BF320" s="19">
        <v>0</v>
      </c>
      <c r="BG320" s="19">
        <v>0</v>
      </c>
      <c r="BH320" s="19">
        <v>0</v>
      </c>
      <c r="BI320" s="19">
        <v>0</v>
      </c>
      <c r="BJ320" s="19">
        <v>0</v>
      </c>
      <c r="BK320" s="19">
        <v>0</v>
      </c>
      <c r="BL320" s="19">
        <v>0</v>
      </c>
      <c r="BM320" s="19">
        <v>0</v>
      </c>
      <c r="BN320" s="19">
        <v>0</v>
      </c>
      <c r="BO320" s="19">
        <v>0</v>
      </c>
      <c r="BP320" s="19">
        <v>0</v>
      </c>
      <c r="BQ320" s="19">
        <v>0</v>
      </c>
      <c r="BR320" s="19">
        <v>1</v>
      </c>
      <c r="BS320" s="19">
        <v>2</v>
      </c>
      <c r="BT320" s="19">
        <v>3</v>
      </c>
      <c r="BU320" s="19">
        <v>5</v>
      </c>
      <c r="BV320" s="19">
        <v>2</v>
      </c>
      <c r="BW320" s="19">
        <v>2</v>
      </c>
      <c r="BX320" s="19">
        <v>5</v>
      </c>
      <c r="BY320" s="19">
        <v>4</v>
      </c>
      <c r="BZ320" s="19">
        <v>4</v>
      </c>
      <c r="CA320" s="19">
        <v>5</v>
      </c>
      <c r="CB320" s="19">
        <v>5</v>
      </c>
      <c r="CC320" s="19">
        <v>5</v>
      </c>
      <c r="CD320" s="19">
        <v>5</v>
      </c>
      <c r="CE320" s="19">
        <v>5</v>
      </c>
      <c r="CF320" s="19">
        <v>4</v>
      </c>
      <c r="CG320" s="19">
        <v>5</v>
      </c>
      <c r="CH320" s="19">
        <v>5</v>
      </c>
      <c r="CI320" s="19">
        <v>5</v>
      </c>
      <c r="CJ320" s="19">
        <v>5</v>
      </c>
      <c r="CK320" s="19">
        <v>10</v>
      </c>
      <c r="CL320" t="s">
        <v>498</v>
      </c>
      <c r="CM320">
        <v>33</v>
      </c>
      <c r="CN320" s="16">
        <v>71.2</v>
      </c>
      <c r="CO320" s="16">
        <v>80.400000000000006</v>
      </c>
      <c r="CP320" s="16">
        <v>16.3</v>
      </c>
      <c r="CQ320">
        <v>83.24</v>
      </c>
      <c r="CR320" s="17">
        <v>0</v>
      </c>
      <c r="CS320">
        <v>0</v>
      </c>
      <c r="CT320">
        <v>0</v>
      </c>
      <c r="CU320">
        <v>14.14</v>
      </c>
      <c r="CV320">
        <v>0</v>
      </c>
      <c r="CW320">
        <v>2.63</v>
      </c>
      <c r="CX320">
        <v>0</v>
      </c>
      <c r="CY320">
        <v>0</v>
      </c>
      <c r="CZ320">
        <v>0</v>
      </c>
      <c r="DA320">
        <v>0</v>
      </c>
      <c r="DB320">
        <v>2.63</v>
      </c>
      <c r="DC320">
        <v>10.16</v>
      </c>
      <c r="DD320">
        <v>20.83</v>
      </c>
      <c r="DE320">
        <v>24.81</v>
      </c>
      <c r="DF320">
        <v>0</v>
      </c>
      <c r="DG320">
        <v>11.2</v>
      </c>
      <c r="DH320">
        <v>1</v>
      </c>
      <c r="DI320">
        <v>5</v>
      </c>
      <c r="DK320">
        <v>1</v>
      </c>
      <c r="DO320">
        <v>5</v>
      </c>
      <c r="DQ320">
        <v>1</v>
      </c>
      <c r="DU320">
        <v>0</v>
      </c>
      <c r="DV320">
        <v>0</v>
      </c>
      <c r="EG320" s="18"/>
      <c r="EY320">
        <v>0</v>
      </c>
      <c r="GJ320" s="16">
        <v>2.71</v>
      </c>
      <c r="GK320" s="16">
        <v>1</v>
      </c>
      <c r="GL320" s="16">
        <v>1</v>
      </c>
      <c r="GM320" s="16"/>
      <c r="GN320" s="16">
        <f>2.11*4+0.52*2</f>
        <v>9.48</v>
      </c>
      <c r="GO320" s="16"/>
      <c r="GP320" s="16"/>
      <c r="GQ320" s="16"/>
      <c r="GR320" s="16"/>
      <c r="GS320" s="16"/>
      <c r="GT320" s="16"/>
      <c r="GU320" s="16">
        <v>2.63</v>
      </c>
      <c r="GV320" s="16">
        <v>2.6</v>
      </c>
      <c r="GW320" s="16">
        <v>0</v>
      </c>
      <c r="GX320" s="16">
        <v>0</v>
      </c>
      <c r="GY320" s="16">
        <v>0</v>
      </c>
      <c r="GZ320" s="16">
        <v>0</v>
      </c>
      <c r="HA320" s="16">
        <v>0</v>
      </c>
      <c r="HB320">
        <v>0</v>
      </c>
      <c r="HC320" t="s">
        <v>500</v>
      </c>
      <c r="HD320">
        <v>48</v>
      </c>
      <c r="HE320" s="16">
        <v>69.7</v>
      </c>
      <c r="HF320" s="16">
        <v>80.400000000000006</v>
      </c>
      <c r="HG320" s="16">
        <v>44.5</v>
      </c>
      <c r="HH320">
        <v>13.55</v>
      </c>
      <c r="HI320" s="17">
        <v>0</v>
      </c>
      <c r="HJ320">
        <v>0</v>
      </c>
      <c r="HK320">
        <v>0</v>
      </c>
      <c r="HL320">
        <v>0.1</v>
      </c>
      <c r="HM320">
        <v>0</v>
      </c>
      <c r="HN320">
        <v>86.34</v>
      </c>
      <c r="HO320">
        <v>13.26</v>
      </c>
      <c r="HP320">
        <v>28.53</v>
      </c>
      <c r="HQ320">
        <v>0</v>
      </c>
      <c r="HR320">
        <v>0</v>
      </c>
      <c r="HS320">
        <v>0.78</v>
      </c>
      <c r="HT320">
        <v>3.48</v>
      </c>
      <c r="HU320">
        <v>11.45</v>
      </c>
      <c r="HV320">
        <v>6.85</v>
      </c>
      <c r="HW320">
        <v>0</v>
      </c>
      <c r="HX320">
        <v>0</v>
      </c>
      <c r="HY320">
        <v>0</v>
      </c>
      <c r="IL320">
        <v>0</v>
      </c>
      <c r="IM320">
        <v>0</v>
      </c>
      <c r="IX320" s="18"/>
      <c r="JP320">
        <v>0</v>
      </c>
      <c r="LA320" s="16">
        <v>0.75</v>
      </c>
      <c r="LB320" s="16">
        <v>1</v>
      </c>
      <c r="LC320" s="16">
        <v>1</v>
      </c>
      <c r="LD320" s="16"/>
      <c r="LE320" s="16">
        <f>2.11+0.37</f>
        <v>2.48</v>
      </c>
      <c r="LF320" s="16"/>
      <c r="LG320" s="16"/>
      <c r="LH320" s="16"/>
      <c r="LI320" s="16"/>
      <c r="LJ320" s="16"/>
      <c r="LK320" s="16"/>
      <c r="LL320" s="16">
        <v>2.66</v>
      </c>
      <c r="LM320" s="16">
        <v>2.64</v>
      </c>
      <c r="LN320" s="16">
        <v>0</v>
      </c>
      <c r="LO320" s="16">
        <v>0</v>
      </c>
      <c r="LP320" s="16">
        <v>0</v>
      </c>
      <c r="LQ320" s="16">
        <v>0</v>
      </c>
      <c r="LR320" s="16">
        <v>0</v>
      </c>
      <c r="LS320">
        <v>0</v>
      </c>
      <c r="LT320" t="s">
        <v>502</v>
      </c>
      <c r="LU320">
        <v>34.5</v>
      </c>
      <c r="LV320" s="16">
        <v>53.2</v>
      </c>
      <c r="LW320" s="16">
        <v>80.400000000000006</v>
      </c>
      <c r="LX320" s="16">
        <v>8.3000000000000007</v>
      </c>
      <c r="LY320">
        <v>99.94</v>
      </c>
      <c r="LZ320" s="17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9.15</v>
      </c>
      <c r="ML320">
        <v>18.41</v>
      </c>
      <c r="MM320">
        <v>11.73</v>
      </c>
      <c r="MN320">
        <v>0</v>
      </c>
      <c r="MO320">
        <v>0</v>
      </c>
      <c r="MP320">
        <v>0</v>
      </c>
      <c r="NC320">
        <v>11.9</v>
      </c>
      <c r="ND320">
        <v>1</v>
      </c>
      <c r="NE320">
        <v>47</v>
      </c>
      <c r="NF320">
        <v>3</v>
      </c>
      <c r="NG320">
        <v>1.52</v>
      </c>
      <c r="NH320">
        <v>2</v>
      </c>
      <c r="NO320" s="18"/>
      <c r="OG320">
        <v>0</v>
      </c>
      <c r="PR320" s="16">
        <v>5.7</v>
      </c>
      <c r="PS320" s="16">
        <v>1</v>
      </c>
      <c r="PT320" s="16">
        <v>1</v>
      </c>
      <c r="PU320" s="16"/>
      <c r="PV320" s="16">
        <f>2.11+2.11+0.05+0.05+0.37</f>
        <v>4.6899999999999995</v>
      </c>
      <c r="PW320" s="16">
        <v>2</v>
      </c>
      <c r="PX320" s="16"/>
      <c r="PY320" s="16">
        <f>3.17+3.17+0.56+0.56+0.33</f>
        <v>7.7900000000000009</v>
      </c>
      <c r="PZ320" s="16"/>
      <c r="QA320" s="16"/>
      <c r="QB320" s="16"/>
      <c r="QC320" s="16">
        <v>0</v>
      </c>
      <c r="QD320" s="16">
        <v>0</v>
      </c>
      <c r="QE320" s="16"/>
      <c r="QF320" s="16"/>
      <c r="QG320" s="16">
        <v>5.97</v>
      </c>
      <c r="QH320" s="16">
        <v>0</v>
      </c>
      <c r="QI320" s="16">
        <v>0</v>
      </c>
      <c r="QJ320">
        <v>1</v>
      </c>
      <c r="QK320" t="s">
        <v>503</v>
      </c>
      <c r="QL320">
        <v>47</v>
      </c>
      <c r="QM320" s="16">
        <v>54.1</v>
      </c>
      <c r="QN320" s="16">
        <v>80.400000000000006</v>
      </c>
      <c r="QO320" s="16">
        <v>34.5</v>
      </c>
      <c r="QP320">
        <v>71.45</v>
      </c>
      <c r="QQ320" s="17">
        <v>0</v>
      </c>
      <c r="QR320">
        <v>21.93</v>
      </c>
      <c r="QS320">
        <v>6.49</v>
      </c>
      <c r="QT320">
        <v>0.12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1.01</v>
      </c>
      <c r="RB320">
        <v>0.45</v>
      </c>
      <c r="RC320">
        <v>18.399999999999999</v>
      </c>
      <c r="RD320">
        <v>11.28</v>
      </c>
      <c r="RE320">
        <v>0</v>
      </c>
      <c r="RF320">
        <v>0</v>
      </c>
      <c r="RG320">
        <v>0</v>
      </c>
      <c r="RT320">
        <v>6</v>
      </c>
      <c r="RU320">
        <v>1</v>
      </c>
      <c r="RV320">
        <v>35</v>
      </c>
      <c r="RW320">
        <v>8</v>
      </c>
      <c r="RX320">
        <f>0.25+0.25+0.25+0.13+0.13+0.13+0.13</f>
        <v>1.27</v>
      </c>
      <c r="RY320">
        <v>3</v>
      </c>
      <c r="SF320" s="18"/>
      <c r="SX320">
        <v>1</v>
      </c>
      <c r="SY320">
        <v>50</v>
      </c>
      <c r="SZ320">
        <v>2</v>
      </c>
      <c r="TA320">
        <f>0.76*2</f>
        <v>1.52</v>
      </c>
      <c r="TB320">
        <v>1</v>
      </c>
      <c r="UI320" s="16">
        <v>0.42</v>
      </c>
      <c r="UJ320" s="16">
        <v>1</v>
      </c>
      <c r="UK320" s="16">
        <v>1</v>
      </c>
      <c r="UL320" s="16"/>
      <c r="UM320" s="16">
        <f>0.68+0.68+0.03</f>
        <v>1.3900000000000001</v>
      </c>
      <c r="UN320" s="16"/>
      <c r="UO320" s="16"/>
      <c r="UP320" s="16"/>
      <c r="UQ320" s="16"/>
      <c r="UR320" s="16"/>
      <c r="US320" s="16"/>
      <c r="UT320" s="16">
        <v>5.21</v>
      </c>
      <c r="UU320" s="16">
        <v>7.05</v>
      </c>
      <c r="UV320" s="16"/>
      <c r="UW320" s="16"/>
      <c r="UX320" s="16">
        <v>0</v>
      </c>
      <c r="UY320" s="16">
        <v>0</v>
      </c>
      <c r="UZ320" s="16">
        <v>0</v>
      </c>
      <c r="VA320">
        <v>0</v>
      </c>
      <c r="VB320" t="s">
        <v>505</v>
      </c>
      <c r="VC320">
        <v>59</v>
      </c>
      <c r="VD320" s="16">
        <v>90.4</v>
      </c>
      <c r="VE320" s="16">
        <v>80.400000000000006</v>
      </c>
      <c r="VF320" s="16">
        <v>54.7</v>
      </c>
      <c r="VG320">
        <v>26.42</v>
      </c>
      <c r="VH320" s="17">
        <v>0</v>
      </c>
      <c r="VI320">
        <v>0</v>
      </c>
      <c r="VJ320">
        <v>0</v>
      </c>
      <c r="VK320">
        <v>0</v>
      </c>
      <c r="VL320">
        <v>0</v>
      </c>
      <c r="VM320">
        <v>66.959999999999994</v>
      </c>
      <c r="VN320">
        <v>6.55</v>
      </c>
      <c r="VO320">
        <v>30.83</v>
      </c>
      <c r="VP320">
        <v>0</v>
      </c>
      <c r="VQ320">
        <v>0</v>
      </c>
      <c r="VR320">
        <v>14.46</v>
      </c>
      <c r="VS320">
        <v>11.57</v>
      </c>
      <c r="VT320">
        <v>6.5</v>
      </c>
      <c r="VU320">
        <v>6.03</v>
      </c>
      <c r="VV320">
        <v>6.62</v>
      </c>
      <c r="VW320">
        <v>0</v>
      </c>
      <c r="VX320">
        <v>0</v>
      </c>
      <c r="WK320">
        <v>3.2</v>
      </c>
      <c r="WL320">
        <v>0</v>
      </c>
      <c r="WW320" s="18"/>
      <c r="XO320">
        <v>1</v>
      </c>
      <c r="XP320">
        <v>60</v>
      </c>
      <c r="XQ320">
        <v>2</v>
      </c>
      <c r="XR320">
        <v>1.52</v>
      </c>
      <c r="XS320">
        <v>3</v>
      </c>
      <c r="YZ320" s="16">
        <v>0.63</v>
      </c>
      <c r="ZA320" s="16">
        <v>1</v>
      </c>
      <c r="ZB320" s="16">
        <v>1</v>
      </c>
      <c r="ZC320" s="16"/>
      <c r="ZD320" s="16">
        <v>3.17</v>
      </c>
      <c r="ZE320" s="16"/>
      <c r="ZF320" s="16"/>
      <c r="ZG320" s="16"/>
      <c r="ZH320" s="16"/>
      <c r="ZI320" s="16"/>
      <c r="ZJ320" s="16"/>
      <c r="ZK320" s="16">
        <v>0</v>
      </c>
      <c r="ZL320" s="16">
        <v>0</v>
      </c>
      <c r="ZM320" s="16"/>
      <c r="ZN320" s="16"/>
      <c r="ZO320" s="16">
        <v>0</v>
      </c>
      <c r="ZP320" s="16">
        <v>0</v>
      </c>
      <c r="ZQ320" s="16">
        <v>0</v>
      </c>
      <c r="ZR320">
        <v>0</v>
      </c>
      <c r="ZS320" t="s">
        <v>619</v>
      </c>
      <c r="ZT320">
        <v>42</v>
      </c>
      <c r="ZU320" s="16">
        <v>97.3</v>
      </c>
      <c r="ZV320" s="16">
        <v>80.400000000000006</v>
      </c>
      <c r="ZW320" s="16">
        <v>14.9</v>
      </c>
      <c r="ZX320">
        <v>88.72</v>
      </c>
      <c r="ZY320" s="17">
        <v>0</v>
      </c>
      <c r="ZZ320">
        <v>0</v>
      </c>
      <c r="AAA320">
        <v>0</v>
      </c>
      <c r="AAB320">
        <v>11.28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1.1399999999999999</v>
      </c>
      <c r="AAK320">
        <v>50.12</v>
      </c>
      <c r="AAL320">
        <v>30.38</v>
      </c>
      <c r="AAM320">
        <v>0</v>
      </c>
      <c r="AAN320">
        <v>0</v>
      </c>
      <c r="AAO320">
        <v>1</v>
      </c>
      <c r="AAP320">
        <v>2</v>
      </c>
      <c r="AAR320">
        <v>4</v>
      </c>
      <c r="AAV320">
        <v>2</v>
      </c>
      <c r="AAX320">
        <v>4</v>
      </c>
      <c r="ABB320">
        <v>0</v>
      </c>
      <c r="ABC320">
        <v>0</v>
      </c>
      <c r="ABN320" s="18"/>
      <c r="ACF320">
        <v>0</v>
      </c>
      <c r="ADQ320" s="16">
        <v>9.5299999999999994</v>
      </c>
      <c r="ADR320" s="16">
        <v>1</v>
      </c>
      <c r="ADS320" s="16">
        <v>1</v>
      </c>
      <c r="ADT320" s="16"/>
      <c r="ADU320" s="16">
        <f>3.17+6.34+4.23+0.56+1.12</f>
        <v>15.420000000000002</v>
      </c>
      <c r="ADV320" s="16">
        <v>2</v>
      </c>
      <c r="ADW320" s="16"/>
      <c r="ADX320" s="16">
        <f>8.46+1.59+1.59+1.49+0.28+1.49</f>
        <v>14.9</v>
      </c>
      <c r="ADY320" s="16"/>
      <c r="ADZ320" s="16"/>
      <c r="AEA320" s="16"/>
      <c r="AEB320" s="16">
        <v>14.15</v>
      </c>
      <c r="AEC320" s="16">
        <v>35.369999999999997</v>
      </c>
      <c r="AED320" s="16"/>
      <c r="AEE320" s="16"/>
      <c r="AEF320" s="16">
        <v>0</v>
      </c>
      <c r="AEG320" s="16">
        <v>0</v>
      </c>
      <c r="AEH320" s="16">
        <v>0</v>
      </c>
      <c r="AEI320">
        <v>0</v>
      </c>
      <c r="AEJ320" t="s">
        <v>887</v>
      </c>
      <c r="AEK320">
        <v>19</v>
      </c>
      <c r="AEL320" s="16">
        <v>85.1</v>
      </c>
      <c r="AEM320" s="16">
        <v>80.400000000000006</v>
      </c>
      <c r="AEN320" s="16">
        <v>10.3</v>
      </c>
      <c r="AEO320">
        <v>100</v>
      </c>
      <c r="AEP320" s="17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16.760000000000002</v>
      </c>
      <c r="AFC320">
        <v>22.28</v>
      </c>
      <c r="AFD320">
        <v>0</v>
      </c>
      <c r="AFE320">
        <v>0</v>
      </c>
      <c r="AFF320">
        <v>0</v>
      </c>
      <c r="AFS320">
        <v>0</v>
      </c>
      <c r="AFT320">
        <v>0</v>
      </c>
      <c r="AGE320" s="18"/>
      <c r="AGW320">
        <v>0</v>
      </c>
      <c r="AIH320" s="16">
        <v>0.99</v>
      </c>
      <c r="AII320" s="16">
        <v>1</v>
      </c>
      <c r="AIJ320" s="16">
        <v>1</v>
      </c>
      <c r="AIK320" s="16"/>
      <c r="AIL320" s="16">
        <f>2.11+0.37+0.27*3</f>
        <v>3.29</v>
      </c>
      <c r="AIM320" s="16"/>
      <c r="AIN320" s="16"/>
      <c r="AIO320" s="16"/>
      <c r="AIP320" s="16"/>
      <c r="AIQ320" s="16"/>
      <c r="AIR320" s="16"/>
      <c r="AIS320" s="16">
        <v>5.78</v>
      </c>
      <c r="AIT320" s="16">
        <v>12.6</v>
      </c>
      <c r="AIU320" s="16"/>
      <c r="AIV320" s="16"/>
      <c r="AIW320" s="16">
        <v>0</v>
      </c>
      <c r="AIX320" s="16">
        <v>0</v>
      </c>
      <c r="AIY320" s="16">
        <v>0</v>
      </c>
      <c r="AIZ320">
        <v>0</v>
      </c>
      <c r="AJA320" t="s">
        <v>710</v>
      </c>
      <c r="AJB320">
        <v>69.5</v>
      </c>
      <c r="AJC320" s="16">
        <v>70.900000000000006</v>
      </c>
      <c r="AJD320" s="16">
        <v>80.400000000000006</v>
      </c>
      <c r="AJE320" s="16">
        <v>23.6</v>
      </c>
      <c r="AJF320">
        <v>19.149999999999999</v>
      </c>
      <c r="AJG320" s="17">
        <v>0</v>
      </c>
      <c r="AJH320">
        <v>0</v>
      </c>
      <c r="AJI320">
        <v>0</v>
      </c>
      <c r="AJJ320">
        <v>0</v>
      </c>
      <c r="AJK320">
        <v>0</v>
      </c>
      <c r="AJL320">
        <v>71.09</v>
      </c>
      <c r="AJM320">
        <v>0</v>
      </c>
      <c r="AJN320">
        <v>0</v>
      </c>
      <c r="AJO320">
        <v>2.25</v>
      </c>
      <c r="AJP320">
        <v>0</v>
      </c>
      <c r="AJQ320">
        <v>14.15</v>
      </c>
      <c r="AJR320">
        <v>0.83</v>
      </c>
      <c r="AJS320">
        <v>20.78</v>
      </c>
      <c r="AJT320">
        <v>13.14</v>
      </c>
      <c r="AJU320">
        <v>9.76</v>
      </c>
      <c r="AJV320">
        <v>0</v>
      </c>
      <c r="AJW320">
        <v>0</v>
      </c>
      <c r="AKJ320">
        <v>24.4</v>
      </c>
      <c r="AKK320">
        <v>1</v>
      </c>
      <c r="AKL320">
        <v>70</v>
      </c>
      <c r="AKM320">
        <v>1</v>
      </c>
      <c r="AKN320">
        <v>1.5</v>
      </c>
      <c r="AKO320">
        <v>3</v>
      </c>
      <c r="AKP320">
        <v>68</v>
      </c>
      <c r="AKQ320">
        <v>2.25</v>
      </c>
      <c r="AKR320">
        <v>1</v>
      </c>
      <c r="AKS320">
        <v>1</v>
      </c>
      <c r="AKT320">
        <v>47</v>
      </c>
      <c r="AKU320">
        <v>1</v>
      </c>
      <c r="AKV320" s="18">
        <v>1.5</v>
      </c>
      <c r="AKW320">
        <v>3</v>
      </c>
      <c r="ALN320">
        <v>0</v>
      </c>
    </row>
    <row r="321" spans="1:1024" x14ac:dyDescent="0.2">
      <c r="A321" s="1" t="s">
        <v>901</v>
      </c>
      <c r="B321" s="12">
        <v>42909</v>
      </c>
      <c r="C321">
        <v>2</v>
      </c>
      <c r="D321" s="13">
        <v>42793</v>
      </c>
      <c r="E321" s="12">
        <v>32767</v>
      </c>
      <c r="F321" s="14">
        <f t="shared" si="106"/>
        <v>27.767282683093772</v>
      </c>
      <c r="G321" s="14">
        <f t="shared" si="107"/>
        <v>0.31759069130732376</v>
      </c>
      <c r="H321" s="19" t="s">
        <v>181</v>
      </c>
      <c r="I321" s="15" t="s">
        <v>182</v>
      </c>
      <c r="J321" s="15" t="s">
        <v>181</v>
      </c>
      <c r="K321" s="15">
        <v>4</v>
      </c>
      <c r="L321" s="19">
        <v>125</v>
      </c>
      <c r="M321">
        <v>1.87</v>
      </c>
      <c r="N321" s="16">
        <f t="shared" si="108"/>
        <v>35.745946409677138</v>
      </c>
      <c r="O321" s="19">
        <v>0</v>
      </c>
      <c r="P321" s="19">
        <v>0</v>
      </c>
      <c r="Q321" s="19">
        <v>0</v>
      </c>
      <c r="R321" s="26">
        <v>0</v>
      </c>
      <c r="S321" s="26">
        <v>0</v>
      </c>
      <c r="T321" s="26">
        <v>0</v>
      </c>
      <c r="U321" s="19">
        <v>1</v>
      </c>
      <c r="V321" s="19">
        <v>5</v>
      </c>
      <c r="W321" s="19">
        <v>0</v>
      </c>
      <c r="X321" s="19">
        <v>0</v>
      </c>
      <c r="Y321" s="19">
        <v>1</v>
      </c>
      <c r="Z321" s="19">
        <v>1</v>
      </c>
      <c r="AA321" s="19">
        <v>60</v>
      </c>
      <c r="AB321" s="19" t="s">
        <v>345</v>
      </c>
      <c r="AC321" s="19">
        <v>0</v>
      </c>
      <c r="AD321" s="19">
        <v>0</v>
      </c>
      <c r="AE321" s="19">
        <v>0</v>
      </c>
      <c r="AF321" s="19">
        <v>0</v>
      </c>
      <c r="AG321" s="19">
        <v>0</v>
      </c>
      <c r="AH321" s="19">
        <v>0</v>
      </c>
      <c r="AI321" s="19">
        <v>0</v>
      </c>
      <c r="AJ321" s="19">
        <v>0</v>
      </c>
      <c r="AK321" s="19">
        <v>0</v>
      </c>
      <c r="AL321" s="19">
        <v>0</v>
      </c>
      <c r="AM321" s="19">
        <v>0</v>
      </c>
      <c r="AN321" s="19">
        <v>0</v>
      </c>
      <c r="AO321" s="19">
        <v>0</v>
      </c>
      <c r="AP321" s="19">
        <v>0</v>
      </c>
      <c r="AQ321" s="19">
        <v>0</v>
      </c>
      <c r="AR321" s="19">
        <v>0</v>
      </c>
      <c r="AS321" s="19">
        <v>0</v>
      </c>
      <c r="AT321" s="19">
        <v>0</v>
      </c>
      <c r="AU321" s="19">
        <v>0</v>
      </c>
      <c r="AV321" s="19">
        <v>0</v>
      </c>
      <c r="AW321" s="19">
        <v>0</v>
      </c>
      <c r="AX321" s="19">
        <v>0</v>
      </c>
      <c r="AY321" s="19">
        <v>0</v>
      </c>
      <c r="AZ321" s="19">
        <v>0</v>
      </c>
      <c r="BA321" s="19">
        <v>0</v>
      </c>
      <c r="BB321" s="19">
        <v>0</v>
      </c>
      <c r="BC321" s="19">
        <v>0</v>
      </c>
      <c r="BD321" s="19">
        <v>0</v>
      </c>
      <c r="BE321" s="19">
        <v>0</v>
      </c>
      <c r="BF321" s="19">
        <v>0</v>
      </c>
      <c r="BG321" s="19">
        <v>0</v>
      </c>
      <c r="BH321" s="19">
        <v>0</v>
      </c>
      <c r="BI321" s="19">
        <v>0</v>
      </c>
      <c r="BJ321" s="19">
        <v>0</v>
      </c>
      <c r="BK321" s="19">
        <v>0</v>
      </c>
      <c r="BL321" s="19">
        <v>0</v>
      </c>
      <c r="BM321" s="19">
        <v>0</v>
      </c>
      <c r="BN321" s="19">
        <v>0</v>
      </c>
      <c r="BO321" s="19">
        <v>0</v>
      </c>
      <c r="BP321" s="19">
        <v>0</v>
      </c>
      <c r="BQ321" s="19">
        <v>0</v>
      </c>
      <c r="BR321" s="19"/>
      <c r="BS321" s="19"/>
      <c r="BT321" s="19"/>
      <c r="BU321" s="19"/>
      <c r="BV321" s="19"/>
      <c r="BW321" s="19"/>
      <c r="BX321" s="19"/>
      <c r="BY321" s="19"/>
      <c r="BZ321" s="19"/>
      <c r="CA321" s="19"/>
      <c r="CB321" s="19"/>
      <c r="CC321" s="19"/>
      <c r="CD321" s="19"/>
      <c r="CE321" s="19"/>
      <c r="CF321" s="19"/>
      <c r="CG321" s="19"/>
      <c r="CH321" s="19"/>
      <c r="CI321" s="19"/>
      <c r="CJ321" s="19"/>
      <c r="CK321" s="19"/>
      <c r="CL321" t="s">
        <v>498</v>
      </c>
      <c r="CM321">
        <v>33</v>
      </c>
      <c r="CN321" s="16">
        <v>71.2</v>
      </c>
      <c r="CO321" s="16">
        <v>80.400000000000006</v>
      </c>
      <c r="CP321" s="16">
        <v>16.3</v>
      </c>
      <c r="CQ321">
        <v>83.24</v>
      </c>
      <c r="CR321" s="17">
        <v>0</v>
      </c>
      <c r="CS321">
        <v>0</v>
      </c>
      <c r="CT321">
        <v>0</v>
      </c>
      <c r="CU321">
        <v>14.14</v>
      </c>
      <c r="CV321">
        <v>0</v>
      </c>
      <c r="CW321">
        <v>2.63</v>
      </c>
      <c r="CX321">
        <v>0</v>
      </c>
      <c r="CY321">
        <v>0</v>
      </c>
      <c r="CZ321">
        <v>0</v>
      </c>
      <c r="DA321">
        <v>0</v>
      </c>
      <c r="DB321">
        <v>2.63</v>
      </c>
      <c r="DC321">
        <v>10.16</v>
      </c>
      <c r="DD321">
        <v>20.83</v>
      </c>
      <c r="DE321">
        <v>24.81</v>
      </c>
      <c r="DF321">
        <v>0</v>
      </c>
      <c r="DG321">
        <v>11.2</v>
      </c>
      <c r="DH321">
        <v>1</v>
      </c>
      <c r="DI321">
        <v>5</v>
      </c>
      <c r="DK321">
        <v>1</v>
      </c>
      <c r="DO321">
        <v>5</v>
      </c>
      <c r="DQ321">
        <v>1</v>
      </c>
      <c r="DU321">
        <v>0</v>
      </c>
      <c r="DV321">
        <v>0</v>
      </c>
      <c r="EG321" s="18"/>
      <c r="EY321">
        <v>0</v>
      </c>
      <c r="GJ321" s="16">
        <v>2.71</v>
      </c>
      <c r="GK321" s="16">
        <v>1</v>
      </c>
      <c r="GL321" s="16">
        <v>1</v>
      </c>
      <c r="GM321" s="16"/>
      <c r="GN321" s="16">
        <f>2.11*4+0.52*2</f>
        <v>9.48</v>
      </c>
      <c r="GO321" s="16"/>
      <c r="GP321" s="16"/>
      <c r="GQ321" s="16"/>
      <c r="GR321" s="16"/>
      <c r="GS321" s="16"/>
      <c r="GT321" s="16"/>
      <c r="GU321" s="16">
        <v>2.63</v>
      </c>
      <c r="GV321" s="16">
        <v>2.6</v>
      </c>
      <c r="GW321" s="16">
        <v>0</v>
      </c>
      <c r="GX321" s="16">
        <v>0</v>
      </c>
      <c r="GY321" s="16">
        <v>0</v>
      </c>
      <c r="GZ321" s="16">
        <v>0</v>
      </c>
      <c r="HA321" s="16">
        <v>0</v>
      </c>
      <c r="HB321">
        <v>0</v>
      </c>
      <c r="HC321" t="s">
        <v>502</v>
      </c>
      <c r="HD321">
        <v>34.5</v>
      </c>
      <c r="HE321" s="16">
        <v>53.2</v>
      </c>
      <c r="HF321" s="16">
        <v>80.400000000000006</v>
      </c>
      <c r="HG321" s="16">
        <v>8.3000000000000007</v>
      </c>
      <c r="HH321">
        <v>99.94</v>
      </c>
      <c r="HI321" s="17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9.15</v>
      </c>
      <c r="HU321">
        <v>18.41</v>
      </c>
      <c r="HV321">
        <v>11.73</v>
      </c>
      <c r="HW321">
        <v>0</v>
      </c>
      <c r="HX321">
        <v>0</v>
      </c>
      <c r="HY321">
        <v>0</v>
      </c>
      <c r="IL321">
        <v>11.9</v>
      </c>
      <c r="IM321">
        <v>1</v>
      </c>
      <c r="IN321">
        <v>47</v>
      </c>
      <c r="IO321">
        <v>3</v>
      </c>
      <c r="IP321">
        <v>1.52</v>
      </c>
      <c r="IQ321">
        <v>2</v>
      </c>
      <c r="IX321" s="18"/>
      <c r="JP321">
        <v>0</v>
      </c>
      <c r="LA321" s="16">
        <v>5.7</v>
      </c>
      <c r="LB321" s="16">
        <v>1</v>
      </c>
      <c r="LC321" s="16">
        <v>1</v>
      </c>
      <c r="LD321" s="16"/>
      <c r="LE321" s="16">
        <f>2.11+2.11+0.05+0.05+0.37</f>
        <v>4.6899999999999995</v>
      </c>
      <c r="LF321" s="16">
        <v>2</v>
      </c>
      <c r="LG321" s="16"/>
      <c r="LH321" s="16">
        <f>3.17+3.17+0.56+0.56+0.33</f>
        <v>7.7900000000000009</v>
      </c>
      <c r="LI321" s="16"/>
      <c r="LJ321" s="16"/>
      <c r="LK321" s="16"/>
      <c r="LL321" s="16">
        <v>0</v>
      </c>
      <c r="LM321" s="16">
        <v>0</v>
      </c>
      <c r="LN321" s="16"/>
      <c r="LO321" s="16"/>
      <c r="LP321" s="16">
        <v>5.97</v>
      </c>
      <c r="LQ321" s="16">
        <v>0</v>
      </c>
      <c r="LR321" s="16">
        <v>0</v>
      </c>
      <c r="LS321">
        <v>1</v>
      </c>
      <c r="LT321" t="s">
        <v>503</v>
      </c>
      <c r="LU321">
        <v>47</v>
      </c>
      <c r="LV321" s="16">
        <v>54.1</v>
      </c>
      <c r="LW321" s="16">
        <v>80.400000000000006</v>
      </c>
      <c r="LX321" s="16">
        <v>34.5</v>
      </c>
      <c r="LY321">
        <v>71.45</v>
      </c>
      <c r="LZ321" s="17">
        <v>0</v>
      </c>
      <c r="MA321">
        <v>21.93</v>
      </c>
      <c r="MB321">
        <v>6.49</v>
      </c>
      <c r="MC321">
        <v>0.12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1.01</v>
      </c>
      <c r="MK321">
        <v>0.45</v>
      </c>
      <c r="ML321">
        <v>18.399999999999999</v>
      </c>
      <c r="MM321">
        <v>11.28</v>
      </c>
      <c r="MN321">
        <v>0</v>
      </c>
      <c r="MO321">
        <v>0</v>
      </c>
      <c r="MP321">
        <v>0</v>
      </c>
      <c r="NC321">
        <v>6</v>
      </c>
      <c r="ND321">
        <v>1</v>
      </c>
      <c r="NE321">
        <v>35</v>
      </c>
      <c r="NF321">
        <v>8</v>
      </c>
      <c r="NG321">
        <f>0.25+0.25+0.25+0.13+0.13+0.13+0.13</f>
        <v>1.27</v>
      </c>
      <c r="NH321">
        <v>3</v>
      </c>
      <c r="NO321" s="18"/>
      <c r="OG321">
        <v>1</v>
      </c>
      <c r="OH321">
        <v>50</v>
      </c>
      <c r="OI321">
        <v>2</v>
      </c>
      <c r="OJ321">
        <f>0.76*2</f>
        <v>1.52</v>
      </c>
      <c r="OK321">
        <v>1</v>
      </c>
      <c r="PR321" s="16">
        <v>0.42</v>
      </c>
      <c r="PS321" s="16">
        <v>1</v>
      </c>
      <c r="PT321" s="16">
        <v>1</v>
      </c>
      <c r="PU321" s="16"/>
      <c r="PV321" s="16">
        <f>0.68+0.68+0.03</f>
        <v>1.3900000000000001</v>
      </c>
      <c r="PW321" s="16"/>
      <c r="PX321" s="16"/>
      <c r="PY321" s="16"/>
      <c r="PZ321" s="16"/>
      <c r="QA321" s="16"/>
      <c r="QB321" s="16"/>
      <c r="QC321" s="16">
        <v>5.21</v>
      </c>
      <c r="QD321" s="16">
        <v>7.05</v>
      </c>
      <c r="QE321" s="16"/>
      <c r="QF321" s="16"/>
      <c r="QG321" s="16">
        <v>0</v>
      </c>
      <c r="QH321" s="16">
        <v>0</v>
      </c>
      <c r="QI321" s="16">
        <v>0</v>
      </c>
      <c r="QJ321">
        <v>0</v>
      </c>
      <c r="QK321" t="s">
        <v>619</v>
      </c>
      <c r="QL321">
        <v>42</v>
      </c>
      <c r="QM321" s="16">
        <v>97.3</v>
      </c>
      <c r="QN321" s="16">
        <v>80.400000000000006</v>
      </c>
      <c r="QO321" s="16">
        <v>14.9</v>
      </c>
      <c r="QP321">
        <v>88.72</v>
      </c>
      <c r="QQ321" s="17">
        <v>0</v>
      </c>
      <c r="QR321">
        <v>0</v>
      </c>
      <c r="QS321">
        <v>0</v>
      </c>
      <c r="QT321">
        <v>11.28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1.1399999999999999</v>
      </c>
      <c r="RC321">
        <v>50.12</v>
      </c>
      <c r="RD321">
        <v>30.38</v>
      </c>
      <c r="RE321">
        <v>0</v>
      </c>
      <c r="RF321">
        <v>0</v>
      </c>
      <c r="RG321">
        <v>1</v>
      </c>
      <c r="RH321">
        <v>2</v>
      </c>
      <c r="RJ321">
        <v>4</v>
      </c>
      <c r="RN321">
        <v>2</v>
      </c>
      <c r="RP321">
        <v>4</v>
      </c>
      <c r="RT321">
        <v>0</v>
      </c>
      <c r="RU321">
        <v>0</v>
      </c>
      <c r="SF321" s="18"/>
      <c r="SX321">
        <v>0</v>
      </c>
      <c r="UI321" s="16">
        <v>9.5299999999999994</v>
      </c>
      <c r="UJ321" s="16">
        <v>1</v>
      </c>
      <c r="UK321" s="16">
        <v>1</v>
      </c>
      <c r="UL321" s="16"/>
      <c r="UM321" s="16">
        <f>3.17+6.34+4.23+0.56+1.12</f>
        <v>15.420000000000002</v>
      </c>
      <c r="UN321" s="16">
        <v>2</v>
      </c>
      <c r="UO321" s="16"/>
      <c r="UP321" s="16">
        <f>8.46+1.59+1.59+1.49+0.28+1.49</f>
        <v>14.9</v>
      </c>
      <c r="UQ321" s="16"/>
      <c r="UR321" s="16"/>
      <c r="US321" s="16"/>
      <c r="UT321" s="16">
        <v>14.15</v>
      </c>
      <c r="UU321" s="16">
        <v>35.369999999999997</v>
      </c>
      <c r="UV321" s="16"/>
      <c r="UW321" s="16"/>
      <c r="UX321" s="16">
        <v>0</v>
      </c>
      <c r="UY321" s="16">
        <v>0</v>
      </c>
      <c r="UZ321" s="16">
        <v>0</v>
      </c>
      <c r="VA321">
        <v>0</v>
      </c>
      <c r="VE321" s="15"/>
      <c r="VF321" s="15"/>
      <c r="VM321" s="15"/>
      <c r="VN321" s="15"/>
      <c r="VU321" s="15"/>
      <c r="VV321" s="15"/>
      <c r="WC321" s="15"/>
      <c r="WD321" s="15"/>
      <c r="WK321" s="15"/>
      <c r="WL321" s="15"/>
      <c r="WS321" s="15"/>
      <c r="WT321" s="15"/>
      <c r="XA321" s="15"/>
      <c r="XB321" s="15"/>
      <c r="XI321" s="15"/>
      <c r="XJ321" s="15"/>
      <c r="XQ321" s="15"/>
      <c r="XR321" s="15"/>
      <c r="XY321" s="15"/>
      <c r="XZ321" s="15"/>
      <c r="YG321" s="15"/>
      <c r="YH321" s="15"/>
      <c r="YO321" s="15"/>
      <c r="YP321" s="15"/>
      <c r="YW321" s="15"/>
      <c r="YX321" s="15"/>
      <c r="ZE321" s="15"/>
      <c r="ZF321" s="15"/>
      <c r="ZM321" s="15"/>
      <c r="ZN321" s="15"/>
      <c r="ZU321" s="15"/>
      <c r="ZV321" s="15"/>
      <c r="AAC321" s="15"/>
      <c r="AAD321" s="15"/>
      <c r="AAK321" s="15"/>
      <c r="AAL321" s="15"/>
      <c r="AAS321" s="15"/>
      <c r="AAT321" s="15"/>
      <c r="ABA321" s="15"/>
      <c r="ABB321" s="15"/>
      <c r="ABI321" s="15"/>
      <c r="ABJ321" s="15"/>
      <c r="ABQ321" s="15"/>
      <c r="ABR321" s="15"/>
      <c r="ABY321" s="15"/>
      <c r="ABZ321" s="15"/>
      <c r="ACG321" s="15"/>
      <c r="ACH321" s="15"/>
      <c r="ACO321" s="15"/>
      <c r="ACP321" s="15"/>
      <c r="ACW321" s="15"/>
      <c r="ACX321" s="15"/>
      <c r="ADE321" s="15"/>
      <c r="ADF321" s="15"/>
      <c r="ADM321" s="15"/>
      <c r="ADN321" s="15"/>
      <c r="ADU321" s="15"/>
      <c r="ADV321" s="15"/>
      <c r="AEC321" s="15"/>
      <c r="AED321" s="15"/>
      <c r="AEK321" s="15"/>
      <c r="AEL321" s="15"/>
      <c r="AES321" s="15"/>
      <c r="AET321" s="15"/>
      <c r="AFA321" s="15"/>
      <c r="AFB321" s="15"/>
      <c r="AFI321" s="15"/>
      <c r="AFJ321" s="15"/>
      <c r="AFQ321" s="15"/>
      <c r="AFR321" s="15"/>
      <c r="AFY321" s="15"/>
      <c r="AFZ321" s="15"/>
      <c r="AGG321" s="15"/>
      <c r="AGH321" s="15"/>
      <c r="AGO321" s="15"/>
      <c r="AGP321" s="15"/>
      <c r="AGW321" s="15"/>
      <c r="AGX321" s="15"/>
      <c r="AHE321" s="15"/>
      <c r="AHF321" s="15"/>
      <c r="AHM321" s="15"/>
      <c r="AHN321" s="15"/>
      <c r="AHU321" s="15"/>
      <c r="AHV321" s="15"/>
      <c r="AIC321" s="15"/>
      <c r="AID321" s="15"/>
      <c r="AIK321" s="15"/>
      <c r="AIL321" s="15"/>
      <c r="AIS321" s="15"/>
      <c r="AIT321" s="15"/>
      <c r="AJA321" s="15"/>
      <c r="AJB321" s="15"/>
      <c r="AJI321" s="15"/>
      <c r="AJJ321" s="15"/>
      <c r="AJQ321" s="15"/>
      <c r="AJR321" s="15"/>
      <c r="AJY321" s="15"/>
      <c r="AJZ321" s="15"/>
      <c r="AKG321" s="15"/>
      <c r="AKH321" s="15"/>
      <c r="AKO321" s="15"/>
      <c r="AKP321" s="15"/>
      <c r="AKW321" s="15"/>
      <c r="AKX321" s="15"/>
      <c r="ALE321" s="15"/>
      <c r="ALF321" s="15"/>
      <c r="ALM321" s="15"/>
      <c r="ALN321" s="15"/>
      <c r="ALU321" s="15"/>
      <c r="ALV321" s="15"/>
      <c r="AMC321" s="15"/>
      <c r="AMD321" s="15"/>
    </row>
    <row r="322" spans="1:1024" x14ac:dyDescent="0.2">
      <c r="A322" s="1" t="s">
        <v>902</v>
      </c>
      <c r="B322" s="12">
        <v>42902</v>
      </c>
      <c r="C322">
        <v>2</v>
      </c>
      <c r="D322" s="13">
        <v>40672</v>
      </c>
      <c r="E322" s="12">
        <v>32497</v>
      </c>
      <c r="F322" s="14">
        <f t="shared" ref="F322:F385" si="120">(B322-E322)/365.25</f>
        <v>28.487337440109513</v>
      </c>
      <c r="G322" s="14">
        <f t="shared" ref="G322:G355" si="121">(B322-D322)/365.25</f>
        <v>6.1054072553045859</v>
      </c>
      <c r="H322" s="19" t="s">
        <v>181</v>
      </c>
      <c r="I322" s="15" t="s">
        <v>182</v>
      </c>
      <c r="J322" s="15" t="s">
        <v>181</v>
      </c>
      <c r="K322" s="15">
        <v>8</v>
      </c>
      <c r="L322" s="19">
        <v>65.7</v>
      </c>
      <c r="M322">
        <v>1.7</v>
      </c>
      <c r="N322" s="16">
        <f t="shared" ref="N322:N385" si="122">L322/(M322*M322)</f>
        <v>22.733564013840834</v>
      </c>
      <c r="O322" s="19">
        <v>0</v>
      </c>
      <c r="P322" s="19">
        <v>0</v>
      </c>
      <c r="Q322" s="19">
        <v>0</v>
      </c>
      <c r="R322" s="26">
        <v>0</v>
      </c>
      <c r="S322" s="26">
        <v>0</v>
      </c>
      <c r="T322" s="26">
        <v>0</v>
      </c>
      <c r="U322" s="19">
        <v>1</v>
      </c>
      <c r="V322" s="19">
        <v>2</v>
      </c>
      <c r="W322" s="19">
        <v>0</v>
      </c>
      <c r="X322" s="19">
        <v>0</v>
      </c>
      <c r="Y322" s="19">
        <v>1</v>
      </c>
      <c r="Z322" s="19">
        <v>1</v>
      </c>
      <c r="AA322" s="19">
        <v>30</v>
      </c>
      <c r="AB322" s="19" t="s">
        <v>284</v>
      </c>
      <c r="AC322" s="19">
        <v>0</v>
      </c>
      <c r="AD322" s="19">
        <v>0</v>
      </c>
      <c r="AE322" s="19">
        <v>0</v>
      </c>
      <c r="AF322" s="19">
        <v>0</v>
      </c>
      <c r="AG322" s="19">
        <v>0</v>
      </c>
      <c r="AH322" s="19">
        <v>0</v>
      </c>
      <c r="AI322" s="19">
        <v>0</v>
      </c>
      <c r="AJ322" s="19">
        <v>0</v>
      </c>
      <c r="AK322" s="19">
        <v>0</v>
      </c>
      <c r="AL322" s="19">
        <v>0</v>
      </c>
      <c r="AM322" s="19">
        <v>0</v>
      </c>
      <c r="AN322" s="19">
        <v>0</v>
      </c>
      <c r="AO322" s="19">
        <v>0</v>
      </c>
      <c r="AP322" s="19">
        <v>0</v>
      </c>
      <c r="AQ322" s="19">
        <v>0</v>
      </c>
      <c r="AR322" s="19">
        <v>0</v>
      </c>
      <c r="AS322" s="19">
        <v>0</v>
      </c>
      <c r="AT322" s="19">
        <v>0</v>
      </c>
      <c r="AU322" s="19">
        <v>0</v>
      </c>
      <c r="AV322" s="19">
        <v>0</v>
      </c>
      <c r="AW322" s="19">
        <v>0</v>
      </c>
      <c r="AX322" s="19">
        <v>0</v>
      </c>
      <c r="AY322" s="19">
        <v>0</v>
      </c>
      <c r="AZ322" s="19">
        <v>0</v>
      </c>
      <c r="BA322" s="19">
        <v>0</v>
      </c>
      <c r="BB322" s="19">
        <v>0</v>
      </c>
      <c r="BC322" s="19">
        <v>0</v>
      </c>
      <c r="BD322" s="19">
        <v>0</v>
      </c>
      <c r="BE322" s="19">
        <v>0</v>
      </c>
      <c r="BF322" s="19">
        <v>0</v>
      </c>
      <c r="BG322" s="19">
        <v>0</v>
      </c>
      <c r="BH322" s="19">
        <v>0</v>
      </c>
      <c r="BI322" s="19">
        <v>0</v>
      </c>
      <c r="BJ322" s="19">
        <v>0</v>
      </c>
      <c r="BK322" s="19">
        <v>0</v>
      </c>
      <c r="BL322" s="19">
        <v>0</v>
      </c>
      <c r="BM322" s="19">
        <v>0</v>
      </c>
      <c r="BN322" s="19">
        <v>0</v>
      </c>
      <c r="BO322" s="19">
        <v>0</v>
      </c>
      <c r="BP322" s="19">
        <v>0</v>
      </c>
      <c r="BQ322" s="19">
        <v>0</v>
      </c>
      <c r="BR322" s="19">
        <v>3</v>
      </c>
      <c r="BS322" s="19">
        <v>3</v>
      </c>
      <c r="BT322" s="19">
        <v>3</v>
      </c>
      <c r="BU322" s="19">
        <v>4</v>
      </c>
      <c r="BV322" s="19">
        <v>2</v>
      </c>
      <c r="BW322" s="19">
        <v>2</v>
      </c>
      <c r="BX322" s="19">
        <v>2</v>
      </c>
      <c r="BY322" s="19">
        <v>4</v>
      </c>
      <c r="BZ322" s="19">
        <v>2</v>
      </c>
      <c r="CA322" s="19">
        <v>2</v>
      </c>
      <c r="CB322" s="19">
        <v>4</v>
      </c>
      <c r="CC322" s="19">
        <v>4</v>
      </c>
      <c r="CD322" s="19">
        <v>4</v>
      </c>
      <c r="CE322" s="19">
        <v>4</v>
      </c>
      <c r="CF322" s="19">
        <v>4</v>
      </c>
      <c r="CG322" s="19">
        <v>4</v>
      </c>
      <c r="CH322" s="19">
        <v>4</v>
      </c>
      <c r="CI322" s="19">
        <v>4</v>
      </c>
      <c r="CJ322" s="19">
        <v>4</v>
      </c>
      <c r="CK322" s="19">
        <v>8</v>
      </c>
      <c r="CL322" t="s">
        <v>185</v>
      </c>
      <c r="CM322">
        <v>21.5</v>
      </c>
      <c r="CN322" s="16">
        <v>54.9</v>
      </c>
      <c r="CO322" s="16">
        <v>80.400000000000006</v>
      </c>
      <c r="CP322" s="16">
        <v>17.899999999999999</v>
      </c>
      <c r="CQ322">
        <v>90.61</v>
      </c>
      <c r="CR322" s="17">
        <v>0</v>
      </c>
      <c r="CS322">
        <v>0</v>
      </c>
      <c r="CT322">
        <v>2.4500000000000002</v>
      </c>
      <c r="CU322">
        <v>6.94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12.16</v>
      </c>
      <c r="DC322">
        <v>24.45</v>
      </c>
      <c r="DD322">
        <v>4.8</v>
      </c>
      <c r="DE322">
        <v>5.1100000000000003</v>
      </c>
      <c r="DF322">
        <v>0</v>
      </c>
      <c r="DG322">
        <v>0</v>
      </c>
      <c r="DH322">
        <v>0</v>
      </c>
      <c r="DU322">
        <v>2.9</v>
      </c>
      <c r="DV322">
        <v>1</v>
      </c>
      <c r="DW322">
        <v>68</v>
      </c>
      <c r="DX322">
        <v>2</v>
      </c>
      <c r="DY322">
        <f>0.38+0.07</f>
        <v>0.45</v>
      </c>
      <c r="DZ322">
        <v>1</v>
      </c>
      <c r="EG322" s="18"/>
      <c r="EY322">
        <v>1</v>
      </c>
      <c r="EZ322">
        <v>40</v>
      </c>
      <c r="FA322">
        <v>1</v>
      </c>
      <c r="FB322">
        <v>0.06</v>
      </c>
      <c r="FC322">
        <v>1</v>
      </c>
      <c r="FD322">
        <v>60</v>
      </c>
      <c r="FE322">
        <v>1</v>
      </c>
      <c r="FF322">
        <v>0.11</v>
      </c>
      <c r="FG322">
        <v>1</v>
      </c>
      <c r="FH322">
        <v>40</v>
      </c>
      <c r="FI322">
        <v>1</v>
      </c>
      <c r="FJ322">
        <v>0.57999999999999996</v>
      </c>
      <c r="FK322">
        <v>6</v>
      </c>
      <c r="GJ322" s="16">
        <v>0</v>
      </c>
      <c r="GK322" s="16">
        <v>0</v>
      </c>
      <c r="GL322" s="16"/>
      <c r="GM322" s="16"/>
      <c r="GN322" s="16"/>
      <c r="GO322" s="16"/>
      <c r="GP322" s="16"/>
      <c r="GQ322" s="16"/>
      <c r="GR322" s="16"/>
      <c r="GS322" s="16"/>
      <c r="GT322" s="16"/>
      <c r="GU322" s="16">
        <v>0.67</v>
      </c>
      <c r="GV322" s="16">
        <v>0.65</v>
      </c>
      <c r="GW322" s="16"/>
      <c r="GX322" s="16"/>
      <c r="GY322" s="16">
        <v>0</v>
      </c>
      <c r="GZ322" s="16">
        <v>0</v>
      </c>
      <c r="HA322" s="16">
        <v>0</v>
      </c>
      <c r="HB322">
        <v>0</v>
      </c>
      <c r="HC322" t="s">
        <v>186</v>
      </c>
      <c r="HD322">
        <v>52.5</v>
      </c>
      <c r="HE322" s="16">
        <v>78.3</v>
      </c>
      <c r="HF322" s="16">
        <v>80.400000000000006</v>
      </c>
      <c r="HG322" s="16">
        <v>33.200000000000003</v>
      </c>
      <c r="HH322">
        <v>67.5</v>
      </c>
      <c r="HI322" s="17">
        <v>0</v>
      </c>
      <c r="HJ322">
        <v>21.37</v>
      </c>
      <c r="HK322">
        <v>0</v>
      </c>
      <c r="HL322">
        <v>3.99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5.93</v>
      </c>
      <c r="HU322">
        <v>42.2</v>
      </c>
      <c r="HV322">
        <v>15.97</v>
      </c>
      <c r="HW322">
        <v>7.14</v>
      </c>
      <c r="HX322">
        <v>0</v>
      </c>
      <c r="HY322">
        <v>0</v>
      </c>
      <c r="IL322">
        <v>1.7</v>
      </c>
      <c r="IM322">
        <v>1</v>
      </c>
      <c r="IN322">
        <v>34</v>
      </c>
      <c r="IO322">
        <v>5</v>
      </c>
      <c r="IP322">
        <v>0.21</v>
      </c>
      <c r="IQ322">
        <v>1</v>
      </c>
      <c r="IR322">
        <v>68</v>
      </c>
      <c r="IS322">
        <v>3</v>
      </c>
      <c r="IT322">
        <v>0.3</v>
      </c>
      <c r="IU322">
        <v>1</v>
      </c>
      <c r="IV322">
        <v>47</v>
      </c>
      <c r="IW322">
        <v>4</v>
      </c>
      <c r="IX322" s="18">
        <v>0.11</v>
      </c>
      <c r="IY322">
        <v>1</v>
      </c>
      <c r="IZ322">
        <v>35</v>
      </c>
      <c r="JA322">
        <v>2</v>
      </c>
      <c r="JB322">
        <v>0.1</v>
      </c>
      <c r="JC322">
        <v>1</v>
      </c>
      <c r="JP322">
        <v>0</v>
      </c>
      <c r="LA322" s="16">
        <v>1.04</v>
      </c>
      <c r="LB322" s="16">
        <v>1</v>
      </c>
      <c r="LC322" s="16">
        <v>1</v>
      </c>
      <c r="LD322" s="16"/>
      <c r="LE322" s="16">
        <f>3.74+3.17+0.1</f>
        <v>7.01</v>
      </c>
      <c r="LF322" s="16"/>
      <c r="LG322" s="16"/>
      <c r="LH322" s="16"/>
      <c r="LI322" s="16"/>
      <c r="LJ322" s="16"/>
      <c r="LK322" s="16"/>
      <c r="LL322" s="16">
        <v>8.9</v>
      </c>
      <c r="LM322" s="16">
        <v>9.7899999999999991</v>
      </c>
      <c r="LN322" s="16"/>
      <c r="LO322" s="16"/>
      <c r="LP322" s="16">
        <v>2.99</v>
      </c>
      <c r="LQ322" s="16">
        <v>4</v>
      </c>
      <c r="LR322" s="16">
        <v>3</v>
      </c>
      <c r="LS322">
        <v>0</v>
      </c>
      <c r="LT322" t="s">
        <v>187</v>
      </c>
      <c r="LU322">
        <v>53.5</v>
      </c>
      <c r="LV322" s="16">
        <v>73.5</v>
      </c>
      <c r="LW322" s="16">
        <v>80.400000000000006</v>
      </c>
      <c r="LX322" s="16">
        <v>26.1</v>
      </c>
      <c r="LY322">
        <v>78.89</v>
      </c>
      <c r="LZ322" s="17">
        <v>0</v>
      </c>
      <c r="MA322">
        <v>2.36</v>
      </c>
      <c r="MB322">
        <v>0</v>
      </c>
      <c r="MC322">
        <v>11.6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7.86</v>
      </c>
      <c r="MK322">
        <v>12.08</v>
      </c>
      <c r="ML322">
        <v>18.100000000000001</v>
      </c>
      <c r="MM322">
        <v>28.51</v>
      </c>
      <c r="MN322">
        <v>7.14</v>
      </c>
      <c r="MO322">
        <v>0</v>
      </c>
      <c r="MP322">
        <v>0</v>
      </c>
      <c r="NC322">
        <v>11.6</v>
      </c>
      <c r="ND322">
        <v>1</v>
      </c>
      <c r="NE322">
        <v>47</v>
      </c>
      <c r="NF322">
        <v>4</v>
      </c>
      <c r="NG322">
        <f>1.15+0.34</f>
        <v>1.49</v>
      </c>
      <c r="NH322">
        <v>3</v>
      </c>
      <c r="NO322" s="18"/>
      <c r="OG322">
        <v>1</v>
      </c>
      <c r="OH322">
        <v>50</v>
      </c>
      <c r="OI322">
        <v>1</v>
      </c>
      <c r="OJ322">
        <v>0.19</v>
      </c>
      <c r="OK322">
        <v>3</v>
      </c>
      <c r="PR322" s="16">
        <v>7.27</v>
      </c>
      <c r="PS322" s="16">
        <v>1</v>
      </c>
      <c r="PT322" s="16">
        <v>1</v>
      </c>
      <c r="PU322" s="16"/>
      <c r="PV322" s="16">
        <f>2.11*2+0.37*2</f>
        <v>4.96</v>
      </c>
      <c r="PW322" s="16">
        <v>3</v>
      </c>
      <c r="PX322" s="16"/>
      <c r="PY322" s="16">
        <f>1.44+0.72</f>
        <v>2.16</v>
      </c>
      <c r="PZ322" s="16"/>
      <c r="QA322" s="16"/>
      <c r="QB322" s="16"/>
      <c r="QC322" s="16">
        <v>5.39</v>
      </c>
      <c r="QD322" s="16">
        <v>8.11</v>
      </c>
      <c r="QE322" s="16"/>
      <c r="QF322" s="16"/>
      <c r="QG322" s="16">
        <v>0</v>
      </c>
      <c r="QH322" s="16">
        <v>0</v>
      </c>
      <c r="QI322" s="16">
        <v>3</v>
      </c>
      <c r="QJ322">
        <v>0</v>
      </c>
      <c r="QK322" t="s">
        <v>188</v>
      </c>
      <c r="QL322">
        <v>40</v>
      </c>
      <c r="QM322" s="16">
        <v>84.1</v>
      </c>
      <c r="QN322" s="16">
        <v>80.400000000000006</v>
      </c>
      <c r="QO322" s="16">
        <v>35.1</v>
      </c>
      <c r="QP322">
        <v>66.11</v>
      </c>
      <c r="QQ322" s="17">
        <v>0</v>
      </c>
      <c r="QR322">
        <v>13.11</v>
      </c>
      <c r="QS322">
        <v>6.27</v>
      </c>
      <c r="QT322">
        <v>8.02</v>
      </c>
      <c r="QU322">
        <v>0</v>
      </c>
      <c r="QV322">
        <v>6.47</v>
      </c>
      <c r="QW322">
        <v>2.85</v>
      </c>
      <c r="QX322">
        <v>3.1</v>
      </c>
      <c r="QY322">
        <v>0</v>
      </c>
      <c r="QZ322">
        <v>0</v>
      </c>
      <c r="RA322">
        <v>10.49</v>
      </c>
      <c r="RB322">
        <v>26.72</v>
      </c>
      <c r="RC322">
        <v>13.38</v>
      </c>
      <c r="RD322">
        <v>10.67</v>
      </c>
      <c r="RE322">
        <v>0</v>
      </c>
      <c r="RF322">
        <v>0</v>
      </c>
      <c r="RG322">
        <v>0</v>
      </c>
      <c r="RT322">
        <v>3.9</v>
      </c>
      <c r="RU322">
        <v>1</v>
      </c>
      <c r="RV322">
        <v>68</v>
      </c>
      <c r="RW322">
        <v>4</v>
      </c>
      <c r="RX322">
        <f>1.9+0.34</f>
        <v>2.2399999999999998</v>
      </c>
      <c r="RY322">
        <v>1</v>
      </c>
      <c r="RZ322">
        <v>34</v>
      </c>
      <c r="SA322">
        <v>8</v>
      </c>
      <c r="SB322">
        <v>0.27</v>
      </c>
      <c r="SC322">
        <v>1</v>
      </c>
      <c r="SF322" s="18"/>
      <c r="SX322">
        <v>1</v>
      </c>
      <c r="SY322">
        <v>50</v>
      </c>
      <c r="SZ322">
        <v>4</v>
      </c>
      <c r="TA322">
        <f>1.52*2</f>
        <v>3.04</v>
      </c>
      <c r="TB322">
        <v>3</v>
      </c>
      <c r="UI322" s="16">
        <v>0.04</v>
      </c>
      <c r="UJ322" s="16">
        <v>1</v>
      </c>
      <c r="UK322" s="16">
        <v>1</v>
      </c>
      <c r="UL322" s="16"/>
      <c r="UM322" s="16">
        <f>0.3</f>
        <v>0.3</v>
      </c>
      <c r="UN322" s="16"/>
      <c r="UO322" s="16"/>
      <c r="UP322" s="16"/>
      <c r="UQ322" s="16"/>
      <c r="UR322" s="16"/>
      <c r="US322" s="16"/>
      <c r="UT322" s="16">
        <v>0.03</v>
      </c>
      <c r="UU322" s="16">
        <v>0.03</v>
      </c>
      <c r="UV322" s="16"/>
      <c r="UW322" s="16"/>
      <c r="UX322" s="16">
        <v>0</v>
      </c>
      <c r="UY322" s="16">
        <v>0</v>
      </c>
      <c r="UZ322" s="16">
        <v>0</v>
      </c>
      <c r="VA322">
        <v>0</v>
      </c>
      <c r="VB322" t="s">
        <v>189</v>
      </c>
      <c r="VC322">
        <v>31</v>
      </c>
      <c r="VD322" s="16">
        <v>80.2</v>
      </c>
      <c r="VE322" s="16">
        <v>80.400000000000006</v>
      </c>
      <c r="VF322" s="16">
        <v>6.5</v>
      </c>
      <c r="VG322">
        <v>99.3</v>
      </c>
      <c r="VH322" s="17">
        <v>0</v>
      </c>
      <c r="VI322">
        <v>0.7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31.92</v>
      </c>
      <c r="VT322">
        <v>23.7</v>
      </c>
      <c r="VU322">
        <v>1.95</v>
      </c>
      <c r="VV322">
        <v>0</v>
      </c>
      <c r="VW322">
        <v>18.7</v>
      </c>
      <c r="VX322">
        <v>4</v>
      </c>
      <c r="VY322">
        <v>49</v>
      </c>
      <c r="WA322">
        <v>1</v>
      </c>
      <c r="WE322">
        <v>49</v>
      </c>
      <c r="WG322">
        <v>1</v>
      </c>
      <c r="WK322">
        <v>0</v>
      </c>
      <c r="WL322">
        <v>0</v>
      </c>
      <c r="WW322" s="18"/>
      <c r="XO322">
        <v>0</v>
      </c>
      <c r="YZ322" s="16">
        <v>0</v>
      </c>
      <c r="ZA322" s="16">
        <v>0</v>
      </c>
      <c r="ZB322" s="16"/>
      <c r="ZC322" s="16"/>
      <c r="ZD322" s="16"/>
      <c r="ZE322" s="16"/>
      <c r="ZF322" s="16"/>
      <c r="ZG322" s="16"/>
      <c r="ZH322" s="16"/>
      <c r="ZI322" s="16"/>
      <c r="ZJ322" s="16"/>
      <c r="ZK322" s="16">
        <v>5.42</v>
      </c>
      <c r="ZL322" s="16">
        <v>6.61</v>
      </c>
      <c r="ZM322" s="16"/>
      <c r="ZN322" s="16"/>
      <c r="ZO322" s="16">
        <v>0</v>
      </c>
      <c r="ZP322" s="16">
        <v>0</v>
      </c>
      <c r="ZQ322" s="16">
        <v>0</v>
      </c>
      <c r="ZR322">
        <v>0</v>
      </c>
      <c r="ZS322" t="s">
        <v>190</v>
      </c>
      <c r="ZT322">
        <v>38.5</v>
      </c>
      <c r="ZU322" s="16">
        <v>92</v>
      </c>
      <c r="ZV322" s="16">
        <v>80.400000000000006</v>
      </c>
      <c r="ZW322" s="16">
        <v>11</v>
      </c>
      <c r="ZX322">
        <v>95.37</v>
      </c>
      <c r="ZY322" s="17">
        <v>0</v>
      </c>
      <c r="ZZ322">
        <v>4.63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2.85</v>
      </c>
      <c r="AAJ322">
        <v>16.149999999999999</v>
      </c>
      <c r="AAK322">
        <v>42.55</v>
      </c>
      <c r="AAL322">
        <v>4.63</v>
      </c>
      <c r="AAM322">
        <v>0</v>
      </c>
      <c r="AAN322">
        <v>5.7</v>
      </c>
      <c r="AAO322">
        <v>1</v>
      </c>
      <c r="AAP322">
        <v>3</v>
      </c>
      <c r="AAR322">
        <v>1</v>
      </c>
      <c r="AAV322">
        <v>3</v>
      </c>
      <c r="AAX322">
        <v>1</v>
      </c>
      <c r="ABB322">
        <v>4.8</v>
      </c>
      <c r="ABC322">
        <v>0</v>
      </c>
      <c r="ABN322" s="18"/>
      <c r="ACF322">
        <v>1</v>
      </c>
      <c r="ACG322">
        <v>70</v>
      </c>
      <c r="ACH322">
        <v>3</v>
      </c>
      <c r="ACI322">
        <f>14.97+0.86+0.7</f>
        <v>16.53</v>
      </c>
      <c r="ACJ322">
        <v>3</v>
      </c>
      <c r="ACK322">
        <v>60</v>
      </c>
      <c r="ACL322">
        <v>3</v>
      </c>
      <c r="ACM322">
        <f>3.02+0.97+0.6</f>
        <v>4.59</v>
      </c>
      <c r="ACN322">
        <v>3</v>
      </c>
      <c r="ADQ322" s="16">
        <v>2.82</v>
      </c>
      <c r="ADR322" s="16">
        <v>1</v>
      </c>
      <c r="ADS322" s="16">
        <v>1</v>
      </c>
      <c r="ADT322" s="16"/>
      <c r="ADU322" s="16">
        <f>0.93*2</f>
        <v>1.86</v>
      </c>
      <c r="ADV322" s="16">
        <v>2</v>
      </c>
      <c r="ADW322" s="16"/>
      <c r="ADX322" s="16">
        <f>9.6+1.93</f>
        <v>11.53</v>
      </c>
      <c r="ADY322" s="16"/>
      <c r="ADZ322" s="16"/>
      <c r="AEA322" s="16"/>
      <c r="AEB322" s="16">
        <v>13.91</v>
      </c>
      <c r="AEC322" s="16">
        <v>17.309999999999999</v>
      </c>
      <c r="AED322" s="16"/>
      <c r="AEE322" s="16"/>
      <c r="AEF322" s="16">
        <v>0</v>
      </c>
      <c r="AEG322" s="16">
        <v>0</v>
      </c>
      <c r="AEH322" s="16">
        <v>0</v>
      </c>
      <c r="AEI322">
        <v>0</v>
      </c>
      <c r="AEJ322" t="s">
        <v>191</v>
      </c>
      <c r="AEK322">
        <v>44</v>
      </c>
      <c r="AEL322" s="16">
        <v>75.8</v>
      </c>
      <c r="AEM322" s="16">
        <v>80.400000000000006</v>
      </c>
      <c r="AEN322" s="16">
        <v>12.2</v>
      </c>
      <c r="AEO322">
        <v>90.24</v>
      </c>
      <c r="AEP322" s="17">
        <v>0</v>
      </c>
      <c r="AEQ322">
        <v>6.27</v>
      </c>
      <c r="AER322">
        <v>0</v>
      </c>
      <c r="AES322">
        <v>3.49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24.37</v>
      </c>
      <c r="AFB322">
        <v>32.21</v>
      </c>
      <c r="AFC322">
        <v>3.56</v>
      </c>
      <c r="AFD322">
        <v>0</v>
      </c>
      <c r="AFE322">
        <v>0</v>
      </c>
      <c r="AFF322">
        <v>0</v>
      </c>
      <c r="AFS322">
        <v>20.3</v>
      </c>
      <c r="AFT322">
        <v>1</v>
      </c>
      <c r="AFU322">
        <v>30</v>
      </c>
      <c r="AFV322">
        <v>4</v>
      </c>
      <c r="AFW322">
        <v>3.01</v>
      </c>
      <c r="AFX322">
        <v>5</v>
      </c>
      <c r="AFY322">
        <v>68</v>
      </c>
      <c r="AFZ322">
        <v>2</v>
      </c>
      <c r="AGA322">
        <v>1.52</v>
      </c>
      <c r="AGB322">
        <v>1</v>
      </c>
      <c r="AGC322">
        <v>47</v>
      </c>
      <c r="AGD322">
        <v>1</v>
      </c>
      <c r="AGE322" s="18">
        <v>7.0000000000000007E-2</v>
      </c>
      <c r="AGF322">
        <v>3</v>
      </c>
      <c r="AGW322">
        <v>0</v>
      </c>
      <c r="AIH322" s="16">
        <v>1.88</v>
      </c>
      <c r="AII322" s="16">
        <v>1</v>
      </c>
      <c r="AIJ322" s="16">
        <v>2</v>
      </c>
      <c r="AIK322" s="16"/>
      <c r="AIL322" s="16">
        <v>4.18</v>
      </c>
      <c r="AIM322" s="16"/>
      <c r="AIN322" s="16"/>
      <c r="AIO322" s="16"/>
      <c r="AIP322" s="16"/>
      <c r="AIQ322" s="16"/>
      <c r="AIR322" s="16"/>
      <c r="AIS322" s="16">
        <v>7.15</v>
      </c>
      <c r="AIT322" s="16">
        <v>6.06</v>
      </c>
      <c r="AIU322" s="16"/>
      <c r="AIV322" s="16"/>
      <c r="AIW322" s="16">
        <v>0</v>
      </c>
      <c r="AIX322" s="16">
        <v>0</v>
      </c>
      <c r="AIY322" s="16">
        <v>0</v>
      </c>
      <c r="AIZ322">
        <v>0</v>
      </c>
      <c r="AJA322" t="s">
        <v>192</v>
      </c>
      <c r="AJB322">
        <v>47.5</v>
      </c>
      <c r="AJC322" s="16">
        <v>79.3</v>
      </c>
      <c r="AJD322" s="16">
        <v>80.400000000000006</v>
      </c>
      <c r="AJE322" s="16">
        <v>36.299999999999997</v>
      </c>
      <c r="AJF322">
        <v>66.23</v>
      </c>
      <c r="AJG322" s="17">
        <v>0</v>
      </c>
      <c r="AJH322">
        <v>33.770000000000003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38.369999999999997</v>
      </c>
      <c r="AJS322">
        <v>20.04</v>
      </c>
      <c r="AJT322">
        <v>11.21</v>
      </c>
      <c r="AJU322">
        <v>0</v>
      </c>
      <c r="AJV322">
        <v>0</v>
      </c>
      <c r="AJW322">
        <v>0</v>
      </c>
      <c r="AKJ322">
        <v>6.9</v>
      </c>
      <c r="AKK322">
        <v>1</v>
      </c>
      <c r="AKL322">
        <v>47</v>
      </c>
      <c r="AKM322">
        <v>3</v>
      </c>
      <c r="AKN322">
        <f>0.11+0.74+0.08</f>
        <v>0.92999999999999994</v>
      </c>
      <c r="AKO322">
        <v>3</v>
      </c>
      <c r="AKP322">
        <v>68</v>
      </c>
      <c r="AKQ322">
        <v>1</v>
      </c>
      <c r="AKR322">
        <v>0.76</v>
      </c>
      <c r="AKS322">
        <v>1</v>
      </c>
      <c r="AKV322" s="18"/>
      <c r="ALN322">
        <v>0</v>
      </c>
    </row>
    <row r="323" spans="1:1024" s="24" customFormat="1" x14ac:dyDescent="0.2">
      <c r="A323" s="22" t="s">
        <v>903</v>
      </c>
      <c r="B323" s="23">
        <v>42905</v>
      </c>
      <c r="C323" s="24">
        <v>2</v>
      </c>
      <c r="D323" s="25">
        <v>40693</v>
      </c>
      <c r="E323" s="23">
        <v>28483</v>
      </c>
      <c r="F323" s="14">
        <f t="shared" si="120"/>
        <v>39.485284052019168</v>
      </c>
      <c r="G323" s="14">
        <f t="shared" si="121"/>
        <v>6.0561259411362078</v>
      </c>
      <c r="H323" s="26" t="s">
        <v>181</v>
      </c>
      <c r="I323" s="21" t="s">
        <v>283</v>
      </c>
      <c r="J323" s="21" t="s">
        <v>181</v>
      </c>
      <c r="K323" s="21">
        <v>8</v>
      </c>
      <c r="L323" s="26">
        <v>75</v>
      </c>
      <c r="M323" s="24">
        <v>1.97</v>
      </c>
      <c r="N323" s="27">
        <f t="shared" si="122"/>
        <v>19.325414208044524</v>
      </c>
      <c r="O323" s="26">
        <v>0</v>
      </c>
      <c r="P323" s="26">
        <v>0</v>
      </c>
      <c r="Q323" s="26">
        <v>0</v>
      </c>
      <c r="R323" s="26">
        <v>0</v>
      </c>
      <c r="S323" s="26">
        <v>0</v>
      </c>
      <c r="T323" s="26">
        <v>0</v>
      </c>
      <c r="U323" s="26">
        <v>1</v>
      </c>
      <c r="V323" s="26">
        <v>3</v>
      </c>
      <c r="W323" s="26">
        <v>1</v>
      </c>
      <c r="X323" s="26">
        <v>0</v>
      </c>
      <c r="Y323" s="26">
        <v>1</v>
      </c>
      <c r="Z323" s="26">
        <v>1</v>
      </c>
      <c r="AA323" s="26">
        <v>45</v>
      </c>
      <c r="AB323" s="26" t="s">
        <v>284</v>
      </c>
      <c r="AC323" s="26">
        <v>1</v>
      </c>
      <c r="AD323" s="26">
        <v>5</v>
      </c>
      <c r="AE323" s="26">
        <v>1</v>
      </c>
      <c r="AF323" s="19">
        <v>0</v>
      </c>
      <c r="AG323" s="19">
        <v>0</v>
      </c>
      <c r="AH323" s="19">
        <v>0</v>
      </c>
      <c r="AI323" s="26">
        <v>1</v>
      </c>
      <c r="AJ323" s="26">
        <v>0</v>
      </c>
      <c r="AK323" s="26">
        <v>0</v>
      </c>
      <c r="AL323" s="26">
        <v>0</v>
      </c>
      <c r="AM323" s="26">
        <v>0</v>
      </c>
      <c r="AN323" s="26">
        <v>0</v>
      </c>
      <c r="AO323" s="19">
        <v>0</v>
      </c>
      <c r="AP323" s="19">
        <v>0</v>
      </c>
      <c r="AQ323" s="19">
        <v>0</v>
      </c>
      <c r="AR323" s="19">
        <v>0</v>
      </c>
      <c r="AS323" s="26">
        <v>0</v>
      </c>
      <c r="AT323" s="26">
        <v>0</v>
      </c>
      <c r="AU323" s="26">
        <v>0</v>
      </c>
      <c r="AV323" s="26">
        <v>0</v>
      </c>
      <c r="AW323" s="26">
        <v>0</v>
      </c>
      <c r="AX323" s="26">
        <v>0</v>
      </c>
      <c r="AY323" s="26">
        <v>0</v>
      </c>
      <c r="AZ323" s="26">
        <v>0</v>
      </c>
      <c r="BA323" s="26">
        <v>0</v>
      </c>
      <c r="BB323" s="26">
        <v>1</v>
      </c>
      <c r="BC323" s="26"/>
      <c r="BD323" s="26"/>
      <c r="BE323" s="26"/>
      <c r="BF323" s="26">
        <v>0</v>
      </c>
      <c r="BG323" s="26">
        <v>0</v>
      </c>
      <c r="BH323" s="26">
        <v>0</v>
      </c>
      <c r="BI323" s="26">
        <v>0</v>
      </c>
      <c r="BJ323" s="26">
        <v>1</v>
      </c>
      <c r="BK323" s="26">
        <v>0</v>
      </c>
      <c r="BL323" s="26">
        <v>1</v>
      </c>
      <c r="BM323" s="26">
        <v>5</v>
      </c>
      <c r="BN323" s="26">
        <v>1</v>
      </c>
      <c r="BO323" s="26">
        <v>0</v>
      </c>
      <c r="BP323" s="26">
        <v>1</v>
      </c>
      <c r="BQ323" s="26">
        <v>5</v>
      </c>
      <c r="BR323" s="26">
        <v>3</v>
      </c>
      <c r="BS323" s="26">
        <v>2</v>
      </c>
      <c r="BT323" s="26">
        <v>3</v>
      </c>
      <c r="BU323" s="26">
        <v>5</v>
      </c>
      <c r="BV323" s="26">
        <v>1</v>
      </c>
      <c r="BW323" s="26">
        <v>4</v>
      </c>
      <c r="BX323" s="26">
        <v>3</v>
      </c>
      <c r="BY323" s="26">
        <v>4</v>
      </c>
      <c r="BZ323" s="26">
        <v>4</v>
      </c>
      <c r="CA323" s="26">
        <v>3</v>
      </c>
      <c r="CB323" s="26">
        <v>3</v>
      </c>
      <c r="CC323" s="26">
        <v>5</v>
      </c>
      <c r="CD323" s="26">
        <v>3</v>
      </c>
      <c r="CE323" s="26">
        <v>4</v>
      </c>
      <c r="CF323" s="26">
        <v>4</v>
      </c>
      <c r="CG323" s="26">
        <v>5</v>
      </c>
      <c r="CH323" s="26">
        <v>5</v>
      </c>
      <c r="CI323" s="26">
        <v>5</v>
      </c>
      <c r="CJ323" s="26">
        <v>5</v>
      </c>
      <c r="CK323" s="26">
        <v>10</v>
      </c>
      <c r="CL323" s="24" t="s">
        <v>288</v>
      </c>
      <c r="CM323" s="24">
        <v>77.5</v>
      </c>
      <c r="CN323" s="27">
        <v>87.4</v>
      </c>
      <c r="CO323" s="27">
        <v>80.400000000000006</v>
      </c>
      <c r="CP323" s="27">
        <v>53.5</v>
      </c>
      <c r="CQ323" s="24">
        <v>51.28</v>
      </c>
      <c r="CR323" s="29">
        <v>0</v>
      </c>
      <c r="CS323" s="24">
        <v>27.27</v>
      </c>
      <c r="CT323" s="24">
        <v>21.22</v>
      </c>
      <c r="CU323" s="24">
        <v>0</v>
      </c>
      <c r="CV323" s="24">
        <v>0</v>
      </c>
      <c r="CW323" s="24">
        <v>0</v>
      </c>
      <c r="CX323" s="24">
        <v>0</v>
      </c>
      <c r="CY323" s="24">
        <v>0</v>
      </c>
      <c r="CZ323" s="24">
        <v>0</v>
      </c>
      <c r="DA323" s="24">
        <v>0</v>
      </c>
      <c r="DB323" s="24">
        <v>0</v>
      </c>
      <c r="DC323" s="24">
        <v>5.93</v>
      </c>
      <c r="DD323" s="24">
        <v>4.6100000000000003</v>
      </c>
      <c r="DE323" s="24">
        <v>5.38</v>
      </c>
      <c r="DF323" s="24">
        <v>0</v>
      </c>
      <c r="DG323" s="24">
        <v>15.4</v>
      </c>
      <c r="DH323" s="24">
        <v>1</v>
      </c>
      <c r="DI323" s="24">
        <v>4</v>
      </c>
      <c r="DK323" s="24">
        <v>2</v>
      </c>
      <c r="DO323" s="24">
        <v>4</v>
      </c>
      <c r="DQ323" s="24">
        <v>2</v>
      </c>
      <c r="DU323" s="24">
        <v>6.7</v>
      </c>
      <c r="DV323" s="24">
        <v>1</v>
      </c>
      <c r="DW323" s="24">
        <v>35</v>
      </c>
      <c r="DX323" s="24">
        <v>6</v>
      </c>
      <c r="DY323" s="24">
        <v>0.8</v>
      </c>
      <c r="DZ323" s="24">
        <v>3</v>
      </c>
      <c r="EA323" s="24">
        <v>47</v>
      </c>
      <c r="EB323" s="24">
        <v>1</v>
      </c>
      <c r="EC323" s="24">
        <v>0.13</v>
      </c>
      <c r="ED323" s="24">
        <v>3</v>
      </c>
      <c r="EG323" s="28"/>
      <c r="EY323" s="24">
        <v>1</v>
      </c>
      <c r="EZ323" s="24">
        <v>60</v>
      </c>
      <c r="FA323" s="24">
        <v>3</v>
      </c>
      <c r="FB323" s="24">
        <v>1.35</v>
      </c>
      <c r="FC323" s="24">
        <v>2</v>
      </c>
      <c r="GJ323" s="27">
        <v>0</v>
      </c>
      <c r="GK323" s="27">
        <v>0</v>
      </c>
      <c r="GL323" s="27"/>
      <c r="GM323" s="27"/>
      <c r="GN323" s="27"/>
      <c r="GO323" s="27"/>
      <c r="GP323" s="27"/>
      <c r="GQ323" s="27"/>
      <c r="GR323" s="27"/>
      <c r="GS323" s="27"/>
      <c r="GT323" s="27"/>
      <c r="GU323" s="27">
        <v>0</v>
      </c>
      <c r="GV323" s="27">
        <v>0</v>
      </c>
      <c r="GW323" s="27"/>
      <c r="GX323" s="27"/>
      <c r="GY323" s="27">
        <v>0</v>
      </c>
      <c r="GZ323" s="27">
        <v>0</v>
      </c>
      <c r="HA323" s="27">
        <v>0</v>
      </c>
      <c r="HB323" s="24">
        <v>0</v>
      </c>
      <c r="HC323" s="24" t="s">
        <v>289</v>
      </c>
      <c r="HD323" s="24">
        <v>44</v>
      </c>
      <c r="HE323" s="27">
        <v>69.900000000000006</v>
      </c>
      <c r="HF323" s="27">
        <v>80.400000000000006</v>
      </c>
      <c r="HG323" s="27">
        <v>41</v>
      </c>
      <c r="HH323" s="24">
        <v>68.16</v>
      </c>
      <c r="HI323" s="29">
        <v>0</v>
      </c>
      <c r="HJ323" s="24">
        <v>11.52</v>
      </c>
      <c r="HK323" s="24">
        <v>20.32</v>
      </c>
      <c r="HL323" s="24">
        <v>0</v>
      </c>
      <c r="HM323" s="24">
        <v>0</v>
      </c>
      <c r="HN323" s="24">
        <v>0</v>
      </c>
      <c r="HO323" s="24">
        <v>0</v>
      </c>
      <c r="HP323" s="24">
        <v>0</v>
      </c>
      <c r="HQ323" s="24">
        <v>0</v>
      </c>
      <c r="HR323" s="24">
        <v>0</v>
      </c>
      <c r="HS323" s="24">
        <v>0</v>
      </c>
      <c r="HT323" s="24">
        <v>13.13</v>
      </c>
      <c r="HU323" s="24">
        <v>8.66</v>
      </c>
      <c r="HV323" s="24">
        <v>0</v>
      </c>
      <c r="HW323" s="24">
        <v>0</v>
      </c>
      <c r="HX323" s="24">
        <v>0</v>
      </c>
      <c r="HY323" s="24">
        <v>0</v>
      </c>
      <c r="IL323" s="24">
        <v>1.5</v>
      </c>
      <c r="IM323" s="24">
        <v>1</v>
      </c>
      <c r="IN323" s="24">
        <v>47</v>
      </c>
      <c r="IO323" s="24">
        <v>5</v>
      </c>
      <c r="IP323" s="24">
        <f>0.15+0.04</f>
        <v>0.19</v>
      </c>
      <c r="IQ323" s="24">
        <v>3</v>
      </c>
      <c r="IR323" s="24">
        <v>25</v>
      </c>
      <c r="IS323" s="24">
        <v>1</v>
      </c>
      <c r="IT323" s="24">
        <v>0.4</v>
      </c>
      <c r="IU323" s="24">
        <v>1</v>
      </c>
      <c r="IX323" s="28"/>
      <c r="JP323" s="24">
        <v>0</v>
      </c>
      <c r="LA323" s="27">
        <v>0.11</v>
      </c>
      <c r="LB323" s="27">
        <v>1</v>
      </c>
      <c r="LC323" s="27">
        <v>1</v>
      </c>
      <c r="LD323" s="27"/>
      <c r="LE323" s="27">
        <v>0.56000000000000005</v>
      </c>
      <c r="LF323" s="27"/>
      <c r="LG323" s="27"/>
      <c r="LH323" s="27"/>
      <c r="LI323" s="27"/>
      <c r="LJ323" s="27"/>
      <c r="LK323" s="27"/>
      <c r="LL323" s="27">
        <v>0</v>
      </c>
      <c r="LM323" s="27">
        <v>0</v>
      </c>
      <c r="LN323" s="27"/>
      <c r="LO323" s="27"/>
      <c r="LP323" s="27">
        <v>0</v>
      </c>
      <c r="LQ323" s="27">
        <v>0</v>
      </c>
      <c r="LR323" s="27">
        <v>0</v>
      </c>
      <c r="LS323" s="24">
        <v>0</v>
      </c>
      <c r="LT323" s="24" t="s">
        <v>290</v>
      </c>
      <c r="LU323" s="24">
        <v>43</v>
      </c>
      <c r="LV323" s="27">
        <v>49.3</v>
      </c>
      <c r="LW323" s="27">
        <v>80.400000000000006</v>
      </c>
      <c r="LX323" s="27">
        <v>32.9</v>
      </c>
      <c r="LY323" s="24">
        <v>73.52</v>
      </c>
      <c r="LZ323" s="29">
        <v>0</v>
      </c>
      <c r="MA323" s="24">
        <v>16.84</v>
      </c>
      <c r="MB323" s="24">
        <v>9.64</v>
      </c>
      <c r="MC323" s="24">
        <v>0</v>
      </c>
      <c r="MD323" s="24">
        <v>0</v>
      </c>
      <c r="ME323" s="24">
        <v>0</v>
      </c>
      <c r="MF323" s="24">
        <v>0</v>
      </c>
      <c r="MG323" s="24">
        <v>0</v>
      </c>
      <c r="MH323" s="24">
        <v>0</v>
      </c>
      <c r="MI323" s="24">
        <v>0</v>
      </c>
      <c r="MJ323" s="24">
        <v>0</v>
      </c>
      <c r="MK323" s="24">
        <v>13.52</v>
      </c>
      <c r="ML323" s="24">
        <v>3.69</v>
      </c>
      <c r="MM323" s="24">
        <v>3.85</v>
      </c>
      <c r="MN323" s="24">
        <v>0</v>
      </c>
      <c r="MO323" s="24">
        <v>0</v>
      </c>
      <c r="MP323" s="24">
        <v>0</v>
      </c>
      <c r="NC323" s="24">
        <v>7.4</v>
      </c>
      <c r="ND323" s="24">
        <v>1</v>
      </c>
      <c r="NE323" s="24">
        <v>47</v>
      </c>
      <c r="NF323" s="24">
        <v>11</v>
      </c>
      <c r="NG323" s="24">
        <f>2.09+0.15+0.04</f>
        <v>2.2799999999999998</v>
      </c>
      <c r="NH323" s="24">
        <v>3</v>
      </c>
      <c r="NO323" s="28"/>
      <c r="OG323" s="24">
        <v>0</v>
      </c>
      <c r="PR323" s="27">
        <v>0.28000000000000003</v>
      </c>
      <c r="PS323" s="27">
        <v>1</v>
      </c>
      <c r="PT323" s="27">
        <v>1</v>
      </c>
      <c r="PU323" s="27"/>
      <c r="PV323" s="27">
        <v>0.56000000000000005</v>
      </c>
      <c r="PW323" s="27"/>
      <c r="PX323" s="27"/>
      <c r="PY323" s="27"/>
      <c r="PZ323" s="27"/>
      <c r="QA323" s="27"/>
      <c r="QB323" s="27"/>
      <c r="QC323" s="27">
        <v>0.99</v>
      </c>
      <c r="QD323" s="27">
        <v>0.39</v>
      </c>
      <c r="QE323" s="27"/>
      <c r="QF323" s="27"/>
      <c r="QG323" s="27">
        <v>0</v>
      </c>
      <c r="QH323" s="27">
        <v>0</v>
      </c>
      <c r="QI323" s="27">
        <v>0</v>
      </c>
      <c r="QJ323" s="24">
        <v>0</v>
      </c>
      <c r="QK323" s="24">
        <v>56</v>
      </c>
      <c r="QL323" s="24">
        <v>26.5</v>
      </c>
      <c r="QM323" s="27">
        <v>66.099999999999994</v>
      </c>
      <c r="QN323" s="27">
        <v>80.400000000000006</v>
      </c>
      <c r="QO323" s="27">
        <v>15</v>
      </c>
      <c r="QP323" s="24">
        <v>89</v>
      </c>
      <c r="QQ323" s="29">
        <v>0</v>
      </c>
      <c r="QR323" s="24">
        <v>7.09</v>
      </c>
      <c r="QS323" s="24">
        <v>2.12</v>
      </c>
      <c r="QT323" s="24">
        <v>0</v>
      </c>
      <c r="QU323" s="24">
        <v>0</v>
      </c>
      <c r="QV323" s="24">
        <v>0</v>
      </c>
      <c r="QW323" s="24">
        <v>0</v>
      </c>
      <c r="QX323" s="24">
        <v>0</v>
      </c>
      <c r="QY323" s="24">
        <v>0</v>
      </c>
      <c r="QZ323" s="24">
        <v>0</v>
      </c>
      <c r="RA323" s="24">
        <v>0</v>
      </c>
      <c r="RB323" s="24">
        <v>4.26</v>
      </c>
      <c r="RC323" s="24">
        <v>32.68</v>
      </c>
      <c r="RD323" s="24">
        <v>1.91</v>
      </c>
      <c r="RE323" s="24">
        <v>0</v>
      </c>
      <c r="RF323" s="24">
        <v>0</v>
      </c>
      <c r="RG323" s="24">
        <v>0</v>
      </c>
      <c r="RT323" s="24">
        <v>0</v>
      </c>
      <c r="RU323" s="24">
        <v>0</v>
      </c>
      <c r="SF323" s="28"/>
      <c r="SX323" s="24">
        <v>0</v>
      </c>
      <c r="UI323" s="27">
        <v>3.52</v>
      </c>
      <c r="UJ323" s="27">
        <v>1</v>
      </c>
      <c r="UK323" s="27">
        <v>1</v>
      </c>
      <c r="UL323" s="27"/>
      <c r="UM323" s="27">
        <f>3.13+3.17*4</f>
        <v>15.809999999999999</v>
      </c>
      <c r="UN323" s="27">
        <v>2</v>
      </c>
      <c r="UO323" s="27"/>
      <c r="UP323" s="27">
        <v>0.87</v>
      </c>
      <c r="UQ323" s="27"/>
      <c r="UR323" s="27"/>
      <c r="US323" s="27"/>
      <c r="UT323" s="27">
        <v>5.36</v>
      </c>
      <c r="UU323" s="27">
        <v>8.39</v>
      </c>
      <c r="UV323" s="27"/>
      <c r="UW323" s="27"/>
      <c r="UX323" s="27">
        <v>0</v>
      </c>
      <c r="UY323" s="27">
        <v>0</v>
      </c>
      <c r="UZ323" s="27">
        <v>0</v>
      </c>
      <c r="VA323" s="24">
        <v>0</v>
      </c>
      <c r="VB323" s="24" t="s">
        <v>757</v>
      </c>
      <c r="VC323" s="24">
        <v>36</v>
      </c>
      <c r="VD323" s="27">
        <v>87.4</v>
      </c>
      <c r="VE323" s="27">
        <v>80.400000000000006</v>
      </c>
      <c r="VF323" s="27">
        <v>27.8</v>
      </c>
      <c r="VG323" s="24">
        <v>71.12</v>
      </c>
      <c r="VH323" s="29">
        <v>0</v>
      </c>
      <c r="VI323" s="24">
        <v>26.39</v>
      </c>
      <c r="VJ323" s="24">
        <v>2.4900000000000002</v>
      </c>
      <c r="VK323" s="24">
        <v>0</v>
      </c>
      <c r="VL323" s="24">
        <v>0</v>
      </c>
      <c r="VM323" s="24">
        <v>0</v>
      </c>
      <c r="VN323" s="24">
        <v>0</v>
      </c>
      <c r="VO323" s="24">
        <v>0</v>
      </c>
      <c r="VP323" s="24">
        <v>0</v>
      </c>
      <c r="VQ323" s="24">
        <v>0</v>
      </c>
      <c r="VR323" s="24">
        <v>0</v>
      </c>
      <c r="VS323" s="24">
        <v>49.1</v>
      </c>
      <c r="VT323" s="24">
        <v>13.54</v>
      </c>
      <c r="VU323" s="24">
        <v>0</v>
      </c>
      <c r="VV323" s="24">
        <v>0</v>
      </c>
      <c r="VW323" s="24">
        <v>0</v>
      </c>
      <c r="VX323" s="24">
        <v>0</v>
      </c>
      <c r="WK323" s="24">
        <v>2.4</v>
      </c>
      <c r="WL323" s="24">
        <v>0</v>
      </c>
      <c r="WW323" s="28"/>
      <c r="XO323" s="24">
        <v>1</v>
      </c>
      <c r="XP323" s="24">
        <v>70</v>
      </c>
      <c r="XQ323" s="24">
        <v>2</v>
      </c>
      <c r="XR323" s="24">
        <f>0.83*2</f>
        <v>1.66</v>
      </c>
      <c r="XS323" s="24">
        <v>2</v>
      </c>
      <c r="XT323" s="24">
        <v>90</v>
      </c>
      <c r="XU323" s="24">
        <v>2</v>
      </c>
      <c r="XV323" s="24">
        <f>0.41*2</f>
        <v>0.82</v>
      </c>
      <c r="XW323" s="24">
        <v>1</v>
      </c>
      <c r="YZ323" s="27">
        <v>1.59</v>
      </c>
      <c r="ZA323" s="27">
        <v>1</v>
      </c>
      <c r="ZB323" s="27">
        <v>1</v>
      </c>
      <c r="ZC323" s="27"/>
      <c r="ZD323" s="27">
        <v>12.69</v>
      </c>
      <c r="ZE323" s="27"/>
      <c r="ZF323" s="27"/>
      <c r="ZG323" s="27"/>
      <c r="ZH323" s="27"/>
      <c r="ZI323" s="27"/>
      <c r="ZJ323" s="27"/>
      <c r="ZK323" s="27">
        <v>4.1900000000000004</v>
      </c>
      <c r="ZL323" s="27">
        <v>4.18</v>
      </c>
      <c r="ZM323" s="27"/>
      <c r="ZN323" s="27"/>
      <c r="ZO323" s="27">
        <v>0</v>
      </c>
      <c r="ZP323" s="27">
        <v>0</v>
      </c>
      <c r="ZQ323" s="27">
        <v>0</v>
      </c>
      <c r="ZR323" s="24">
        <v>0</v>
      </c>
      <c r="ZS323" s="24" t="s">
        <v>904</v>
      </c>
      <c r="ZT323" s="24">
        <v>38.5</v>
      </c>
      <c r="ZU323" s="27">
        <v>90.9</v>
      </c>
      <c r="ZV323" s="27">
        <v>80.400000000000006</v>
      </c>
      <c r="ZW323" s="27">
        <v>26.3</v>
      </c>
      <c r="ZX323" s="24">
        <v>74.67</v>
      </c>
      <c r="ZY323" s="29">
        <v>0</v>
      </c>
      <c r="ZZ323" s="24">
        <v>11.23</v>
      </c>
      <c r="AAA323" s="24">
        <v>0</v>
      </c>
      <c r="AAB323" s="24">
        <v>14.1</v>
      </c>
      <c r="AAC323" s="24">
        <v>0</v>
      </c>
      <c r="AAD323" s="24">
        <v>0</v>
      </c>
      <c r="AAE323" s="24">
        <v>0</v>
      </c>
      <c r="AAF323" s="24">
        <v>0</v>
      </c>
      <c r="AAG323" s="24">
        <v>0</v>
      </c>
      <c r="AAH323" s="24">
        <v>0</v>
      </c>
      <c r="AAI323" s="24">
        <v>0</v>
      </c>
      <c r="AAJ323" s="24">
        <v>15.12</v>
      </c>
      <c r="AAK323" s="24">
        <v>9.7200000000000006</v>
      </c>
      <c r="AAL323" s="24">
        <v>49.95</v>
      </c>
      <c r="AAM323" s="24">
        <v>0</v>
      </c>
      <c r="AAN323" s="24">
        <v>0</v>
      </c>
      <c r="AAO323" s="24">
        <v>0</v>
      </c>
      <c r="ABB323" s="24">
        <v>7.1</v>
      </c>
      <c r="ABC323" s="24">
        <v>1</v>
      </c>
      <c r="ABD323" s="24">
        <v>34</v>
      </c>
      <c r="ABE323" s="24">
        <v>2</v>
      </c>
      <c r="ABF323" s="24">
        <f>0.76+0.13</f>
        <v>0.89</v>
      </c>
      <c r="ABG323" s="24">
        <v>1</v>
      </c>
      <c r="ABH323" s="24">
        <v>35</v>
      </c>
      <c r="ABI323" s="24">
        <v>2</v>
      </c>
      <c r="ABJ323" s="24">
        <v>2.2799999999999998</v>
      </c>
      <c r="ABK323" s="24">
        <v>3</v>
      </c>
      <c r="ABL323" s="24">
        <v>23</v>
      </c>
      <c r="ABM323" s="24">
        <v>1</v>
      </c>
      <c r="ABN323" s="28">
        <v>0.43</v>
      </c>
      <c r="ABO323" s="24">
        <v>1</v>
      </c>
      <c r="ACF323" s="24">
        <v>0</v>
      </c>
      <c r="ADQ323" s="27">
        <v>1.94</v>
      </c>
      <c r="ADR323" s="27">
        <v>1</v>
      </c>
      <c r="ADS323" s="27">
        <v>1</v>
      </c>
      <c r="ADT323" s="27"/>
      <c r="ADU323" s="27">
        <f>2.11+3.17</f>
        <v>5.2799999999999994</v>
      </c>
      <c r="ADV323" s="27">
        <v>2</v>
      </c>
      <c r="ADW323" s="27"/>
      <c r="ADX323" s="27">
        <f>1.5</f>
        <v>1.5</v>
      </c>
      <c r="ADY323" s="27"/>
      <c r="ADZ323" s="27"/>
      <c r="AEA323" s="27"/>
      <c r="AEB323" s="27">
        <v>0</v>
      </c>
      <c r="AEC323" s="27">
        <v>0</v>
      </c>
      <c r="AED323" s="27"/>
      <c r="AEE323" s="27"/>
      <c r="AEF323" s="27">
        <v>0</v>
      </c>
      <c r="AEG323" s="27">
        <v>0</v>
      </c>
      <c r="AEH323" s="27">
        <v>0</v>
      </c>
      <c r="AEI323" s="24">
        <v>0</v>
      </c>
      <c r="AEJ323" s="24" t="s">
        <v>775</v>
      </c>
      <c r="AEK323" s="24">
        <v>32.5</v>
      </c>
      <c r="AEL323" s="27">
        <v>88.1</v>
      </c>
      <c r="AEM323" s="27">
        <v>80.400000000000006</v>
      </c>
      <c r="AEN323" s="27">
        <v>21.1</v>
      </c>
      <c r="AEO323" s="24">
        <v>85.64</v>
      </c>
      <c r="AEP323" s="29">
        <v>0</v>
      </c>
      <c r="AEQ323" s="24">
        <v>5.22</v>
      </c>
      <c r="AER323" s="24">
        <v>0</v>
      </c>
      <c r="AES323" s="24">
        <v>9.14</v>
      </c>
      <c r="AET323" s="24">
        <v>0</v>
      </c>
      <c r="AEU323" s="24">
        <v>0</v>
      </c>
      <c r="AEV323" s="24">
        <v>0</v>
      </c>
      <c r="AEW323" s="24">
        <v>0</v>
      </c>
      <c r="AEX323" s="24">
        <v>0</v>
      </c>
      <c r="AEY323" s="24">
        <v>0</v>
      </c>
      <c r="AEZ323" s="24">
        <v>0</v>
      </c>
      <c r="AFA323" s="24">
        <v>34.200000000000003</v>
      </c>
      <c r="AFB323" s="24">
        <v>7.52</v>
      </c>
      <c r="AFC323" s="24">
        <v>31.17</v>
      </c>
      <c r="AFD323" s="24">
        <v>0</v>
      </c>
      <c r="AFE323" s="24">
        <v>0</v>
      </c>
      <c r="AFF323" s="24">
        <v>0</v>
      </c>
      <c r="AFS323" s="24">
        <v>3.8</v>
      </c>
      <c r="AFT323" s="24">
        <v>1</v>
      </c>
      <c r="AFU323" s="24">
        <v>34</v>
      </c>
      <c r="AFV323" s="24">
        <v>2</v>
      </c>
      <c r="AFW323" s="24">
        <f>0.76+0.13</f>
        <v>0.89</v>
      </c>
      <c r="AFX323" s="24">
        <v>1</v>
      </c>
      <c r="AFY323" s="24">
        <v>23</v>
      </c>
      <c r="AFZ323" s="24">
        <v>3</v>
      </c>
      <c r="AGA323" s="24">
        <v>2.2799999999999998</v>
      </c>
      <c r="AGB323" s="24">
        <v>3</v>
      </c>
      <c r="AGC323" s="24">
        <v>47</v>
      </c>
      <c r="AGD323" s="24">
        <v>1</v>
      </c>
      <c r="AGE323" s="28">
        <v>0.76</v>
      </c>
      <c r="AGF323" s="24">
        <v>3</v>
      </c>
      <c r="AGW323" s="24">
        <v>0</v>
      </c>
      <c r="AIH323" s="27">
        <v>0</v>
      </c>
      <c r="AII323" s="27">
        <v>0</v>
      </c>
      <c r="AIJ323" s="27"/>
      <c r="AIK323" s="27"/>
      <c r="AIL323" s="27"/>
      <c r="AIM323" s="27"/>
      <c r="AIN323" s="27"/>
      <c r="AIO323" s="27"/>
      <c r="AIP323" s="27"/>
      <c r="AIQ323" s="27"/>
      <c r="AIR323" s="27"/>
      <c r="AIS323" s="27">
        <v>5.4</v>
      </c>
      <c r="AIT323" s="27">
        <v>9.7200000000000006</v>
      </c>
      <c r="AIU323" s="27"/>
      <c r="AIV323" s="27"/>
      <c r="AIW323" s="27">
        <v>0</v>
      </c>
      <c r="AIX323" s="27">
        <v>0</v>
      </c>
      <c r="AIY323" s="27">
        <v>0</v>
      </c>
      <c r="AIZ323" s="24">
        <v>0</v>
      </c>
      <c r="AJA323" s="21"/>
      <c r="AJB323" s="21"/>
      <c r="AJD323" s="33"/>
      <c r="AJE323" s="33"/>
      <c r="AJH323" s="33"/>
      <c r="AJI323" s="21"/>
      <c r="AJJ323" s="21"/>
      <c r="AJL323" s="33"/>
      <c r="AJM323" s="33"/>
      <c r="AJP323" s="33"/>
      <c r="AJQ323" s="21"/>
      <c r="AJR323" s="21"/>
      <c r="AJT323" s="33"/>
      <c r="AJU323" s="33"/>
      <c r="AJX323" s="33"/>
      <c r="AJY323" s="21"/>
      <c r="AJZ323" s="21"/>
      <c r="AKB323" s="33"/>
      <c r="AKC323" s="33"/>
      <c r="AKF323" s="33"/>
      <c r="AKG323" s="21"/>
      <c r="AKH323" s="21"/>
      <c r="AKJ323" s="33"/>
      <c r="AKK323" s="33"/>
      <c r="AKN323" s="33"/>
      <c r="AKO323" s="21"/>
      <c r="AKP323" s="21"/>
      <c r="AKR323" s="33"/>
      <c r="AKS323" s="33"/>
      <c r="AKV323" s="33"/>
      <c r="AKW323" s="21"/>
      <c r="AKX323" s="21"/>
      <c r="AKZ323" s="33"/>
      <c r="ALA323" s="33"/>
      <c r="ALD323" s="33"/>
      <c r="ALE323" s="21"/>
      <c r="ALF323" s="21"/>
      <c r="ALH323" s="33"/>
      <c r="ALI323" s="33"/>
      <c r="ALL323" s="33"/>
      <c r="ALM323" s="21"/>
      <c r="ALN323" s="21"/>
      <c r="ALP323" s="33"/>
      <c r="ALQ323" s="33"/>
      <c r="ALT323" s="33"/>
      <c r="ALU323" s="21"/>
      <c r="ALV323" s="21"/>
      <c r="ALX323" s="33"/>
      <c r="ALY323" s="33"/>
      <c r="AMB323" s="33"/>
      <c r="AMC323" s="21"/>
      <c r="AMD323" s="21"/>
      <c r="AMF323" s="33"/>
      <c r="AMG323" s="33"/>
      <c r="AMJ323" s="33"/>
    </row>
    <row r="324" spans="1:1024" x14ac:dyDescent="0.2">
      <c r="A324" s="22" t="s">
        <v>905</v>
      </c>
      <c r="B324" s="23">
        <v>42905</v>
      </c>
      <c r="C324" s="24">
        <v>2</v>
      </c>
      <c r="D324" s="25">
        <v>42786</v>
      </c>
      <c r="E324" s="23">
        <v>34502</v>
      </c>
      <c r="F324" s="14">
        <f t="shared" si="120"/>
        <v>23.006160164271048</v>
      </c>
      <c r="G324" s="14">
        <f t="shared" si="121"/>
        <v>0.32580424366872007</v>
      </c>
      <c r="H324" s="26" t="s">
        <v>181</v>
      </c>
      <c r="I324" s="21" t="s">
        <v>283</v>
      </c>
      <c r="J324" s="21" t="s">
        <v>181</v>
      </c>
      <c r="K324" s="21">
        <v>8</v>
      </c>
      <c r="L324" s="26">
        <v>52</v>
      </c>
      <c r="M324" s="24">
        <v>1.68</v>
      </c>
      <c r="N324" s="27">
        <f t="shared" si="122"/>
        <v>18.424036281179141</v>
      </c>
      <c r="O324" s="26">
        <v>0</v>
      </c>
      <c r="P324" s="26">
        <v>0</v>
      </c>
      <c r="Q324" s="26">
        <v>0</v>
      </c>
      <c r="R324" s="26">
        <v>0</v>
      </c>
      <c r="S324" s="26">
        <v>0</v>
      </c>
      <c r="T324" s="26">
        <v>0</v>
      </c>
      <c r="U324" s="26">
        <v>0</v>
      </c>
      <c r="V324" s="26">
        <v>0</v>
      </c>
      <c r="W324" s="26">
        <v>0</v>
      </c>
      <c r="X324" s="26">
        <v>0</v>
      </c>
      <c r="Y324" s="26">
        <v>0</v>
      </c>
      <c r="Z324" s="26">
        <v>0</v>
      </c>
      <c r="AA324" s="26">
        <v>0</v>
      </c>
      <c r="AB324" s="26">
        <v>0</v>
      </c>
      <c r="AC324" s="26">
        <v>1</v>
      </c>
      <c r="AD324" s="26">
        <v>10</v>
      </c>
      <c r="AE324" s="26">
        <v>0</v>
      </c>
      <c r="AF324" s="19">
        <v>0</v>
      </c>
      <c r="AG324" s="19">
        <v>0</v>
      </c>
      <c r="AH324" s="19">
        <v>0</v>
      </c>
      <c r="AI324" s="26">
        <v>0</v>
      </c>
      <c r="AJ324" s="26">
        <v>0</v>
      </c>
      <c r="AK324" s="26">
        <v>0</v>
      </c>
      <c r="AL324" s="26">
        <v>0</v>
      </c>
      <c r="AM324" s="26">
        <v>0</v>
      </c>
      <c r="AN324" s="26">
        <v>0</v>
      </c>
      <c r="AO324" s="19">
        <v>0</v>
      </c>
      <c r="AP324" s="19">
        <v>0</v>
      </c>
      <c r="AQ324" s="19">
        <v>0</v>
      </c>
      <c r="AR324" s="19">
        <v>0</v>
      </c>
      <c r="AS324" s="26">
        <v>0</v>
      </c>
      <c r="AT324" s="26">
        <v>0</v>
      </c>
      <c r="AU324" s="26">
        <v>0</v>
      </c>
      <c r="AV324" s="26">
        <v>0</v>
      </c>
      <c r="AW324" s="26">
        <v>0</v>
      </c>
      <c r="AX324" s="26">
        <v>0</v>
      </c>
      <c r="AY324" s="26">
        <v>0</v>
      </c>
      <c r="AZ324" s="26">
        <v>0</v>
      </c>
      <c r="BA324" s="26">
        <v>0</v>
      </c>
      <c r="BB324" s="26">
        <v>0</v>
      </c>
      <c r="BC324" s="26">
        <v>0</v>
      </c>
      <c r="BD324" s="26">
        <v>0</v>
      </c>
      <c r="BE324" s="26">
        <v>0</v>
      </c>
      <c r="BF324" s="26">
        <v>0</v>
      </c>
      <c r="BG324" s="26">
        <v>0</v>
      </c>
      <c r="BH324" s="26">
        <v>0</v>
      </c>
      <c r="BI324" s="26">
        <v>0</v>
      </c>
      <c r="BJ324" s="19">
        <v>0</v>
      </c>
      <c r="BK324" s="19">
        <v>0</v>
      </c>
      <c r="BL324" s="19">
        <v>0</v>
      </c>
      <c r="BM324" s="19">
        <v>0</v>
      </c>
      <c r="BN324" s="26">
        <v>0</v>
      </c>
      <c r="BO324" s="26">
        <v>0</v>
      </c>
      <c r="BP324" s="26">
        <v>0</v>
      </c>
      <c r="BQ324" s="26">
        <v>0</v>
      </c>
      <c r="BR324" s="26">
        <v>1</v>
      </c>
      <c r="BS324" s="26">
        <v>1</v>
      </c>
      <c r="BT324" s="26">
        <v>3</v>
      </c>
      <c r="BU324" s="26">
        <v>4</v>
      </c>
      <c r="BV324" s="26">
        <v>1</v>
      </c>
      <c r="BW324" s="26">
        <v>5</v>
      </c>
      <c r="BX324" s="26">
        <v>5</v>
      </c>
      <c r="BY324" s="26">
        <v>5</v>
      </c>
      <c r="BZ324" s="26">
        <v>5</v>
      </c>
      <c r="CA324" s="26">
        <v>5</v>
      </c>
      <c r="CB324" s="26">
        <v>5</v>
      </c>
      <c r="CC324" s="26">
        <v>5</v>
      </c>
      <c r="CD324" s="26">
        <v>3</v>
      </c>
      <c r="CE324" s="26">
        <v>3</v>
      </c>
      <c r="CF324" s="26">
        <v>2</v>
      </c>
      <c r="CG324" s="26">
        <v>4</v>
      </c>
      <c r="CH324" s="26">
        <v>5</v>
      </c>
      <c r="CI324" s="26">
        <v>5</v>
      </c>
      <c r="CJ324" s="26">
        <v>5</v>
      </c>
      <c r="CK324" s="26">
        <v>10</v>
      </c>
      <c r="CL324" s="24" t="s">
        <v>287</v>
      </c>
      <c r="CM324" s="24">
        <v>61.5</v>
      </c>
      <c r="CN324" s="27">
        <v>83.5</v>
      </c>
      <c r="CO324" s="27">
        <v>80.400000000000006</v>
      </c>
      <c r="CP324" s="27">
        <v>56.1</v>
      </c>
      <c r="CQ324" s="24">
        <v>51.73</v>
      </c>
      <c r="CR324" s="29">
        <v>0</v>
      </c>
      <c r="CS324" s="24">
        <v>30.08</v>
      </c>
      <c r="CT324" s="24">
        <v>18.190000000000001</v>
      </c>
      <c r="CU324" s="24">
        <v>0</v>
      </c>
      <c r="CV324" s="24">
        <v>0</v>
      </c>
      <c r="CW324" s="24">
        <v>0</v>
      </c>
      <c r="CX324" s="24">
        <v>0</v>
      </c>
      <c r="CY324" s="24">
        <v>0</v>
      </c>
      <c r="CZ324" s="24">
        <v>0</v>
      </c>
      <c r="DA324" s="24">
        <v>0</v>
      </c>
      <c r="DB324" s="24">
        <v>0</v>
      </c>
      <c r="DC324" s="24">
        <v>0.3</v>
      </c>
      <c r="DD324" s="24">
        <v>27.59</v>
      </c>
      <c r="DE324" s="24">
        <v>0</v>
      </c>
      <c r="DF324" s="24">
        <v>0</v>
      </c>
      <c r="DG324" s="24">
        <v>0</v>
      </c>
      <c r="DH324" s="24">
        <v>0</v>
      </c>
      <c r="DU324" s="24">
        <v>0</v>
      </c>
      <c r="DV324" s="24">
        <v>0</v>
      </c>
      <c r="EG324" s="28"/>
      <c r="EY324" s="24">
        <v>0</v>
      </c>
      <c r="GJ324" s="27">
        <v>1.96</v>
      </c>
      <c r="GK324" s="27">
        <v>1</v>
      </c>
      <c r="GL324" s="27">
        <v>1</v>
      </c>
      <c r="GM324" s="27"/>
      <c r="GN324" s="27">
        <f>5.53+3.68+1.71+1.12+0.74</f>
        <v>12.780000000000003</v>
      </c>
      <c r="GO324" s="27"/>
      <c r="GP324" s="27"/>
      <c r="GQ324" s="27"/>
      <c r="GR324" s="27"/>
      <c r="GS324" s="27"/>
      <c r="GT324" s="27"/>
      <c r="GU324" s="27">
        <v>0.94</v>
      </c>
      <c r="GV324" s="27">
        <v>0.94</v>
      </c>
      <c r="GW324" s="27"/>
      <c r="GX324" s="27"/>
      <c r="GY324" s="27">
        <v>0</v>
      </c>
      <c r="GZ324" s="27">
        <v>0</v>
      </c>
      <c r="HA324" s="27">
        <v>0</v>
      </c>
      <c r="HB324" s="24">
        <v>0</v>
      </c>
      <c r="HC324" s="24" t="s">
        <v>288</v>
      </c>
      <c r="HD324" s="24">
        <v>77.5</v>
      </c>
      <c r="HE324" s="27">
        <v>87.4</v>
      </c>
      <c r="HF324" s="27">
        <v>80.400000000000006</v>
      </c>
      <c r="HG324" s="27">
        <v>53.5</v>
      </c>
      <c r="HH324" s="24">
        <v>51.28</v>
      </c>
      <c r="HI324" s="29">
        <v>0</v>
      </c>
      <c r="HJ324" s="24">
        <v>27.27</v>
      </c>
      <c r="HK324" s="24">
        <v>21.22</v>
      </c>
      <c r="HL324" s="24">
        <v>0</v>
      </c>
      <c r="HM324" s="24">
        <v>0</v>
      </c>
      <c r="HN324" s="24">
        <v>0</v>
      </c>
      <c r="HO324" s="24">
        <v>0</v>
      </c>
      <c r="HP324" s="24">
        <v>0</v>
      </c>
      <c r="HQ324" s="24">
        <v>0</v>
      </c>
      <c r="HR324" s="24">
        <v>0</v>
      </c>
      <c r="HS324" s="24">
        <v>0</v>
      </c>
      <c r="HT324" s="24">
        <v>5.93</v>
      </c>
      <c r="HU324" s="24">
        <v>4.6100000000000003</v>
      </c>
      <c r="HV324" s="24">
        <v>5.38</v>
      </c>
      <c r="HW324" s="24">
        <v>0</v>
      </c>
      <c r="HX324" s="24">
        <v>15.4</v>
      </c>
      <c r="HY324" s="24">
        <v>1</v>
      </c>
      <c r="HZ324" s="24">
        <v>4</v>
      </c>
      <c r="IB324" s="24">
        <v>2</v>
      </c>
      <c r="IF324" s="24">
        <v>4</v>
      </c>
      <c r="IH324" s="24">
        <v>2</v>
      </c>
      <c r="IL324" s="24">
        <v>6.7</v>
      </c>
      <c r="IM324" s="24">
        <v>1</v>
      </c>
      <c r="IN324" s="24">
        <v>35</v>
      </c>
      <c r="IO324" s="24">
        <v>6</v>
      </c>
      <c r="IP324" s="24">
        <v>0.8</v>
      </c>
      <c r="IQ324" s="24">
        <v>3</v>
      </c>
      <c r="IR324" s="24">
        <v>47</v>
      </c>
      <c r="IS324" s="24">
        <v>1</v>
      </c>
      <c r="IT324" s="24">
        <v>0.13</v>
      </c>
      <c r="IU324" s="24">
        <v>3</v>
      </c>
      <c r="IX324" s="28"/>
      <c r="JP324" s="24">
        <v>1</v>
      </c>
      <c r="JQ324" s="24">
        <v>60</v>
      </c>
      <c r="JR324" s="24">
        <v>3</v>
      </c>
      <c r="JS324" s="24">
        <v>1.35</v>
      </c>
      <c r="JT324" s="24">
        <v>2</v>
      </c>
      <c r="LA324" s="27">
        <v>0</v>
      </c>
      <c r="LB324" s="27">
        <v>0</v>
      </c>
      <c r="LC324" s="27"/>
      <c r="LD324" s="27"/>
      <c r="LE324" s="27"/>
      <c r="LF324" s="27"/>
      <c r="LG324" s="27"/>
      <c r="LH324" s="27"/>
      <c r="LI324" s="27"/>
      <c r="LJ324" s="27"/>
      <c r="LK324" s="27"/>
      <c r="LL324" s="27">
        <v>0</v>
      </c>
      <c r="LM324" s="27">
        <v>0</v>
      </c>
      <c r="LN324" s="27"/>
      <c r="LO324" s="27"/>
      <c r="LP324" s="27">
        <v>0</v>
      </c>
      <c r="LQ324" s="27">
        <v>0</v>
      </c>
      <c r="LR324" s="27">
        <v>0</v>
      </c>
      <c r="LS324" s="24">
        <v>0</v>
      </c>
      <c r="LT324" s="24" t="s">
        <v>289</v>
      </c>
      <c r="LU324" s="24">
        <v>44</v>
      </c>
      <c r="LV324" s="27">
        <v>69.900000000000006</v>
      </c>
      <c r="LW324" s="27">
        <v>80.400000000000006</v>
      </c>
      <c r="LX324" s="27">
        <v>41</v>
      </c>
      <c r="LY324" s="24">
        <v>68.16</v>
      </c>
      <c r="LZ324" s="29">
        <v>0</v>
      </c>
      <c r="MA324" s="24">
        <v>11.52</v>
      </c>
      <c r="MB324" s="24">
        <v>20.32</v>
      </c>
      <c r="MC324" s="24">
        <v>0</v>
      </c>
      <c r="MD324" s="24">
        <v>0</v>
      </c>
      <c r="ME324" s="24">
        <v>0</v>
      </c>
      <c r="MF324" s="24">
        <v>0</v>
      </c>
      <c r="MG324" s="24">
        <v>0</v>
      </c>
      <c r="MH324" s="24">
        <v>0</v>
      </c>
      <c r="MI324" s="24">
        <v>0</v>
      </c>
      <c r="MJ324" s="24">
        <v>0</v>
      </c>
      <c r="MK324" s="24">
        <v>13.13</v>
      </c>
      <c r="ML324" s="24">
        <v>8.66</v>
      </c>
      <c r="MM324" s="24">
        <v>0</v>
      </c>
      <c r="MN324" s="24">
        <v>0</v>
      </c>
      <c r="MO324" s="24">
        <v>0</v>
      </c>
      <c r="MP324" s="24">
        <v>0</v>
      </c>
      <c r="NC324" s="24">
        <v>1.5</v>
      </c>
      <c r="ND324" s="24">
        <v>1</v>
      </c>
      <c r="NE324" s="24">
        <v>47</v>
      </c>
      <c r="NF324" s="24">
        <v>5</v>
      </c>
      <c r="NG324" s="24">
        <f>0.15+0.04</f>
        <v>0.19</v>
      </c>
      <c r="NH324" s="24">
        <v>3</v>
      </c>
      <c r="NI324" s="24">
        <v>25</v>
      </c>
      <c r="NJ324" s="24">
        <v>1</v>
      </c>
      <c r="NK324" s="24">
        <v>0.4</v>
      </c>
      <c r="NL324" s="24">
        <v>1</v>
      </c>
      <c r="NO324" s="28"/>
      <c r="OG324" s="24">
        <v>0</v>
      </c>
      <c r="PR324" s="27">
        <v>0.11</v>
      </c>
      <c r="PS324" s="27">
        <v>1</v>
      </c>
      <c r="PT324" s="27">
        <v>1</v>
      </c>
      <c r="PU324" s="27"/>
      <c r="PV324" s="27">
        <v>0.56000000000000005</v>
      </c>
      <c r="PW324" s="27"/>
      <c r="PX324" s="27"/>
      <c r="PY324" s="27"/>
      <c r="PZ324" s="27"/>
      <c r="QA324" s="27"/>
      <c r="QB324" s="27"/>
      <c r="QC324" s="27">
        <v>0</v>
      </c>
      <c r="QD324" s="27">
        <v>0</v>
      </c>
      <c r="QE324" s="27"/>
      <c r="QF324" s="27"/>
      <c r="QG324" s="27">
        <v>0</v>
      </c>
      <c r="QH324" s="27">
        <v>0</v>
      </c>
      <c r="QI324" s="27">
        <v>0</v>
      </c>
      <c r="QJ324" s="24">
        <v>0</v>
      </c>
      <c r="QK324" s="24" t="s">
        <v>290</v>
      </c>
      <c r="QL324" s="24">
        <v>43</v>
      </c>
      <c r="QM324" s="27">
        <v>49.3</v>
      </c>
      <c r="QN324" s="27">
        <v>80.400000000000006</v>
      </c>
      <c r="QO324" s="27">
        <v>32.9</v>
      </c>
      <c r="QP324" s="24">
        <v>73.52</v>
      </c>
      <c r="QQ324" s="29">
        <v>0</v>
      </c>
      <c r="QR324" s="24">
        <v>16.84</v>
      </c>
      <c r="QS324" s="24">
        <v>9.64</v>
      </c>
      <c r="QT324" s="24">
        <v>0</v>
      </c>
      <c r="QU324" s="24">
        <v>0</v>
      </c>
      <c r="QV324" s="24">
        <v>0</v>
      </c>
      <c r="QW324" s="24">
        <v>0</v>
      </c>
      <c r="QX324" s="24">
        <v>0</v>
      </c>
      <c r="QY324" s="24">
        <v>0</v>
      </c>
      <c r="QZ324" s="24">
        <v>0</v>
      </c>
      <c r="RA324" s="24">
        <v>0</v>
      </c>
      <c r="RB324" s="24">
        <v>13.52</v>
      </c>
      <c r="RC324" s="24">
        <v>3.69</v>
      </c>
      <c r="RD324" s="24">
        <v>3.85</v>
      </c>
      <c r="RE324" s="24">
        <v>0</v>
      </c>
      <c r="RF324" s="24">
        <v>0</v>
      </c>
      <c r="RG324" s="24">
        <v>0</v>
      </c>
      <c r="RT324" s="24">
        <v>7.4</v>
      </c>
      <c r="RU324" s="24">
        <v>1</v>
      </c>
      <c r="RV324" s="24">
        <v>47</v>
      </c>
      <c r="RW324" s="24">
        <v>11</v>
      </c>
      <c r="RX324" s="24">
        <f>2.09+0.15+0.04</f>
        <v>2.2799999999999998</v>
      </c>
      <c r="RY324" s="24">
        <v>3</v>
      </c>
      <c r="SF324" s="28"/>
      <c r="SX324" s="24">
        <v>0</v>
      </c>
      <c r="UI324" s="27">
        <v>0.28000000000000003</v>
      </c>
      <c r="UJ324" s="27">
        <v>1</v>
      </c>
      <c r="UK324" s="27">
        <v>1</v>
      </c>
      <c r="UL324" s="27"/>
      <c r="UM324" s="27">
        <v>0.56000000000000005</v>
      </c>
      <c r="UN324" s="27"/>
      <c r="UO324" s="27"/>
      <c r="UP324" s="27"/>
      <c r="UQ324" s="27"/>
      <c r="UR324" s="27"/>
      <c r="US324" s="27"/>
      <c r="UT324" s="27">
        <v>0.99</v>
      </c>
      <c r="UU324" s="27">
        <v>0.39</v>
      </c>
      <c r="UV324" s="27"/>
      <c r="UW324" s="27"/>
      <c r="UX324" s="27">
        <v>0</v>
      </c>
      <c r="UY324" s="27">
        <v>0</v>
      </c>
      <c r="UZ324" s="27">
        <v>0</v>
      </c>
      <c r="VA324" s="24">
        <v>0</v>
      </c>
      <c r="VB324" s="24">
        <v>56</v>
      </c>
      <c r="VC324" s="24">
        <v>26.5</v>
      </c>
      <c r="VD324" s="27">
        <v>66.099999999999994</v>
      </c>
      <c r="VE324" s="27">
        <v>80.400000000000006</v>
      </c>
      <c r="VF324" s="27">
        <v>15</v>
      </c>
      <c r="VG324" s="24">
        <v>89</v>
      </c>
      <c r="VH324" s="29">
        <v>0</v>
      </c>
      <c r="VI324" s="24">
        <v>7.09</v>
      </c>
      <c r="VJ324" s="24">
        <v>2.12</v>
      </c>
      <c r="VK324" s="24">
        <v>0</v>
      </c>
      <c r="VL324" s="24">
        <v>0</v>
      </c>
      <c r="VM324" s="24">
        <v>0</v>
      </c>
      <c r="VN324" s="24">
        <v>0</v>
      </c>
      <c r="VO324" s="24">
        <v>0</v>
      </c>
      <c r="VP324" s="24">
        <v>0</v>
      </c>
      <c r="VQ324" s="24">
        <v>0</v>
      </c>
      <c r="VR324" s="24">
        <v>0</v>
      </c>
      <c r="VS324" s="24">
        <v>4.26</v>
      </c>
      <c r="VT324" s="24">
        <v>32.68</v>
      </c>
      <c r="VU324" s="24">
        <v>1.91</v>
      </c>
      <c r="VV324" s="24">
        <v>0</v>
      </c>
      <c r="VW324" s="24">
        <v>0</v>
      </c>
      <c r="VX324" s="24">
        <v>0</v>
      </c>
      <c r="WK324" s="24">
        <v>0</v>
      </c>
      <c r="WL324" s="24">
        <v>0</v>
      </c>
      <c r="WW324" s="28"/>
      <c r="XO324" s="24">
        <v>0</v>
      </c>
      <c r="YZ324" s="27">
        <v>3.52</v>
      </c>
      <c r="ZA324" s="27">
        <v>1</v>
      </c>
      <c r="ZB324" s="27">
        <v>1</v>
      </c>
      <c r="ZC324" s="27"/>
      <c r="ZD324" s="27">
        <f>3.13+3.17*4</f>
        <v>15.809999999999999</v>
      </c>
      <c r="ZE324" s="27">
        <v>2</v>
      </c>
      <c r="ZF324" s="27"/>
      <c r="ZG324" s="27">
        <v>0.87</v>
      </c>
      <c r="ZH324" s="27"/>
      <c r="ZI324" s="27"/>
      <c r="ZJ324" s="27"/>
      <c r="ZK324" s="27">
        <v>5.36</v>
      </c>
      <c r="ZL324" s="27">
        <v>8.39</v>
      </c>
      <c r="ZM324" s="27"/>
      <c r="ZN324" s="27"/>
      <c r="ZO324" s="27">
        <v>0</v>
      </c>
      <c r="ZP324" s="27">
        <v>0</v>
      </c>
      <c r="ZQ324" s="27">
        <v>0</v>
      </c>
      <c r="ZR324" s="24">
        <v>0</v>
      </c>
      <c r="ZT324" s="33"/>
      <c r="ZU324" s="21"/>
      <c r="ZV324" s="21"/>
      <c r="ZX324" s="33"/>
      <c r="ZY324" s="33"/>
      <c r="AAB324" s="33"/>
      <c r="AAC324" s="21"/>
      <c r="AAD324" s="21"/>
      <c r="AAF324" s="33"/>
      <c r="AAG324" s="33"/>
      <c r="AAJ324" s="33"/>
      <c r="AAK324" s="21"/>
      <c r="AAL324" s="21"/>
      <c r="AAN324" s="33"/>
      <c r="AAO324" s="33"/>
      <c r="AAR324" s="33"/>
      <c r="AAS324" s="21"/>
      <c r="AAT324" s="21"/>
      <c r="AAV324" s="33"/>
      <c r="AAW324" s="33"/>
      <c r="AAZ324" s="33"/>
      <c r="ABA324" s="21"/>
      <c r="ABB324" s="21"/>
      <c r="ABD324" s="33"/>
      <c r="ABE324" s="33"/>
      <c r="ABH324" s="33"/>
      <c r="ABI324" s="21"/>
      <c r="ABJ324" s="21"/>
      <c r="ABL324" s="33"/>
      <c r="ABM324" s="33"/>
      <c r="ABP324" s="33"/>
      <c r="ABQ324" s="21"/>
      <c r="ABR324" s="21"/>
      <c r="ABT324" s="33"/>
      <c r="ABU324" s="33"/>
      <c r="ABX324" s="33"/>
      <c r="ABY324" s="21"/>
      <c r="ABZ324" s="21"/>
      <c r="ACB324" s="33"/>
      <c r="ACC324" s="33"/>
      <c r="ACF324" s="33"/>
      <c r="ACG324" s="21"/>
      <c r="ACH324" s="21"/>
      <c r="ACJ324" s="33"/>
      <c r="ACK324" s="33"/>
      <c r="ACN324" s="33"/>
      <c r="ACO324" s="21"/>
      <c r="ACP324" s="21"/>
      <c r="ACR324" s="33"/>
      <c r="ACS324" s="33"/>
      <c r="ACV324" s="33"/>
      <c r="ACW324" s="21"/>
      <c r="ACX324" s="21"/>
      <c r="ACZ324" s="33"/>
      <c r="ADA324" s="33"/>
      <c r="ADD324" s="33"/>
      <c r="ADE324" s="21"/>
      <c r="ADF324" s="21"/>
      <c r="ADH324" s="33"/>
      <c r="ADI324" s="33"/>
      <c r="ADL324" s="33"/>
      <c r="ADM324" s="21"/>
      <c r="ADN324" s="21"/>
      <c r="ADP324" s="33"/>
      <c r="ADQ324" s="33"/>
      <c r="ADT324" s="33"/>
      <c r="ADU324" s="21"/>
      <c r="ADV324" s="21"/>
      <c r="ADX324" s="33"/>
      <c r="ADY324" s="33"/>
      <c r="AEB324" s="33"/>
      <c r="AEC324" s="21"/>
      <c r="AED324" s="21"/>
      <c r="AEF324" s="33"/>
      <c r="AEG324" s="33"/>
      <c r="AEJ324" s="33"/>
      <c r="AEK324" s="21"/>
      <c r="AEL324" s="21"/>
      <c r="AEN324" s="33"/>
      <c r="AEO324" s="33"/>
      <c r="AER324" s="33"/>
      <c r="AES324" s="21"/>
      <c r="AET324" s="21"/>
      <c r="AEV324" s="33"/>
      <c r="AEW324" s="33"/>
      <c r="AEZ324" s="33"/>
      <c r="AFA324" s="21"/>
      <c r="AFB324" s="21"/>
      <c r="AFD324" s="33"/>
      <c r="AFE324" s="33"/>
      <c r="AFH324" s="33"/>
      <c r="AFI324" s="21"/>
      <c r="AFJ324" s="21"/>
      <c r="AFL324" s="33"/>
      <c r="AFM324" s="33"/>
      <c r="AFP324" s="33"/>
      <c r="AFQ324" s="21"/>
      <c r="AFR324" s="21"/>
      <c r="AFT324" s="33"/>
      <c r="AFU324" s="33"/>
      <c r="AFX324" s="33"/>
      <c r="AFY324" s="21"/>
      <c r="AFZ324" s="21"/>
      <c r="AGB324" s="33"/>
      <c r="AGC324" s="33"/>
      <c r="AGF324" s="33"/>
      <c r="AGG324" s="21"/>
      <c r="AGH324" s="21"/>
      <c r="AGJ324" s="33"/>
      <c r="AGK324" s="33"/>
      <c r="AGN324" s="33"/>
      <c r="AGO324" s="21"/>
      <c r="AGP324" s="21"/>
      <c r="AGR324" s="33"/>
      <c r="AGS324" s="33"/>
      <c r="AGV324" s="33"/>
      <c r="AGW324" s="21"/>
      <c r="AGX324" s="21"/>
      <c r="AGZ324" s="33"/>
      <c r="AHA324" s="33"/>
      <c r="AHD324" s="33"/>
      <c r="AHE324" s="21"/>
      <c r="AHF324" s="21"/>
      <c r="AHH324" s="33"/>
      <c r="AHI324" s="33"/>
      <c r="AHL324" s="33"/>
      <c r="AHM324" s="21"/>
      <c r="AHN324" s="21"/>
      <c r="AHP324" s="33"/>
      <c r="AHQ324" s="33"/>
      <c r="AHT324" s="33"/>
      <c r="AHU324" s="21"/>
      <c r="AHV324" s="21"/>
      <c r="AHX324" s="33"/>
      <c r="AHY324" s="33"/>
      <c r="AIB324" s="33"/>
      <c r="AIC324" s="21"/>
      <c r="AID324" s="21"/>
      <c r="AIF324" s="33"/>
      <c r="AIG324" s="33"/>
      <c r="AIJ324" s="33"/>
      <c r="AIK324" s="21"/>
      <c r="AIL324" s="21"/>
      <c r="AIN324" s="33"/>
      <c r="AIO324" s="33"/>
      <c r="AIR324" s="33"/>
      <c r="AIS324" s="21"/>
      <c r="AIT324" s="21"/>
      <c r="AIV324" s="33"/>
      <c r="AIW324" s="33"/>
      <c r="AIZ324" s="33"/>
      <c r="AJA324" s="21"/>
      <c r="AJB324" s="21"/>
      <c r="AJD324" s="33"/>
      <c r="AJE324" s="33"/>
      <c r="AJH324" s="33"/>
      <c r="AJI324" s="21"/>
      <c r="AJJ324" s="21"/>
      <c r="AJL324" s="33"/>
      <c r="AJM324" s="33"/>
      <c r="AJP324" s="33"/>
      <c r="AJQ324" s="21"/>
      <c r="AJR324" s="21"/>
      <c r="AJT324" s="33"/>
      <c r="AJU324" s="33"/>
      <c r="AJX324" s="33"/>
      <c r="AJY324" s="21"/>
      <c r="AJZ324" s="21"/>
      <c r="AKB324" s="33"/>
      <c r="AKC324" s="33"/>
      <c r="AKF324" s="33"/>
      <c r="AKG324" s="21"/>
      <c r="AKH324" s="21"/>
      <c r="AKJ324" s="33"/>
      <c r="AKK324" s="33"/>
      <c r="AKN324" s="33"/>
      <c r="AKO324" s="21"/>
      <c r="AKP324" s="21"/>
      <c r="AKR324" s="33"/>
      <c r="AKS324" s="33"/>
      <c r="AKV324" s="33"/>
      <c r="AKW324" s="21"/>
      <c r="AKX324" s="21"/>
      <c r="AKZ324" s="33"/>
      <c r="ALA324" s="33"/>
      <c r="ALD324" s="33"/>
      <c r="ALE324" s="21"/>
      <c r="ALF324" s="21"/>
      <c r="ALH324" s="33"/>
      <c r="ALI324" s="33"/>
      <c r="ALL324" s="33"/>
      <c r="ALM324" s="21"/>
      <c r="ALN324" s="21"/>
      <c r="ALP324" s="33"/>
      <c r="ALQ324" s="33"/>
      <c r="ALT324" s="33"/>
      <c r="ALU324" s="21"/>
      <c r="ALV324" s="21"/>
      <c r="ALX324" s="33"/>
      <c r="ALY324" s="33"/>
      <c r="AMB324" s="33"/>
      <c r="AMC324" s="21"/>
      <c r="AMD324" s="21"/>
      <c r="AMF324" s="33"/>
      <c r="AMG324" s="33"/>
      <c r="AMJ324" s="33"/>
    </row>
    <row r="325" spans="1:1024" x14ac:dyDescent="0.2">
      <c r="A325" s="22" t="s">
        <v>906</v>
      </c>
      <c r="B325" s="23">
        <v>42905</v>
      </c>
      <c r="C325" s="24">
        <v>2</v>
      </c>
      <c r="D325" s="25">
        <v>42804</v>
      </c>
      <c r="E325" s="23">
        <v>30223</v>
      </c>
      <c r="F325" s="14">
        <f t="shared" si="120"/>
        <v>34.721423682409309</v>
      </c>
      <c r="G325" s="14">
        <f t="shared" si="121"/>
        <v>0.27652292950034224</v>
      </c>
      <c r="H325" s="26" t="s">
        <v>181</v>
      </c>
      <c r="I325" s="21" t="s">
        <v>283</v>
      </c>
      <c r="J325" s="21" t="s">
        <v>181</v>
      </c>
      <c r="K325" s="21">
        <v>8</v>
      </c>
      <c r="L325" s="26">
        <v>84</v>
      </c>
      <c r="M325" s="24">
        <v>1.81</v>
      </c>
      <c r="N325" s="27">
        <f t="shared" si="122"/>
        <v>25.640242971826257</v>
      </c>
      <c r="O325" s="26">
        <v>0</v>
      </c>
      <c r="P325" s="26">
        <v>0</v>
      </c>
      <c r="Q325" s="26">
        <v>0</v>
      </c>
      <c r="R325" s="26">
        <v>0</v>
      </c>
      <c r="S325" s="26">
        <v>0</v>
      </c>
      <c r="T325" s="26">
        <v>0</v>
      </c>
      <c r="U325" s="26">
        <v>0</v>
      </c>
      <c r="V325" s="26">
        <v>0</v>
      </c>
      <c r="W325" s="26">
        <v>0</v>
      </c>
      <c r="X325" s="26">
        <v>0</v>
      </c>
      <c r="Y325" s="26">
        <v>0</v>
      </c>
      <c r="Z325" s="26">
        <v>0</v>
      </c>
      <c r="AA325" s="26">
        <v>0</v>
      </c>
      <c r="AB325" s="26">
        <v>0</v>
      </c>
      <c r="AC325" s="26">
        <v>0</v>
      </c>
      <c r="AD325" s="26">
        <v>0</v>
      </c>
      <c r="AE325" s="26">
        <v>0</v>
      </c>
      <c r="AF325" s="19">
        <v>0</v>
      </c>
      <c r="AG325" s="19">
        <v>0</v>
      </c>
      <c r="AH325" s="19">
        <v>0</v>
      </c>
      <c r="AI325" s="26">
        <v>2</v>
      </c>
      <c r="AJ325" s="26"/>
      <c r="AK325" s="26"/>
      <c r="AL325" s="26"/>
      <c r="AM325" s="26"/>
      <c r="AN325" s="26">
        <v>0</v>
      </c>
      <c r="AO325" s="19">
        <v>0</v>
      </c>
      <c r="AP325" s="19">
        <v>0</v>
      </c>
      <c r="AQ325" s="19">
        <v>0</v>
      </c>
      <c r="AR325" s="19">
        <v>0</v>
      </c>
      <c r="AS325" s="26">
        <v>0</v>
      </c>
      <c r="AT325" s="26">
        <v>0</v>
      </c>
      <c r="AU325" s="26">
        <v>0</v>
      </c>
      <c r="AV325" s="26">
        <v>0</v>
      </c>
      <c r="AW325" s="26">
        <v>0</v>
      </c>
      <c r="AX325" s="26">
        <v>0</v>
      </c>
      <c r="AY325" s="26">
        <v>0</v>
      </c>
      <c r="AZ325" s="26">
        <v>0</v>
      </c>
      <c r="BA325" s="26">
        <v>0</v>
      </c>
      <c r="BB325" s="26">
        <v>0</v>
      </c>
      <c r="BC325" s="26">
        <v>0</v>
      </c>
      <c r="BD325" s="26">
        <v>0</v>
      </c>
      <c r="BE325" s="26">
        <v>0</v>
      </c>
      <c r="BF325" s="26">
        <v>0</v>
      </c>
      <c r="BG325" s="26">
        <v>0</v>
      </c>
      <c r="BH325" s="26">
        <v>0</v>
      </c>
      <c r="BI325" s="26">
        <v>0</v>
      </c>
      <c r="BJ325" s="19">
        <v>0</v>
      </c>
      <c r="BK325" s="19">
        <v>0</v>
      </c>
      <c r="BL325" s="19">
        <v>0</v>
      </c>
      <c r="BM325" s="19">
        <v>0</v>
      </c>
      <c r="BN325" s="26">
        <v>0</v>
      </c>
      <c r="BO325" s="26">
        <v>0</v>
      </c>
      <c r="BP325" s="26">
        <v>0</v>
      </c>
      <c r="BQ325" s="26">
        <v>0</v>
      </c>
      <c r="BR325" s="26">
        <v>1</v>
      </c>
      <c r="BS325" s="26">
        <v>2</v>
      </c>
      <c r="BT325" s="26">
        <v>2</v>
      </c>
      <c r="BU325" s="26">
        <v>4</v>
      </c>
      <c r="BV325" s="26">
        <v>2</v>
      </c>
      <c r="BW325" s="26">
        <v>1</v>
      </c>
      <c r="BX325" s="26">
        <v>1</v>
      </c>
      <c r="BY325" s="26">
        <v>4</v>
      </c>
      <c r="BZ325" s="26">
        <v>5</v>
      </c>
      <c r="CA325" s="26">
        <v>5</v>
      </c>
      <c r="CB325" s="26">
        <v>5</v>
      </c>
      <c r="CC325" s="26">
        <v>5</v>
      </c>
      <c r="CD325" s="26">
        <v>2</v>
      </c>
      <c r="CE325" s="26">
        <v>4</v>
      </c>
      <c r="CF325" s="26">
        <v>4</v>
      </c>
      <c r="CG325" s="26">
        <v>4</v>
      </c>
      <c r="CH325" s="26">
        <v>4</v>
      </c>
      <c r="CI325" s="26">
        <v>4</v>
      </c>
      <c r="CJ325" s="26">
        <v>4</v>
      </c>
      <c r="CK325" s="26">
        <v>8</v>
      </c>
      <c r="CL325" s="24" t="s">
        <v>285</v>
      </c>
      <c r="CM325" s="24">
        <v>70</v>
      </c>
      <c r="CN325" s="27">
        <v>79.8</v>
      </c>
      <c r="CO325" s="27">
        <v>80.400000000000006</v>
      </c>
      <c r="CP325" s="27">
        <v>62.1</v>
      </c>
      <c r="CQ325" s="24">
        <v>39.51</v>
      </c>
      <c r="CR325" s="29">
        <v>0</v>
      </c>
      <c r="CS325" s="24">
        <v>47.45</v>
      </c>
      <c r="CT325" s="24">
        <v>13.05</v>
      </c>
      <c r="CU325" s="24">
        <v>0</v>
      </c>
      <c r="CV325" s="24">
        <v>0</v>
      </c>
      <c r="CW325" s="24">
        <v>0</v>
      </c>
      <c r="CX325" s="24">
        <v>0</v>
      </c>
      <c r="CY325" s="24">
        <v>0</v>
      </c>
      <c r="CZ325" s="24">
        <v>0</v>
      </c>
      <c r="DA325" s="24">
        <v>0</v>
      </c>
      <c r="DB325" s="24">
        <v>0</v>
      </c>
      <c r="DC325" s="24">
        <v>0</v>
      </c>
      <c r="DD325" s="24">
        <v>30.76</v>
      </c>
      <c r="DE325" s="24">
        <v>14.19</v>
      </c>
      <c r="DF325" s="24">
        <v>0</v>
      </c>
      <c r="DG325" s="24">
        <v>0</v>
      </c>
      <c r="DH325" s="24">
        <v>0</v>
      </c>
      <c r="DU325" s="24">
        <v>0.3</v>
      </c>
      <c r="DV325" s="24">
        <v>1</v>
      </c>
      <c r="DW325" s="24">
        <v>68</v>
      </c>
      <c r="DX325" s="24">
        <v>1</v>
      </c>
      <c r="DY325" s="24">
        <v>0.13</v>
      </c>
      <c r="DZ325" s="24">
        <v>1</v>
      </c>
      <c r="EG325" s="28"/>
      <c r="EY325" s="24">
        <v>0</v>
      </c>
      <c r="GJ325" s="27">
        <v>0.63</v>
      </c>
      <c r="GK325" s="27">
        <v>1</v>
      </c>
      <c r="GL325" s="27">
        <v>1</v>
      </c>
      <c r="GM325" s="27"/>
      <c r="GN325" s="27">
        <v>1.52</v>
      </c>
      <c r="GO325" s="27"/>
      <c r="GP325" s="27"/>
      <c r="GQ325" s="27"/>
      <c r="GR325" s="27"/>
      <c r="GS325" s="27"/>
      <c r="GT325" s="27"/>
      <c r="GU325" s="27">
        <v>3.55</v>
      </c>
      <c r="GV325" s="27">
        <v>4.46</v>
      </c>
      <c r="GW325" s="27"/>
      <c r="GX325" s="27"/>
      <c r="GY325" s="27">
        <v>0</v>
      </c>
      <c r="GZ325" s="27">
        <v>0</v>
      </c>
      <c r="HA325" s="27">
        <v>0</v>
      </c>
      <c r="HB325" s="24">
        <v>0</v>
      </c>
      <c r="HC325" s="24" t="s">
        <v>287</v>
      </c>
      <c r="HD325" s="24">
        <v>61.5</v>
      </c>
      <c r="HE325" s="27">
        <v>83.5</v>
      </c>
      <c r="HF325" s="27">
        <v>80.400000000000006</v>
      </c>
      <c r="HG325" s="27">
        <v>56.1</v>
      </c>
      <c r="HH325" s="24">
        <v>51.73</v>
      </c>
      <c r="HI325" s="29">
        <v>0</v>
      </c>
      <c r="HJ325" s="24">
        <v>30.08</v>
      </c>
      <c r="HK325" s="24">
        <v>18.190000000000001</v>
      </c>
      <c r="HL325" s="24">
        <v>0</v>
      </c>
      <c r="HM325" s="24">
        <v>0</v>
      </c>
      <c r="HN325" s="24">
        <v>0</v>
      </c>
      <c r="HO325" s="24">
        <v>0</v>
      </c>
      <c r="HP325" s="24">
        <v>0</v>
      </c>
      <c r="HQ325" s="24">
        <v>0</v>
      </c>
      <c r="HR325" s="24">
        <v>0</v>
      </c>
      <c r="HS325" s="24">
        <v>0</v>
      </c>
      <c r="HT325" s="24">
        <v>0.3</v>
      </c>
      <c r="HU325" s="24">
        <v>27.59</v>
      </c>
      <c r="HV325" s="24">
        <v>0</v>
      </c>
      <c r="HW325" s="24">
        <v>0</v>
      </c>
      <c r="HX325" s="24">
        <v>0</v>
      </c>
      <c r="HY325" s="24">
        <v>0</v>
      </c>
      <c r="IL325" s="24">
        <v>0</v>
      </c>
      <c r="IM325" s="24">
        <v>0</v>
      </c>
      <c r="IX325" s="28"/>
      <c r="JP325" s="24">
        <v>0</v>
      </c>
      <c r="LA325" s="27">
        <v>1.96</v>
      </c>
      <c r="LB325" s="27">
        <v>1</v>
      </c>
      <c r="LC325" s="27">
        <v>1</v>
      </c>
      <c r="LD325" s="27"/>
      <c r="LE325" s="27">
        <f>5.53+3.68+1.71+1.12+0.74</f>
        <v>12.780000000000003</v>
      </c>
      <c r="LF325" s="27"/>
      <c r="LG325" s="27"/>
      <c r="LH325" s="27"/>
      <c r="LI325" s="27"/>
      <c r="LJ325" s="27"/>
      <c r="LK325" s="27"/>
      <c r="LL325" s="27">
        <v>0.94</v>
      </c>
      <c r="LM325" s="27">
        <v>0.94</v>
      </c>
      <c r="LN325" s="27"/>
      <c r="LO325" s="27"/>
      <c r="LP325" s="27">
        <v>0</v>
      </c>
      <c r="LQ325" s="27">
        <v>0</v>
      </c>
      <c r="LR325" s="27">
        <v>0</v>
      </c>
      <c r="LS325" s="24">
        <v>0</v>
      </c>
      <c r="LT325" s="24" t="s">
        <v>288</v>
      </c>
      <c r="LU325" s="24">
        <v>77.5</v>
      </c>
      <c r="LV325" s="27">
        <v>87.4</v>
      </c>
      <c r="LW325" s="27">
        <v>80.400000000000006</v>
      </c>
      <c r="LX325" s="27">
        <v>53.5</v>
      </c>
      <c r="LY325" s="24">
        <v>51.28</v>
      </c>
      <c r="LZ325" s="29">
        <v>0</v>
      </c>
      <c r="MA325" s="24">
        <v>27.27</v>
      </c>
      <c r="MB325" s="24">
        <v>21.22</v>
      </c>
      <c r="MC325" s="24">
        <v>0</v>
      </c>
      <c r="MD325" s="24">
        <v>0</v>
      </c>
      <c r="ME325" s="24">
        <v>0</v>
      </c>
      <c r="MF325" s="24">
        <v>0</v>
      </c>
      <c r="MG325" s="24">
        <v>0</v>
      </c>
      <c r="MH325" s="24">
        <v>0</v>
      </c>
      <c r="MI325" s="24">
        <v>0</v>
      </c>
      <c r="MJ325" s="24">
        <v>0</v>
      </c>
      <c r="MK325" s="24">
        <v>5.93</v>
      </c>
      <c r="ML325" s="24">
        <v>4.6100000000000003</v>
      </c>
      <c r="MM325" s="24">
        <v>5.38</v>
      </c>
      <c r="MN325" s="24">
        <v>0</v>
      </c>
      <c r="MO325" s="24">
        <v>15.4</v>
      </c>
      <c r="MP325" s="24">
        <v>1</v>
      </c>
      <c r="MQ325" s="24">
        <v>4</v>
      </c>
      <c r="MS325" s="24">
        <v>2</v>
      </c>
      <c r="MW325" s="24">
        <v>4</v>
      </c>
      <c r="MY325" s="24">
        <v>2</v>
      </c>
      <c r="NC325" s="24">
        <v>6.7</v>
      </c>
      <c r="ND325" s="24">
        <v>1</v>
      </c>
      <c r="NE325" s="24">
        <v>35</v>
      </c>
      <c r="NF325" s="24">
        <v>6</v>
      </c>
      <c r="NG325" s="24">
        <v>0.8</v>
      </c>
      <c r="NH325" s="24">
        <v>3</v>
      </c>
      <c r="NI325" s="24">
        <v>47</v>
      </c>
      <c r="NJ325" s="24">
        <v>1</v>
      </c>
      <c r="NK325" s="24">
        <v>0.13</v>
      </c>
      <c r="NL325" s="24">
        <v>3</v>
      </c>
      <c r="NO325" s="28"/>
      <c r="OG325" s="24">
        <v>1</v>
      </c>
      <c r="OH325" s="24">
        <v>60</v>
      </c>
      <c r="OI325" s="24">
        <v>3</v>
      </c>
      <c r="OJ325" s="24">
        <v>1.35</v>
      </c>
      <c r="OK325" s="24">
        <v>2</v>
      </c>
      <c r="PR325" s="27">
        <v>0</v>
      </c>
      <c r="PS325" s="27">
        <v>0</v>
      </c>
      <c r="PT325" s="27"/>
      <c r="PU325" s="27"/>
      <c r="PV325" s="27"/>
      <c r="PW325" s="27"/>
      <c r="PX325" s="27"/>
      <c r="PY325" s="27"/>
      <c r="PZ325" s="27"/>
      <c r="QA325" s="27"/>
      <c r="QB325" s="27"/>
      <c r="QC325" s="27">
        <v>0</v>
      </c>
      <c r="QD325" s="27">
        <v>0</v>
      </c>
      <c r="QE325" s="27"/>
      <c r="QF325" s="27"/>
      <c r="QG325" s="27">
        <v>0</v>
      </c>
      <c r="QH325" s="27">
        <v>0</v>
      </c>
      <c r="QI325" s="27">
        <v>0</v>
      </c>
      <c r="QJ325" s="24">
        <v>0</v>
      </c>
      <c r="QK325" s="24" t="s">
        <v>289</v>
      </c>
      <c r="QL325" s="24">
        <v>44</v>
      </c>
      <c r="QM325" s="27">
        <v>69.900000000000006</v>
      </c>
      <c r="QN325" s="27">
        <v>80.400000000000006</v>
      </c>
      <c r="QO325" s="27">
        <v>41</v>
      </c>
      <c r="QP325" s="24">
        <v>68.16</v>
      </c>
      <c r="QQ325" s="29">
        <v>0</v>
      </c>
      <c r="QR325" s="24">
        <v>11.52</v>
      </c>
      <c r="QS325" s="24">
        <v>20.32</v>
      </c>
      <c r="QT325" s="24">
        <v>0</v>
      </c>
      <c r="QU325" s="24">
        <v>0</v>
      </c>
      <c r="QV325" s="24">
        <v>0</v>
      </c>
      <c r="QW325" s="24">
        <v>0</v>
      </c>
      <c r="QX325" s="24">
        <v>0</v>
      </c>
      <c r="QY325" s="24">
        <v>0</v>
      </c>
      <c r="QZ325" s="24">
        <v>0</v>
      </c>
      <c r="RA325" s="24">
        <v>0</v>
      </c>
      <c r="RB325" s="24">
        <v>13.13</v>
      </c>
      <c r="RC325" s="24">
        <v>8.66</v>
      </c>
      <c r="RD325" s="24">
        <v>0</v>
      </c>
      <c r="RE325" s="24">
        <v>0</v>
      </c>
      <c r="RF325" s="24">
        <v>0</v>
      </c>
      <c r="RG325" s="24">
        <v>0</v>
      </c>
      <c r="RT325" s="24">
        <v>1.5</v>
      </c>
      <c r="RU325" s="24">
        <v>1</v>
      </c>
      <c r="RV325" s="24">
        <v>47</v>
      </c>
      <c r="RW325" s="24">
        <v>5</v>
      </c>
      <c r="RX325" s="24">
        <f>0.15+0.04</f>
        <v>0.19</v>
      </c>
      <c r="RY325" s="24">
        <v>3</v>
      </c>
      <c r="RZ325" s="24">
        <v>25</v>
      </c>
      <c r="SA325" s="24">
        <v>1</v>
      </c>
      <c r="SB325" s="24">
        <v>0.4</v>
      </c>
      <c r="SC325" s="24">
        <v>1</v>
      </c>
      <c r="SF325" s="28"/>
      <c r="SX325" s="24">
        <v>0</v>
      </c>
      <c r="UI325" s="27">
        <v>0.11</v>
      </c>
      <c r="UJ325" s="27">
        <v>1</v>
      </c>
      <c r="UK325" s="27">
        <v>1</v>
      </c>
      <c r="UL325" s="27"/>
      <c r="UM325" s="27">
        <v>0.56000000000000005</v>
      </c>
      <c r="UN325" s="27"/>
      <c r="UO325" s="27"/>
      <c r="UP325" s="27"/>
      <c r="UQ325" s="27"/>
      <c r="UR325" s="27"/>
      <c r="US325" s="27"/>
      <c r="UT325" s="27">
        <v>0</v>
      </c>
      <c r="UU325" s="27">
        <v>0</v>
      </c>
      <c r="UV325" s="27"/>
      <c r="UW325" s="27"/>
      <c r="UX325" s="27">
        <v>0</v>
      </c>
      <c r="UY325" s="27">
        <v>0</v>
      </c>
      <c r="UZ325" s="27">
        <v>0</v>
      </c>
      <c r="VA325" s="24">
        <v>0</v>
      </c>
      <c r="VB325" s="24" t="s">
        <v>290</v>
      </c>
      <c r="VC325" s="24">
        <v>43</v>
      </c>
      <c r="VD325" s="27">
        <v>49.3</v>
      </c>
      <c r="VE325" s="27">
        <v>80.400000000000006</v>
      </c>
      <c r="VF325" s="27">
        <v>32.9</v>
      </c>
      <c r="VG325" s="24">
        <v>73.52</v>
      </c>
      <c r="VH325" s="29">
        <v>0</v>
      </c>
      <c r="VI325" s="24">
        <v>16.84</v>
      </c>
      <c r="VJ325" s="24">
        <v>9.64</v>
      </c>
      <c r="VK325" s="24">
        <v>0</v>
      </c>
      <c r="VL325" s="24">
        <v>0</v>
      </c>
      <c r="VM325" s="24">
        <v>0</v>
      </c>
      <c r="VN325" s="24">
        <v>0</v>
      </c>
      <c r="VO325" s="24">
        <v>0</v>
      </c>
      <c r="VP325" s="24">
        <v>0</v>
      </c>
      <c r="VQ325" s="24">
        <v>0</v>
      </c>
      <c r="VR325" s="24">
        <v>0</v>
      </c>
      <c r="VS325" s="24">
        <v>13.52</v>
      </c>
      <c r="VT325" s="24">
        <v>3.69</v>
      </c>
      <c r="VU325" s="24">
        <v>3.85</v>
      </c>
      <c r="VV325" s="24">
        <v>0</v>
      </c>
      <c r="VW325" s="24">
        <v>0</v>
      </c>
      <c r="VX325" s="24">
        <v>0</v>
      </c>
      <c r="WK325" s="24">
        <v>7.4</v>
      </c>
      <c r="WL325" s="24">
        <v>1</v>
      </c>
      <c r="WM325" s="24">
        <v>47</v>
      </c>
      <c r="WN325" s="24">
        <v>11</v>
      </c>
      <c r="WO325" s="24">
        <f>2.09+0.15+0.04</f>
        <v>2.2799999999999998</v>
      </c>
      <c r="WP325" s="24">
        <v>3</v>
      </c>
      <c r="WW325" s="28"/>
      <c r="XO325" s="24">
        <v>0</v>
      </c>
      <c r="YZ325" s="27">
        <v>0.28000000000000003</v>
      </c>
      <c r="ZA325" s="27">
        <v>1</v>
      </c>
      <c r="ZB325" s="27">
        <v>1</v>
      </c>
      <c r="ZC325" s="27"/>
      <c r="ZD325" s="27">
        <v>0.56000000000000005</v>
      </c>
      <c r="ZE325" s="27"/>
      <c r="ZF325" s="27"/>
      <c r="ZG325" s="27"/>
      <c r="ZH325" s="27"/>
      <c r="ZI325" s="27"/>
      <c r="ZJ325" s="27"/>
      <c r="ZK325" s="27">
        <v>0.99</v>
      </c>
      <c r="ZL325" s="27">
        <v>0.39</v>
      </c>
      <c r="ZM325" s="27"/>
      <c r="ZN325" s="27"/>
      <c r="ZO325" s="27">
        <v>0</v>
      </c>
      <c r="ZP325" s="27">
        <v>0</v>
      </c>
      <c r="ZQ325" s="27">
        <v>0</v>
      </c>
      <c r="ZR325" s="24">
        <v>0</v>
      </c>
      <c r="ZS325" s="24">
        <v>56</v>
      </c>
      <c r="ZT325" s="24">
        <v>26.5</v>
      </c>
      <c r="ZU325" s="27">
        <v>66.099999999999994</v>
      </c>
      <c r="ZV325" s="27">
        <v>80.400000000000006</v>
      </c>
      <c r="ZW325" s="27">
        <v>15</v>
      </c>
      <c r="ZX325" s="24">
        <v>89</v>
      </c>
      <c r="ZY325" s="29">
        <v>0</v>
      </c>
      <c r="ZZ325" s="24">
        <v>7.09</v>
      </c>
      <c r="AAA325" s="24">
        <v>2.12</v>
      </c>
      <c r="AAB325" s="24">
        <v>0</v>
      </c>
      <c r="AAC325" s="24">
        <v>0</v>
      </c>
      <c r="AAD325" s="24">
        <v>0</v>
      </c>
      <c r="AAE325" s="24">
        <v>0</v>
      </c>
      <c r="AAF325" s="24">
        <v>0</v>
      </c>
      <c r="AAG325" s="24">
        <v>0</v>
      </c>
      <c r="AAH325" s="24">
        <v>0</v>
      </c>
      <c r="AAI325" s="24">
        <v>0</v>
      </c>
      <c r="AAJ325" s="24">
        <v>4.26</v>
      </c>
      <c r="AAK325" s="24">
        <v>32.68</v>
      </c>
      <c r="AAL325" s="24">
        <v>1.91</v>
      </c>
      <c r="AAM325" s="24">
        <v>0</v>
      </c>
      <c r="AAN325" s="24">
        <v>0</v>
      </c>
      <c r="AAO325" s="24">
        <v>0</v>
      </c>
      <c r="ABB325" s="24">
        <v>0</v>
      </c>
      <c r="ABC325" s="24">
        <v>0</v>
      </c>
      <c r="ABN325" s="28"/>
      <c r="ACF325" s="24">
        <v>0</v>
      </c>
      <c r="ADQ325" s="27">
        <v>3.52</v>
      </c>
      <c r="ADR325" s="27">
        <v>1</v>
      </c>
      <c r="ADS325" s="27">
        <v>1</v>
      </c>
      <c r="ADT325" s="27"/>
      <c r="ADU325" s="27">
        <f>3.13+3.17*4</f>
        <v>15.809999999999999</v>
      </c>
      <c r="ADV325" s="27">
        <v>2</v>
      </c>
      <c r="ADW325" s="27"/>
      <c r="ADX325" s="27">
        <v>0.87</v>
      </c>
      <c r="ADY325" s="27"/>
      <c r="ADZ325" s="27"/>
      <c r="AEA325" s="27"/>
      <c r="AEB325" s="27">
        <v>5.36</v>
      </c>
      <c r="AEC325" s="27">
        <v>8.39</v>
      </c>
      <c r="AED325" s="27"/>
      <c r="AEE325" s="27"/>
      <c r="AEF325" s="27">
        <v>0</v>
      </c>
      <c r="AEG325" s="27">
        <v>0</v>
      </c>
      <c r="AEH325" s="27">
        <v>0</v>
      </c>
      <c r="AEI325" s="24">
        <v>0</v>
      </c>
      <c r="AEJ325" s="24" t="s">
        <v>773</v>
      </c>
      <c r="AEK325" s="24">
        <v>36.5</v>
      </c>
      <c r="AEL325" s="27">
        <v>76.3</v>
      </c>
      <c r="AEM325" s="27">
        <v>80.400000000000006</v>
      </c>
      <c r="AEN325" s="27">
        <v>14.5</v>
      </c>
      <c r="AEO325" s="24">
        <v>91.16</v>
      </c>
      <c r="AEP325" s="29">
        <v>0</v>
      </c>
      <c r="AEQ325" s="24">
        <v>6.16</v>
      </c>
      <c r="AER325" s="24">
        <v>2.69</v>
      </c>
      <c r="AES325" s="24">
        <v>0</v>
      </c>
      <c r="AET325" s="24">
        <v>0</v>
      </c>
      <c r="AEU325" s="24">
        <v>0</v>
      </c>
      <c r="AEV325" s="24">
        <v>0</v>
      </c>
      <c r="AEW325" s="24">
        <v>0</v>
      </c>
      <c r="AEX325" s="24">
        <v>0</v>
      </c>
      <c r="AEY325" s="24">
        <v>0</v>
      </c>
      <c r="AEZ325" s="24">
        <v>0</v>
      </c>
      <c r="AFA325" s="24">
        <v>15.05</v>
      </c>
      <c r="AFB325" s="24">
        <v>31.49</v>
      </c>
      <c r="AFC325" s="24">
        <v>9.19</v>
      </c>
      <c r="AFD325" s="24">
        <v>0</v>
      </c>
      <c r="AFE325" s="24">
        <v>0</v>
      </c>
      <c r="AFF325" s="24">
        <v>0</v>
      </c>
      <c r="AFS325" s="24">
        <v>4.4000000000000004</v>
      </c>
      <c r="AFT325" s="24">
        <v>1</v>
      </c>
      <c r="AFU325" s="24">
        <v>34</v>
      </c>
      <c r="AFV325" s="24">
        <v>10</v>
      </c>
      <c r="AFW325" s="24">
        <f>8.56+1.51</f>
        <v>10.07</v>
      </c>
      <c r="AFX325" s="24">
        <v>1</v>
      </c>
      <c r="AFY325" s="24">
        <v>68</v>
      </c>
      <c r="AFZ325" s="24">
        <v>6</v>
      </c>
      <c r="AGA325" s="24">
        <f>3.43+0.6</f>
        <v>4.03</v>
      </c>
      <c r="AGB325" s="24">
        <v>1</v>
      </c>
      <c r="AGE325" s="28"/>
      <c r="AGW325" s="24">
        <v>0</v>
      </c>
      <c r="AIH325" s="27">
        <v>0</v>
      </c>
      <c r="AII325" s="27">
        <v>0</v>
      </c>
      <c r="AIJ325" s="27"/>
      <c r="AIK325" s="27"/>
      <c r="AIL325" s="27"/>
      <c r="AIM325" s="27"/>
      <c r="AIN325" s="27"/>
      <c r="AIO325" s="27"/>
      <c r="AIP325" s="27"/>
      <c r="AIQ325" s="27"/>
      <c r="AIR325" s="27"/>
      <c r="AIS325" s="27">
        <v>14.52</v>
      </c>
      <c r="AIT325" s="27">
        <v>36.5</v>
      </c>
      <c r="AIU325" s="27"/>
      <c r="AIV325" s="27"/>
      <c r="AIW325" s="27">
        <v>0</v>
      </c>
      <c r="AIX325" s="27">
        <v>0</v>
      </c>
      <c r="AIY325" s="27">
        <v>0</v>
      </c>
      <c r="AIZ325" s="24">
        <v>0</v>
      </c>
      <c r="AJA325" s="24" t="s">
        <v>757</v>
      </c>
      <c r="AJB325" s="24">
        <v>36</v>
      </c>
      <c r="AJC325" s="27">
        <v>87.4</v>
      </c>
      <c r="AJD325" s="27">
        <v>80.400000000000006</v>
      </c>
      <c r="AJE325" s="27">
        <v>27.8</v>
      </c>
      <c r="AJF325" s="24">
        <v>71.12</v>
      </c>
      <c r="AJG325" s="29">
        <v>0</v>
      </c>
      <c r="AJH325" s="24">
        <v>26.39</v>
      </c>
      <c r="AJI325" s="24">
        <v>2.4900000000000002</v>
      </c>
      <c r="AJJ325" s="24">
        <v>0</v>
      </c>
      <c r="AJK325" s="24">
        <v>0</v>
      </c>
      <c r="AJL325" s="24">
        <v>0</v>
      </c>
      <c r="AJM325" s="24">
        <v>0</v>
      </c>
      <c r="AJN325" s="24">
        <v>0</v>
      </c>
      <c r="AJO325" s="24">
        <v>0</v>
      </c>
      <c r="AJP325" s="24">
        <v>0</v>
      </c>
      <c r="AJQ325" s="24">
        <v>0</v>
      </c>
      <c r="AJR325" s="24">
        <v>49.1</v>
      </c>
      <c r="AJS325" s="24">
        <v>13.54</v>
      </c>
      <c r="AJT325" s="24">
        <v>0</v>
      </c>
      <c r="AJU325" s="24">
        <v>0</v>
      </c>
      <c r="AJV325" s="24">
        <v>0</v>
      </c>
      <c r="AJW325" s="24">
        <v>0</v>
      </c>
      <c r="AKJ325" s="24">
        <v>2.4</v>
      </c>
      <c r="AKK325" s="24">
        <v>0</v>
      </c>
      <c r="AKV325" s="28"/>
      <c r="ALN325" s="24">
        <v>1</v>
      </c>
      <c r="ALO325" s="24">
        <v>70</v>
      </c>
      <c r="ALP325" s="24">
        <v>2</v>
      </c>
      <c r="ALQ325" s="24">
        <f>0.83*2</f>
        <v>1.66</v>
      </c>
      <c r="ALR325" s="24">
        <v>2</v>
      </c>
      <c r="ALS325" s="24">
        <v>90</v>
      </c>
      <c r="ALT325" s="24">
        <v>2</v>
      </c>
      <c r="ALU325" s="24">
        <f>0.41*2</f>
        <v>0.82</v>
      </c>
      <c r="ALV325" s="24">
        <v>1</v>
      </c>
    </row>
    <row r="326" spans="1:1024" x14ac:dyDescent="0.2">
      <c r="A326" s="22" t="s">
        <v>907</v>
      </c>
      <c r="B326" s="23">
        <v>42905</v>
      </c>
      <c r="C326" s="24">
        <v>2</v>
      </c>
      <c r="D326" s="25">
        <v>40513</v>
      </c>
      <c r="E326" s="23">
        <v>31500</v>
      </c>
      <c r="F326" s="14">
        <f t="shared" si="120"/>
        <v>31.225188227241617</v>
      </c>
      <c r="G326" s="14">
        <f t="shared" si="121"/>
        <v>6.5489390828199863</v>
      </c>
      <c r="H326" s="26" t="s">
        <v>181</v>
      </c>
      <c r="I326" s="21" t="s">
        <v>283</v>
      </c>
      <c r="J326" s="21" t="s">
        <v>181</v>
      </c>
      <c r="K326" s="21">
        <v>8</v>
      </c>
      <c r="L326" s="26">
        <v>68</v>
      </c>
      <c r="M326" s="24">
        <v>1.77</v>
      </c>
      <c r="N326" s="27">
        <f t="shared" si="122"/>
        <v>21.705129432793896</v>
      </c>
      <c r="O326" s="26">
        <v>0</v>
      </c>
      <c r="P326" s="26">
        <v>0</v>
      </c>
      <c r="Q326" s="26">
        <v>0</v>
      </c>
      <c r="R326" s="26">
        <v>0</v>
      </c>
      <c r="S326" s="26">
        <v>0</v>
      </c>
      <c r="T326" s="26">
        <v>0</v>
      </c>
      <c r="U326" s="26">
        <v>0</v>
      </c>
      <c r="V326" s="26">
        <v>0</v>
      </c>
      <c r="W326" s="26">
        <v>0</v>
      </c>
      <c r="X326" s="26">
        <v>0</v>
      </c>
      <c r="Y326" s="26">
        <v>1</v>
      </c>
      <c r="Z326" s="26">
        <v>2</v>
      </c>
      <c r="AA326" s="26">
        <v>60</v>
      </c>
      <c r="AB326" s="26" t="s">
        <v>908</v>
      </c>
      <c r="AC326" s="26">
        <v>0</v>
      </c>
      <c r="AD326" s="26">
        <v>0</v>
      </c>
      <c r="AE326" s="26">
        <v>1</v>
      </c>
      <c r="AF326" s="19">
        <v>0</v>
      </c>
      <c r="AG326" s="19">
        <v>0</v>
      </c>
      <c r="AH326" s="19">
        <v>0</v>
      </c>
      <c r="AI326" s="26">
        <v>3</v>
      </c>
      <c r="AJ326" s="26">
        <v>0</v>
      </c>
      <c r="AK326" s="26">
        <v>3</v>
      </c>
      <c r="AL326" s="26">
        <v>4</v>
      </c>
      <c r="AM326" s="26">
        <v>4</v>
      </c>
      <c r="AN326" s="26">
        <v>0</v>
      </c>
      <c r="AO326" s="19">
        <v>0</v>
      </c>
      <c r="AP326" s="19">
        <v>0</v>
      </c>
      <c r="AQ326" s="19">
        <v>0</v>
      </c>
      <c r="AR326" s="19">
        <v>0</v>
      </c>
      <c r="AS326" s="26">
        <v>3</v>
      </c>
      <c r="AT326" s="26">
        <v>0</v>
      </c>
      <c r="AU326" s="26">
        <v>3</v>
      </c>
      <c r="AV326" s="26">
        <v>2</v>
      </c>
      <c r="AW326" s="26">
        <v>2</v>
      </c>
      <c r="AX326" s="26">
        <v>0</v>
      </c>
      <c r="AY326" s="26">
        <v>0</v>
      </c>
      <c r="AZ326" s="26">
        <v>0</v>
      </c>
      <c r="BA326" s="26">
        <v>0</v>
      </c>
      <c r="BB326" s="26">
        <v>1</v>
      </c>
      <c r="BC326" s="26">
        <v>0</v>
      </c>
      <c r="BD326" s="26">
        <v>0</v>
      </c>
      <c r="BE326" s="26">
        <v>0</v>
      </c>
      <c r="BF326" s="26">
        <v>0</v>
      </c>
      <c r="BG326" s="26">
        <v>0</v>
      </c>
      <c r="BH326" s="26">
        <v>0</v>
      </c>
      <c r="BI326" s="26">
        <v>0</v>
      </c>
      <c r="BJ326" s="19">
        <v>0</v>
      </c>
      <c r="BK326" s="19">
        <v>0</v>
      </c>
      <c r="BL326" s="19">
        <v>0</v>
      </c>
      <c r="BM326" s="19">
        <v>0</v>
      </c>
      <c r="BN326" s="26">
        <v>0</v>
      </c>
      <c r="BO326" s="26">
        <v>0</v>
      </c>
      <c r="BP326" s="26">
        <v>0</v>
      </c>
      <c r="BQ326" s="26">
        <v>0</v>
      </c>
      <c r="BR326" s="26">
        <v>4</v>
      </c>
      <c r="BS326" s="26">
        <v>2</v>
      </c>
      <c r="BT326" s="26">
        <v>3</v>
      </c>
      <c r="BU326" s="26">
        <v>3</v>
      </c>
      <c r="BV326" s="26">
        <v>2</v>
      </c>
      <c r="BW326" s="26">
        <v>1</v>
      </c>
      <c r="BX326" s="26">
        <v>3</v>
      </c>
      <c r="BY326" s="26">
        <v>2</v>
      </c>
      <c r="BZ326" s="26">
        <v>1</v>
      </c>
      <c r="CA326" s="26">
        <v>2</v>
      </c>
      <c r="CB326" s="26">
        <v>2</v>
      </c>
      <c r="CC326" s="26">
        <v>3</v>
      </c>
      <c r="CD326" s="26">
        <v>1</v>
      </c>
      <c r="CE326" s="26">
        <v>2</v>
      </c>
      <c r="CF326" s="26">
        <v>3</v>
      </c>
      <c r="CG326" s="26">
        <v>2</v>
      </c>
      <c r="CH326" s="26">
        <v>3</v>
      </c>
      <c r="CI326" s="26">
        <v>3</v>
      </c>
      <c r="CJ326" s="26">
        <v>3</v>
      </c>
      <c r="CK326" s="26">
        <v>8</v>
      </c>
      <c r="CL326" s="24" t="s">
        <v>285</v>
      </c>
      <c r="CM326" s="24">
        <v>70</v>
      </c>
      <c r="CN326" s="27">
        <v>79.8</v>
      </c>
      <c r="CO326" s="27">
        <v>80.400000000000006</v>
      </c>
      <c r="CP326" s="27">
        <v>62.1</v>
      </c>
      <c r="CQ326" s="24">
        <v>39.51</v>
      </c>
      <c r="CR326" s="29">
        <v>0</v>
      </c>
      <c r="CS326" s="24">
        <v>47.45</v>
      </c>
      <c r="CT326" s="24">
        <v>13.05</v>
      </c>
      <c r="CU326" s="24">
        <v>0</v>
      </c>
      <c r="CV326" s="24">
        <v>0</v>
      </c>
      <c r="CW326" s="24">
        <v>0</v>
      </c>
      <c r="CX326" s="24">
        <v>0</v>
      </c>
      <c r="CY326" s="24">
        <v>0</v>
      </c>
      <c r="CZ326" s="24">
        <v>0</v>
      </c>
      <c r="DA326" s="24">
        <v>0</v>
      </c>
      <c r="DB326" s="24">
        <v>0</v>
      </c>
      <c r="DC326" s="24">
        <v>0</v>
      </c>
      <c r="DD326" s="24">
        <v>30.76</v>
      </c>
      <c r="DE326" s="24">
        <v>14.19</v>
      </c>
      <c r="DF326" s="24">
        <v>0</v>
      </c>
      <c r="DG326" s="24">
        <v>0</v>
      </c>
      <c r="DH326" s="24">
        <v>0</v>
      </c>
      <c r="DU326" s="24">
        <v>0.3</v>
      </c>
      <c r="DV326" s="24">
        <v>1</v>
      </c>
      <c r="DW326" s="24">
        <v>68</v>
      </c>
      <c r="DX326" s="24">
        <v>1</v>
      </c>
      <c r="DY326" s="24">
        <v>0.13</v>
      </c>
      <c r="DZ326" s="24">
        <v>1</v>
      </c>
      <c r="EG326" s="28"/>
      <c r="EY326" s="24">
        <v>0</v>
      </c>
      <c r="GJ326" s="27">
        <v>0.63</v>
      </c>
      <c r="GK326" s="27">
        <v>1</v>
      </c>
      <c r="GL326" s="27">
        <v>1</v>
      </c>
      <c r="GM326" s="27"/>
      <c r="GN326" s="27">
        <v>1.52</v>
      </c>
      <c r="GO326" s="27"/>
      <c r="GP326" s="27"/>
      <c r="GQ326" s="27"/>
      <c r="GR326" s="27"/>
      <c r="GS326" s="27"/>
      <c r="GT326" s="27"/>
      <c r="GU326" s="27">
        <v>3.55</v>
      </c>
      <c r="GV326" s="27">
        <v>4.46</v>
      </c>
      <c r="GW326" s="27"/>
      <c r="GX326" s="27"/>
      <c r="GY326" s="27">
        <v>0</v>
      </c>
      <c r="GZ326" s="27">
        <v>0</v>
      </c>
      <c r="HA326" s="27">
        <v>0</v>
      </c>
      <c r="HB326" s="24">
        <v>0</v>
      </c>
      <c r="HC326" s="24" t="s">
        <v>286</v>
      </c>
      <c r="HD326" s="24">
        <v>95.5</v>
      </c>
      <c r="HE326" s="27">
        <v>99.1</v>
      </c>
      <c r="HF326" s="27">
        <v>80.400000000000006</v>
      </c>
      <c r="HG326" s="27">
        <v>90.4</v>
      </c>
      <c r="HH326" s="24">
        <v>24.15</v>
      </c>
      <c r="HI326" s="29">
        <v>0</v>
      </c>
      <c r="HJ326" s="24">
        <v>31.26</v>
      </c>
      <c r="HK326" s="24">
        <v>44.6</v>
      </c>
      <c r="HL326" s="24">
        <v>0</v>
      </c>
      <c r="HM326" s="24">
        <v>0</v>
      </c>
      <c r="HN326" s="24">
        <v>0</v>
      </c>
      <c r="HO326" s="24">
        <v>0</v>
      </c>
      <c r="HP326" s="24">
        <v>0</v>
      </c>
      <c r="HQ326" s="24">
        <v>0</v>
      </c>
      <c r="HR326" s="24">
        <v>0</v>
      </c>
      <c r="HS326" s="24">
        <v>0</v>
      </c>
      <c r="HT326" s="24">
        <v>0</v>
      </c>
      <c r="HU326" s="24">
        <v>24.75</v>
      </c>
      <c r="HV326" s="24">
        <v>2.4700000000000002</v>
      </c>
      <c r="HW326" s="24">
        <v>0</v>
      </c>
      <c r="HX326" s="24">
        <v>0</v>
      </c>
      <c r="HY326" s="24">
        <v>0</v>
      </c>
      <c r="IL326" s="24">
        <v>0.2</v>
      </c>
      <c r="IM326" s="24">
        <v>1</v>
      </c>
      <c r="IN326" s="24">
        <v>34</v>
      </c>
      <c r="IO326" s="24">
        <v>16</v>
      </c>
      <c r="IP326" s="24">
        <f>6.09+1.07</f>
        <v>7.16</v>
      </c>
      <c r="IQ326" s="24">
        <v>1</v>
      </c>
      <c r="IR326" s="24">
        <v>68</v>
      </c>
      <c r="IS326" s="24">
        <v>1</v>
      </c>
      <c r="IT326" s="24">
        <v>0.13</v>
      </c>
      <c r="IU326" s="24">
        <v>1</v>
      </c>
      <c r="IX326" s="28"/>
      <c r="JP326" s="24">
        <v>0</v>
      </c>
      <c r="LA326" s="27">
        <v>0.63</v>
      </c>
      <c r="LB326" s="27">
        <v>1</v>
      </c>
      <c r="LC326" s="27">
        <v>1</v>
      </c>
      <c r="LD326" s="27"/>
      <c r="LE326" s="27">
        <v>1.52</v>
      </c>
      <c r="LF326" s="27"/>
      <c r="LG326" s="27"/>
      <c r="LH326" s="27"/>
      <c r="LI326" s="27"/>
      <c r="LJ326" s="27"/>
      <c r="LK326" s="27"/>
      <c r="LL326" s="27">
        <v>0</v>
      </c>
      <c r="LM326" s="27">
        <v>0</v>
      </c>
      <c r="LN326" s="27"/>
      <c r="LO326" s="27"/>
      <c r="LP326" s="27">
        <v>0</v>
      </c>
      <c r="LQ326" s="27">
        <v>0</v>
      </c>
      <c r="LR326" s="27">
        <v>0</v>
      </c>
      <c r="LS326" s="24">
        <v>0</v>
      </c>
      <c r="LT326" s="24" t="s">
        <v>287</v>
      </c>
      <c r="LU326" s="24">
        <v>61.5</v>
      </c>
      <c r="LV326" s="27">
        <v>83.5</v>
      </c>
      <c r="LW326" s="27">
        <v>80.400000000000006</v>
      </c>
      <c r="LX326" s="27">
        <v>56.1</v>
      </c>
      <c r="LY326" s="24">
        <v>51.73</v>
      </c>
      <c r="LZ326" s="29">
        <v>0</v>
      </c>
      <c r="MA326" s="24">
        <v>30.08</v>
      </c>
      <c r="MB326" s="24">
        <v>18.190000000000001</v>
      </c>
      <c r="MC326" s="24">
        <v>0</v>
      </c>
      <c r="MD326" s="24">
        <v>0</v>
      </c>
      <c r="ME326" s="24">
        <v>0</v>
      </c>
      <c r="MF326" s="24">
        <v>0</v>
      </c>
      <c r="MG326" s="24">
        <v>0</v>
      </c>
      <c r="MH326" s="24">
        <v>0</v>
      </c>
      <c r="MI326" s="24">
        <v>0</v>
      </c>
      <c r="MJ326" s="24">
        <v>0</v>
      </c>
      <c r="MK326" s="24">
        <v>0.3</v>
      </c>
      <c r="ML326" s="24">
        <v>27.59</v>
      </c>
      <c r="MM326" s="24">
        <v>0</v>
      </c>
      <c r="MN326" s="24">
        <v>0</v>
      </c>
      <c r="MO326" s="24">
        <v>0</v>
      </c>
      <c r="MP326" s="24">
        <v>0</v>
      </c>
      <c r="NC326" s="24">
        <v>0</v>
      </c>
      <c r="ND326" s="24">
        <v>0</v>
      </c>
      <c r="NO326" s="28"/>
      <c r="OG326" s="24">
        <v>0</v>
      </c>
      <c r="PR326" s="27">
        <v>1.96</v>
      </c>
      <c r="PS326" s="27">
        <v>1</v>
      </c>
      <c r="PT326" s="27">
        <v>1</v>
      </c>
      <c r="PU326" s="27"/>
      <c r="PV326" s="27">
        <f>5.53+3.68+1.71+1.12+0.74</f>
        <v>12.780000000000003</v>
      </c>
      <c r="PW326" s="27"/>
      <c r="PX326" s="27"/>
      <c r="PY326" s="27"/>
      <c r="PZ326" s="27"/>
      <c r="QA326" s="27"/>
      <c r="QB326" s="27"/>
      <c r="QC326" s="27">
        <v>0.94</v>
      </c>
      <c r="QD326" s="27">
        <v>0.94</v>
      </c>
      <c r="QE326" s="27"/>
      <c r="QF326" s="27"/>
      <c r="QG326" s="27">
        <v>0</v>
      </c>
      <c r="QH326" s="27">
        <v>0</v>
      </c>
      <c r="QI326" s="27">
        <v>0</v>
      </c>
      <c r="QJ326" s="24">
        <v>0</v>
      </c>
      <c r="QK326" s="24" t="s">
        <v>288</v>
      </c>
      <c r="QL326" s="24">
        <v>77.5</v>
      </c>
      <c r="QM326" s="27">
        <v>87.4</v>
      </c>
      <c r="QN326" s="27">
        <v>80.400000000000006</v>
      </c>
      <c r="QO326" s="27">
        <v>53.5</v>
      </c>
      <c r="QP326" s="24">
        <v>51.28</v>
      </c>
      <c r="QQ326" s="29">
        <v>0</v>
      </c>
      <c r="QR326" s="24">
        <v>27.27</v>
      </c>
      <c r="QS326" s="24">
        <v>21.22</v>
      </c>
      <c r="QT326" s="24">
        <v>0</v>
      </c>
      <c r="QU326" s="24">
        <v>0</v>
      </c>
      <c r="QV326" s="24">
        <v>0</v>
      </c>
      <c r="QW326" s="24">
        <v>0</v>
      </c>
      <c r="QX326" s="24">
        <v>0</v>
      </c>
      <c r="QY326" s="24">
        <v>0</v>
      </c>
      <c r="QZ326" s="24">
        <v>0</v>
      </c>
      <c r="RA326" s="24">
        <v>0</v>
      </c>
      <c r="RB326" s="24">
        <v>5.93</v>
      </c>
      <c r="RC326" s="24">
        <v>4.6100000000000003</v>
      </c>
      <c r="RD326" s="24">
        <v>5.38</v>
      </c>
      <c r="RE326" s="24">
        <v>0</v>
      </c>
      <c r="RF326" s="24">
        <v>15.4</v>
      </c>
      <c r="RG326" s="24">
        <v>1</v>
      </c>
      <c r="RH326" s="24">
        <v>4</v>
      </c>
      <c r="RJ326" s="24">
        <v>2</v>
      </c>
      <c r="RN326" s="24">
        <v>4</v>
      </c>
      <c r="RP326" s="24">
        <v>2</v>
      </c>
      <c r="RT326" s="24">
        <v>6.7</v>
      </c>
      <c r="RU326" s="24">
        <v>1</v>
      </c>
      <c r="RV326" s="24">
        <v>35</v>
      </c>
      <c r="RW326" s="24">
        <v>6</v>
      </c>
      <c r="RX326" s="24">
        <v>0.8</v>
      </c>
      <c r="RY326" s="24">
        <v>3</v>
      </c>
      <c r="RZ326" s="24">
        <v>47</v>
      </c>
      <c r="SA326" s="24">
        <v>1</v>
      </c>
      <c r="SB326" s="24">
        <v>0.13</v>
      </c>
      <c r="SC326" s="24">
        <v>3</v>
      </c>
      <c r="SF326" s="28"/>
      <c r="SX326" s="24">
        <v>1</v>
      </c>
      <c r="SY326" s="24">
        <v>60</v>
      </c>
      <c r="SZ326" s="24">
        <v>3</v>
      </c>
      <c r="TA326" s="24">
        <v>1.35</v>
      </c>
      <c r="TB326" s="24">
        <v>2</v>
      </c>
      <c r="UI326" s="27">
        <v>0</v>
      </c>
      <c r="UJ326" s="27">
        <v>0</v>
      </c>
      <c r="UK326" s="27"/>
      <c r="UL326" s="27"/>
      <c r="UM326" s="27"/>
      <c r="UN326" s="27"/>
      <c r="UO326" s="27"/>
      <c r="UP326" s="27"/>
      <c r="UQ326" s="27"/>
      <c r="UR326" s="27"/>
      <c r="US326" s="27"/>
      <c r="UT326" s="27">
        <v>0</v>
      </c>
      <c r="UU326" s="27">
        <v>0</v>
      </c>
      <c r="UV326" s="27"/>
      <c r="UW326" s="27"/>
      <c r="UX326" s="27">
        <v>0</v>
      </c>
      <c r="UY326" s="27">
        <v>0</v>
      </c>
      <c r="UZ326" s="27">
        <v>0</v>
      </c>
      <c r="VA326" s="24">
        <v>0</v>
      </c>
      <c r="VB326" s="24" t="s">
        <v>289</v>
      </c>
      <c r="VC326" s="24">
        <v>44</v>
      </c>
      <c r="VD326" s="27">
        <v>69.900000000000006</v>
      </c>
      <c r="VE326" s="27">
        <v>80.400000000000006</v>
      </c>
      <c r="VF326" s="27">
        <v>41</v>
      </c>
      <c r="VG326" s="24">
        <v>68.16</v>
      </c>
      <c r="VH326" s="29">
        <v>0</v>
      </c>
      <c r="VI326" s="24">
        <v>11.52</v>
      </c>
      <c r="VJ326" s="24">
        <v>20.32</v>
      </c>
      <c r="VK326" s="24">
        <v>0</v>
      </c>
      <c r="VL326" s="24">
        <v>0</v>
      </c>
      <c r="VM326" s="24">
        <v>0</v>
      </c>
      <c r="VN326" s="24">
        <v>0</v>
      </c>
      <c r="VO326" s="24">
        <v>0</v>
      </c>
      <c r="VP326" s="24">
        <v>0</v>
      </c>
      <c r="VQ326" s="24">
        <v>0</v>
      </c>
      <c r="VR326" s="24">
        <v>0</v>
      </c>
      <c r="VS326" s="24">
        <v>13.13</v>
      </c>
      <c r="VT326" s="24">
        <v>8.66</v>
      </c>
      <c r="VU326" s="24">
        <v>0</v>
      </c>
      <c r="VV326" s="24">
        <v>0</v>
      </c>
      <c r="VW326" s="24">
        <v>0</v>
      </c>
      <c r="VX326" s="24">
        <v>0</v>
      </c>
      <c r="WK326" s="24">
        <v>1.5</v>
      </c>
      <c r="WL326" s="24">
        <v>1</v>
      </c>
      <c r="WM326" s="24">
        <v>47</v>
      </c>
      <c r="WN326" s="24">
        <v>5</v>
      </c>
      <c r="WO326" s="24">
        <f>0.15+0.04</f>
        <v>0.19</v>
      </c>
      <c r="WP326" s="24">
        <v>3</v>
      </c>
      <c r="WQ326" s="24">
        <v>25</v>
      </c>
      <c r="WR326" s="24">
        <v>1</v>
      </c>
      <c r="WS326" s="24">
        <v>0.4</v>
      </c>
      <c r="WT326" s="24">
        <v>1</v>
      </c>
      <c r="WW326" s="28"/>
      <c r="XO326" s="24">
        <v>0</v>
      </c>
      <c r="YZ326" s="27">
        <v>0.11</v>
      </c>
      <c r="ZA326" s="27">
        <v>1</v>
      </c>
      <c r="ZB326" s="27">
        <v>1</v>
      </c>
      <c r="ZC326" s="27"/>
      <c r="ZD326" s="27">
        <v>0.56000000000000005</v>
      </c>
      <c r="ZE326" s="27"/>
      <c r="ZF326" s="27"/>
      <c r="ZG326" s="27"/>
      <c r="ZH326" s="27"/>
      <c r="ZI326" s="27"/>
      <c r="ZJ326" s="27"/>
      <c r="ZK326" s="27">
        <v>0</v>
      </c>
      <c r="ZL326" s="27">
        <v>0</v>
      </c>
      <c r="ZM326" s="27"/>
      <c r="ZN326" s="27"/>
      <c r="ZO326" s="27">
        <v>0</v>
      </c>
      <c r="ZP326" s="27">
        <v>0</v>
      </c>
      <c r="ZQ326" s="27">
        <v>0</v>
      </c>
      <c r="ZR326" s="24">
        <v>0</v>
      </c>
      <c r="ZS326" s="24" t="s">
        <v>290</v>
      </c>
      <c r="ZT326" s="24">
        <v>43</v>
      </c>
      <c r="ZU326" s="27">
        <v>49.3</v>
      </c>
      <c r="ZV326" s="27">
        <v>80.400000000000006</v>
      </c>
      <c r="ZW326" s="27">
        <v>32.9</v>
      </c>
      <c r="ZX326" s="24">
        <v>73.52</v>
      </c>
      <c r="ZY326" s="29">
        <v>0</v>
      </c>
      <c r="ZZ326" s="24">
        <v>16.84</v>
      </c>
      <c r="AAA326" s="24">
        <v>9.64</v>
      </c>
      <c r="AAB326" s="24">
        <v>0</v>
      </c>
      <c r="AAC326" s="24">
        <v>0</v>
      </c>
      <c r="AAD326" s="24">
        <v>0</v>
      </c>
      <c r="AAE326" s="24">
        <v>0</v>
      </c>
      <c r="AAF326" s="24">
        <v>0</v>
      </c>
      <c r="AAG326" s="24">
        <v>0</v>
      </c>
      <c r="AAH326" s="24">
        <v>0</v>
      </c>
      <c r="AAI326" s="24">
        <v>0</v>
      </c>
      <c r="AAJ326" s="24">
        <v>13.52</v>
      </c>
      <c r="AAK326" s="24">
        <v>3.69</v>
      </c>
      <c r="AAL326" s="24">
        <v>3.85</v>
      </c>
      <c r="AAM326" s="24">
        <v>0</v>
      </c>
      <c r="AAN326" s="24">
        <v>0</v>
      </c>
      <c r="AAO326" s="24">
        <v>0</v>
      </c>
      <c r="ABB326" s="24">
        <v>7.4</v>
      </c>
      <c r="ABC326" s="24">
        <v>1</v>
      </c>
      <c r="ABD326" s="24">
        <v>47</v>
      </c>
      <c r="ABE326" s="24">
        <v>11</v>
      </c>
      <c r="ABF326" s="24">
        <f>2.09+0.15+0.04</f>
        <v>2.2799999999999998</v>
      </c>
      <c r="ABG326" s="24">
        <v>3</v>
      </c>
      <c r="ABN326" s="28"/>
      <c r="ACF326" s="24">
        <v>0</v>
      </c>
      <c r="ADQ326" s="27">
        <v>0.28000000000000003</v>
      </c>
      <c r="ADR326" s="27">
        <v>1</v>
      </c>
      <c r="ADS326" s="27">
        <v>1</v>
      </c>
      <c r="ADT326" s="27"/>
      <c r="ADU326" s="27">
        <v>0.56000000000000005</v>
      </c>
      <c r="ADV326" s="27"/>
      <c r="ADW326" s="27"/>
      <c r="ADX326" s="27"/>
      <c r="ADY326" s="27"/>
      <c r="ADZ326" s="27"/>
      <c r="AEA326" s="27"/>
      <c r="AEB326" s="27">
        <v>0.99</v>
      </c>
      <c r="AEC326" s="27">
        <v>0.39</v>
      </c>
      <c r="AED326" s="27"/>
      <c r="AEE326" s="27"/>
      <c r="AEF326" s="27">
        <v>0</v>
      </c>
      <c r="AEG326" s="27">
        <v>0</v>
      </c>
      <c r="AEH326" s="27">
        <v>0</v>
      </c>
      <c r="AEI326" s="24">
        <v>0</v>
      </c>
      <c r="AEJ326" s="24">
        <v>56</v>
      </c>
      <c r="AEK326" s="24">
        <v>26.5</v>
      </c>
      <c r="AEL326" s="27">
        <v>66.099999999999994</v>
      </c>
      <c r="AEM326" s="27">
        <v>80.400000000000006</v>
      </c>
      <c r="AEN326" s="27">
        <v>15</v>
      </c>
      <c r="AEO326" s="24">
        <v>89</v>
      </c>
      <c r="AEP326" s="29">
        <v>0</v>
      </c>
      <c r="AEQ326" s="24">
        <v>7.09</v>
      </c>
      <c r="AER326" s="24">
        <v>2.12</v>
      </c>
      <c r="AES326" s="24">
        <v>0</v>
      </c>
      <c r="AET326" s="24">
        <v>0</v>
      </c>
      <c r="AEU326" s="24">
        <v>0</v>
      </c>
      <c r="AEV326" s="24">
        <v>0</v>
      </c>
      <c r="AEW326" s="24">
        <v>0</v>
      </c>
      <c r="AEX326" s="24">
        <v>0</v>
      </c>
      <c r="AEY326" s="24">
        <v>0</v>
      </c>
      <c r="AEZ326" s="24">
        <v>0</v>
      </c>
      <c r="AFA326" s="24">
        <v>4.26</v>
      </c>
      <c r="AFB326" s="24">
        <v>32.68</v>
      </c>
      <c r="AFC326" s="24">
        <v>1.91</v>
      </c>
      <c r="AFD326" s="24">
        <v>0</v>
      </c>
      <c r="AFE326" s="24">
        <v>0</v>
      </c>
      <c r="AFF326" s="24">
        <v>0</v>
      </c>
      <c r="AFS326" s="24">
        <v>0</v>
      </c>
      <c r="AFT326" s="24">
        <v>0</v>
      </c>
      <c r="AGE326" s="28"/>
      <c r="AGW326" s="24">
        <v>0</v>
      </c>
      <c r="AIH326" s="27">
        <v>3.52</v>
      </c>
      <c r="AII326" s="27">
        <v>1</v>
      </c>
      <c r="AIJ326" s="27">
        <v>1</v>
      </c>
      <c r="AIK326" s="27"/>
      <c r="AIL326" s="27">
        <f>3.13+3.17*4</f>
        <v>15.809999999999999</v>
      </c>
      <c r="AIM326" s="27">
        <v>2</v>
      </c>
      <c r="AIN326" s="27"/>
      <c r="AIO326" s="27">
        <v>0.87</v>
      </c>
      <c r="AIP326" s="27"/>
      <c r="AIQ326" s="27"/>
      <c r="AIR326" s="27"/>
      <c r="AIS326" s="27">
        <v>5.36</v>
      </c>
      <c r="AIT326" s="27">
        <v>8.39</v>
      </c>
      <c r="AIU326" s="27"/>
      <c r="AIV326" s="27"/>
      <c r="AIW326" s="27">
        <v>0</v>
      </c>
      <c r="AIX326" s="27">
        <v>0</v>
      </c>
      <c r="AIY326" s="27">
        <v>0</v>
      </c>
      <c r="AIZ326" s="24">
        <v>0</v>
      </c>
      <c r="AJA326" s="24" t="s">
        <v>291</v>
      </c>
      <c r="AJB326" s="24">
        <v>35.5</v>
      </c>
      <c r="AJC326" s="27">
        <v>84</v>
      </c>
      <c r="AJD326" s="27">
        <v>80.400000000000006</v>
      </c>
      <c r="AJE326" s="27">
        <v>10.5</v>
      </c>
      <c r="AJF326" s="24">
        <v>95.42</v>
      </c>
      <c r="AJG326" s="29">
        <v>0</v>
      </c>
      <c r="AJH326" s="24">
        <v>4.58</v>
      </c>
      <c r="AJI326" s="24">
        <v>0</v>
      </c>
      <c r="AJJ326" s="24">
        <v>0</v>
      </c>
      <c r="AJK326" s="24">
        <v>0</v>
      </c>
      <c r="AJL326" s="24">
        <v>0</v>
      </c>
      <c r="AJM326" s="24">
        <v>0</v>
      </c>
      <c r="AJN326" s="24">
        <v>0</v>
      </c>
      <c r="AJO326" s="24">
        <v>0</v>
      </c>
      <c r="AJP326" s="24">
        <v>0</v>
      </c>
      <c r="AJQ326" s="24">
        <v>0</v>
      </c>
      <c r="AJR326" s="24">
        <v>17.829999999999998</v>
      </c>
      <c r="AJS326" s="24">
        <v>40.99</v>
      </c>
      <c r="AJT326" s="24">
        <v>9.34</v>
      </c>
      <c r="AJU326" s="24">
        <v>0</v>
      </c>
      <c r="AJV326" s="24">
        <v>0</v>
      </c>
      <c r="AJW326" s="24">
        <v>0</v>
      </c>
      <c r="AKJ326" s="24">
        <v>4.4000000000000004</v>
      </c>
      <c r="AKK326" s="24">
        <v>1</v>
      </c>
      <c r="AKL326" s="24">
        <v>34</v>
      </c>
      <c r="AKM326" s="24">
        <v>10</v>
      </c>
      <c r="AKN326" s="24">
        <f>8.56+1.51</f>
        <v>10.07</v>
      </c>
      <c r="AKO326" s="24">
        <v>1</v>
      </c>
      <c r="AKP326" s="24">
        <v>68</v>
      </c>
      <c r="AKQ326" s="24">
        <v>6</v>
      </c>
      <c r="AKR326" s="24">
        <f>3.43+0.6</f>
        <v>4.03</v>
      </c>
      <c r="AKS326" s="24">
        <v>1</v>
      </c>
      <c r="AKV326" s="28"/>
      <c r="ALN326" s="24">
        <v>0</v>
      </c>
    </row>
    <row r="327" spans="1:1024" x14ac:dyDescent="0.2">
      <c r="A327" s="22" t="s">
        <v>909</v>
      </c>
      <c r="B327" s="23">
        <v>42905</v>
      </c>
      <c r="C327" s="24">
        <v>1</v>
      </c>
      <c r="D327" s="25">
        <v>42801</v>
      </c>
      <c r="E327" s="23">
        <v>42978</v>
      </c>
      <c r="F327" s="14">
        <f t="shared" si="120"/>
        <v>-0.1998631074606434</v>
      </c>
      <c r="G327" s="14">
        <f t="shared" si="121"/>
        <v>0.28473648186173856</v>
      </c>
      <c r="H327" s="26" t="s">
        <v>181</v>
      </c>
      <c r="I327" s="21" t="s">
        <v>283</v>
      </c>
      <c r="J327" s="21" t="s">
        <v>181</v>
      </c>
      <c r="K327" s="21">
        <v>8</v>
      </c>
      <c r="L327" s="26">
        <v>63</v>
      </c>
      <c r="M327" s="24">
        <v>1.67</v>
      </c>
      <c r="N327" s="27">
        <f t="shared" si="122"/>
        <v>22.589551436050055</v>
      </c>
      <c r="O327" s="26">
        <v>0</v>
      </c>
      <c r="P327" s="26">
        <v>0</v>
      </c>
      <c r="Q327" s="26">
        <v>0</v>
      </c>
      <c r="R327" s="26">
        <v>0</v>
      </c>
      <c r="S327" s="26">
        <v>0</v>
      </c>
      <c r="T327" s="26">
        <v>0</v>
      </c>
      <c r="U327" s="26"/>
      <c r="V327" s="26"/>
      <c r="W327" s="26">
        <v>0</v>
      </c>
      <c r="X327" s="26">
        <v>0</v>
      </c>
      <c r="Y327" s="26">
        <v>0</v>
      </c>
      <c r="Z327" s="26">
        <v>0</v>
      </c>
      <c r="AA327" s="26">
        <v>0</v>
      </c>
      <c r="AB327" s="26">
        <v>0</v>
      </c>
      <c r="AC327" s="26">
        <v>0</v>
      </c>
      <c r="AD327" s="26">
        <v>0</v>
      </c>
      <c r="AE327" s="26">
        <v>0</v>
      </c>
      <c r="AF327" s="19">
        <v>0</v>
      </c>
      <c r="AG327" s="19">
        <v>0</v>
      </c>
      <c r="AH327" s="19">
        <v>0</v>
      </c>
      <c r="AI327" s="26">
        <v>0</v>
      </c>
      <c r="AJ327" s="26">
        <v>0</v>
      </c>
      <c r="AK327" s="26">
        <v>0</v>
      </c>
      <c r="AL327" s="26">
        <v>0</v>
      </c>
      <c r="AM327" s="26">
        <v>0</v>
      </c>
      <c r="AN327" s="26">
        <v>0</v>
      </c>
      <c r="AO327" s="19">
        <v>0</v>
      </c>
      <c r="AP327" s="19">
        <v>0</v>
      </c>
      <c r="AQ327" s="19">
        <v>0</v>
      </c>
      <c r="AR327" s="19">
        <v>0</v>
      </c>
      <c r="AS327" s="26">
        <v>0</v>
      </c>
      <c r="AT327" s="26">
        <v>0</v>
      </c>
      <c r="AU327" s="26">
        <v>0</v>
      </c>
      <c r="AV327" s="26">
        <v>0</v>
      </c>
      <c r="AW327" s="26">
        <v>0</v>
      </c>
      <c r="AX327" s="26">
        <v>0</v>
      </c>
      <c r="AY327" s="26">
        <v>0</v>
      </c>
      <c r="AZ327" s="26">
        <v>0</v>
      </c>
      <c r="BA327" s="26">
        <v>0</v>
      </c>
      <c r="BB327" s="26">
        <v>0</v>
      </c>
      <c r="BC327" s="26">
        <v>0</v>
      </c>
      <c r="BD327" s="26">
        <v>0</v>
      </c>
      <c r="BE327" s="26">
        <v>0</v>
      </c>
      <c r="BF327" s="26">
        <v>0</v>
      </c>
      <c r="BG327" s="26">
        <v>0</v>
      </c>
      <c r="BH327" s="26">
        <v>0</v>
      </c>
      <c r="BI327" s="26">
        <v>0</v>
      </c>
      <c r="BJ327" s="19">
        <v>0</v>
      </c>
      <c r="BK327" s="19">
        <v>0</v>
      </c>
      <c r="BL327" s="19">
        <v>0</v>
      </c>
      <c r="BM327" s="19">
        <v>0</v>
      </c>
      <c r="BN327" s="26">
        <v>0</v>
      </c>
      <c r="BO327" s="26">
        <v>0</v>
      </c>
      <c r="BP327" s="26">
        <v>0</v>
      </c>
      <c r="BQ327" s="26">
        <v>0</v>
      </c>
      <c r="BR327" s="26">
        <v>2</v>
      </c>
      <c r="BS327" s="26">
        <v>1</v>
      </c>
      <c r="BT327" s="26">
        <v>2</v>
      </c>
      <c r="BU327" s="26">
        <v>4</v>
      </c>
      <c r="BV327" s="26">
        <v>2</v>
      </c>
      <c r="BW327" s="26">
        <v>2</v>
      </c>
      <c r="BX327" s="26">
        <v>3</v>
      </c>
      <c r="BY327" s="26">
        <v>3</v>
      </c>
      <c r="BZ327" s="26">
        <v>4</v>
      </c>
      <c r="CA327" s="26">
        <v>5</v>
      </c>
      <c r="CB327" s="26">
        <v>4</v>
      </c>
      <c r="CC327" s="26">
        <v>4</v>
      </c>
      <c r="CD327" s="26">
        <v>5</v>
      </c>
      <c r="CE327" s="26">
        <v>2</v>
      </c>
      <c r="CF327" s="26">
        <v>5</v>
      </c>
      <c r="CG327" s="26">
        <v>4</v>
      </c>
      <c r="CH327" s="26">
        <v>4</v>
      </c>
      <c r="CI327" s="26">
        <v>4</v>
      </c>
      <c r="CJ327" s="26">
        <v>4</v>
      </c>
      <c r="CK327" s="26">
        <v>9</v>
      </c>
      <c r="CL327" s="24" t="s">
        <v>285</v>
      </c>
      <c r="CM327" s="24">
        <v>70</v>
      </c>
      <c r="CN327" s="27">
        <v>79.8</v>
      </c>
      <c r="CO327" s="27">
        <v>80.400000000000006</v>
      </c>
      <c r="CP327" s="27">
        <v>62.1</v>
      </c>
      <c r="CQ327" s="24">
        <v>39.51</v>
      </c>
      <c r="CR327" s="29">
        <v>0</v>
      </c>
      <c r="CS327" s="24">
        <v>47.45</v>
      </c>
      <c r="CT327" s="24">
        <v>13.05</v>
      </c>
      <c r="CU327" s="24">
        <v>0</v>
      </c>
      <c r="CV327" s="24">
        <v>0</v>
      </c>
      <c r="CW327" s="24">
        <v>0</v>
      </c>
      <c r="CX327" s="24">
        <v>0</v>
      </c>
      <c r="CY327" s="24">
        <v>0</v>
      </c>
      <c r="CZ327" s="24">
        <v>0</v>
      </c>
      <c r="DA327" s="24">
        <v>0</v>
      </c>
      <c r="DB327" s="24">
        <v>0</v>
      </c>
      <c r="DC327" s="24">
        <v>0</v>
      </c>
      <c r="DD327" s="24">
        <v>30.76</v>
      </c>
      <c r="DE327" s="24">
        <v>14.19</v>
      </c>
      <c r="DF327" s="24">
        <v>0</v>
      </c>
      <c r="DG327" s="24">
        <v>0</v>
      </c>
      <c r="DH327" s="24">
        <v>0</v>
      </c>
      <c r="DU327" s="24">
        <v>0.3</v>
      </c>
      <c r="DV327" s="24">
        <v>1</v>
      </c>
      <c r="DW327" s="24">
        <v>68</v>
      </c>
      <c r="DX327" s="24">
        <v>1</v>
      </c>
      <c r="DY327" s="24">
        <v>0.13</v>
      </c>
      <c r="DZ327" s="24">
        <v>1</v>
      </c>
      <c r="EG327" s="28"/>
      <c r="EY327" s="24">
        <v>0</v>
      </c>
      <c r="GJ327" s="27">
        <v>0.63</v>
      </c>
      <c r="GK327" s="27">
        <v>1</v>
      </c>
      <c r="GL327" s="27">
        <v>1</v>
      </c>
      <c r="GM327" s="27"/>
      <c r="GN327" s="27">
        <v>1.52</v>
      </c>
      <c r="GO327" s="27"/>
      <c r="GP327" s="27"/>
      <c r="GQ327" s="27"/>
      <c r="GR327" s="27"/>
      <c r="GS327" s="27"/>
      <c r="GT327" s="27"/>
      <c r="GU327" s="27">
        <v>3.55</v>
      </c>
      <c r="GV327" s="27">
        <v>4.46</v>
      </c>
      <c r="GW327" s="27"/>
      <c r="GX327" s="27"/>
      <c r="GY327" s="27">
        <v>0</v>
      </c>
      <c r="GZ327" s="27">
        <v>0</v>
      </c>
      <c r="HA327" s="27">
        <v>0</v>
      </c>
      <c r="HB327" s="24">
        <v>0</v>
      </c>
      <c r="HC327" s="24" t="s">
        <v>286</v>
      </c>
      <c r="HD327" s="24">
        <v>95.5</v>
      </c>
      <c r="HE327" s="27">
        <v>99.1</v>
      </c>
      <c r="HF327" s="27">
        <v>80.400000000000006</v>
      </c>
      <c r="HG327" s="27">
        <v>90.4</v>
      </c>
      <c r="HH327" s="24">
        <v>24.15</v>
      </c>
      <c r="HI327" s="29">
        <v>0</v>
      </c>
      <c r="HJ327" s="24">
        <v>31.26</v>
      </c>
      <c r="HK327" s="24">
        <v>44.6</v>
      </c>
      <c r="HL327" s="24">
        <v>0</v>
      </c>
      <c r="HM327" s="24">
        <v>0</v>
      </c>
      <c r="HN327" s="24">
        <v>0</v>
      </c>
      <c r="HO327" s="24">
        <v>0</v>
      </c>
      <c r="HP327" s="24">
        <v>0</v>
      </c>
      <c r="HQ327" s="24">
        <v>0</v>
      </c>
      <c r="HR327" s="24">
        <v>0</v>
      </c>
      <c r="HS327" s="24">
        <v>0</v>
      </c>
      <c r="HT327" s="24">
        <v>0</v>
      </c>
      <c r="HU327" s="24">
        <v>24.75</v>
      </c>
      <c r="HV327" s="24">
        <v>2.4700000000000002</v>
      </c>
      <c r="HW327" s="24">
        <v>0</v>
      </c>
      <c r="HX327" s="24">
        <v>0</v>
      </c>
      <c r="HY327" s="24">
        <v>0</v>
      </c>
      <c r="IL327" s="24">
        <v>0.2</v>
      </c>
      <c r="IM327" s="24">
        <v>1</v>
      </c>
      <c r="IN327" s="24">
        <v>34</v>
      </c>
      <c r="IO327" s="24">
        <v>16</v>
      </c>
      <c r="IP327" s="24">
        <f>6.09+1.07</f>
        <v>7.16</v>
      </c>
      <c r="IQ327" s="24">
        <v>1</v>
      </c>
      <c r="IR327" s="24">
        <v>68</v>
      </c>
      <c r="IS327" s="24">
        <v>1</v>
      </c>
      <c r="IT327" s="24">
        <v>0.13</v>
      </c>
      <c r="IU327" s="24">
        <v>1</v>
      </c>
      <c r="IX327" s="28"/>
      <c r="JP327" s="24">
        <v>0</v>
      </c>
      <c r="LA327" s="27">
        <v>0.63</v>
      </c>
      <c r="LB327" s="27">
        <v>1</v>
      </c>
      <c r="LC327" s="27">
        <v>1</v>
      </c>
      <c r="LD327" s="27"/>
      <c r="LE327" s="27">
        <v>1.52</v>
      </c>
      <c r="LF327" s="27"/>
      <c r="LG327" s="27"/>
      <c r="LH327" s="27"/>
      <c r="LI327" s="27"/>
      <c r="LJ327" s="27"/>
      <c r="LK327" s="27"/>
      <c r="LL327" s="27">
        <v>0</v>
      </c>
      <c r="LM327" s="27">
        <v>0</v>
      </c>
      <c r="LN327" s="27"/>
      <c r="LO327" s="27"/>
      <c r="LP327" s="27">
        <v>0</v>
      </c>
      <c r="LQ327" s="27">
        <v>0</v>
      </c>
      <c r="LR327" s="27">
        <v>0</v>
      </c>
      <c r="LS327" s="24">
        <v>0</v>
      </c>
      <c r="LT327" s="24" t="s">
        <v>287</v>
      </c>
      <c r="LU327" s="24">
        <v>61.5</v>
      </c>
      <c r="LV327" s="27">
        <v>83.5</v>
      </c>
      <c r="LW327" s="27">
        <v>80.400000000000006</v>
      </c>
      <c r="LX327" s="27">
        <v>56.1</v>
      </c>
      <c r="LY327" s="24">
        <v>51.73</v>
      </c>
      <c r="LZ327" s="29">
        <v>0</v>
      </c>
      <c r="MA327" s="24">
        <v>30.08</v>
      </c>
      <c r="MB327" s="24">
        <v>18.190000000000001</v>
      </c>
      <c r="MC327" s="24">
        <v>0</v>
      </c>
      <c r="MD327" s="24">
        <v>0</v>
      </c>
      <c r="ME327" s="24">
        <v>0</v>
      </c>
      <c r="MF327" s="24">
        <v>0</v>
      </c>
      <c r="MG327" s="24">
        <v>0</v>
      </c>
      <c r="MH327" s="24">
        <v>0</v>
      </c>
      <c r="MI327" s="24">
        <v>0</v>
      </c>
      <c r="MJ327" s="24">
        <v>0</v>
      </c>
      <c r="MK327" s="24">
        <v>0.3</v>
      </c>
      <c r="ML327" s="24">
        <v>27.59</v>
      </c>
      <c r="MM327" s="24">
        <v>0</v>
      </c>
      <c r="MN327" s="24">
        <v>0</v>
      </c>
      <c r="MO327" s="24">
        <v>0</v>
      </c>
      <c r="MP327" s="24">
        <v>0</v>
      </c>
      <c r="NC327" s="24">
        <v>0</v>
      </c>
      <c r="ND327" s="24">
        <v>0</v>
      </c>
      <c r="NO327" s="28"/>
      <c r="OG327" s="24">
        <v>0</v>
      </c>
      <c r="PR327" s="27">
        <v>1.96</v>
      </c>
      <c r="PS327" s="27">
        <v>1</v>
      </c>
      <c r="PT327" s="27">
        <v>1</v>
      </c>
      <c r="PU327" s="27"/>
      <c r="PV327" s="27">
        <f>5.53+3.68+1.71+1.12+0.74</f>
        <v>12.780000000000003</v>
      </c>
      <c r="PW327" s="27"/>
      <c r="PX327" s="27"/>
      <c r="PY327" s="27"/>
      <c r="PZ327" s="27"/>
      <c r="QA327" s="27"/>
      <c r="QB327" s="27"/>
      <c r="QC327" s="27">
        <v>0.94</v>
      </c>
      <c r="QD327" s="27">
        <v>0.94</v>
      </c>
      <c r="QE327" s="27"/>
      <c r="QF327" s="27"/>
      <c r="QG327" s="27">
        <v>0</v>
      </c>
      <c r="QH327" s="27">
        <v>0</v>
      </c>
      <c r="QI327" s="27">
        <v>0</v>
      </c>
      <c r="QJ327" s="24">
        <v>0</v>
      </c>
      <c r="QK327" s="24" t="s">
        <v>288</v>
      </c>
      <c r="QL327" s="24">
        <v>77.5</v>
      </c>
      <c r="QM327" s="27">
        <v>87.4</v>
      </c>
      <c r="QN327" s="27">
        <v>80.400000000000006</v>
      </c>
      <c r="QO327" s="27">
        <v>53.5</v>
      </c>
      <c r="QP327" s="24">
        <v>51.28</v>
      </c>
      <c r="QQ327" s="29">
        <v>0</v>
      </c>
      <c r="QR327" s="24">
        <v>27.27</v>
      </c>
      <c r="QS327" s="24">
        <v>21.22</v>
      </c>
      <c r="QT327" s="24">
        <v>0</v>
      </c>
      <c r="QU327" s="24">
        <v>0</v>
      </c>
      <c r="QV327" s="24">
        <v>0</v>
      </c>
      <c r="QW327" s="24">
        <v>0</v>
      </c>
      <c r="QX327" s="24">
        <v>0</v>
      </c>
      <c r="QY327" s="24">
        <v>0</v>
      </c>
      <c r="QZ327" s="24">
        <v>0</v>
      </c>
      <c r="RA327" s="24">
        <v>0</v>
      </c>
      <c r="RB327" s="24">
        <v>5.93</v>
      </c>
      <c r="RC327" s="24">
        <v>4.6100000000000003</v>
      </c>
      <c r="RD327" s="24">
        <v>5.38</v>
      </c>
      <c r="RE327" s="24">
        <v>0</v>
      </c>
      <c r="RF327" s="24">
        <v>15.4</v>
      </c>
      <c r="RG327" s="24">
        <v>1</v>
      </c>
      <c r="RH327" s="24">
        <v>4</v>
      </c>
      <c r="RJ327" s="24">
        <v>2</v>
      </c>
      <c r="RN327" s="24">
        <v>4</v>
      </c>
      <c r="RP327" s="24">
        <v>2</v>
      </c>
      <c r="RT327" s="24">
        <v>6.7</v>
      </c>
      <c r="RU327" s="24">
        <v>1</v>
      </c>
      <c r="RV327" s="24">
        <v>35</v>
      </c>
      <c r="RW327" s="24">
        <v>6</v>
      </c>
      <c r="RX327" s="24">
        <v>0.8</v>
      </c>
      <c r="RY327" s="24">
        <v>3</v>
      </c>
      <c r="RZ327" s="24">
        <v>47</v>
      </c>
      <c r="SA327" s="24">
        <v>1</v>
      </c>
      <c r="SB327" s="24">
        <v>0.13</v>
      </c>
      <c r="SC327" s="24">
        <v>3</v>
      </c>
      <c r="SF327" s="28"/>
      <c r="SX327" s="24">
        <v>1</v>
      </c>
      <c r="SY327" s="24">
        <v>60</v>
      </c>
      <c r="SZ327" s="24">
        <v>3</v>
      </c>
      <c r="TA327" s="24">
        <v>1.35</v>
      </c>
      <c r="TB327" s="24">
        <v>2</v>
      </c>
      <c r="UI327" s="27">
        <v>0</v>
      </c>
      <c r="UJ327" s="27">
        <v>0</v>
      </c>
      <c r="UK327" s="27"/>
      <c r="UL327" s="27"/>
      <c r="UM327" s="27"/>
      <c r="UN327" s="27"/>
      <c r="UO327" s="27"/>
      <c r="UP327" s="27"/>
      <c r="UQ327" s="27"/>
      <c r="UR327" s="27"/>
      <c r="US327" s="27"/>
      <c r="UT327" s="27">
        <v>0</v>
      </c>
      <c r="UU327" s="27">
        <v>0</v>
      </c>
      <c r="UV327" s="27"/>
      <c r="UW327" s="27"/>
      <c r="UX327" s="27">
        <v>0</v>
      </c>
      <c r="UY327" s="27">
        <v>0</v>
      </c>
      <c r="UZ327" s="27">
        <v>0</v>
      </c>
      <c r="VA327" s="24">
        <v>0</v>
      </c>
      <c r="VB327" s="24" t="s">
        <v>289</v>
      </c>
      <c r="VC327" s="24">
        <v>44</v>
      </c>
      <c r="VD327" s="27">
        <v>69.900000000000006</v>
      </c>
      <c r="VE327" s="27">
        <v>80.400000000000006</v>
      </c>
      <c r="VF327" s="27">
        <v>41</v>
      </c>
      <c r="VG327" s="24">
        <v>68.16</v>
      </c>
      <c r="VH327" s="29">
        <v>0</v>
      </c>
      <c r="VI327" s="24">
        <v>11.52</v>
      </c>
      <c r="VJ327" s="24">
        <v>20.32</v>
      </c>
      <c r="VK327" s="24">
        <v>0</v>
      </c>
      <c r="VL327" s="24">
        <v>0</v>
      </c>
      <c r="VM327" s="24">
        <v>0</v>
      </c>
      <c r="VN327" s="24">
        <v>0</v>
      </c>
      <c r="VO327" s="24">
        <v>0</v>
      </c>
      <c r="VP327" s="24">
        <v>0</v>
      </c>
      <c r="VQ327" s="24">
        <v>0</v>
      </c>
      <c r="VR327" s="24">
        <v>0</v>
      </c>
      <c r="VS327" s="24">
        <v>13.13</v>
      </c>
      <c r="VT327" s="24">
        <v>8.66</v>
      </c>
      <c r="VU327" s="24">
        <v>0</v>
      </c>
      <c r="VV327" s="24">
        <v>0</v>
      </c>
      <c r="VW327" s="24">
        <v>0</v>
      </c>
      <c r="VX327" s="24">
        <v>0</v>
      </c>
      <c r="WK327" s="24">
        <v>1.5</v>
      </c>
      <c r="WL327" s="24">
        <v>1</v>
      </c>
      <c r="WM327" s="24">
        <v>47</v>
      </c>
      <c r="WN327" s="24">
        <v>5</v>
      </c>
      <c r="WO327" s="24">
        <f>0.15+0.04</f>
        <v>0.19</v>
      </c>
      <c r="WP327" s="24">
        <v>3</v>
      </c>
      <c r="WQ327" s="24">
        <v>25</v>
      </c>
      <c r="WR327" s="24">
        <v>1</v>
      </c>
      <c r="WS327" s="24">
        <v>0.4</v>
      </c>
      <c r="WT327" s="24">
        <v>1</v>
      </c>
      <c r="WW327" s="28"/>
      <c r="XO327" s="24">
        <v>0</v>
      </c>
      <c r="YZ327" s="27">
        <v>0.11</v>
      </c>
      <c r="ZA327" s="27">
        <v>1</v>
      </c>
      <c r="ZB327" s="27">
        <v>1</v>
      </c>
      <c r="ZC327" s="27"/>
      <c r="ZD327" s="27">
        <v>0.56000000000000005</v>
      </c>
      <c r="ZE327" s="27"/>
      <c r="ZF327" s="27"/>
      <c r="ZG327" s="27"/>
      <c r="ZH327" s="27"/>
      <c r="ZI327" s="27"/>
      <c r="ZJ327" s="27"/>
      <c r="ZK327" s="27">
        <v>0</v>
      </c>
      <c r="ZL327" s="27">
        <v>0</v>
      </c>
      <c r="ZM327" s="27"/>
      <c r="ZN327" s="27"/>
      <c r="ZO327" s="27">
        <v>0</v>
      </c>
      <c r="ZP327" s="27">
        <v>0</v>
      </c>
      <c r="ZQ327" s="27">
        <v>0</v>
      </c>
      <c r="ZR327" s="24">
        <v>0</v>
      </c>
      <c r="ZS327" s="24" t="s">
        <v>290</v>
      </c>
      <c r="ZT327" s="24">
        <v>43</v>
      </c>
      <c r="ZU327" s="27">
        <v>49.3</v>
      </c>
      <c r="ZV327" s="27">
        <v>80.400000000000006</v>
      </c>
      <c r="ZW327" s="27">
        <v>32.9</v>
      </c>
      <c r="ZX327" s="24">
        <v>73.52</v>
      </c>
      <c r="ZY327" s="29">
        <v>0</v>
      </c>
      <c r="ZZ327" s="24">
        <v>16.84</v>
      </c>
      <c r="AAA327" s="24">
        <v>9.64</v>
      </c>
      <c r="AAB327" s="24">
        <v>0</v>
      </c>
      <c r="AAC327" s="24">
        <v>0</v>
      </c>
      <c r="AAD327" s="24">
        <v>0</v>
      </c>
      <c r="AAE327" s="24">
        <v>0</v>
      </c>
      <c r="AAF327" s="24">
        <v>0</v>
      </c>
      <c r="AAG327" s="24">
        <v>0</v>
      </c>
      <c r="AAH327" s="24">
        <v>0</v>
      </c>
      <c r="AAI327" s="24">
        <v>0</v>
      </c>
      <c r="AAJ327" s="24">
        <v>13.52</v>
      </c>
      <c r="AAK327" s="24">
        <v>3.69</v>
      </c>
      <c r="AAL327" s="24">
        <v>3.85</v>
      </c>
      <c r="AAM327" s="24">
        <v>0</v>
      </c>
      <c r="AAN327" s="24">
        <v>0</v>
      </c>
      <c r="AAO327" s="24">
        <v>0</v>
      </c>
      <c r="ABB327" s="24">
        <v>7.4</v>
      </c>
      <c r="ABC327" s="24">
        <v>1</v>
      </c>
      <c r="ABD327" s="24">
        <v>47</v>
      </c>
      <c r="ABE327" s="24">
        <v>11</v>
      </c>
      <c r="ABF327" s="24">
        <f>2.09+0.15+0.04</f>
        <v>2.2799999999999998</v>
      </c>
      <c r="ABG327" s="24">
        <v>3</v>
      </c>
      <c r="ABN327" s="28"/>
      <c r="ACF327" s="24">
        <v>0</v>
      </c>
      <c r="ADQ327" s="27">
        <v>0.28000000000000003</v>
      </c>
      <c r="ADR327" s="27">
        <v>1</v>
      </c>
      <c r="ADS327" s="27">
        <v>1</v>
      </c>
      <c r="ADT327" s="27"/>
      <c r="ADU327" s="27">
        <v>0.56000000000000005</v>
      </c>
      <c r="ADV327" s="27"/>
      <c r="ADW327" s="27"/>
      <c r="ADX327" s="27"/>
      <c r="ADY327" s="27"/>
      <c r="ADZ327" s="27"/>
      <c r="AEA327" s="27"/>
      <c r="AEB327" s="27">
        <v>0.99</v>
      </c>
      <c r="AEC327" s="27">
        <v>0.39</v>
      </c>
      <c r="AED327" s="27"/>
      <c r="AEE327" s="27"/>
      <c r="AEF327" s="27">
        <v>0</v>
      </c>
      <c r="AEG327" s="27">
        <v>0</v>
      </c>
      <c r="AEH327" s="27">
        <v>0</v>
      </c>
      <c r="AEI327" s="24">
        <v>0</v>
      </c>
      <c r="AEJ327" s="24">
        <v>56</v>
      </c>
      <c r="AEK327" s="24">
        <v>26.5</v>
      </c>
      <c r="AEL327" s="27">
        <v>66.099999999999994</v>
      </c>
      <c r="AEM327" s="27">
        <v>80.400000000000006</v>
      </c>
      <c r="AEN327" s="27">
        <v>15</v>
      </c>
      <c r="AEO327" s="24">
        <v>89</v>
      </c>
      <c r="AEP327" s="29">
        <v>0</v>
      </c>
      <c r="AEQ327" s="24">
        <v>7.09</v>
      </c>
      <c r="AER327" s="24">
        <v>2.12</v>
      </c>
      <c r="AES327" s="24">
        <v>0</v>
      </c>
      <c r="AET327" s="24">
        <v>0</v>
      </c>
      <c r="AEU327" s="24">
        <v>0</v>
      </c>
      <c r="AEV327" s="24">
        <v>0</v>
      </c>
      <c r="AEW327" s="24">
        <v>0</v>
      </c>
      <c r="AEX327" s="24">
        <v>0</v>
      </c>
      <c r="AEY327" s="24">
        <v>0</v>
      </c>
      <c r="AEZ327" s="24">
        <v>0</v>
      </c>
      <c r="AFA327" s="24">
        <v>4.26</v>
      </c>
      <c r="AFB327" s="24">
        <v>32.68</v>
      </c>
      <c r="AFC327" s="24">
        <v>1.91</v>
      </c>
      <c r="AFD327" s="24">
        <v>0</v>
      </c>
      <c r="AFE327" s="24">
        <v>0</v>
      </c>
      <c r="AFF327" s="24">
        <v>0</v>
      </c>
      <c r="AFS327" s="24">
        <v>0</v>
      </c>
      <c r="AFT327" s="24">
        <v>0</v>
      </c>
      <c r="AGE327" s="28"/>
      <c r="AGW327" s="24">
        <v>0</v>
      </c>
      <c r="AIH327" s="27">
        <v>3.52</v>
      </c>
      <c r="AII327" s="27">
        <v>1</v>
      </c>
      <c r="AIJ327" s="27">
        <v>1</v>
      </c>
      <c r="AIK327" s="27"/>
      <c r="AIL327" s="27">
        <f>3.13+3.17*4</f>
        <v>15.809999999999999</v>
      </c>
      <c r="AIM327" s="27">
        <v>2</v>
      </c>
      <c r="AIN327" s="27"/>
      <c r="AIO327" s="27">
        <v>0.87</v>
      </c>
      <c r="AIP327" s="27"/>
      <c r="AIQ327" s="27"/>
      <c r="AIR327" s="27"/>
      <c r="AIS327" s="27">
        <v>5.36</v>
      </c>
      <c r="AIT327" s="27">
        <v>8.39</v>
      </c>
      <c r="AIU327" s="27"/>
      <c r="AIV327" s="27"/>
      <c r="AIW327" s="27">
        <v>0</v>
      </c>
      <c r="AIX327" s="27">
        <v>0</v>
      </c>
      <c r="AIY327" s="27">
        <v>0</v>
      </c>
      <c r="AIZ327" s="24">
        <v>0</v>
      </c>
      <c r="AJA327" s="24" t="s">
        <v>291</v>
      </c>
      <c r="AJB327" s="24">
        <v>35.5</v>
      </c>
      <c r="AJC327" s="27">
        <v>84</v>
      </c>
      <c r="AJD327" s="27">
        <v>80.400000000000006</v>
      </c>
      <c r="AJE327" s="27">
        <v>10.5</v>
      </c>
      <c r="AJF327" s="24">
        <v>95.42</v>
      </c>
      <c r="AJG327" s="29">
        <v>0</v>
      </c>
      <c r="AJH327" s="24">
        <v>4.58</v>
      </c>
      <c r="AJI327" s="24">
        <v>0</v>
      </c>
      <c r="AJJ327" s="24">
        <v>0</v>
      </c>
      <c r="AJK327" s="24">
        <v>0</v>
      </c>
      <c r="AJL327" s="24">
        <v>0</v>
      </c>
      <c r="AJM327" s="24">
        <v>0</v>
      </c>
      <c r="AJN327" s="24">
        <v>0</v>
      </c>
      <c r="AJO327" s="24">
        <v>0</v>
      </c>
      <c r="AJP327" s="24">
        <v>0</v>
      </c>
      <c r="AJQ327" s="24">
        <v>0</v>
      </c>
      <c r="AJR327" s="24">
        <v>17.829999999999998</v>
      </c>
      <c r="AJS327" s="24">
        <v>40.99</v>
      </c>
      <c r="AJT327" s="24">
        <v>9.34</v>
      </c>
      <c r="AJU327" s="24">
        <v>0</v>
      </c>
      <c r="AJV327" s="24">
        <v>0</v>
      </c>
      <c r="AJW327" s="24">
        <v>0</v>
      </c>
      <c r="AKJ327" s="24">
        <v>4.4000000000000004</v>
      </c>
      <c r="AKK327" s="24">
        <v>1</v>
      </c>
      <c r="AKL327" s="24">
        <v>34</v>
      </c>
      <c r="AKM327" s="24">
        <v>10</v>
      </c>
      <c r="AKN327" s="24">
        <f>8.56+1.51</f>
        <v>10.07</v>
      </c>
      <c r="AKO327" s="24">
        <v>1</v>
      </c>
      <c r="AKP327" s="24">
        <v>68</v>
      </c>
      <c r="AKQ327" s="24">
        <v>6</v>
      </c>
      <c r="AKR327" s="24">
        <f>3.43+0.6</f>
        <v>4.03</v>
      </c>
      <c r="AKS327" s="24">
        <v>1</v>
      </c>
      <c r="AKV327" s="28"/>
      <c r="ALN327" s="24">
        <v>0</v>
      </c>
    </row>
    <row r="328" spans="1:1024" x14ac:dyDescent="0.2">
      <c r="A328" s="22" t="s">
        <v>910</v>
      </c>
      <c r="B328" s="23">
        <v>42905</v>
      </c>
      <c r="C328" s="24">
        <v>2</v>
      </c>
      <c r="D328" s="25">
        <v>42814</v>
      </c>
      <c r="E328" s="23">
        <v>34874</v>
      </c>
      <c r="F328" s="14">
        <f t="shared" si="120"/>
        <v>21.987679671457904</v>
      </c>
      <c r="G328" s="14">
        <f t="shared" si="121"/>
        <v>0.24914442162902123</v>
      </c>
      <c r="H328" s="26" t="s">
        <v>181</v>
      </c>
      <c r="I328" s="21" t="s">
        <v>283</v>
      </c>
      <c r="J328" s="21" t="s">
        <v>181</v>
      </c>
      <c r="K328" s="21">
        <v>8</v>
      </c>
      <c r="L328" s="26">
        <v>65</v>
      </c>
      <c r="M328" s="24">
        <v>1.72</v>
      </c>
      <c r="N328" s="27">
        <f t="shared" si="122"/>
        <v>21.971335857220122</v>
      </c>
      <c r="O328" s="26">
        <v>0</v>
      </c>
      <c r="P328" s="26">
        <v>0</v>
      </c>
      <c r="Q328" s="26">
        <v>0</v>
      </c>
      <c r="R328" s="26">
        <v>0</v>
      </c>
      <c r="S328" s="26">
        <v>0</v>
      </c>
      <c r="T328" s="26">
        <v>0</v>
      </c>
      <c r="U328" s="26">
        <v>0</v>
      </c>
      <c r="V328" s="26">
        <v>0</v>
      </c>
      <c r="W328" s="26">
        <v>0</v>
      </c>
      <c r="X328" s="26">
        <v>0</v>
      </c>
      <c r="Y328" s="26">
        <v>1</v>
      </c>
      <c r="Z328" s="26">
        <v>2</v>
      </c>
      <c r="AA328" s="26">
        <v>45</v>
      </c>
      <c r="AB328" s="26" t="s">
        <v>911</v>
      </c>
      <c r="AC328" s="26">
        <v>1</v>
      </c>
      <c r="AD328" s="26">
        <v>1</v>
      </c>
      <c r="AE328" s="26">
        <v>0</v>
      </c>
      <c r="AF328" s="19">
        <v>0</v>
      </c>
      <c r="AG328" s="19">
        <v>0</v>
      </c>
      <c r="AH328" s="19">
        <v>0</v>
      </c>
      <c r="AI328" s="26">
        <v>0</v>
      </c>
      <c r="AJ328" s="26">
        <v>0</v>
      </c>
      <c r="AK328" s="26">
        <v>0</v>
      </c>
      <c r="AL328" s="26">
        <v>0</v>
      </c>
      <c r="AM328" s="26">
        <v>0</v>
      </c>
      <c r="AN328" s="26">
        <v>0</v>
      </c>
      <c r="AO328" s="19">
        <v>0</v>
      </c>
      <c r="AP328" s="19">
        <v>0</v>
      </c>
      <c r="AQ328" s="19">
        <v>0</v>
      </c>
      <c r="AR328" s="19">
        <v>0</v>
      </c>
      <c r="AS328" s="26">
        <v>0</v>
      </c>
      <c r="AT328" s="26">
        <v>0</v>
      </c>
      <c r="AU328" s="26">
        <v>0</v>
      </c>
      <c r="AV328" s="26">
        <v>0</v>
      </c>
      <c r="AW328" s="26">
        <v>0</v>
      </c>
      <c r="AX328" s="26">
        <v>0</v>
      </c>
      <c r="AY328" s="26">
        <v>0</v>
      </c>
      <c r="AZ328" s="26">
        <v>0</v>
      </c>
      <c r="BA328" s="26">
        <v>0</v>
      </c>
      <c r="BB328" s="26">
        <v>0</v>
      </c>
      <c r="BC328" s="26">
        <v>0</v>
      </c>
      <c r="BD328" s="26">
        <v>0</v>
      </c>
      <c r="BE328" s="26">
        <v>0</v>
      </c>
      <c r="BF328" s="26">
        <v>0</v>
      </c>
      <c r="BG328" s="26">
        <v>0</v>
      </c>
      <c r="BH328" s="26">
        <v>0</v>
      </c>
      <c r="BI328" s="26">
        <v>0</v>
      </c>
      <c r="BJ328" s="19">
        <v>0</v>
      </c>
      <c r="BK328" s="19">
        <v>0</v>
      </c>
      <c r="BL328" s="19">
        <v>0</v>
      </c>
      <c r="BM328" s="19">
        <v>0</v>
      </c>
      <c r="BN328" s="26">
        <v>0</v>
      </c>
      <c r="BO328" s="26">
        <v>0</v>
      </c>
      <c r="BP328" s="26">
        <v>0</v>
      </c>
      <c r="BQ328" s="26">
        <v>0</v>
      </c>
      <c r="BR328" s="26">
        <v>2</v>
      </c>
      <c r="BS328" s="26">
        <v>1</v>
      </c>
      <c r="BT328" s="26">
        <v>2</v>
      </c>
      <c r="BU328" s="26">
        <v>3</v>
      </c>
      <c r="BV328" s="26">
        <v>2</v>
      </c>
      <c r="BW328" s="26">
        <v>2</v>
      </c>
      <c r="BX328" s="26">
        <v>3</v>
      </c>
      <c r="BY328" s="26">
        <v>3</v>
      </c>
      <c r="BZ328" s="26">
        <v>4</v>
      </c>
      <c r="CA328" s="26">
        <v>4</v>
      </c>
      <c r="CB328" s="26">
        <v>4</v>
      </c>
      <c r="CC328" s="26">
        <v>4</v>
      </c>
      <c r="CD328" s="26">
        <v>3</v>
      </c>
      <c r="CE328" s="26">
        <v>4</v>
      </c>
      <c r="CF328" s="26">
        <v>3</v>
      </c>
      <c r="CG328" s="26">
        <v>4</v>
      </c>
      <c r="CH328" s="26">
        <v>3</v>
      </c>
      <c r="CI328" s="26">
        <v>4</v>
      </c>
      <c r="CJ328" s="26">
        <v>4</v>
      </c>
      <c r="CK328" s="26">
        <v>8</v>
      </c>
      <c r="CL328" s="24" t="s">
        <v>285</v>
      </c>
      <c r="CM328" s="24">
        <v>70</v>
      </c>
      <c r="CN328" s="27">
        <v>79.8</v>
      </c>
      <c r="CO328" s="27">
        <v>80.400000000000006</v>
      </c>
      <c r="CP328" s="27">
        <v>62.1</v>
      </c>
      <c r="CQ328" s="24">
        <v>39.51</v>
      </c>
      <c r="CR328" s="29">
        <v>0</v>
      </c>
      <c r="CS328" s="24">
        <v>47.45</v>
      </c>
      <c r="CT328" s="24">
        <v>13.05</v>
      </c>
      <c r="CU328" s="24">
        <v>0</v>
      </c>
      <c r="CV328" s="24">
        <v>0</v>
      </c>
      <c r="CW328" s="24">
        <v>0</v>
      </c>
      <c r="CX328" s="24">
        <v>0</v>
      </c>
      <c r="CY328" s="24">
        <v>0</v>
      </c>
      <c r="CZ328" s="24">
        <v>0</v>
      </c>
      <c r="DA328" s="24">
        <v>0</v>
      </c>
      <c r="DB328" s="24">
        <v>0</v>
      </c>
      <c r="DC328" s="24">
        <v>0</v>
      </c>
      <c r="DD328" s="24">
        <v>30.76</v>
      </c>
      <c r="DE328" s="24">
        <v>14.19</v>
      </c>
      <c r="DF328" s="24">
        <v>0</v>
      </c>
      <c r="DG328" s="24">
        <v>0</v>
      </c>
      <c r="DH328" s="24">
        <v>0</v>
      </c>
      <c r="DU328" s="24">
        <v>0.3</v>
      </c>
      <c r="DV328" s="24">
        <v>1</v>
      </c>
      <c r="DW328" s="24">
        <v>68</v>
      </c>
      <c r="DX328" s="24">
        <v>1</v>
      </c>
      <c r="DY328" s="24">
        <v>0.13</v>
      </c>
      <c r="DZ328" s="24">
        <v>1</v>
      </c>
      <c r="EG328" s="28"/>
      <c r="EY328" s="24">
        <v>0</v>
      </c>
      <c r="GJ328" s="27">
        <v>0.63</v>
      </c>
      <c r="GK328" s="27">
        <v>1</v>
      </c>
      <c r="GL328" s="27">
        <v>1</v>
      </c>
      <c r="GM328" s="27"/>
      <c r="GN328" s="27">
        <v>1.52</v>
      </c>
      <c r="GO328" s="27"/>
      <c r="GP328" s="27"/>
      <c r="GQ328" s="27"/>
      <c r="GR328" s="27"/>
      <c r="GS328" s="27"/>
      <c r="GT328" s="27"/>
      <c r="GU328" s="27">
        <v>3.55</v>
      </c>
      <c r="GV328" s="27">
        <v>4.46</v>
      </c>
      <c r="GW328" s="27"/>
      <c r="GX328" s="27"/>
      <c r="GY328" s="27">
        <v>0</v>
      </c>
      <c r="GZ328" s="27">
        <v>0</v>
      </c>
      <c r="HA328" s="27">
        <v>0</v>
      </c>
      <c r="HB328" s="24">
        <v>0</v>
      </c>
      <c r="HC328" s="24" t="s">
        <v>286</v>
      </c>
      <c r="HD328" s="24">
        <v>95.5</v>
      </c>
      <c r="HE328" s="27">
        <v>99.1</v>
      </c>
      <c r="HF328" s="27">
        <v>80.400000000000006</v>
      </c>
      <c r="HG328" s="27">
        <v>90.4</v>
      </c>
      <c r="HH328" s="24">
        <v>24.15</v>
      </c>
      <c r="HI328" s="29">
        <v>0</v>
      </c>
      <c r="HJ328" s="24">
        <v>31.26</v>
      </c>
      <c r="HK328" s="24">
        <v>44.6</v>
      </c>
      <c r="HL328" s="24">
        <v>0</v>
      </c>
      <c r="HM328" s="24">
        <v>0</v>
      </c>
      <c r="HN328" s="24">
        <v>0</v>
      </c>
      <c r="HO328" s="24">
        <v>0</v>
      </c>
      <c r="HP328" s="24">
        <v>0</v>
      </c>
      <c r="HQ328" s="24">
        <v>0</v>
      </c>
      <c r="HR328" s="24">
        <v>0</v>
      </c>
      <c r="HS328" s="24">
        <v>0</v>
      </c>
      <c r="HT328" s="24">
        <v>0</v>
      </c>
      <c r="HU328" s="24">
        <v>24.75</v>
      </c>
      <c r="HV328" s="24">
        <v>2.4700000000000002</v>
      </c>
      <c r="HW328" s="24">
        <v>0</v>
      </c>
      <c r="HX328" s="24">
        <v>0</v>
      </c>
      <c r="HY328" s="24">
        <v>0</v>
      </c>
      <c r="IL328" s="24">
        <v>0.2</v>
      </c>
      <c r="IM328" s="24">
        <v>1</v>
      </c>
      <c r="IN328" s="24">
        <v>34</v>
      </c>
      <c r="IO328" s="24">
        <v>16</v>
      </c>
      <c r="IP328" s="24">
        <f>6.09+1.07</f>
        <v>7.16</v>
      </c>
      <c r="IQ328" s="24">
        <v>1</v>
      </c>
      <c r="IR328" s="24">
        <v>68</v>
      </c>
      <c r="IS328" s="24">
        <v>1</v>
      </c>
      <c r="IT328" s="24">
        <v>0.13</v>
      </c>
      <c r="IU328" s="24">
        <v>1</v>
      </c>
      <c r="IX328" s="28"/>
      <c r="JP328" s="24">
        <v>0</v>
      </c>
      <c r="LA328" s="27">
        <v>0.63</v>
      </c>
      <c r="LB328" s="27">
        <v>1</v>
      </c>
      <c r="LC328" s="27">
        <v>1</v>
      </c>
      <c r="LD328" s="27"/>
      <c r="LE328" s="27">
        <v>1.52</v>
      </c>
      <c r="LF328" s="27"/>
      <c r="LG328" s="27"/>
      <c r="LH328" s="27"/>
      <c r="LI328" s="27"/>
      <c r="LJ328" s="27"/>
      <c r="LK328" s="27"/>
      <c r="LL328" s="27">
        <v>0</v>
      </c>
      <c r="LM328" s="27">
        <v>0</v>
      </c>
      <c r="LN328" s="27"/>
      <c r="LO328" s="27"/>
      <c r="LP328" s="27">
        <v>0</v>
      </c>
      <c r="LQ328" s="27">
        <v>0</v>
      </c>
      <c r="LR328" s="27">
        <v>0</v>
      </c>
      <c r="LS328" s="24">
        <v>0</v>
      </c>
      <c r="LT328" s="24" t="s">
        <v>287</v>
      </c>
      <c r="LU328" s="24">
        <v>61.5</v>
      </c>
      <c r="LV328" s="27">
        <v>83.5</v>
      </c>
      <c r="LW328" s="27">
        <v>80.400000000000006</v>
      </c>
      <c r="LX328" s="27">
        <v>56.1</v>
      </c>
      <c r="LY328" s="24">
        <v>51.73</v>
      </c>
      <c r="LZ328" s="29">
        <v>0</v>
      </c>
      <c r="MA328" s="24">
        <v>30.08</v>
      </c>
      <c r="MB328" s="24">
        <v>18.190000000000001</v>
      </c>
      <c r="MC328" s="24">
        <v>0</v>
      </c>
      <c r="MD328" s="24">
        <v>0</v>
      </c>
      <c r="ME328" s="24">
        <v>0</v>
      </c>
      <c r="MF328" s="24">
        <v>0</v>
      </c>
      <c r="MG328" s="24">
        <v>0</v>
      </c>
      <c r="MH328" s="24">
        <v>0</v>
      </c>
      <c r="MI328" s="24">
        <v>0</v>
      </c>
      <c r="MJ328" s="24">
        <v>0</v>
      </c>
      <c r="MK328" s="24">
        <v>0.3</v>
      </c>
      <c r="ML328" s="24">
        <v>27.59</v>
      </c>
      <c r="MM328" s="24">
        <v>0</v>
      </c>
      <c r="MN328" s="24">
        <v>0</v>
      </c>
      <c r="MO328" s="24">
        <v>0</v>
      </c>
      <c r="MP328" s="24">
        <v>0</v>
      </c>
      <c r="NC328" s="24">
        <v>0</v>
      </c>
      <c r="ND328" s="24">
        <v>0</v>
      </c>
      <c r="NO328" s="28"/>
      <c r="OG328" s="24">
        <v>0</v>
      </c>
      <c r="PR328" s="27">
        <v>1.96</v>
      </c>
      <c r="PS328" s="27">
        <v>1</v>
      </c>
      <c r="PT328" s="27">
        <v>1</v>
      </c>
      <c r="PU328" s="27"/>
      <c r="PV328" s="27">
        <f>5.53+3.68+1.71+1.12+0.74</f>
        <v>12.780000000000003</v>
      </c>
      <c r="PW328" s="27"/>
      <c r="PX328" s="27"/>
      <c r="PY328" s="27"/>
      <c r="PZ328" s="27"/>
      <c r="QA328" s="27"/>
      <c r="QB328" s="27"/>
      <c r="QC328" s="27">
        <v>0.94</v>
      </c>
      <c r="QD328" s="27">
        <v>0.94</v>
      </c>
      <c r="QE328" s="27"/>
      <c r="QF328" s="27"/>
      <c r="QG328" s="27">
        <v>0</v>
      </c>
      <c r="QH328" s="27">
        <v>0</v>
      </c>
      <c r="QI328" s="27">
        <v>0</v>
      </c>
      <c r="QJ328" s="24">
        <v>0</v>
      </c>
      <c r="QK328" s="24" t="s">
        <v>288</v>
      </c>
      <c r="QL328" s="24">
        <v>77.5</v>
      </c>
      <c r="QM328" s="27">
        <v>87.4</v>
      </c>
      <c r="QN328" s="27">
        <v>80.400000000000006</v>
      </c>
      <c r="QO328" s="27">
        <v>53.5</v>
      </c>
      <c r="QP328" s="24">
        <v>51.28</v>
      </c>
      <c r="QQ328" s="29">
        <v>0</v>
      </c>
      <c r="QR328" s="24">
        <v>27.27</v>
      </c>
      <c r="QS328" s="24">
        <v>21.22</v>
      </c>
      <c r="QT328" s="24">
        <v>0</v>
      </c>
      <c r="QU328" s="24">
        <v>0</v>
      </c>
      <c r="QV328" s="24">
        <v>0</v>
      </c>
      <c r="QW328" s="24">
        <v>0</v>
      </c>
      <c r="QX328" s="24">
        <v>0</v>
      </c>
      <c r="QY328" s="24">
        <v>0</v>
      </c>
      <c r="QZ328" s="24">
        <v>0</v>
      </c>
      <c r="RA328" s="24">
        <v>0</v>
      </c>
      <c r="RB328" s="24">
        <v>5.93</v>
      </c>
      <c r="RC328" s="24">
        <v>4.6100000000000003</v>
      </c>
      <c r="RD328" s="24">
        <v>5.38</v>
      </c>
      <c r="RE328" s="24">
        <v>0</v>
      </c>
      <c r="RF328" s="24">
        <v>15.4</v>
      </c>
      <c r="RG328" s="24">
        <v>1</v>
      </c>
      <c r="RH328" s="24">
        <v>4</v>
      </c>
      <c r="RJ328" s="24">
        <v>2</v>
      </c>
      <c r="RN328" s="24">
        <v>4</v>
      </c>
      <c r="RP328" s="24">
        <v>2</v>
      </c>
      <c r="RT328" s="24">
        <v>6.7</v>
      </c>
      <c r="RU328" s="24">
        <v>1</v>
      </c>
      <c r="RV328" s="24">
        <v>35</v>
      </c>
      <c r="RW328" s="24">
        <v>6</v>
      </c>
      <c r="RX328" s="24">
        <v>0.8</v>
      </c>
      <c r="RY328" s="24">
        <v>3</v>
      </c>
      <c r="RZ328" s="24">
        <v>47</v>
      </c>
      <c r="SA328" s="24">
        <v>1</v>
      </c>
      <c r="SB328" s="24">
        <v>0.13</v>
      </c>
      <c r="SC328" s="24">
        <v>3</v>
      </c>
      <c r="SF328" s="28"/>
      <c r="SX328" s="24">
        <v>1</v>
      </c>
      <c r="SY328" s="24">
        <v>60</v>
      </c>
      <c r="SZ328" s="24">
        <v>3</v>
      </c>
      <c r="TA328" s="24">
        <v>1.35</v>
      </c>
      <c r="TB328" s="24">
        <v>2</v>
      </c>
      <c r="UI328" s="27">
        <v>0</v>
      </c>
      <c r="UJ328" s="27">
        <v>0</v>
      </c>
      <c r="UK328" s="27"/>
      <c r="UL328" s="27"/>
      <c r="UM328" s="27"/>
      <c r="UN328" s="27"/>
      <c r="UO328" s="27"/>
      <c r="UP328" s="27"/>
      <c r="UQ328" s="27"/>
      <c r="UR328" s="27"/>
      <c r="US328" s="27"/>
      <c r="UT328" s="27">
        <v>0</v>
      </c>
      <c r="UU328" s="27">
        <v>0</v>
      </c>
      <c r="UV328" s="27"/>
      <c r="UW328" s="27"/>
      <c r="UX328" s="27">
        <v>0</v>
      </c>
      <c r="UY328" s="27">
        <v>0</v>
      </c>
      <c r="UZ328" s="27">
        <v>0</v>
      </c>
      <c r="VA328" s="24">
        <v>0</v>
      </c>
      <c r="VB328" s="24" t="s">
        <v>289</v>
      </c>
      <c r="VC328" s="24">
        <v>44</v>
      </c>
      <c r="VD328" s="27">
        <v>69.900000000000006</v>
      </c>
      <c r="VE328" s="27">
        <v>80.400000000000006</v>
      </c>
      <c r="VF328" s="27">
        <v>41</v>
      </c>
      <c r="VG328" s="24">
        <v>68.16</v>
      </c>
      <c r="VH328" s="29">
        <v>0</v>
      </c>
      <c r="VI328" s="24">
        <v>11.52</v>
      </c>
      <c r="VJ328" s="24">
        <v>20.32</v>
      </c>
      <c r="VK328" s="24">
        <v>0</v>
      </c>
      <c r="VL328" s="24">
        <v>0</v>
      </c>
      <c r="VM328" s="24">
        <v>0</v>
      </c>
      <c r="VN328" s="24">
        <v>0</v>
      </c>
      <c r="VO328" s="24">
        <v>0</v>
      </c>
      <c r="VP328" s="24">
        <v>0</v>
      </c>
      <c r="VQ328" s="24">
        <v>0</v>
      </c>
      <c r="VR328" s="24">
        <v>0</v>
      </c>
      <c r="VS328" s="24">
        <v>13.13</v>
      </c>
      <c r="VT328" s="24">
        <v>8.66</v>
      </c>
      <c r="VU328" s="24">
        <v>0</v>
      </c>
      <c r="VV328" s="24">
        <v>0</v>
      </c>
      <c r="VW328" s="24">
        <v>0</v>
      </c>
      <c r="VX328" s="24">
        <v>0</v>
      </c>
      <c r="WK328" s="24">
        <v>1.5</v>
      </c>
      <c r="WL328" s="24">
        <v>1</v>
      </c>
      <c r="WM328" s="24">
        <v>47</v>
      </c>
      <c r="WN328" s="24">
        <v>5</v>
      </c>
      <c r="WO328" s="24">
        <f>0.15+0.04</f>
        <v>0.19</v>
      </c>
      <c r="WP328" s="24">
        <v>3</v>
      </c>
      <c r="WQ328" s="24">
        <v>25</v>
      </c>
      <c r="WR328" s="24">
        <v>1</v>
      </c>
      <c r="WS328" s="24">
        <v>0.4</v>
      </c>
      <c r="WT328" s="24">
        <v>1</v>
      </c>
      <c r="WW328" s="28"/>
      <c r="XO328" s="24">
        <v>0</v>
      </c>
      <c r="YZ328" s="27">
        <v>0.11</v>
      </c>
      <c r="ZA328" s="27">
        <v>1</v>
      </c>
      <c r="ZB328" s="27">
        <v>1</v>
      </c>
      <c r="ZC328" s="27"/>
      <c r="ZD328" s="27">
        <v>0.56000000000000005</v>
      </c>
      <c r="ZE328" s="27"/>
      <c r="ZF328" s="27"/>
      <c r="ZG328" s="27"/>
      <c r="ZH328" s="27"/>
      <c r="ZI328" s="27"/>
      <c r="ZJ328" s="27"/>
      <c r="ZK328" s="27">
        <v>0</v>
      </c>
      <c r="ZL328" s="27">
        <v>0</v>
      </c>
      <c r="ZM328" s="27"/>
      <c r="ZN328" s="27"/>
      <c r="ZO328" s="27">
        <v>0</v>
      </c>
      <c r="ZP328" s="27">
        <v>0</v>
      </c>
      <c r="ZQ328" s="27">
        <v>0</v>
      </c>
      <c r="ZR328" s="24">
        <v>0</v>
      </c>
      <c r="ZS328" s="24" t="s">
        <v>290</v>
      </c>
      <c r="ZT328" s="24">
        <v>43</v>
      </c>
      <c r="ZU328" s="27">
        <v>49.3</v>
      </c>
      <c r="ZV328" s="27">
        <v>80.400000000000006</v>
      </c>
      <c r="ZW328" s="27">
        <v>32.9</v>
      </c>
      <c r="ZX328" s="24">
        <v>73.52</v>
      </c>
      <c r="ZY328" s="29">
        <v>0</v>
      </c>
      <c r="ZZ328" s="24">
        <v>16.84</v>
      </c>
      <c r="AAA328" s="24">
        <v>9.64</v>
      </c>
      <c r="AAB328" s="24">
        <v>0</v>
      </c>
      <c r="AAC328" s="24">
        <v>0</v>
      </c>
      <c r="AAD328" s="24">
        <v>0</v>
      </c>
      <c r="AAE328" s="24">
        <v>0</v>
      </c>
      <c r="AAF328" s="24">
        <v>0</v>
      </c>
      <c r="AAG328" s="24">
        <v>0</v>
      </c>
      <c r="AAH328" s="24">
        <v>0</v>
      </c>
      <c r="AAI328" s="24">
        <v>0</v>
      </c>
      <c r="AAJ328" s="24">
        <v>13.52</v>
      </c>
      <c r="AAK328" s="24">
        <v>3.69</v>
      </c>
      <c r="AAL328" s="24">
        <v>3.85</v>
      </c>
      <c r="AAM328" s="24">
        <v>0</v>
      </c>
      <c r="AAN328" s="24">
        <v>0</v>
      </c>
      <c r="AAO328" s="24">
        <v>0</v>
      </c>
      <c r="ABB328" s="24">
        <v>7.4</v>
      </c>
      <c r="ABC328" s="24">
        <v>1</v>
      </c>
      <c r="ABD328" s="24">
        <v>47</v>
      </c>
      <c r="ABE328" s="24">
        <v>11</v>
      </c>
      <c r="ABF328" s="24">
        <f>2.09+0.15+0.04</f>
        <v>2.2799999999999998</v>
      </c>
      <c r="ABG328" s="24">
        <v>3</v>
      </c>
      <c r="ABN328" s="28"/>
      <c r="ACF328" s="24">
        <v>0</v>
      </c>
      <c r="ADQ328" s="27">
        <v>0.28000000000000003</v>
      </c>
      <c r="ADR328" s="27">
        <v>1</v>
      </c>
      <c r="ADS328" s="27">
        <v>1</v>
      </c>
      <c r="ADT328" s="27"/>
      <c r="ADU328" s="27">
        <v>0.56000000000000005</v>
      </c>
      <c r="ADV328" s="27"/>
      <c r="ADW328" s="27"/>
      <c r="ADX328" s="27"/>
      <c r="ADY328" s="27"/>
      <c r="ADZ328" s="27"/>
      <c r="AEA328" s="27"/>
      <c r="AEB328" s="27">
        <v>0.99</v>
      </c>
      <c r="AEC328" s="27">
        <v>0.39</v>
      </c>
      <c r="AED328" s="27"/>
      <c r="AEE328" s="27"/>
      <c r="AEF328" s="27">
        <v>0</v>
      </c>
      <c r="AEG328" s="27">
        <v>0</v>
      </c>
      <c r="AEH328" s="27">
        <v>0</v>
      </c>
      <c r="AEI328" s="24">
        <v>0</v>
      </c>
      <c r="AEJ328" s="24">
        <v>56</v>
      </c>
      <c r="AEK328" s="24">
        <v>26.5</v>
      </c>
      <c r="AEL328" s="27">
        <v>66.099999999999994</v>
      </c>
      <c r="AEM328" s="27">
        <v>80.400000000000006</v>
      </c>
      <c r="AEN328" s="27">
        <v>15</v>
      </c>
      <c r="AEO328" s="24">
        <v>89</v>
      </c>
      <c r="AEP328" s="29">
        <v>0</v>
      </c>
      <c r="AEQ328" s="24">
        <v>7.09</v>
      </c>
      <c r="AER328" s="24">
        <v>2.12</v>
      </c>
      <c r="AES328" s="24">
        <v>0</v>
      </c>
      <c r="AET328" s="24">
        <v>0</v>
      </c>
      <c r="AEU328" s="24">
        <v>0</v>
      </c>
      <c r="AEV328" s="24">
        <v>0</v>
      </c>
      <c r="AEW328" s="24">
        <v>0</v>
      </c>
      <c r="AEX328" s="24">
        <v>0</v>
      </c>
      <c r="AEY328" s="24">
        <v>0</v>
      </c>
      <c r="AEZ328" s="24">
        <v>0</v>
      </c>
      <c r="AFA328" s="24">
        <v>4.26</v>
      </c>
      <c r="AFB328" s="24">
        <v>32.68</v>
      </c>
      <c r="AFC328" s="24">
        <v>1.91</v>
      </c>
      <c r="AFD328" s="24">
        <v>0</v>
      </c>
      <c r="AFE328" s="24">
        <v>0</v>
      </c>
      <c r="AFF328" s="24">
        <v>0</v>
      </c>
      <c r="AFS328" s="24">
        <v>0</v>
      </c>
      <c r="AFT328" s="24">
        <v>0</v>
      </c>
      <c r="AGE328" s="28"/>
      <c r="AGW328" s="24">
        <v>0</v>
      </c>
      <c r="AIH328" s="27">
        <v>3.52</v>
      </c>
      <c r="AII328" s="27">
        <v>1</v>
      </c>
      <c r="AIJ328" s="27">
        <v>1</v>
      </c>
      <c r="AIK328" s="27"/>
      <c r="AIL328" s="27">
        <f>3.13+3.17*4</f>
        <v>15.809999999999999</v>
      </c>
      <c r="AIM328" s="27">
        <v>2</v>
      </c>
      <c r="AIN328" s="27"/>
      <c r="AIO328" s="27">
        <v>0.87</v>
      </c>
      <c r="AIP328" s="27"/>
      <c r="AIQ328" s="27"/>
      <c r="AIR328" s="27"/>
      <c r="AIS328" s="27">
        <v>5.36</v>
      </c>
      <c r="AIT328" s="27">
        <v>8.39</v>
      </c>
      <c r="AIU328" s="27"/>
      <c r="AIV328" s="27"/>
      <c r="AIW328" s="27">
        <v>0</v>
      </c>
      <c r="AIX328" s="27">
        <v>0</v>
      </c>
      <c r="AIY328" s="27">
        <v>0</v>
      </c>
      <c r="AIZ328" s="24">
        <v>0</v>
      </c>
      <c r="AJA328" s="24" t="s">
        <v>291</v>
      </c>
      <c r="AJB328" s="24">
        <v>35.5</v>
      </c>
      <c r="AJC328" s="27">
        <v>84</v>
      </c>
      <c r="AJD328" s="27">
        <v>80.400000000000006</v>
      </c>
      <c r="AJE328" s="27">
        <v>10.5</v>
      </c>
      <c r="AJF328" s="24">
        <v>95.42</v>
      </c>
      <c r="AJG328" s="29">
        <v>0</v>
      </c>
      <c r="AJH328" s="24">
        <v>4.58</v>
      </c>
      <c r="AJI328" s="24">
        <v>0</v>
      </c>
      <c r="AJJ328" s="24">
        <v>0</v>
      </c>
      <c r="AJK328" s="24">
        <v>0</v>
      </c>
      <c r="AJL328" s="24">
        <v>0</v>
      </c>
      <c r="AJM328" s="24">
        <v>0</v>
      </c>
      <c r="AJN328" s="24">
        <v>0</v>
      </c>
      <c r="AJO328" s="24">
        <v>0</v>
      </c>
      <c r="AJP328" s="24">
        <v>0</v>
      </c>
      <c r="AJQ328" s="24">
        <v>0</v>
      </c>
      <c r="AJR328" s="24">
        <v>17.829999999999998</v>
      </c>
      <c r="AJS328" s="24">
        <v>40.99</v>
      </c>
      <c r="AJT328" s="24">
        <v>9.34</v>
      </c>
      <c r="AJU328" s="24">
        <v>0</v>
      </c>
      <c r="AJV328" s="24">
        <v>0</v>
      </c>
      <c r="AJW328" s="24">
        <v>0</v>
      </c>
      <c r="AKJ328" s="24">
        <v>4.4000000000000004</v>
      </c>
      <c r="AKK328" s="24">
        <v>1</v>
      </c>
      <c r="AKL328" s="24">
        <v>34</v>
      </c>
      <c r="AKM328" s="24">
        <v>10</v>
      </c>
      <c r="AKN328" s="24">
        <f>8.56+1.51</f>
        <v>10.07</v>
      </c>
      <c r="AKO328" s="24">
        <v>1</v>
      </c>
      <c r="AKP328" s="24">
        <v>68</v>
      </c>
      <c r="AKQ328" s="24">
        <v>6</v>
      </c>
      <c r="AKR328" s="24">
        <f>3.43+0.6</f>
        <v>4.03</v>
      </c>
      <c r="AKS328" s="24">
        <v>1</v>
      </c>
      <c r="AKV328" s="28"/>
      <c r="ALN328" s="24">
        <v>0</v>
      </c>
    </row>
    <row r="329" spans="1:1024" x14ac:dyDescent="0.2">
      <c r="A329" s="1" t="s">
        <v>912</v>
      </c>
      <c r="B329" s="12">
        <v>42926</v>
      </c>
      <c r="C329">
        <v>2</v>
      </c>
      <c r="D329" s="13">
        <v>39210</v>
      </c>
      <c r="E329" s="12">
        <v>31263</v>
      </c>
      <c r="F329" s="14">
        <f t="shared" si="120"/>
        <v>31.931553730321699</v>
      </c>
      <c r="G329" s="14">
        <f t="shared" si="121"/>
        <v>10.173853524982889</v>
      </c>
      <c r="H329" s="19" t="s">
        <v>181</v>
      </c>
      <c r="I329" s="15" t="s">
        <v>496</v>
      </c>
      <c r="J329" s="15" t="s">
        <v>181</v>
      </c>
      <c r="K329" s="15" t="s">
        <v>913</v>
      </c>
      <c r="L329" s="19">
        <v>67</v>
      </c>
      <c r="M329">
        <v>1.73</v>
      </c>
      <c r="N329" s="16">
        <f t="shared" si="122"/>
        <v>22.386314277122523</v>
      </c>
      <c r="O329" s="19">
        <v>0</v>
      </c>
      <c r="P329" s="19">
        <v>0</v>
      </c>
      <c r="Q329" s="19">
        <v>0</v>
      </c>
      <c r="R329" s="26">
        <v>0</v>
      </c>
      <c r="S329" s="26">
        <v>0</v>
      </c>
      <c r="T329" s="26">
        <v>0</v>
      </c>
      <c r="U329" s="19">
        <v>1</v>
      </c>
      <c r="V329" s="19">
        <v>4</v>
      </c>
      <c r="W329" s="19">
        <v>0</v>
      </c>
      <c r="X329" s="19">
        <v>0</v>
      </c>
      <c r="Y329" s="19">
        <v>1</v>
      </c>
      <c r="Z329" s="19">
        <v>1</v>
      </c>
      <c r="AA329" s="19">
        <v>60</v>
      </c>
      <c r="AB329" s="19" t="s">
        <v>914</v>
      </c>
      <c r="AC329" s="19">
        <v>0</v>
      </c>
      <c r="AD329" s="19">
        <v>0</v>
      </c>
      <c r="AE329" s="19">
        <v>1</v>
      </c>
      <c r="AF329" s="19">
        <v>0</v>
      </c>
      <c r="AG329" s="19">
        <v>0</v>
      </c>
      <c r="AH329" s="19">
        <v>0</v>
      </c>
      <c r="AI329" s="19">
        <v>1</v>
      </c>
      <c r="AJ329" s="19">
        <v>1</v>
      </c>
      <c r="AK329" s="19">
        <v>1</v>
      </c>
      <c r="AL329" s="19">
        <v>3</v>
      </c>
      <c r="AM329" s="19">
        <v>0</v>
      </c>
      <c r="AN329" s="19">
        <v>0</v>
      </c>
      <c r="AO329" s="19">
        <v>0</v>
      </c>
      <c r="AP329" s="19">
        <v>0</v>
      </c>
      <c r="AQ329" s="19">
        <v>0</v>
      </c>
      <c r="AR329" s="19">
        <v>0</v>
      </c>
      <c r="AS329" s="19">
        <v>3</v>
      </c>
      <c r="AT329" s="19">
        <v>0</v>
      </c>
      <c r="AU329" s="19">
        <v>3</v>
      </c>
      <c r="AV329" s="19">
        <v>5</v>
      </c>
      <c r="AW329" s="19">
        <v>4</v>
      </c>
      <c r="AX329" s="19">
        <v>0</v>
      </c>
      <c r="AY329" s="19">
        <v>0</v>
      </c>
      <c r="AZ329" s="19">
        <v>0</v>
      </c>
      <c r="BA329" s="19">
        <v>0</v>
      </c>
      <c r="BB329" s="19">
        <v>1</v>
      </c>
      <c r="BC329" s="19">
        <v>0</v>
      </c>
      <c r="BD329" s="19">
        <v>1</v>
      </c>
      <c r="BE329" s="19">
        <v>2</v>
      </c>
      <c r="BF329" s="19">
        <v>0</v>
      </c>
      <c r="BG329" s="19">
        <v>0</v>
      </c>
      <c r="BH329" s="19">
        <v>0</v>
      </c>
      <c r="BI329" s="19">
        <v>0</v>
      </c>
      <c r="BJ329" s="19">
        <v>0</v>
      </c>
      <c r="BK329" s="19">
        <v>0</v>
      </c>
      <c r="BL329" s="19">
        <v>0</v>
      </c>
      <c r="BM329" s="19">
        <v>0</v>
      </c>
      <c r="BN329" s="19">
        <v>0</v>
      </c>
      <c r="BO329" s="19">
        <v>0</v>
      </c>
      <c r="BP329" s="19">
        <v>0</v>
      </c>
      <c r="BQ329" s="19">
        <v>0</v>
      </c>
      <c r="BR329" s="19">
        <v>4</v>
      </c>
      <c r="BS329" s="19">
        <v>3</v>
      </c>
      <c r="BT329" s="19">
        <v>5</v>
      </c>
      <c r="BU329" s="19">
        <v>5</v>
      </c>
      <c r="BV329" s="19">
        <v>2</v>
      </c>
      <c r="BW329" s="19">
        <v>5</v>
      </c>
      <c r="BX329" s="19">
        <v>1</v>
      </c>
      <c r="BY329" s="19">
        <v>2</v>
      </c>
      <c r="BZ329" s="19">
        <v>1</v>
      </c>
      <c r="CA329" s="19">
        <v>1</v>
      </c>
      <c r="CB329" s="19">
        <v>3</v>
      </c>
      <c r="CC329" s="19">
        <v>3</v>
      </c>
      <c r="CD329" s="19">
        <v>3</v>
      </c>
      <c r="CE329" s="19">
        <v>3</v>
      </c>
      <c r="CF329" s="19">
        <v>5</v>
      </c>
      <c r="CG329" s="19">
        <v>4</v>
      </c>
      <c r="CH329" s="19">
        <v>4</v>
      </c>
      <c r="CI329" s="19">
        <v>3</v>
      </c>
      <c r="CJ329" s="19">
        <v>1</v>
      </c>
      <c r="CK329" s="19">
        <v>9</v>
      </c>
      <c r="CL329" t="s">
        <v>498</v>
      </c>
      <c r="CM329">
        <v>33</v>
      </c>
      <c r="CN329" s="16">
        <v>71.2</v>
      </c>
      <c r="CO329" s="16">
        <v>80.400000000000006</v>
      </c>
      <c r="CP329" s="16">
        <v>16.3</v>
      </c>
      <c r="CQ329">
        <v>83.24</v>
      </c>
      <c r="CR329" s="17">
        <v>0</v>
      </c>
      <c r="CS329">
        <v>0</v>
      </c>
      <c r="CT329">
        <v>0</v>
      </c>
      <c r="CU329">
        <v>14.14</v>
      </c>
      <c r="CV329">
        <v>0</v>
      </c>
      <c r="CW329">
        <v>2.63</v>
      </c>
      <c r="CX329">
        <v>0</v>
      </c>
      <c r="CY329">
        <v>0</v>
      </c>
      <c r="CZ329">
        <v>0</v>
      </c>
      <c r="DA329">
        <v>0</v>
      </c>
      <c r="DB329">
        <v>2.63</v>
      </c>
      <c r="DC329">
        <v>10.16</v>
      </c>
      <c r="DD329">
        <v>20.83</v>
      </c>
      <c r="DE329">
        <v>24.81</v>
      </c>
      <c r="DF329">
        <v>0</v>
      </c>
      <c r="DG329">
        <v>11.2</v>
      </c>
      <c r="DH329">
        <v>1</v>
      </c>
      <c r="DI329">
        <v>5</v>
      </c>
      <c r="DK329">
        <v>1</v>
      </c>
      <c r="DO329">
        <v>5</v>
      </c>
      <c r="DQ329">
        <v>1</v>
      </c>
      <c r="DU329">
        <v>0</v>
      </c>
      <c r="DV329">
        <v>0</v>
      </c>
      <c r="EG329" s="18"/>
      <c r="EY329">
        <v>0</v>
      </c>
      <c r="GJ329" s="16">
        <v>2.71</v>
      </c>
      <c r="GK329" s="16">
        <v>1</v>
      </c>
      <c r="GL329" s="16">
        <v>1</v>
      </c>
      <c r="GM329" s="16"/>
      <c r="GN329" s="16">
        <f>2.11*4+0.52*2</f>
        <v>9.48</v>
      </c>
      <c r="GO329" s="16"/>
      <c r="GP329" s="16"/>
      <c r="GQ329" s="16"/>
      <c r="GR329" s="16"/>
      <c r="GS329" s="16"/>
      <c r="GT329" s="16"/>
      <c r="GU329" s="16">
        <v>2.63</v>
      </c>
      <c r="GV329" s="16">
        <v>2.6</v>
      </c>
      <c r="GW329" s="16">
        <v>0</v>
      </c>
      <c r="GX329" s="16">
        <v>0</v>
      </c>
      <c r="GY329" s="16">
        <v>0</v>
      </c>
      <c r="GZ329" s="16">
        <v>0</v>
      </c>
      <c r="HA329" s="16">
        <v>0</v>
      </c>
      <c r="HB329">
        <v>0</v>
      </c>
      <c r="HC329" t="s">
        <v>499</v>
      </c>
      <c r="HD329">
        <v>40</v>
      </c>
      <c r="HE329" s="16">
        <v>79.7</v>
      </c>
      <c r="HF329" s="16">
        <v>80.400000000000006</v>
      </c>
      <c r="HG329" s="16">
        <v>11.2</v>
      </c>
      <c r="HH329">
        <v>91.23</v>
      </c>
      <c r="HI329" s="17">
        <v>0</v>
      </c>
      <c r="HJ329">
        <v>0</v>
      </c>
      <c r="HK329">
        <v>0</v>
      </c>
      <c r="HL329">
        <v>8.77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18.64</v>
      </c>
      <c r="HU329">
        <v>42.82</v>
      </c>
      <c r="HV329">
        <v>4.6100000000000003</v>
      </c>
      <c r="HW329">
        <v>0</v>
      </c>
      <c r="HX329">
        <v>0</v>
      </c>
      <c r="HY329">
        <v>0</v>
      </c>
      <c r="IL329">
        <v>23.2</v>
      </c>
      <c r="IM329">
        <v>1</v>
      </c>
      <c r="IN329">
        <v>35</v>
      </c>
      <c r="IO329">
        <f>2+4+2+2+2+4+2+2+1</f>
        <v>21</v>
      </c>
      <c r="IP329">
        <f>1.52+1.49+0.78*2+0.27+0.43+0.12+0.13</f>
        <v>5.52</v>
      </c>
      <c r="IQ329">
        <v>3</v>
      </c>
      <c r="IR329">
        <v>10</v>
      </c>
      <c r="IS329">
        <v>1</v>
      </c>
      <c r="IT329">
        <v>0.1</v>
      </c>
      <c r="IU329">
        <v>5</v>
      </c>
      <c r="IV329">
        <v>25</v>
      </c>
      <c r="IW329">
        <v>8</v>
      </c>
      <c r="IX329" s="18">
        <f>0.19*2+0.1</f>
        <v>0.48</v>
      </c>
      <c r="IY329">
        <v>1</v>
      </c>
      <c r="JP329">
        <v>0</v>
      </c>
      <c r="LA329" s="16">
        <v>1.52</v>
      </c>
      <c r="LB329" s="16">
        <v>1</v>
      </c>
      <c r="LC329" s="16">
        <v>1</v>
      </c>
      <c r="LD329" s="16"/>
      <c r="LE329" s="16">
        <f>2.11*2+0.19*3+0.1</f>
        <v>4.8899999999999997</v>
      </c>
      <c r="LF329" s="16"/>
      <c r="LG329" s="16"/>
      <c r="LH329" s="16"/>
      <c r="LI329" s="16"/>
      <c r="LJ329" s="16"/>
      <c r="LK329" s="16"/>
      <c r="LL329" s="16">
        <v>0</v>
      </c>
      <c r="LM329" s="16">
        <v>0</v>
      </c>
      <c r="LN329" s="16">
        <v>0</v>
      </c>
      <c r="LO329" s="16">
        <v>0</v>
      </c>
      <c r="LP329" s="16">
        <v>0</v>
      </c>
      <c r="LQ329" s="16">
        <v>0</v>
      </c>
      <c r="LR329" s="16">
        <v>0.06</v>
      </c>
      <c r="LS329">
        <v>0</v>
      </c>
      <c r="LT329" t="s">
        <v>500</v>
      </c>
      <c r="LU329">
        <v>48</v>
      </c>
      <c r="LV329" s="16">
        <v>69.7</v>
      </c>
      <c r="LW329" s="16">
        <v>80.400000000000006</v>
      </c>
      <c r="LX329" s="16">
        <v>44.5</v>
      </c>
      <c r="LY329">
        <v>13.55</v>
      </c>
      <c r="LZ329" s="17">
        <v>0</v>
      </c>
      <c r="MA329">
        <v>0</v>
      </c>
      <c r="MB329">
        <v>0</v>
      </c>
      <c r="MC329">
        <v>0.1</v>
      </c>
      <c r="MD329">
        <v>0</v>
      </c>
      <c r="ME329">
        <v>86.34</v>
      </c>
      <c r="MF329">
        <v>13.26</v>
      </c>
      <c r="MG329">
        <v>28.53</v>
      </c>
      <c r="MH329">
        <v>0</v>
      </c>
      <c r="MI329">
        <v>0</v>
      </c>
      <c r="MJ329">
        <v>0.78</v>
      </c>
      <c r="MK329">
        <v>3.48</v>
      </c>
      <c r="ML329">
        <v>11.45</v>
      </c>
      <c r="MM329">
        <v>6.85</v>
      </c>
      <c r="MN329">
        <v>0</v>
      </c>
      <c r="MO329">
        <v>0</v>
      </c>
      <c r="MP329">
        <v>0</v>
      </c>
      <c r="NC329">
        <v>0</v>
      </c>
      <c r="ND329">
        <v>0</v>
      </c>
      <c r="NO329" s="18"/>
      <c r="OG329">
        <v>0</v>
      </c>
      <c r="PR329" s="16">
        <v>0.75</v>
      </c>
      <c r="PS329" s="16">
        <v>1</v>
      </c>
      <c r="PT329" s="16">
        <v>1</v>
      </c>
      <c r="PU329" s="16"/>
      <c r="PV329" s="16">
        <f>2.11+0.37</f>
        <v>2.48</v>
      </c>
      <c r="PW329" s="16"/>
      <c r="PX329" s="16"/>
      <c r="PY329" s="16"/>
      <c r="PZ329" s="16"/>
      <c r="QA329" s="16"/>
      <c r="QB329" s="16"/>
      <c r="QC329" s="16">
        <v>2.66</v>
      </c>
      <c r="QD329" s="16">
        <v>2.64</v>
      </c>
      <c r="QE329" s="16">
        <v>0</v>
      </c>
      <c r="QF329" s="16">
        <v>0</v>
      </c>
      <c r="QG329" s="16">
        <v>0</v>
      </c>
      <c r="QH329" s="16">
        <v>0</v>
      </c>
      <c r="QI329" s="16">
        <v>0</v>
      </c>
      <c r="QJ329">
        <v>0</v>
      </c>
      <c r="QK329" t="s">
        <v>501</v>
      </c>
      <c r="QL329">
        <v>58</v>
      </c>
      <c r="QM329" s="16">
        <v>79.900000000000006</v>
      </c>
      <c r="QN329" s="16">
        <v>80.400000000000006</v>
      </c>
      <c r="QO329" s="16">
        <v>43.6</v>
      </c>
      <c r="QP329">
        <v>26.15</v>
      </c>
      <c r="QQ329" s="17">
        <v>0</v>
      </c>
      <c r="QR329">
        <v>0</v>
      </c>
      <c r="QS329">
        <v>0</v>
      </c>
      <c r="QT329">
        <v>0</v>
      </c>
      <c r="QU329">
        <v>0</v>
      </c>
      <c r="QV329">
        <v>73.849999999999994</v>
      </c>
      <c r="QW329">
        <v>18.43</v>
      </c>
      <c r="QX329">
        <v>20.420000000000002</v>
      </c>
      <c r="QY329">
        <v>0</v>
      </c>
      <c r="QZ329">
        <v>0</v>
      </c>
      <c r="RA329">
        <v>2.44</v>
      </c>
      <c r="RB329">
        <v>0.13</v>
      </c>
      <c r="RC329">
        <v>9.7100000000000009</v>
      </c>
      <c r="RD329">
        <v>18.309999999999999</v>
      </c>
      <c r="RE329">
        <v>0</v>
      </c>
      <c r="RF329">
        <v>0</v>
      </c>
      <c r="RG329">
        <v>0</v>
      </c>
      <c r="RT329">
        <v>9.1</v>
      </c>
      <c r="RU329">
        <v>1</v>
      </c>
      <c r="RV329">
        <v>68</v>
      </c>
      <c r="RW329">
        <v>1</v>
      </c>
      <c r="RX329">
        <v>0.05</v>
      </c>
      <c r="RY329">
        <v>1</v>
      </c>
      <c r="RZ329">
        <v>35</v>
      </c>
      <c r="SA329">
        <v>3</v>
      </c>
      <c r="SB329">
        <f>0.76+0.64</f>
        <v>1.4</v>
      </c>
      <c r="SC329">
        <v>3</v>
      </c>
      <c r="SD329">
        <v>47</v>
      </c>
      <c r="SE329">
        <v>2</v>
      </c>
      <c r="SF329" s="18">
        <v>0.23</v>
      </c>
      <c r="SG329">
        <v>3</v>
      </c>
      <c r="SX329">
        <v>1</v>
      </c>
      <c r="SY329">
        <v>60</v>
      </c>
      <c r="SZ329">
        <v>2</v>
      </c>
      <c r="TA329">
        <v>0.26</v>
      </c>
      <c r="TB329">
        <v>3</v>
      </c>
      <c r="UI329" s="16">
        <v>0</v>
      </c>
      <c r="UJ329" s="16">
        <v>0</v>
      </c>
      <c r="UK329" s="16"/>
      <c r="UL329" s="16"/>
      <c r="UM329" s="16"/>
      <c r="UN329" s="16"/>
      <c r="UO329" s="16"/>
      <c r="UP329" s="16"/>
      <c r="UQ329" s="16"/>
      <c r="UR329" s="16"/>
      <c r="US329" s="16"/>
      <c r="UT329" s="16">
        <v>1.97</v>
      </c>
      <c r="UU329" s="16">
        <v>1.24</v>
      </c>
      <c r="UV329" s="16">
        <v>0</v>
      </c>
      <c r="UW329" s="16">
        <v>0</v>
      </c>
      <c r="UX329" s="16">
        <v>0</v>
      </c>
      <c r="UY329" s="16">
        <v>0</v>
      </c>
      <c r="UZ329" s="16">
        <v>3</v>
      </c>
      <c r="VA329">
        <v>0</v>
      </c>
      <c r="VB329" t="s">
        <v>502</v>
      </c>
      <c r="VC329">
        <v>34.5</v>
      </c>
      <c r="VD329" s="16">
        <v>53.2</v>
      </c>
      <c r="VE329" s="16">
        <v>80.400000000000006</v>
      </c>
      <c r="VF329" s="16">
        <v>8.3000000000000007</v>
      </c>
      <c r="VG329">
        <v>99.94</v>
      </c>
      <c r="VH329" s="17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9.15</v>
      </c>
      <c r="VT329">
        <v>18.41</v>
      </c>
      <c r="VU329">
        <v>11.73</v>
      </c>
      <c r="VV329">
        <v>0</v>
      </c>
      <c r="VW329">
        <v>0</v>
      </c>
      <c r="VX329">
        <v>0</v>
      </c>
      <c r="WK329">
        <v>11.9</v>
      </c>
      <c r="WL329">
        <v>1</v>
      </c>
      <c r="WM329">
        <v>47</v>
      </c>
      <c r="WN329">
        <v>3</v>
      </c>
      <c r="WO329">
        <v>1.52</v>
      </c>
      <c r="WP329">
        <v>2</v>
      </c>
      <c r="WW329" s="18"/>
      <c r="XO329">
        <v>0</v>
      </c>
      <c r="YZ329" s="16">
        <v>5.7</v>
      </c>
      <c r="ZA329" s="16">
        <v>1</v>
      </c>
      <c r="ZB329" s="16">
        <v>1</v>
      </c>
      <c r="ZC329" s="16"/>
      <c r="ZD329" s="16">
        <f>2.11+2.11+0.05+0.05+0.37</f>
        <v>4.6899999999999995</v>
      </c>
      <c r="ZE329" s="16">
        <v>2</v>
      </c>
      <c r="ZF329" s="16"/>
      <c r="ZG329" s="16">
        <f>3.17+3.17+0.56+0.56+0.33</f>
        <v>7.7900000000000009</v>
      </c>
      <c r="ZH329" s="16"/>
      <c r="ZI329" s="16"/>
      <c r="ZJ329" s="16"/>
      <c r="ZK329" s="16">
        <v>0</v>
      </c>
      <c r="ZL329" s="16">
        <v>0</v>
      </c>
      <c r="ZM329" s="16"/>
      <c r="ZN329" s="16"/>
      <c r="ZO329" s="16">
        <v>5.97</v>
      </c>
      <c r="ZP329" s="16">
        <v>0</v>
      </c>
      <c r="ZQ329" s="16">
        <v>0</v>
      </c>
      <c r="ZR329">
        <v>1</v>
      </c>
      <c r="ZS329" t="s">
        <v>503</v>
      </c>
      <c r="ZT329">
        <v>47</v>
      </c>
      <c r="ZU329" s="16">
        <v>54.1</v>
      </c>
      <c r="ZV329" s="16">
        <v>80.400000000000006</v>
      </c>
      <c r="ZW329" s="16">
        <v>34.5</v>
      </c>
      <c r="ZX329">
        <v>71.45</v>
      </c>
      <c r="ZY329" s="17">
        <v>0</v>
      </c>
      <c r="ZZ329">
        <v>21.93</v>
      </c>
      <c r="AAA329">
        <v>6.49</v>
      </c>
      <c r="AAB329">
        <v>0.12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1.01</v>
      </c>
      <c r="AAJ329">
        <v>0.45</v>
      </c>
      <c r="AAK329">
        <v>18.399999999999999</v>
      </c>
      <c r="AAL329">
        <v>11.28</v>
      </c>
      <c r="AAM329">
        <v>0</v>
      </c>
      <c r="AAN329">
        <v>0</v>
      </c>
      <c r="AAO329">
        <v>0</v>
      </c>
      <c r="ABB329">
        <v>6</v>
      </c>
      <c r="ABC329">
        <v>1</v>
      </c>
      <c r="ABD329">
        <v>35</v>
      </c>
      <c r="ABE329">
        <v>8</v>
      </c>
      <c r="ABF329">
        <f>0.25+0.25+0.25+0.13+0.13+0.13+0.13</f>
        <v>1.27</v>
      </c>
      <c r="ABG329">
        <v>3</v>
      </c>
      <c r="ABN329" s="18"/>
      <c r="ACF329">
        <v>1</v>
      </c>
      <c r="ACG329">
        <v>50</v>
      </c>
      <c r="ACH329">
        <v>2</v>
      </c>
      <c r="ACI329">
        <f>0.76*2</f>
        <v>1.52</v>
      </c>
      <c r="ACJ329">
        <v>1</v>
      </c>
      <c r="ADQ329" s="16">
        <v>0.42</v>
      </c>
      <c r="ADR329" s="16">
        <v>1</v>
      </c>
      <c r="ADS329" s="16">
        <v>1</v>
      </c>
      <c r="ADT329" s="16"/>
      <c r="ADU329" s="16">
        <f>0.68+0.68+0.03</f>
        <v>1.3900000000000001</v>
      </c>
      <c r="ADV329" s="16"/>
      <c r="ADW329" s="16"/>
      <c r="ADX329" s="16"/>
      <c r="ADY329" s="16"/>
      <c r="ADZ329" s="16"/>
      <c r="AEA329" s="16"/>
      <c r="AEB329" s="16">
        <v>5.21</v>
      </c>
      <c r="AEC329" s="16">
        <v>7.05</v>
      </c>
      <c r="AED329" s="16"/>
      <c r="AEE329" s="16"/>
      <c r="AEF329" s="16">
        <v>0</v>
      </c>
      <c r="AEG329" s="16">
        <v>0</v>
      </c>
      <c r="AEH329" s="16">
        <v>0</v>
      </c>
      <c r="AEI329">
        <v>0</v>
      </c>
      <c r="AEJ329" t="s">
        <v>504</v>
      </c>
      <c r="AEK329">
        <v>65.5</v>
      </c>
      <c r="AEL329" s="16">
        <v>92.2</v>
      </c>
      <c r="AEM329" s="16">
        <v>80.400000000000006</v>
      </c>
      <c r="AEN329" s="16">
        <v>61.7</v>
      </c>
      <c r="AEO329">
        <v>22.46</v>
      </c>
      <c r="AEP329" s="17">
        <v>0</v>
      </c>
      <c r="AEQ329">
        <v>0</v>
      </c>
      <c r="AER329">
        <v>0</v>
      </c>
      <c r="AES329">
        <v>0</v>
      </c>
      <c r="AET329">
        <v>0</v>
      </c>
      <c r="AEU329">
        <v>70.92</v>
      </c>
      <c r="AEV329">
        <v>9.4</v>
      </c>
      <c r="AEW329">
        <v>33.69</v>
      </c>
      <c r="AEX329">
        <v>0</v>
      </c>
      <c r="AEY329">
        <v>0</v>
      </c>
      <c r="AEZ329">
        <v>14.46</v>
      </c>
      <c r="AFA329">
        <v>11.32</v>
      </c>
      <c r="AFB329">
        <v>6.58</v>
      </c>
      <c r="AFC329">
        <v>8.8800000000000008</v>
      </c>
      <c r="AFD329">
        <v>6.62</v>
      </c>
      <c r="AFE329">
        <v>0</v>
      </c>
      <c r="AFF329">
        <v>0</v>
      </c>
      <c r="AFS329">
        <v>3.2</v>
      </c>
      <c r="AFT329">
        <v>0</v>
      </c>
      <c r="AGE329" s="18"/>
      <c r="AGW329">
        <v>1</v>
      </c>
      <c r="AGX329">
        <v>60</v>
      </c>
      <c r="AGY329">
        <v>2</v>
      </c>
      <c r="AGZ329">
        <f>0.76*2</f>
        <v>1.52</v>
      </c>
      <c r="AHA329">
        <v>3</v>
      </c>
      <c r="AIH329" s="16">
        <v>0.63</v>
      </c>
      <c r="AII329" s="16">
        <v>1</v>
      </c>
      <c r="AIJ329" s="16">
        <v>1</v>
      </c>
      <c r="AIK329" s="16"/>
      <c r="AIL329" s="16">
        <v>3.17</v>
      </c>
      <c r="AIM329" s="16"/>
      <c r="AIN329" s="16"/>
      <c r="AIO329" s="16"/>
      <c r="AIP329" s="16"/>
      <c r="AIQ329" s="16"/>
      <c r="AIR329" s="16"/>
      <c r="AIS329" s="16">
        <v>0</v>
      </c>
      <c r="AIT329" s="16">
        <v>0</v>
      </c>
      <c r="AIU329" s="16"/>
      <c r="AIV329" s="16"/>
      <c r="AIW329" s="16">
        <v>0</v>
      </c>
      <c r="AIX329" s="16">
        <v>0</v>
      </c>
      <c r="AIY329" s="16">
        <v>0</v>
      </c>
      <c r="AIZ329">
        <v>0</v>
      </c>
      <c r="AJA329" t="s">
        <v>505</v>
      </c>
      <c r="AJB329">
        <v>59</v>
      </c>
      <c r="AJC329" s="16">
        <v>90.4</v>
      </c>
      <c r="AJD329" s="16">
        <v>80.400000000000006</v>
      </c>
      <c r="AJE329" s="16">
        <v>54.7</v>
      </c>
      <c r="AJF329">
        <v>26.42</v>
      </c>
      <c r="AJG329" s="17">
        <v>0</v>
      </c>
      <c r="AJH329">
        <v>0</v>
      </c>
      <c r="AJI329">
        <v>0</v>
      </c>
      <c r="AJJ329">
        <v>0</v>
      </c>
      <c r="AJK329">
        <v>0</v>
      </c>
      <c r="AJL329">
        <v>66.959999999999994</v>
      </c>
      <c r="AJM329">
        <v>6.55</v>
      </c>
      <c r="AJN329">
        <v>30.83</v>
      </c>
      <c r="AJO329">
        <v>0</v>
      </c>
      <c r="AJP329">
        <v>0</v>
      </c>
      <c r="AJQ329">
        <v>14.46</v>
      </c>
      <c r="AJR329">
        <v>11.57</v>
      </c>
      <c r="AJS329">
        <v>6.5</v>
      </c>
      <c r="AJT329">
        <v>6.03</v>
      </c>
      <c r="AJU329">
        <v>6.62</v>
      </c>
      <c r="AJV329">
        <v>0</v>
      </c>
      <c r="AJW329">
        <v>0</v>
      </c>
      <c r="AKJ329">
        <v>3.2</v>
      </c>
      <c r="AKK329">
        <v>0</v>
      </c>
      <c r="AKV329" s="18"/>
      <c r="ALN329">
        <v>1</v>
      </c>
      <c r="ALO329">
        <v>60</v>
      </c>
      <c r="ALP329">
        <v>2</v>
      </c>
      <c r="ALQ329">
        <v>1.52</v>
      </c>
      <c r="ALR329">
        <v>3</v>
      </c>
    </row>
    <row r="330" spans="1:1024" x14ac:dyDescent="0.2">
      <c r="A330" s="1" t="s">
        <v>915</v>
      </c>
      <c r="B330" s="12">
        <v>42927</v>
      </c>
      <c r="C330">
        <v>2</v>
      </c>
      <c r="D330" s="13">
        <v>40672</v>
      </c>
      <c r="E330" s="12">
        <v>31324</v>
      </c>
      <c r="F330" s="14">
        <f t="shared" si="120"/>
        <v>31.767282683093772</v>
      </c>
      <c r="G330" s="14">
        <f t="shared" si="121"/>
        <v>6.1738535249828885</v>
      </c>
      <c r="H330" s="19" t="s">
        <v>217</v>
      </c>
      <c r="I330" s="15" t="s">
        <v>218</v>
      </c>
      <c r="J330" s="15" t="s">
        <v>183</v>
      </c>
      <c r="K330" s="15" t="s">
        <v>913</v>
      </c>
      <c r="L330" s="19">
        <v>92</v>
      </c>
      <c r="M330">
        <v>1.87</v>
      </c>
      <c r="N330" s="16">
        <f t="shared" si="122"/>
        <v>26.309016557522373</v>
      </c>
      <c r="O330" s="19">
        <v>0</v>
      </c>
      <c r="P330" s="19">
        <v>0</v>
      </c>
      <c r="Q330" s="19">
        <v>0</v>
      </c>
      <c r="R330" s="26">
        <v>0</v>
      </c>
      <c r="S330" s="26">
        <v>0</v>
      </c>
      <c r="T330" s="26">
        <v>0</v>
      </c>
      <c r="U330" s="19">
        <v>0</v>
      </c>
      <c r="V330" s="19">
        <v>0</v>
      </c>
      <c r="W330" s="19">
        <v>1</v>
      </c>
      <c r="X330" s="19">
        <v>0</v>
      </c>
      <c r="Y330" s="19">
        <v>0</v>
      </c>
      <c r="Z330" s="19">
        <v>0</v>
      </c>
      <c r="AA330" s="19">
        <v>0</v>
      </c>
      <c r="AB330" s="19">
        <v>0</v>
      </c>
      <c r="AC330" s="19">
        <v>1</v>
      </c>
      <c r="AD330" s="19">
        <v>15</v>
      </c>
      <c r="AE330" s="19">
        <v>1</v>
      </c>
      <c r="AF330" s="19">
        <v>0</v>
      </c>
      <c r="AG330" s="19">
        <v>0</v>
      </c>
      <c r="AH330" s="19">
        <v>0</v>
      </c>
      <c r="AI330" s="19">
        <v>1</v>
      </c>
      <c r="AJ330" s="19">
        <v>1</v>
      </c>
      <c r="AK330" s="19">
        <v>0</v>
      </c>
      <c r="AL330" s="19">
        <v>0</v>
      </c>
      <c r="AM330" s="19">
        <v>0</v>
      </c>
      <c r="AN330" s="19">
        <v>3</v>
      </c>
      <c r="AO330" s="19">
        <v>1</v>
      </c>
      <c r="AP330" s="19">
        <v>0</v>
      </c>
      <c r="AQ330" s="19">
        <v>0</v>
      </c>
      <c r="AR330" s="19">
        <v>0</v>
      </c>
      <c r="AS330" s="19">
        <v>1</v>
      </c>
      <c r="AT330" s="19">
        <v>0</v>
      </c>
      <c r="AU330" s="19">
        <v>0</v>
      </c>
      <c r="AV330" s="19">
        <v>0</v>
      </c>
      <c r="AW330" s="19">
        <v>0</v>
      </c>
      <c r="AX330" s="19">
        <v>0</v>
      </c>
      <c r="AY330" s="19">
        <v>0</v>
      </c>
      <c r="AZ330" s="19">
        <v>0</v>
      </c>
      <c r="BA330" s="19">
        <v>0</v>
      </c>
      <c r="BB330" s="19">
        <v>1</v>
      </c>
      <c r="BC330" s="19">
        <v>0</v>
      </c>
      <c r="BD330" s="19">
        <v>0</v>
      </c>
      <c r="BE330" s="19">
        <v>0</v>
      </c>
      <c r="BF330" s="19">
        <v>0</v>
      </c>
      <c r="BG330" s="19">
        <v>0</v>
      </c>
      <c r="BH330" s="19">
        <v>0</v>
      </c>
      <c r="BI330" s="19">
        <v>0</v>
      </c>
      <c r="BJ330" s="19">
        <v>1</v>
      </c>
      <c r="BK330" s="19">
        <v>0</v>
      </c>
      <c r="BL330" s="19">
        <v>0</v>
      </c>
      <c r="BM330" s="19">
        <v>0</v>
      </c>
      <c r="BN330" s="19">
        <v>1</v>
      </c>
      <c r="BO330" s="19">
        <v>0</v>
      </c>
      <c r="BP330" s="19">
        <v>0</v>
      </c>
      <c r="BQ330" s="19">
        <v>0</v>
      </c>
      <c r="BR330" s="19">
        <v>4</v>
      </c>
      <c r="BS330" s="19">
        <v>1</v>
      </c>
      <c r="BT330" s="19">
        <v>3</v>
      </c>
      <c r="BU330" s="19">
        <v>5</v>
      </c>
      <c r="BV330" s="19">
        <v>3</v>
      </c>
      <c r="BW330" s="19">
        <v>4</v>
      </c>
      <c r="BX330" s="19">
        <v>3</v>
      </c>
      <c r="BY330" s="19">
        <v>5</v>
      </c>
      <c r="BZ330" s="19">
        <v>5</v>
      </c>
      <c r="CA330" s="19"/>
      <c r="CB330" s="19">
        <v>4</v>
      </c>
      <c r="CC330" s="19">
        <v>5</v>
      </c>
      <c r="CD330" s="19">
        <v>3</v>
      </c>
      <c r="CE330" s="19">
        <v>3</v>
      </c>
      <c r="CF330" s="19">
        <v>4</v>
      </c>
      <c r="CG330" s="19">
        <v>4</v>
      </c>
      <c r="CH330" s="19">
        <v>3</v>
      </c>
      <c r="CI330" s="19">
        <v>3</v>
      </c>
      <c r="CJ330" s="19">
        <v>3</v>
      </c>
      <c r="CK330" s="19">
        <v>10</v>
      </c>
      <c r="CL330" t="s">
        <v>219</v>
      </c>
      <c r="CM330">
        <v>33.5</v>
      </c>
      <c r="CN330" s="16">
        <v>91.5</v>
      </c>
      <c r="CO330" s="16">
        <v>80.400000000000006</v>
      </c>
      <c r="CP330" s="16">
        <v>20</v>
      </c>
      <c r="CQ330">
        <v>84.58</v>
      </c>
      <c r="CR330" s="17">
        <v>0</v>
      </c>
      <c r="CS330">
        <v>15.42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13.79</v>
      </c>
      <c r="DD330">
        <v>2.67</v>
      </c>
      <c r="DE330">
        <v>11.54</v>
      </c>
      <c r="DF330">
        <v>0</v>
      </c>
      <c r="DG330">
        <v>12.3</v>
      </c>
      <c r="DH330">
        <v>2</v>
      </c>
      <c r="DI330">
        <v>5</v>
      </c>
      <c r="DJ330">
        <v>2</v>
      </c>
      <c r="DO330">
        <v>5</v>
      </c>
      <c r="DP330">
        <v>2</v>
      </c>
      <c r="DU330">
        <v>0</v>
      </c>
      <c r="DV330">
        <v>1</v>
      </c>
      <c r="DW330">
        <v>34</v>
      </c>
      <c r="DX330">
        <v>2</v>
      </c>
      <c r="DY330">
        <v>0.1</v>
      </c>
      <c r="DZ330">
        <v>1</v>
      </c>
      <c r="EA330">
        <v>10</v>
      </c>
      <c r="EB330">
        <f>8*4</f>
        <v>32</v>
      </c>
      <c r="EC330">
        <f>0.06+0.01+0.4+1.7+0.24+0.14+0.96</f>
        <v>3.5100000000000002</v>
      </c>
      <c r="ED330">
        <v>3</v>
      </c>
      <c r="EG330" s="18"/>
      <c r="EY330">
        <v>0</v>
      </c>
      <c r="GJ330" s="16">
        <v>0.25</v>
      </c>
      <c r="GK330" s="16">
        <v>1</v>
      </c>
      <c r="GL330" s="16">
        <v>2</v>
      </c>
      <c r="GM330" s="16"/>
      <c r="GN330" s="16">
        <v>0.55000000000000004</v>
      </c>
      <c r="GO330" s="16"/>
      <c r="GP330" s="16"/>
      <c r="GQ330" s="16"/>
      <c r="GR330" s="16"/>
      <c r="GS330" s="16"/>
      <c r="GT330" s="16"/>
      <c r="GU330" s="16">
        <v>0.55000000000000004</v>
      </c>
      <c r="GV330" s="16">
        <v>0.55000000000000004</v>
      </c>
      <c r="GW330" s="16"/>
      <c r="GX330" s="16"/>
      <c r="GY330" s="16">
        <v>0</v>
      </c>
      <c r="GZ330" s="16">
        <v>0</v>
      </c>
      <c r="HA330" s="16">
        <v>0</v>
      </c>
      <c r="HB330">
        <v>0</v>
      </c>
      <c r="HC330" t="s">
        <v>220</v>
      </c>
      <c r="HD330">
        <v>27</v>
      </c>
      <c r="HE330" s="16">
        <v>54.4</v>
      </c>
      <c r="HF330" s="16">
        <v>80.400000000000006</v>
      </c>
      <c r="HG330" s="16">
        <v>18.100000000000001</v>
      </c>
      <c r="HH330">
        <v>81.88</v>
      </c>
      <c r="HI330" s="17">
        <v>0</v>
      </c>
      <c r="HJ330">
        <v>9.83</v>
      </c>
      <c r="HK330">
        <v>0</v>
      </c>
      <c r="HL330">
        <v>2.14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2.3199999999999998</v>
      </c>
      <c r="HU330">
        <v>19.66</v>
      </c>
      <c r="HV330">
        <v>3.64</v>
      </c>
      <c r="HW330">
        <v>0</v>
      </c>
      <c r="HX330">
        <v>0</v>
      </c>
      <c r="HY330">
        <v>0</v>
      </c>
      <c r="IL330">
        <v>0</v>
      </c>
      <c r="IM330">
        <v>1</v>
      </c>
      <c r="IN330">
        <v>26</v>
      </c>
      <c r="IO330">
        <v>2</v>
      </c>
      <c r="IP330">
        <v>0.05</v>
      </c>
      <c r="IQ330">
        <v>2</v>
      </c>
      <c r="IX330" s="18"/>
      <c r="JP330">
        <v>0</v>
      </c>
      <c r="LA330" s="16">
        <v>2.1</v>
      </c>
      <c r="LB330" s="16">
        <v>1</v>
      </c>
      <c r="LC330" s="16">
        <v>1</v>
      </c>
      <c r="LD330" s="16"/>
      <c r="LE330" s="16">
        <f>0.1+0.76*2+2.02+1.35*2+0.67</f>
        <v>7.01</v>
      </c>
      <c r="LF330" s="16"/>
      <c r="LG330" s="16"/>
      <c r="LH330" s="16"/>
      <c r="LI330" s="16"/>
      <c r="LJ330" s="16"/>
      <c r="LK330" s="16"/>
      <c r="LL330" s="16">
        <v>6.35</v>
      </c>
      <c r="LM330" s="16">
        <v>14.8</v>
      </c>
      <c r="LN330" s="16"/>
      <c r="LO330" s="16"/>
      <c r="LP330" s="16">
        <v>0</v>
      </c>
      <c r="LQ330" s="16">
        <v>0</v>
      </c>
      <c r="LR330" s="16">
        <v>0</v>
      </c>
      <c r="LS330">
        <v>0</v>
      </c>
      <c r="LT330" t="s">
        <v>221</v>
      </c>
      <c r="LU330">
        <v>20.5</v>
      </c>
      <c r="LV330" s="16">
        <v>76.900000000000006</v>
      </c>
      <c r="LW330" s="16">
        <v>80.400000000000006</v>
      </c>
      <c r="LX330" s="16">
        <v>9.1</v>
      </c>
      <c r="LY330">
        <v>88.58</v>
      </c>
      <c r="LZ330">
        <v>10.3</v>
      </c>
      <c r="MA330">
        <v>1.1200000000000001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6.33</v>
      </c>
      <c r="ML330">
        <v>16.97</v>
      </c>
      <c r="MM330">
        <v>0</v>
      </c>
      <c r="MN330">
        <v>0</v>
      </c>
      <c r="MO330">
        <v>4.0999999999999996</v>
      </c>
      <c r="MP330">
        <v>2</v>
      </c>
      <c r="MQ330">
        <v>5</v>
      </c>
      <c r="MR330">
        <v>1</v>
      </c>
      <c r="MW330">
        <v>5</v>
      </c>
      <c r="MX330">
        <v>1</v>
      </c>
      <c r="NC330">
        <v>0</v>
      </c>
      <c r="ND330">
        <v>0</v>
      </c>
      <c r="NO330" s="18"/>
      <c r="OG330">
        <v>0</v>
      </c>
      <c r="PR330" s="16">
        <v>2.2400000000000002</v>
      </c>
      <c r="PS330" s="16">
        <v>1</v>
      </c>
      <c r="PT330" s="16">
        <v>2</v>
      </c>
      <c r="PU330" s="16"/>
      <c r="PV330" s="16">
        <v>4.97</v>
      </c>
      <c r="PW330" s="16"/>
      <c r="PX330" s="16"/>
      <c r="PY330" s="16"/>
      <c r="PZ330" s="16"/>
      <c r="QA330" s="16"/>
      <c r="QB330" s="16"/>
      <c r="QC330" s="16">
        <v>5.0999999999999996</v>
      </c>
      <c r="QD330" s="16">
        <v>5.97</v>
      </c>
      <c r="QE330" s="16"/>
      <c r="QF330" s="16"/>
      <c r="QG330" s="16">
        <v>0</v>
      </c>
      <c r="QH330" s="16">
        <v>0</v>
      </c>
      <c r="QI330" s="16">
        <v>0</v>
      </c>
      <c r="QJ330">
        <v>0</v>
      </c>
      <c r="QK330" t="s">
        <v>222</v>
      </c>
      <c r="QL330">
        <v>32.5</v>
      </c>
      <c r="QM330" s="16">
        <v>96.7</v>
      </c>
      <c r="QN330" s="16">
        <v>80.400000000000006</v>
      </c>
      <c r="QO330" s="16">
        <v>15.1</v>
      </c>
      <c r="QP330">
        <v>52.24</v>
      </c>
      <c r="QQ330">
        <v>45.43</v>
      </c>
      <c r="QR330">
        <v>1.1200000000000001</v>
      </c>
      <c r="QS330">
        <v>0</v>
      </c>
      <c r="QT330">
        <v>1.2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1.2</v>
      </c>
      <c r="RB330">
        <v>15.88</v>
      </c>
      <c r="RC330">
        <v>48.59</v>
      </c>
      <c r="RD330">
        <v>0</v>
      </c>
      <c r="RE330">
        <v>0</v>
      </c>
      <c r="RF330">
        <v>0</v>
      </c>
      <c r="RG330">
        <v>0</v>
      </c>
      <c r="RT330">
        <v>0</v>
      </c>
      <c r="RU330">
        <v>0</v>
      </c>
      <c r="SF330" s="18"/>
      <c r="SX330">
        <v>1</v>
      </c>
      <c r="SY330">
        <v>50</v>
      </c>
      <c r="SZ330">
        <v>2</v>
      </c>
      <c r="TA330">
        <f>3.18+12.73</f>
        <v>15.91</v>
      </c>
      <c r="TB330">
        <v>1</v>
      </c>
      <c r="UI330" s="16">
        <v>5.9</v>
      </c>
      <c r="UJ330" s="16">
        <v>1</v>
      </c>
      <c r="UK330" s="16">
        <v>2</v>
      </c>
      <c r="UL330" s="16"/>
      <c r="UM330" s="16">
        <f>0.09+0.18*3+0.13+0.53+1.07*2+1.34*2+0.17*2+3.18+12.73</f>
        <v>22.36</v>
      </c>
      <c r="UN330" s="16"/>
      <c r="UO330" s="16"/>
      <c r="UP330" s="16"/>
      <c r="UQ330" s="16"/>
      <c r="UR330" s="16"/>
      <c r="US330" s="16"/>
      <c r="UT330" s="16">
        <v>11.45</v>
      </c>
      <c r="UU330" s="16">
        <v>41.19</v>
      </c>
      <c r="UV330" s="16"/>
      <c r="UW330" s="16"/>
      <c r="UX330" s="16">
        <v>0</v>
      </c>
      <c r="UY330" s="16">
        <v>0</v>
      </c>
      <c r="UZ330" s="16">
        <v>0</v>
      </c>
      <c r="VA330">
        <v>0</v>
      </c>
      <c r="VB330" t="s">
        <v>223</v>
      </c>
      <c r="VC330">
        <v>30.5</v>
      </c>
      <c r="VD330" s="16">
        <v>68.8</v>
      </c>
      <c r="VE330" s="16">
        <v>80.400000000000006</v>
      </c>
      <c r="VF330" s="16">
        <v>16.3</v>
      </c>
      <c r="VG330">
        <v>66.28</v>
      </c>
      <c r="VH330">
        <v>20.09</v>
      </c>
      <c r="VI330">
        <v>1.81</v>
      </c>
      <c r="VJ330">
        <v>0</v>
      </c>
      <c r="VK330">
        <v>11.82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13.17</v>
      </c>
      <c r="VT330">
        <v>35.75</v>
      </c>
      <c r="VU330">
        <v>0</v>
      </c>
      <c r="VV330">
        <v>0</v>
      </c>
      <c r="VW330">
        <v>0</v>
      </c>
      <c r="VX330">
        <v>0</v>
      </c>
      <c r="WK330">
        <v>0</v>
      </c>
      <c r="WL330">
        <v>1</v>
      </c>
      <c r="WM330">
        <v>52</v>
      </c>
      <c r="WN330">
        <v>1</v>
      </c>
      <c r="WO330">
        <v>0.01</v>
      </c>
      <c r="WP330">
        <v>2</v>
      </c>
      <c r="WW330" s="18"/>
      <c r="XO330">
        <v>0</v>
      </c>
      <c r="YZ330" s="16">
        <v>5.43</v>
      </c>
      <c r="ZA330" s="16">
        <v>1</v>
      </c>
      <c r="ZB330" s="16">
        <v>1</v>
      </c>
      <c r="ZC330" s="16"/>
      <c r="ZD330" s="16">
        <f>0.09*2+0.07+1.36</f>
        <v>1.61</v>
      </c>
      <c r="ZE330" s="16">
        <v>2</v>
      </c>
      <c r="ZF330" s="16"/>
      <c r="ZG330" s="16">
        <f>4.2+0.09+0.66+0.01+3.18+3.18</f>
        <v>11.32</v>
      </c>
      <c r="ZH330" s="16"/>
      <c r="ZI330" s="16"/>
      <c r="ZJ330" s="16"/>
      <c r="ZK330" s="16">
        <v>8.61</v>
      </c>
      <c r="ZL330" s="16">
        <v>26.91</v>
      </c>
      <c r="ZM330" s="16"/>
      <c r="ZN330" s="16"/>
      <c r="ZO330" s="16">
        <v>0</v>
      </c>
      <c r="ZP330" s="16">
        <v>0</v>
      </c>
      <c r="ZQ330" s="16">
        <v>0</v>
      </c>
      <c r="ZR330">
        <v>0</v>
      </c>
      <c r="ZS330" t="s">
        <v>224</v>
      </c>
      <c r="ZT330">
        <v>39.5</v>
      </c>
      <c r="ZU330" s="16">
        <v>60.8</v>
      </c>
      <c r="ZV330" s="16">
        <v>80.400000000000006</v>
      </c>
      <c r="ZW330" s="16">
        <v>22.9</v>
      </c>
      <c r="ZX330">
        <v>67.010000000000005</v>
      </c>
      <c r="ZY330">
        <v>11.71</v>
      </c>
      <c r="ZZ330">
        <v>16.61</v>
      </c>
      <c r="AAA330">
        <v>0</v>
      </c>
      <c r="AAB330">
        <v>4.67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20.9</v>
      </c>
      <c r="AAK330">
        <v>25.23</v>
      </c>
      <c r="AAL330">
        <v>0.57999999999999996</v>
      </c>
      <c r="AAM330">
        <v>0</v>
      </c>
      <c r="AAN330">
        <v>0</v>
      </c>
      <c r="AAO330">
        <v>0</v>
      </c>
      <c r="ABB330">
        <v>2</v>
      </c>
      <c r="ABC330">
        <v>1</v>
      </c>
      <c r="ABD330">
        <v>103</v>
      </c>
      <c r="ABE330">
        <v>2</v>
      </c>
      <c r="ABF330">
        <f>0.18+0.14</f>
        <v>0.32</v>
      </c>
      <c r="ABG330">
        <v>1</v>
      </c>
      <c r="ABH330">
        <v>68</v>
      </c>
      <c r="ABI330">
        <v>1</v>
      </c>
      <c r="ABJ330">
        <v>0.01</v>
      </c>
      <c r="ABK330">
        <v>1</v>
      </c>
      <c r="ABL330">
        <v>52</v>
      </c>
      <c r="ABM330">
        <v>3</v>
      </c>
      <c r="ABN330" s="18">
        <v>0.05</v>
      </c>
      <c r="ABO330">
        <v>2</v>
      </c>
      <c r="ACF330">
        <v>0</v>
      </c>
      <c r="ADQ330" s="16">
        <v>3.66</v>
      </c>
      <c r="ADR330" s="16">
        <v>1</v>
      </c>
      <c r="ADS330" s="16">
        <v>1</v>
      </c>
      <c r="ADT330" s="16"/>
      <c r="ADU330" s="16">
        <f>2.69*3+1.35*3+0.14*2+0.1</f>
        <v>12.5</v>
      </c>
      <c r="ADV330" s="16">
        <v>2</v>
      </c>
      <c r="ADW330" s="16"/>
      <c r="ADX330" s="16">
        <f>0.66+0.35+0.18+0.14+1.25+1.23</f>
        <v>3.81</v>
      </c>
      <c r="ADY330" s="16"/>
      <c r="ADZ330" s="16"/>
      <c r="AEA330" s="16"/>
      <c r="AEB330" s="16">
        <v>10.050000000000001</v>
      </c>
      <c r="AEC330" s="16">
        <v>27.11</v>
      </c>
      <c r="AED330" s="16"/>
      <c r="AEE330" s="16"/>
      <c r="AEF330" s="16">
        <v>0</v>
      </c>
      <c r="AEG330" s="16">
        <v>0</v>
      </c>
      <c r="AEH330" s="16">
        <v>0</v>
      </c>
      <c r="AEI330">
        <v>0</v>
      </c>
      <c r="AEJ330" t="s">
        <v>225</v>
      </c>
      <c r="AEK330">
        <v>47</v>
      </c>
      <c r="AEL330" s="16">
        <v>72.3</v>
      </c>
      <c r="AEM330" s="16">
        <v>80.400000000000006</v>
      </c>
      <c r="AEN330" s="16">
        <v>18</v>
      </c>
      <c r="AEO330">
        <v>70.55</v>
      </c>
      <c r="AEP330">
        <v>6.81</v>
      </c>
      <c r="AEQ330">
        <v>3.09</v>
      </c>
      <c r="AER330">
        <v>0</v>
      </c>
      <c r="AES330">
        <v>19.55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18.07</v>
      </c>
      <c r="AFB330">
        <v>30.57</v>
      </c>
      <c r="AFC330">
        <v>7.61</v>
      </c>
      <c r="AFD330">
        <v>0</v>
      </c>
      <c r="AFE330">
        <v>14</v>
      </c>
      <c r="AFF330">
        <v>2</v>
      </c>
      <c r="AFG330">
        <v>5</v>
      </c>
      <c r="AFH330">
        <v>4.47</v>
      </c>
      <c r="AFJ330">
        <v>7</v>
      </c>
      <c r="AFK330">
        <v>5.15</v>
      </c>
      <c r="AFM330">
        <v>5</v>
      </c>
      <c r="AFN330">
        <v>4.47</v>
      </c>
      <c r="AFP330">
        <v>7</v>
      </c>
      <c r="AFQ330">
        <v>5.15</v>
      </c>
      <c r="AFS330">
        <v>0</v>
      </c>
      <c r="AFT330">
        <v>0</v>
      </c>
      <c r="AGE330" s="18"/>
      <c r="AGW330">
        <v>0</v>
      </c>
      <c r="AIH330" s="16">
        <v>4.21</v>
      </c>
      <c r="AII330" s="16">
        <v>1</v>
      </c>
      <c r="AIJ330" s="16">
        <v>2</v>
      </c>
      <c r="AIK330" s="16"/>
      <c r="AIL330" s="16">
        <f>7.46+1.59+0.6</f>
        <v>9.65</v>
      </c>
      <c r="AIM330" s="16"/>
      <c r="AIN330" s="16"/>
      <c r="AIO330" s="16"/>
      <c r="AIP330" s="16"/>
      <c r="AIQ330" s="16"/>
      <c r="AIR330" s="16"/>
      <c r="AIS330" s="16">
        <v>10.63</v>
      </c>
      <c r="AIT330" s="16">
        <v>36.380000000000003</v>
      </c>
      <c r="AIU330" s="16"/>
      <c r="AIV330" s="16"/>
      <c r="AIW330" s="16">
        <v>0</v>
      </c>
      <c r="AIX330" s="16">
        <v>0</v>
      </c>
      <c r="AIY330" s="16">
        <v>0</v>
      </c>
      <c r="AIZ330">
        <v>0</v>
      </c>
      <c r="AJA330" t="s">
        <v>226</v>
      </c>
      <c r="AJB330">
        <v>19</v>
      </c>
      <c r="AJC330" s="16">
        <v>82.6</v>
      </c>
      <c r="AJD330" s="16">
        <v>80.400000000000006</v>
      </c>
      <c r="AJE330" s="16">
        <v>7.7</v>
      </c>
      <c r="AJF330">
        <v>86.83</v>
      </c>
      <c r="AJG330">
        <v>12.69</v>
      </c>
      <c r="AJH330">
        <v>0</v>
      </c>
      <c r="AJI330">
        <v>0</v>
      </c>
      <c r="AJJ330">
        <v>0.48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7.16</v>
      </c>
      <c r="AJS330">
        <v>10.76</v>
      </c>
      <c r="AJT330">
        <v>0</v>
      </c>
      <c r="AJU330">
        <v>0</v>
      </c>
      <c r="AJV330">
        <v>3.4</v>
      </c>
      <c r="AJW330">
        <v>2</v>
      </c>
      <c r="AJX330">
        <v>11.9</v>
      </c>
      <c r="AJY330">
        <v>0.48</v>
      </c>
      <c r="AKD330">
        <v>11.9</v>
      </c>
      <c r="AKE330">
        <v>0.48</v>
      </c>
      <c r="AKJ330">
        <v>0</v>
      </c>
      <c r="AKK330">
        <v>1</v>
      </c>
      <c r="AKL330">
        <v>34</v>
      </c>
      <c r="AKM330">
        <v>2</v>
      </c>
      <c r="AKN330">
        <f>0.84*2</f>
        <v>1.68</v>
      </c>
      <c r="AKO330">
        <v>1</v>
      </c>
      <c r="AKV330" s="18"/>
      <c r="ALN330">
        <v>0</v>
      </c>
    </row>
    <row r="331" spans="1:1024" x14ac:dyDescent="0.2">
      <c r="A331" s="1" t="s">
        <v>916</v>
      </c>
      <c r="B331" s="12">
        <v>42930</v>
      </c>
      <c r="C331">
        <v>2</v>
      </c>
      <c r="D331" s="13">
        <v>34785</v>
      </c>
      <c r="E331" s="12">
        <v>26456</v>
      </c>
      <c r="F331" s="14">
        <f t="shared" si="120"/>
        <v>45.103353867214238</v>
      </c>
      <c r="G331" s="14">
        <f t="shared" si="121"/>
        <v>22.299794661190965</v>
      </c>
      <c r="H331" s="19" t="s">
        <v>217</v>
      </c>
      <c r="I331" s="15" t="s">
        <v>218</v>
      </c>
      <c r="J331" s="15" t="s">
        <v>183</v>
      </c>
      <c r="K331" s="15">
        <v>4</v>
      </c>
      <c r="L331" s="19">
        <v>93</v>
      </c>
      <c r="M331">
        <v>1.78</v>
      </c>
      <c r="N331" s="16">
        <f t="shared" si="122"/>
        <v>29.352354500694357</v>
      </c>
      <c r="O331" s="19">
        <v>1</v>
      </c>
      <c r="P331" s="19">
        <v>1</v>
      </c>
      <c r="Q331" s="19" t="s">
        <v>917</v>
      </c>
      <c r="R331" s="26">
        <v>0</v>
      </c>
      <c r="S331" s="26">
        <v>0</v>
      </c>
      <c r="T331" s="26">
        <v>0</v>
      </c>
      <c r="U331" s="19">
        <v>0</v>
      </c>
      <c r="V331" s="19">
        <v>0</v>
      </c>
      <c r="W331" s="19">
        <v>1</v>
      </c>
      <c r="X331" s="19">
        <v>0</v>
      </c>
      <c r="Y331" s="19">
        <v>0</v>
      </c>
      <c r="Z331" s="19">
        <v>0</v>
      </c>
      <c r="AA331" s="19">
        <v>0</v>
      </c>
      <c r="AB331" s="19">
        <v>0</v>
      </c>
      <c r="AC331" s="19">
        <v>0</v>
      </c>
      <c r="AD331" s="19">
        <v>0</v>
      </c>
      <c r="AE331" s="19">
        <v>0</v>
      </c>
      <c r="AF331" s="19">
        <v>0</v>
      </c>
      <c r="AG331" s="19">
        <v>0</v>
      </c>
      <c r="AH331" s="19">
        <v>0</v>
      </c>
      <c r="AI331" s="19">
        <v>0</v>
      </c>
      <c r="AJ331" s="19">
        <v>0</v>
      </c>
      <c r="AK331" s="19">
        <v>0</v>
      </c>
      <c r="AL331" s="19">
        <v>0</v>
      </c>
      <c r="AM331" s="19">
        <v>0</v>
      </c>
      <c r="AN331" s="19">
        <v>3</v>
      </c>
      <c r="AO331" s="19">
        <v>0</v>
      </c>
      <c r="AP331" s="19">
        <v>0</v>
      </c>
      <c r="AQ331" s="19">
        <v>0</v>
      </c>
      <c r="AR331" s="19">
        <v>0</v>
      </c>
      <c r="AS331" s="19">
        <v>3</v>
      </c>
      <c r="AT331" s="19">
        <v>0</v>
      </c>
      <c r="AU331" s="19">
        <v>0</v>
      </c>
      <c r="AV331" s="19">
        <v>0</v>
      </c>
      <c r="AW331" s="19">
        <v>0</v>
      </c>
      <c r="AX331" s="19">
        <v>0</v>
      </c>
      <c r="AY331" s="19">
        <v>0</v>
      </c>
      <c r="AZ331" s="19">
        <v>0</v>
      </c>
      <c r="BA331" s="19">
        <v>0</v>
      </c>
      <c r="BB331" s="19">
        <v>0</v>
      </c>
      <c r="BC331" s="19">
        <v>0</v>
      </c>
      <c r="BD331" s="19">
        <v>0</v>
      </c>
      <c r="BE331" s="19">
        <v>0</v>
      </c>
      <c r="BF331" s="19">
        <v>0</v>
      </c>
      <c r="BG331" s="19">
        <v>0</v>
      </c>
      <c r="BH331" s="19">
        <v>0</v>
      </c>
      <c r="BI331" s="19">
        <v>0</v>
      </c>
      <c r="BJ331" s="19">
        <v>0</v>
      </c>
      <c r="BK331" s="19">
        <v>0</v>
      </c>
      <c r="BL331" s="19">
        <v>0</v>
      </c>
      <c r="BM331" s="19">
        <v>0</v>
      </c>
      <c r="BN331" s="19">
        <v>1</v>
      </c>
      <c r="BO331" s="19">
        <v>0</v>
      </c>
      <c r="BP331" s="19">
        <v>0</v>
      </c>
      <c r="BQ331" s="19">
        <v>0</v>
      </c>
      <c r="BR331" s="19">
        <v>4</v>
      </c>
      <c r="BS331" s="19">
        <v>2</v>
      </c>
      <c r="BT331" s="19">
        <v>5</v>
      </c>
      <c r="BU331" s="19">
        <v>5</v>
      </c>
      <c r="BV331" s="19">
        <v>2</v>
      </c>
      <c r="BW331" s="19">
        <v>4</v>
      </c>
      <c r="BX331" s="19">
        <v>3</v>
      </c>
      <c r="BY331" s="19">
        <v>4</v>
      </c>
      <c r="BZ331" s="19">
        <v>2</v>
      </c>
      <c r="CA331" s="19">
        <v>4</v>
      </c>
      <c r="CB331" s="19">
        <v>5</v>
      </c>
      <c r="CC331" s="19">
        <v>5</v>
      </c>
      <c r="CD331" s="19">
        <v>4</v>
      </c>
      <c r="CE331" s="19">
        <v>4</v>
      </c>
      <c r="CF331" s="19">
        <v>3</v>
      </c>
      <c r="CG331" s="19">
        <v>5</v>
      </c>
      <c r="CH331" s="19">
        <v>4</v>
      </c>
      <c r="CI331" s="19">
        <v>4</v>
      </c>
      <c r="CJ331" s="19">
        <v>4</v>
      </c>
      <c r="CK331" s="19">
        <v>5</v>
      </c>
      <c r="CL331" t="s">
        <v>219</v>
      </c>
      <c r="CM331">
        <v>33.5</v>
      </c>
      <c r="CN331" s="16">
        <v>91.5</v>
      </c>
      <c r="CO331" s="16">
        <v>80.400000000000006</v>
      </c>
      <c r="CP331" s="16">
        <v>20</v>
      </c>
      <c r="CQ331">
        <v>84.58</v>
      </c>
      <c r="CR331" s="17">
        <v>0</v>
      </c>
      <c r="CS331">
        <v>15.42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13.79</v>
      </c>
      <c r="DD331">
        <v>2.67</v>
      </c>
      <c r="DE331">
        <v>11.54</v>
      </c>
      <c r="DF331">
        <v>0</v>
      </c>
      <c r="DG331">
        <v>12.3</v>
      </c>
      <c r="DH331">
        <v>2</v>
      </c>
      <c r="DI331">
        <v>5</v>
      </c>
      <c r="DJ331">
        <v>2</v>
      </c>
      <c r="DO331">
        <v>5</v>
      </c>
      <c r="DP331">
        <v>2</v>
      </c>
      <c r="DU331">
        <v>0</v>
      </c>
      <c r="DV331">
        <v>1</v>
      </c>
      <c r="DW331">
        <v>34</v>
      </c>
      <c r="DX331">
        <v>2</v>
      </c>
      <c r="DY331">
        <v>0.1</v>
      </c>
      <c r="DZ331">
        <v>1</v>
      </c>
      <c r="EA331">
        <v>10</v>
      </c>
      <c r="EB331">
        <f>8*4</f>
        <v>32</v>
      </c>
      <c r="EC331">
        <f>0.06+0.01+0.4+1.7+0.24+0.14+0.96</f>
        <v>3.5100000000000002</v>
      </c>
      <c r="ED331">
        <v>3</v>
      </c>
      <c r="EG331" s="18"/>
      <c r="EY331">
        <v>0</v>
      </c>
      <c r="GJ331" s="16">
        <v>0.25</v>
      </c>
      <c r="GK331" s="16">
        <v>1</v>
      </c>
      <c r="GL331" s="16">
        <v>2</v>
      </c>
      <c r="GM331" s="16"/>
      <c r="GN331" s="16">
        <v>0.55000000000000004</v>
      </c>
      <c r="GO331" s="16"/>
      <c r="GP331" s="16"/>
      <c r="GQ331" s="16"/>
      <c r="GR331" s="16"/>
      <c r="GS331" s="16"/>
      <c r="GT331" s="16"/>
      <c r="GU331" s="16">
        <v>0.55000000000000004</v>
      </c>
      <c r="GV331" s="16">
        <v>0.55000000000000004</v>
      </c>
      <c r="GW331" s="16"/>
      <c r="GX331" s="16"/>
      <c r="GY331" s="16">
        <v>0</v>
      </c>
      <c r="GZ331" s="16">
        <v>0</v>
      </c>
      <c r="HA331" s="16">
        <v>0</v>
      </c>
      <c r="HB331">
        <v>0</v>
      </c>
      <c r="HC331" t="s">
        <v>220</v>
      </c>
      <c r="HD331">
        <v>27</v>
      </c>
      <c r="HE331" s="16">
        <v>54.4</v>
      </c>
      <c r="HF331" s="16">
        <v>80.400000000000006</v>
      </c>
      <c r="HG331" s="16">
        <v>18.100000000000001</v>
      </c>
      <c r="HH331">
        <v>81.88</v>
      </c>
      <c r="HI331" s="17">
        <v>0</v>
      </c>
      <c r="HJ331">
        <v>9.83</v>
      </c>
      <c r="HK331">
        <v>0</v>
      </c>
      <c r="HL331">
        <v>2.14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2.3199999999999998</v>
      </c>
      <c r="HU331">
        <v>19.66</v>
      </c>
      <c r="HV331">
        <v>3.64</v>
      </c>
      <c r="HW331">
        <v>0</v>
      </c>
      <c r="HX331">
        <v>0</v>
      </c>
      <c r="HY331">
        <v>0</v>
      </c>
      <c r="IL331">
        <v>0</v>
      </c>
      <c r="IM331">
        <v>1</v>
      </c>
      <c r="IN331">
        <v>26</v>
      </c>
      <c r="IO331">
        <v>2</v>
      </c>
      <c r="IP331">
        <v>0.05</v>
      </c>
      <c r="IQ331">
        <v>2</v>
      </c>
      <c r="IX331" s="18"/>
      <c r="JP331">
        <v>0</v>
      </c>
      <c r="LA331" s="16">
        <v>2.1</v>
      </c>
      <c r="LB331" s="16">
        <v>1</v>
      </c>
      <c r="LC331" s="16">
        <v>1</v>
      </c>
      <c r="LD331" s="16"/>
      <c r="LE331" s="16">
        <f>0.1+0.76*2+2.02+1.35*2+0.67</f>
        <v>7.01</v>
      </c>
      <c r="LF331" s="16"/>
      <c r="LG331" s="16"/>
      <c r="LH331" s="16"/>
      <c r="LI331" s="16"/>
      <c r="LJ331" s="16"/>
      <c r="LK331" s="16"/>
      <c r="LL331" s="16">
        <v>6.35</v>
      </c>
      <c r="LM331" s="16">
        <v>14.8</v>
      </c>
      <c r="LN331" s="16"/>
      <c r="LO331" s="16"/>
      <c r="LP331" s="16">
        <v>0</v>
      </c>
      <c r="LQ331" s="16">
        <v>0</v>
      </c>
      <c r="LR331" s="16">
        <v>0</v>
      </c>
      <c r="LS331">
        <v>0</v>
      </c>
      <c r="LT331" t="s">
        <v>221</v>
      </c>
      <c r="LU331">
        <v>20.5</v>
      </c>
      <c r="LV331" s="16">
        <v>76.900000000000006</v>
      </c>
      <c r="LW331" s="16">
        <v>80.400000000000006</v>
      </c>
      <c r="LX331" s="16">
        <v>9.1</v>
      </c>
      <c r="LY331">
        <v>88.58</v>
      </c>
      <c r="LZ331">
        <v>10.3</v>
      </c>
      <c r="MA331">
        <v>1.1200000000000001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6.33</v>
      </c>
      <c r="ML331">
        <v>16.97</v>
      </c>
      <c r="MM331">
        <v>0</v>
      </c>
      <c r="MN331">
        <v>0</v>
      </c>
      <c r="MO331">
        <v>4.0999999999999996</v>
      </c>
      <c r="MP331">
        <v>2</v>
      </c>
      <c r="MQ331">
        <v>5</v>
      </c>
      <c r="MR331">
        <v>1</v>
      </c>
      <c r="MW331">
        <v>5</v>
      </c>
      <c r="MX331">
        <v>1</v>
      </c>
      <c r="NC331">
        <v>0</v>
      </c>
      <c r="ND331">
        <v>0</v>
      </c>
      <c r="NO331" s="18"/>
      <c r="OG331">
        <v>0</v>
      </c>
      <c r="PR331" s="16">
        <v>2.2400000000000002</v>
      </c>
      <c r="PS331" s="16">
        <v>1</v>
      </c>
      <c r="PT331" s="16">
        <v>2</v>
      </c>
      <c r="PU331" s="16"/>
      <c r="PV331" s="16">
        <v>4.97</v>
      </c>
      <c r="PW331" s="16"/>
      <c r="PX331" s="16"/>
      <c r="PY331" s="16"/>
      <c r="PZ331" s="16"/>
      <c r="QA331" s="16"/>
      <c r="QB331" s="16"/>
      <c r="QC331" s="16">
        <v>5.0999999999999996</v>
      </c>
      <c r="QD331" s="16">
        <v>5.97</v>
      </c>
      <c r="QE331" s="16"/>
      <c r="QF331" s="16"/>
      <c r="QG331" s="16">
        <v>0</v>
      </c>
      <c r="QH331" s="16">
        <v>0</v>
      </c>
      <c r="QI331" s="16">
        <v>0</v>
      </c>
      <c r="QJ331">
        <v>0</v>
      </c>
      <c r="QK331" t="s">
        <v>222</v>
      </c>
      <c r="QL331">
        <v>32.5</v>
      </c>
      <c r="QM331" s="16">
        <v>96.7</v>
      </c>
      <c r="QN331" s="16">
        <v>80.400000000000006</v>
      </c>
      <c r="QO331" s="16">
        <v>15.1</v>
      </c>
      <c r="QP331">
        <v>52.24</v>
      </c>
      <c r="QQ331">
        <v>45.43</v>
      </c>
      <c r="QR331">
        <v>1.1200000000000001</v>
      </c>
      <c r="QS331">
        <v>0</v>
      </c>
      <c r="QT331">
        <v>1.2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1.2</v>
      </c>
      <c r="RB331">
        <v>15.88</v>
      </c>
      <c r="RC331">
        <v>48.59</v>
      </c>
      <c r="RD331">
        <v>0</v>
      </c>
      <c r="RE331">
        <v>0</v>
      </c>
      <c r="RF331">
        <v>0</v>
      </c>
      <c r="RG331">
        <v>0</v>
      </c>
      <c r="RT331">
        <v>0</v>
      </c>
      <c r="RU331">
        <v>0</v>
      </c>
      <c r="SF331" s="18"/>
      <c r="SX331">
        <v>1</v>
      </c>
      <c r="SY331">
        <v>50</v>
      </c>
      <c r="SZ331">
        <v>2</v>
      </c>
      <c r="TA331">
        <f>3.18+12.73</f>
        <v>15.91</v>
      </c>
      <c r="TB331">
        <v>1</v>
      </c>
      <c r="UI331" s="16">
        <v>5.9</v>
      </c>
      <c r="UJ331" s="16">
        <v>1</v>
      </c>
      <c r="UK331" s="16">
        <v>2</v>
      </c>
      <c r="UL331" s="16"/>
      <c r="UM331" s="16">
        <f>0.09+0.18*3+0.13+0.53+1.07*2+1.34*2+0.17*2+3.18+12.73</f>
        <v>22.36</v>
      </c>
      <c r="UN331" s="16"/>
      <c r="UO331" s="16"/>
      <c r="UP331" s="16"/>
      <c r="UQ331" s="16"/>
      <c r="UR331" s="16"/>
      <c r="US331" s="16"/>
      <c r="UT331" s="16">
        <v>11.45</v>
      </c>
      <c r="UU331" s="16">
        <v>41.19</v>
      </c>
      <c r="UV331" s="16"/>
      <c r="UW331" s="16"/>
      <c r="UX331" s="16">
        <v>0</v>
      </c>
      <c r="UY331" s="16">
        <v>0</v>
      </c>
      <c r="UZ331" s="16">
        <v>0</v>
      </c>
      <c r="VA331">
        <v>0</v>
      </c>
      <c r="VB331" t="s">
        <v>223</v>
      </c>
      <c r="VC331">
        <v>30.5</v>
      </c>
      <c r="VD331" s="16">
        <v>68.8</v>
      </c>
      <c r="VE331" s="16">
        <v>80.400000000000006</v>
      </c>
      <c r="VF331" s="16">
        <v>16.3</v>
      </c>
      <c r="VG331">
        <v>66.28</v>
      </c>
      <c r="VH331">
        <v>20.09</v>
      </c>
      <c r="VI331">
        <v>1.81</v>
      </c>
      <c r="VJ331">
        <v>0</v>
      </c>
      <c r="VK331">
        <v>11.82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13.17</v>
      </c>
      <c r="VT331">
        <v>35.75</v>
      </c>
      <c r="VU331">
        <v>0</v>
      </c>
      <c r="VV331">
        <v>0</v>
      </c>
      <c r="VW331">
        <v>0</v>
      </c>
      <c r="VX331">
        <v>0</v>
      </c>
      <c r="WK331">
        <v>0</v>
      </c>
      <c r="WL331">
        <v>1</v>
      </c>
      <c r="WM331">
        <v>52</v>
      </c>
      <c r="WN331">
        <v>1</v>
      </c>
      <c r="WO331">
        <v>0.01</v>
      </c>
      <c r="WP331">
        <v>2</v>
      </c>
      <c r="WW331" s="18"/>
      <c r="XO331">
        <v>0</v>
      </c>
      <c r="YZ331" s="16">
        <v>5.43</v>
      </c>
      <c r="ZA331" s="16">
        <v>1</v>
      </c>
      <c r="ZB331" s="16">
        <v>1</v>
      </c>
      <c r="ZC331" s="16"/>
      <c r="ZD331" s="16">
        <f>0.09*2+0.07+1.36</f>
        <v>1.61</v>
      </c>
      <c r="ZE331" s="16">
        <v>2</v>
      </c>
      <c r="ZF331" s="16"/>
      <c r="ZG331" s="16">
        <f>4.2+0.09+0.66+0.01+3.18+3.18</f>
        <v>11.32</v>
      </c>
      <c r="ZH331" s="16"/>
      <c r="ZI331" s="16"/>
      <c r="ZJ331" s="16"/>
      <c r="ZK331" s="16">
        <v>8.61</v>
      </c>
      <c r="ZL331" s="16">
        <v>26.91</v>
      </c>
      <c r="ZM331" s="16"/>
      <c r="ZN331" s="16"/>
      <c r="ZO331" s="16">
        <v>0</v>
      </c>
      <c r="ZP331" s="16">
        <v>0</v>
      </c>
      <c r="ZQ331" s="16">
        <v>0</v>
      </c>
      <c r="ZR331">
        <v>0</v>
      </c>
      <c r="ZS331" t="s">
        <v>224</v>
      </c>
      <c r="ZT331">
        <v>39.5</v>
      </c>
      <c r="ZU331" s="16">
        <v>60.8</v>
      </c>
      <c r="ZV331" s="16">
        <v>80.400000000000006</v>
      </c>
      <c r="ZW331" s="16">
        <v>22.9</v>
      </c>
      <c r="ZX331">
        <v>67.010000000000005</v>
      </c>
      <c r="ZY331">
        <v>11.71</v>
      </c>
      <c r="ZZ331">
        <v>16.61</v>
      </c>
      <c r="AAA331">
        <v>0</v>
      </c>
      <c r="AAB331">
        <v>4.67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20.9</v>
      </c>
      <c r="AAK331">
        <v>25.23</v>
      </c>
      <c r="AAL331">
        <v>0.57999999999999996</v>
      </c>
      <c r="AAM331">
        <v>0</v>
      </c>
      <c r="AAN331">
        <v>0</v>
      </c>
      <c r="AAO331">
        <v>0</v>
      </c>
      <c r="ABB331">
        <v>2</v>
      </c>
      <c r="ABC331">
        <v>1</v>
      </c>
      <c r="ABD331">
        <v>103</v>
      </c>
      <c r="ABE331">
        <v>2</v>
      </c>
      <c r="ABF331">
        <f>0.18+0.14</f>
        <v>0.32</v>
      </c>
      <c r="ABG331">
        <v>1</v>
      </c>
      <c r="ABH331">
        <v>68</v>
      </c>
      <c r="ABI331">
        <v>1</v>
      </c>
      <c r="ABJ331">
        <v>0.01</v>
      </c>
      <c r="ABK331">
        <v>1</v>
      </c>
      <c r="ABL331">
        <v>52</v>
      </c>
      <c r="ABM331">
        <v>3</v>
      </c>
      <c r="ABN331" s="18">
        <v>0.05</v>
      </c>
      <c r="ABO331">
        <v>2</v>
      </c>
      <c r="ACF331">
        <v>0</v>
      </c>
      <c r="ADQ331" s="16">
        <v>3.66</v>
      </c>
      <c r="ADR331" s="16">
        <v>1</v>
      </c>
      <c r="ADS331" s="16">
        <v>1</v>
      </c>
      <c r="ADT331" s="16"/>
      <c r="ADU331" s="16">
        <f>2.69*3+1.35*3+0.14*2+0.1</f>
        <v>12.5</v>
      </c>
      <c r="ADV331" s="16">
        <v>2</v>
      </c>
      <c r="ADW331" s="16"/>
      <c r="ADX331" s="16">
        <f>0.66+0.35+0.18+0.14+1.25+1.23</f>
        <v>3.81</v>
      </c>
      <c r="ADY331" s="16"/>
      <c r="ADZ331" s="16"/>
      <c r="AEA331" s="16"/>
      <c r="AEB331" s="16">
        <v>10.050000000000001</v>
      </c>
      <c r="AEC331" s="16">
        <v>27.11</v>
      </c>
      <c r="AED331" s="16"/>
      <c r="AEE331" s="16"/>
      <c r="AEF331" s="16">
        <v>0</v>
      </c>
      <c r="AEG331" s="16">
        <v>0</v>
      </c>
      <c r="AEH331" s="16">
        <v>0</v>
      </c>
      <c r="AEI331">
        <v>0</v>
      </c>
      <c r="AEJ331" t="s">
        <v>225</v>
      </c>
      <c r="AEK331">
        <v>47</v>
      </c>
      <c r="AEL331" s="16">
        <v>72.3</v>
      </c>
      <c r="AEM331" s="16">
        <v>80.400000000000006</v>
      </c>
      <c r="AEN331" s="16">
        <v>18</v>
      </c>
      <c r="AEO331">
        <v>70.55</v>
      </c>
      <c r="AEP331">
        <v>6.81</v>
      </c>
      <c r="AEQ331">
        <v>3.09</v>
      </c>
      <c r="AER331">
        <v>0</v>
      </c>
      <c r="AES331">
        <v>19.55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18.07</v>
      </c>
      <c r="AFB331">
        <v>30.57</v>
      </c>
      <c r="AFC331">
        <v>7.61</v>
      </c>
      <c r="AFD331">
        <v>0</v>
      </c>
      <c r="AFE331">
        <v>14</v>
      </c>
      <c r="AFF331">
        <v>2</v>
      </c>
      <c r="AFG331">
        <v>5</v>
      </c>
      <c r="AFH331">
        <v>4.47</v>
      </c>
      <c r="AFJ331">
        <v>7</v>
      </c>
      <c r="AFK331">
        <v>5.15</v>
      </c>
      <c r="AFM331">
        <v>5</v>
      </c>
      <c r="AFN331">
        <v>4.47</v>
      </c>
      <c r="AFP331">
        <v>7</v>
      </c>
      <c r="AFQ331">
        <v>5.15</v>
      </c>
      <c r="AFS331">
        <v>0</v>
      </c>
      <c r="AFT331">
        <v>0</v>
      </c>
      <c r="AGE331" s="18"/>
      <c r="AGW331">
        <v>0</v>
      </c>
      <c r="AIH331" s="16">
        <v>4.21</v>
      </c>
      <c r="AII331" s="16">
        <v>1</v>
      </c>
      <c r="AIJ331" s="16">
        <v>2</v>
      </c>
      <c r="AIK331" s="16"/>
      <c r="AIL331" s="16">
        <f>7.46+1.59+0.6</f>
        <v>9.65</v>
      </c>
      <c r="AIM331" s="16"/>
      <c r="AIN331" s="16"/>
      <c r="AIO331" s="16"/>
      <c r="AIP331" s="16"/>
      <c r="AIQ331" s="16"/>
      <c r="AIR331" s="16"/>
      <c r="AIS331" s="16">
        <v>10.63</v>
      </c>
      <c r="AIT331" s="16">
        <v>36.380000000000003</v>
      </c>
      <c r="AIU331" s="16"/>
      <c r="AIV331" s="16"/>
      <c r="AIW331" s="16">
        <v>0</v>
      </c>
      <c r="AIX331" s="16">
        <v>0</v>
      </c>
      <c r="AIY331" s="16">
        <v>0</v>
      </c>
      <c r="AIZ331">
        <v>0</v>
      </c>
      <c r="AJA331" t="s">
        <v>226</v>
      </c>
      <c r="AJB331">
        <v>19</v>
      </c>
      <c r="AJC331" s="16">
        <v>82.6</v>
      </c>
      <c r="AJD331" s="16">
        <v>80.400000000000006</v>
      </c>
      <c r="AJE331" s="16">
        <v>7.7</v>
      </c>
      <c r="AJF331">
        <v>86.83</v>
      </c>
      <c r="AJG331">
        <v>12.69</v>
      </c>
      <c r="AJH331">
        <v>0</v>
      </c>
      <c r="AJI331">
        <v>0</v>
      </c>
      <c r="AJJ331">
        <v>0.48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7.16</v>
      </c>
      <c r="AJS331">
        <v>10.76</v>
      </c>
      <c r="AJT331">
        <v>0</v>
      </c>
      <c r="AJU331">
        <v>0</v>
      </c>
      <c r="AJV331">
        <v>3.4</v>
      </c>
      <c r="AJW331">
        <v>2</v>
      </c>
      <c r="AJX331">
        <v>11.9</v>
      </c>
      <c r="AJY331">
        <v>0.48</v>
      </c>
      <c r="AKD331">
        <v>11.9</v>
      </c>
      <c r="AKE331">
        <v>0.48</v>
      </c>
      <c r="AKJ331">
        <v>0</v>
      </c>
      <c r="AKK331">
        <v>1</v>
      </c>
      <c r="AKL331">
        <v>34</v>
      </c>
      <c r="AKM331">
        <v>2</v>
      </c>
      <c r="AKN331">
        <f>0.84*2</f>
        <v>1.68</v>
      </c>
      <c r="AKO331">
        <v>1</v>
      </c>
      <c r="AKV331" s="18"/>
      <c r="ALN331">
        <v>0</v>
      </c>
    </row>
    <row r="332" spans="1:1024" x14ac:dyDescent="0.2">
      <c r="A332" s="1" t="s">
        <v>918</v>
      </c>
      <c r="B332" s="12">
        <v>42929</v>
      </c>
      <c r="C332">
        <v>2</v>
      </c>
      <c r="D332" s="13">
        <v>42821</v>
      </c>
      <c r="E332" s="12">
        <v>35661</v>
      </c>
      <c r="F332" s="14">
        <f t="shared" si="120"/>
        <v>19.898699520876111</v>
      </c>
      <c r="G332" s="14">
        <f t="shared" si="121"/>
        <v>0.29568788501026694</v>
      </c>
      <c r="H332" s="19" t="s">
        <v>217</v>
      </c>
      <c r="I332" s="15" t="s">
        <v>218</v>
      </c>
      <c r="J332" s="15" t="s">
        <v>183</v>
      </c>
      <c r="K332" s="15">
        <v>4</v>
      </c>
      <c r="L332" s="19">
        <v>75</v>
      </c>
      <c r="M332">
        <v>1.85</v>
      </c>
      <c r="N332" s="16">
        <f t="shared" si="122"/>
        <v>21.913805697589478</v>
      </c>
      <c r="O332" s="19">
        <v>0</v>
      </c>
      <c r="P332" s="19">
        <v>0</v>
      </c>
      <c r="Q332" s="19">
        <v>0</v>
      </c>
      <c r="R332" s="26">
        <v>0</v>
      </c>
      <c r="S332" s="26">
        <v>0</v>
      </c>
      <c r="T332" s="26">
        <v>0</v>
      </c>
      <c r="U332" s="19">
        <v>0</v>
      </c>
      <c r="V332" s="19">
        <v>0</v>
      </c>
      <c r="W332" s="19">
        <v>0</v>
      </c>
      <c r="X332" s="19">
        <v>0</v>
      </c>
      <c r="Y332" s="19">
        <v>1</v>
      </c>
      <c r="Z332" s="19">
        <v>2</v>
      </c>
      <c r="AA332" s="19">
        <v>105</v>
      </c>
      <c r="AB332" s="19" t="s">
        <v>478</v>
      </c>
      <c r="AC332" s="19">
        <v>1</v>
      </c>
      <c r="AD332" s="19">
        <v>4</v>
      </c>
      <c r="AE332" s="19">
        <v>0</v>
      </c>
      <c r="AF332" s="19">
        <v>0</v>
      </c>
      <c r="AG332" s="19">
        <v>0</v>
      </c>
      <c r="AH332" s="19">
        <v>0</v>
      </c>
      <c r="AI332" s="19">
        <v>0</v>
      </c>
      <c r="AJ332" s="19">
        <v>0</v>
      </c>
      <c r="AK332" s="19">
        <v>0</v>
      </c>
      <c r="AL332" s="19">
        <v>0</v>
      </c>
      <c r="AM332" s="19">
        <v>0</v>
      </c>
      <c r="AN332" s="19">
        <v>0</v>
      </c>
      <c r="AO332" s="19">
        <v>0</v>
      </c>
      <c r="AP332" s="19">
        <v>0</v>
      </c>
      <c r="AQ332" s="19">
        <v>0</v>
      </c>
      <c r="AR332" s="19">
        <v>0</v>
      </c>
      <c r="AS332" s="19">
        <v>0</v>
      </c>
      <c r="AT332" s="19">
        <v>0</v>
      </c>
      <c r="AU332" s="19">
        <v>0</v>
      </c>
      <c r="AV332" s="19">
        <v>0</v>
      </c>
      <c r="AW332" s="19">
        <v>0</v>
      </c>
      <c r="AX332" s="19">
        <v>0</v>
      </c>
      <c r="AY332" s="19">
        <v>0</v>
      </c>
      <c r="AZ332" s="19">
        <v>0</v>
      </c>
      <c r="BA332" s="19">
        <v>0</v>
      </c>
      <c r="BB332" s="19">
        <v>0</v>
      </c>
      <c r="BC332" s="19">
        <v>0</v>
      </c>
      <c r="BD332" s="19">
        <v>0</v>
      </c>
      <c r="BE332" s="19">
        <v>0</v>
      </c>
      <c r="BF332" s="19">
        <v>0</v>
      </c>
      <c r="BG332" s="19">
        <v>0</v>
      </c>
      <c r="BH332" s="19">
        <v>0</v>
      </c>
      <c r="BI332" s="19">
        <v>0</v>
      </c>
      <c r="BJ332" s="19">
        <v>0</v>
      </c>
      <c r="BK332" s="19">
        <v>0</v>
      </c>
      <c r="BL332" s="19">
        <v>0</v>
      </c>
      <c r="BM332" s="19">
        <v>0</v>
      </c>
      <c r="BN332" s="19">
        <v>0</v>
      </c>
      <c r="BO332" s="19">
        <v>0</v>
      </c>
      <c r="BP332" s="19">
        <v>0</v>
      </c>
      <c r="BQ332" s="19">
        <v>0</v>
      </c>
      <c r="BR332" s="19">
        <v>2</v>
      </c>
      <c r="BS332" s="19"/>
      <c r="BT332" s="19">
        <v>3</v>
      </c>
      <c r="BU332" s="19">
        <v>5</v>
      </c>
      <c r="BV332" s="19">
        <v>3</v>
      </c>
      <c r="BW332" s="19">
        <v>1</v>
      </c>
      <c r="BX332" s="19">
        <v>2</v>
      </c>
      <c r="BY332" s="19">
        <v>3</v>
      </c>
      <c r="BZ332" s="19">
        <v>4</v>
      </c>
      <c r="CA332" s="19">
        <v>4</v>
      </c>
      <c r="CB332" s="19">
        <v>5</v>
      </c>
      <c r="CC332" s="19">
        <v>5</v>
      </c>
      <c r="CD332" s="19">
        <v>3</v>
      </c>
      <c r="CE332" s="19">
        <v>4</v>
      </c>
      <c r="CF332" s="19">
        <v>5</v>
      </c>
      <c r="CG332" s="19">
        <v>5</v>
      </c>
      <c r="CH332" s="19">
        <v>4</v>
      </c>
      <c r="CI332" s="19">
        <v>4</v>
      </c>
      <c r="CJ332" s="19">
        <v>4</v>
      </c>
      <c r="CK332" s="19">
        <v>9</v>
      </c>
      <c r="CL332" t="s">
        <v>219</v>
      </c>
      <c r="CM332">
        <v>33.5</v>
      </c>
      <c r="CN332" s="16">
        <v>91.5</v>
      </c>
      <c r="CO332" s="16">
        <v>80.400000000000006</v>
      </c>
      <c r="CP332" s="16">
        <v>20</v>
      </c>
      <c r="CQ332">
        <v>84.58</v>
      </c>
      <c r="CR332" s="17">
        <v>0</v>
      </c>
      <c r="CS332">
        <v>15.42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13.79</v>
      </c>
      <c r="DD332">
        <v>2.67</v>
      </c>
      <c r="DE332">
        <v>11.54</v>
      </c>
      <c r="DF332">
        <v>0</v>
      </c>
      <c r="DG332">
        <v>12.3</v>
      </c>
      <c r="DH332">
        <v>2</v>
      </c>
      <c r="DI332">
        <v>5</v>
      </c>
      <c r="DJ332">
        <v>2</v>
      </c>
      <c r="DO332">
        <v>5</v>
      </c>
      <c r="DP332">
        <v>2</v>
      </c>
      <c r="DU332">
        <v>0</v>
      </c>
      <c r="DV332">
        <v>1</v>
      </c>
      <c r="DW332">
        <v>34</v>
      </c>
      <c r="DX332">
        <v>2</v>
      </c>
      <c r="DY332">
        <v>0.1</v>
      </c>
      <c r="DZ332">
        <v>1</v>
      </c>
      <c r="EA332">
        <v>10</v>
      </c>
      <c r="EB332">
        <f>8*4</f>
        <v>32</v>
      </c>
      <c r="EC332">
        <f>0.06+0.01+0.4+1.7+0.24+0.14+0.96</f>
        <v>3.5100000000000002</v>
      </c>
      <c r="ED332">
        <v>3</v>
      </c>
      <c r="EG332" s="18"/>
      <c r="EY332">
        <v>0</v>
      </c>
      <c r="GJ332" s="16">
        <v>0.25</v>
      </c>
      <c r="GK332" s="16">
        <v>1</v>
      </c>
      <c r="GL332" s="16">
        <v>2</v>
      </c>
      <c r="GM332" s="16"/>
      <c r="GN332" s="16">
        <v>0.55000000000000004</v>
      </c>
      <c r="GO332" s="16"/>
      <c r="GP332" s="16"/>
      <c r="GQ332" s="16"/>
      <c r="GR332" s="16"/>
      <c r="GS332" s="16"/>
      <c r="GT332" s="16"/>
      <c r="GU332" s="16">
        <v>0.55000000000000004</v>
      </c>
      <c r="GV332" s="16">
        <v>0.55000000000000004</v>
      </c>
      <c r="GW332" s="16"/>
      <c r="GX332" s="16"/>
      <c r="GY332" s="16">
        <v>0</v>
      </c>
      <c r="GZ332" s="16">
        <v>0</v>
      </c>
      <c r="HA332" s="16">
        <v>0</v>
      </c>
      <c r="HB332">
        <v>0</v>
      </c>
      <c r="HC332" t="s">
        <v>220</v>
      </c>
      <c r="HD332">
        <v>27</v>
      </c>
      <c r="HE332" s="16">
        <v>54.4</v>
      </c>
      <c r="HF332" s="16">
        <v>80.400000000000006</v>
      </c>
      <c r="HG332" s="16">
        <v>18.100000000000001</v>
      </c>
      <c r="HH332">
        <v>81.88</v>
      </c>
      <c r="HI332" s="17">
        <v>0</v>
      </c>
      <c r="HJ332">
        <v>9.83</v>
      </c>
      <c r="HK332">
        <v>0</v>
      </c>
      <c r="HL332">
        <v>2.14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2.3199999999999998</v>
      </c>
      <c r="HU332">
        <v>19.66</v>
      </c>
      <c r="HV332">
        <v>3.64</v>
      </c>
      <c r="HW332">
        <v>0</v>
      </c>
      <c r="HX332">
        <v>0</v>
      </c>
      <c r="HY332">
        <v>0</v>
      </c>
      <c r="IL332">
        <v>0</v>
      </c>
      <c r="IM332">
        <v>1</v>
      </c>
      <c r="IN332">
        <v>26</v>
      </c>
      <c r="IO332">
        <v>2</v>
      </c>
      <c r="IP332">
        <v>0.05</v>
      </c>
      <c r="IQ332">
        <v>2</v>
      </c>
      <c r="IX332" s="18"/>
      <c r="JP332">
        <v>0</v>
      </c>
      <c r="LA332" s="16">
        <v>2.1</v>
      </c>
      <c r="LB332" s="16">
        <v>1</v>
      </c>
      <c r="LC332" s="16">
        <v>1</v>
      </c>
      <c r="LD332" s="16"/>
      <c r="LE332" s="16">
        <f>0.1+0.76*2+2.02+1.35*2+0.67</f>
        <v>7.01</v>
      </c>
      <c r="LF332" s="16"/>
      <c r="LG332" s="16"/>
      <c r="LH332" s="16"/>
      <c r="LI332" s="16"/>
      <c r="LJ332" s="16"/>
      <c r="LK332" s="16"/>
      <c r="LL332" s="16">
        <v>6.35</v>
      </c>
      <c r="LM332" s="16">
        <v>14.8</v>
      </c>
      <c r="LN332" s="16"/>
      <c r="LO332" s="16"/>
      <c r="LP332" s="16">
        <v>0</v>
      </c>
      <c r="LQ332" s="16">
        <v>0</v>
      </c>
      <c r="LR332" s="16">
        <v>0</v>
      </c>
      <c r="LS332">
        <v>0</v>
      </c>
      <c r="LT332" t="s">
        <v>221</v>
      </c>
      <c r="LU332">
        <v>20.5</v>
      </c>
      <c r="LV332" s="16">
        <v>76.900000000000006</v>
      </c>
      <c r="LW332" s="16">
        <v>80.400000000000006</v>
      </c>
      <c r="LX332" s="16">
        <v>9.1</v>
      </c>
      <c r="LY332">
        <v>88.58</v>
      </c>
      <c r="LZ332">
        <v>10.3</v>
      </c>
      <c r="MA332">
        <v>1.1200000000000001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6.33</v>
      </c>
      <c r="ML332">
        <v>16.97</v>
      </c>
      <c r="MM332">
        <v>0</v>
      </c>
      <c r="MN332">
        <v>0</v>
      </c>
      <c r="MO332">
        <v>4.0999999999999996</v>
      </c>
      <c r="MP332">
        <v>2</v>
      </c>
      <c r="MQ332">
        <v>5</v>
      </c>
      <c r="MR332">
        <v>1</v>
      </c>
      <c r="MW332">
        <v>5</v>
      </c>
      <c r="MX332">
        <v>1</v>
      </c>
      <c r="NC332">
        <v>0</v>
      </c>
      <c r="ND332">
        <v>0</v>
      </c>
      <c r="NO332" s="18"/>
      <c r="OG332">
        <v>0</v>
      </c>
      <c r="PR332" s="16">
        <v>2.2400000000000002</v>
      </c>
      <c r="PS332" s="16">
        <v>1</v>
      </c>
      <c r="PT332" s="16">
        <v>2</v>
      </c>
      <c r="PU332" s="16"/>
      <c r="PV332" s="16">
        <v>4.97</v>
      </c>
      <c r="PW332" s="16"/>
      <c r="PX332" s="16"/>
      <c r="PY332" s="16"/>
      <c r="PZ332" s="16"/>
      <c r="QA332" s="16"/>
      <c r="QB332" s="16"/>
      <c r="QC332" s="16">
        <v>5.0999999999999996</v>
      </c>
      <c r="QD332" s="16">
        <v>5.97</v>
      </c>
      <c r="QE332" s="16"/>
      <c r="QF332" s="16"/>
      <c r="QG332" s="16">
        <v>0</v>
      </c>
      <c r="QH332" s="16">
        <v>0</v>
      </c>
      <c r="QI332" s="16">
        <v>0</v>
      </c>
      <c r="QJ332">
        <v>0</v>
      </c>
      <c r="QK332" t="s">
        <v>222</v>
      </c>
      <c r="QL332">
        <v>32.5</v>
      </c>
      <c r="QM332" s="16">
        <v>96.7</v>
      </c>
      <c r="QN332" s="16">
        <v>80.400000000000006</v>
      </c>
      <c r="QO332" s="16">
        <v>15.1</v>
      </c>
      <c r="QP332">
        <v>52.24</v>
      </c>
      <c r="QQ332">
        <v>45.43</v>
      </c>
      <c r="QR332">
        <v>1.1200000000000001</v>
      </c>
      <c r="QS332">
        <v>0</v>
      </c>
      <c r="QT332">
        <v>1.2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1.2</v>
      </c>
      <c r="RB332">
        <v>15.88</v>
      </c>
      <c r="RC332">
        <v>48.59</v>
      </c>
      <c r="RD332">
        <v>0</v>
      </c>
      <c r="RE332">
        <v>0</v>
      </c>
      <c r="RF332">
        <v>0</v>
      </c>
      <c r="RG332">
        <v>0</v>
      </c>
      <c r="RT332">
        <v>0</v>
      </c>
      <c r="RU332">
        <v>0</v>
      </c>
      <c r="SF332" s="18"/>
      <c r="SX332">
        <v>1</v>
      </c>
      <c r="SY332">
        <v>50</v>
      </c>
      <c r="SZ332">
        <v>2</v>
      </c>
      <c r="TA332">
        <f>3.18+12.73</f>
        <v>15.91</v>
      </c>
      <c r="TB332">
        <v>1</v>
      </c>
      <c r="UI332" s="16">
        <v>5.9</v>
      </c>
      <c r="UJ332" s="16">
        <v>1</v>
      </c>
      <c r="UK332" s="16">
        <v>2</v>
      </c>
      <c r="UL332" s="16"/>
      <c r="UM332" s="16">
        <f>0.09+0.18*3+0.13+0.53+1.07*2+1.34*2+0.17*2+3.18+12.73</f>
        <v>22.36</v>
      </c>
      <c r="UN332" s="16"/>
      <c r="UO332" s="16"/>
      <c r="UP332" s="16"/>
      <c r="UQ332" s="16"/>
      <c r="UR332" s="16"/>
      <c r="US332" s="16"/>
      <c r="UT332" s="16">
        <v>11.45</v>
      </c>
      <c r="UU332" s="16">
        <v>41.19</v>
      </c>
      <c r="UV332" s="16"/>
      <c r="UW332" s="16"/>
      <c r="UX332" s="16">
        <v>0</v>
      </c>
      <c r="UY332" s="16">
        <v>0</v>
      </c>
      <c r="UZ332" s="16">
        <v>0</v>
      </c>
      <c r="VA332">
        <v>0</v>
      </c>
      <c r="VB332" t="s">
        <v>223</v>
      </c>
      <c r="VC332">
        <v>30.5</v>
      </c>
      <c r="VD332" s="16">
        <v>68.8</v>
      </c>
      <c r="VE332" s="16">
        <v>80.400000000000006</v>
      </c>
      <c r="VF332" s="16">
        <v>16.3</v>
      </c>
      <c r="VG332">
        <v>66.28</v>
      </c>
      <c r="VH332">
        <v>20.09</v>
      </c>
      <c r="VI332">
        <v>1.81</v>
      </c>
      <c r="VJ332">
        <v>0</v>
      </c>
      <c r="VK332">
        <v>11.82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13.17</v>
      </c>
      <c r="VT332">
        <v>35.75</v>
      </c>
      <c r="VU332">
        <v>0</v>
      </c>
      <c r="VV332">
        <v>0</v>
      </c>
      <c r="VW332">
        <v>0</v>
      </c>
      <c r="VX332">
        <v>0</v>
      </c>
      <c r="WK332">
        <v>0</v>
      </c>
      <c r="WL332">
        <v>1</v>
      </c>
      <c r="WM332">
        <v>52</v>
      </c>
      <c r="WN332">
        <v>1</v>
      </c>
      <c r="WO332">
        <v>0.01</v>
      </c>
      <c r="WP332">
        <v>2</v>
      </c>
      <c r="WW332" s="18"/>
      <c r="XO332">
        <v>0</v>
      </c>
      <c r="YZ332" s="16">
        <v>5.43</v>
      </c>
      <c r="ZA332" s="16">
        <v>1</v>
      </c>
      <c r="ZB332" s="16">
        <v>1</v>
      </c>
      <c r="ZC332" s="16"/>
      <c r="ZD332" s="16">
        <f>0.09*2+0.07+1.36</f>
        <v>1.61</v>
      </c>
      <c r="ZE332" s="16">
        <v>2</v>
      </c>
      <c r="ZF332" s="16"/>
      <c r="ZG332" s="16">
        <f>4.2+0.09+0.66+0.01+3.18+3.18</f>
        <v>11.32</v>
      </c>
      <c r="ZH332" s="16"/>
      <c r="ZI332" s="16"/>
      <c r="ZJ332" s="16"/>
      <c r="ZK332" s="16">
        <v>8.61</v>
      </c>
      <c r="ZL332" s="16">
        <v>26.91</v>
      </c>
      <c r="ZM332" s="16"/>
      <c r="ZN332" s="16"/>
      <c r="ZO332" s="16">
        <v>0</v>
      </c>
      <c r="ZP332" s="16">
        <v>0</v>
      </c>
      <c r="ZQ332" s="16">
        <v>0</v>
      </c>
      <c r="ZR332">
        <v>0</v>
      </c>
      <c r="ZS332" t="s">
        <v>224</v>
      </c>
      <c r="ZT332">
        <v>39.5</v>
      </c>
      <c r="ZU332" s="16">
        <v>60.8</v>
      </c>
      <c r="ZV332" s="16">
        <v>80.400000000000006</v>
      </c>
      <c r="ZW332" s="16">
        <v>22.9</v>
      </c>
      <c r="ZX332">
        <v>67.010000000000005</v>
      </c>
      <c r="ZY332">
        <v>11.71</v>
      </c>
      <c r="ZZ332">
        <v>16.61</v>
      </c>
      <c r="AAA332">
        <v>0</v>
      </c>
      <c r="AAB332">
        <v>4.67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20.9</v>
      </c>
      <c r="AAK332">
        <v>25.23</v>
      </c>
      <c r="AAL332">
        <v>0.57999999999999996</v>
      </c>
      <c r="AAM332">
        <v>0</v>
      </c>
      <c r="AAN332">
        <v>0</v>
      </c>
      <c r="AAO332">
        <v>0</v>
      </c>
      <c r="ABB332">
        <v>2</v>
      </c>
      <c r="ABC332">
        <v>1</v>
      </c>
      <c r="ABD332">
        <v>103</v>
      </c>
      <c r="ABE332">
        <v>2</v>
      </c>
      <c r="ABF332">
        <f>0.18+0.14</f>
        <v>0.32</v>
      </c>
      <c r="ABG332">
        <v>1</v>
      </c>
      <c r="ABH332">
        <v>68</v>
      </c>
      <c r="ABI332">
        <v>1</v>
      </c>
      <c r="ABJ332">
        <v>0.01</v>
      </c>
      <c r="ABK332">
        <v>1</v>
      </c>
      <c r="ABL332">
        <v>52</v>
      </c>
      <c r="ABM332">
        <v>3</v>
      </c>
      <c r="ABN332" s="18">
        <v>0.05</v>
      </c>
      <c r="ABO332">
        <v>2</v>
      </c>
      <c r="ACF332">
        <v>0</v>
      </c>
      <c r="ADQ332" s="16">
        <v>3.66</v>
      </c>
      <c r="ADR332" s="16">
        <v>1</v>
      </c>
      <c r="ADS332" s="16">
        <v>1</v>
      </c>
      <c r="ADT332" s="16"/>
      <c r="ADU332" s="16">
        <f>2.69*3+1.35*3+0.14*2+0.1</f>
        <v>12.5</v>
      </c>
      <c r="ADV332" s="16">
        <v>2</v>
      </c>
      <c r="ADW332" s="16"/>
      <c r="ADX332" s="16">
        <f>0.66+0.35+0.18+0.14+1.25+1.23</f>
        <v>3.81</v>
      </c>
      <c r="ADY332" s="16"/>
      <c r="ADZ332" s="16"/>
      <c r="AEA332" s="16"/>
      <c r="AEB332" s="16">
        <v>10.050000000000001</v>
      </c>
      <c r="AEC332" s="16">
        <v>27.11</v>
      </c>
      <c r="AED332" s="16"/>
      <c r="AEE332" s="16"/>
      <c r="AEF332" s="16">
        <v>0</v>
      </c>
      <c r="AEG332" s="16">
        <v>0</v>
      </c>
      <c r="AEH332" s="16">
        <v>0</v>
      </c>
      <c r="AEI332">
        <v>0</v>
      </c>
      <c r="AEJ332" t="s">
        <v>225</v>
      </c>
      <c r="AEK332">
        <v>47</v>
      </c>
      <c r="AEL332" s="16">
        <v>72.3</v>
      </c>
      <c r="AEM332" s="16">
        <v>80.400000000000006</v>
      </c>
      <c r="AEN332" s="16">
        <v>18</v>
      </c>
      <c r="AEO332">
        <v>70.55</v>
      </c>
      <c r="AEP332">
        <v>6.81</v>
      </c>
      <c r="AEQ332">
        <v>3.09</v>
      </c>
      <c r="AER332">
        <v>0</v>
      </c>
      <c r="AES332">
        <v>19.55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18.07</v>
      </c>
      <c r="AFB332">
        <v>30.57</v>
      </c>
      <c r="AFC332">
        <v>7.61</v>
      </c>
      <c r="AFD332">
        <v>0</v>
      </c>
      <c r="AFE332">
        <v>14</v>
      </c>
      <c r="AFF332">
        <v>2</v>
      </c>
      <c r="AFG332">
        <v>5</v>
      </c>
      <c r="AFH332">
        <v>4.47</v>
      </c>
      <c r="AFJ332">
        <v>7</v>
      </c>
      <c r="AFK332">
        <v>5.15</v>
      </c>
      <c r="AFM332">
        <v>5</v>
      </c>
      <c r="AFN332">
        <v>4.47</v>
      </c>
      <c r="AFP332">
        <v>7</v>
      </c>
      <c r="AFQ332">
        <v>5.15</v>
      </c>
      <c r="AFS332">
        <v>0</v>
      </c>
      <c r="AFT332">
        <v>0</v>
      </c>
      <c r="AGE332" s="18"/>
      <c r="AGW332">
        <v>0</v>
      </c>
      <c r="AIH332" s="16">
        <v>4.21</v>
      </c>
      <c r="AII332" s="16">
        <v>1</v>
      </c>
      <c r="AIJ332" s="16">
        <v>2</v>
      </c>
      <c r="AIK332" s="16"/>
      <c r="AIL332" s="16">
        <f>7.46+1.59+0.6</f>
        <v>9.65</v>
      </c>
      <c r="AIM332" s="16"/>
      <c r="AIN332" s="16"/>
      <c r="AIO332" s="16"/>
      <c r="AIP332" s="16"/>
      <c r="AIQ332" s="16"/>
      <c r="AIR332" s="16"/>
      <c r="AIS332" s="16">
        <v>10.63</v>
      </c>
      <c r="AIT332" s="16">
        <v>36.380000000000003</v>
      </c>
      <c r="AIU332" s="16"/>
      <c r="AIV332" s="16"/>
      <c r="AIW332" s="16">
        <v>0</v>
      </c>
      <c r="AIX332" s="16">
        <v>0</v>
      </c>
      <c r="AIY332" s="16">
        <v>0</v>
      </c>
      <c r="AIZ332">
        <v>0</v>
      </c>
      <c r="AJA332" t="s">
        <v>226</v>
      </c>
      <c r="AJB332">
        <v>19</v>
      </c>
      <c r="AJC332" s="16">
        <v>82.6</v>
      </c>
      <c r="AJD332" s="16">
        <v>80.400000000000006</v>
      </c>
      <c r="AJE332" s="16">
        <v>7.7</v>
      </c>
      <c r="AJF332">
        <v>86.83</v>
      </c>
      <c r="AJG332">
        <v>12.69</v>
      </c>
      <c r="AJH332">
        <v>0</v>
      </c>
      <c r="AJI332">
        <v>0</v>
      </c>
      <c r="AJJ332">
        <v>0.48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7.16</v>
      </c>
      <c r="AJS332">
        <v>10.76</v>
      </c>
      <c r="AJT332">
        <v>0</v>
      </c>
      <c r="AJU332">
        <v>0</v>
      </c>
      <c r="AJV332">
        <v>3.4</v>
      </c>
      <c r="AJW332">
        <v>2</v>
      </c>
      <c r="AJX332">
        <v>11.9</v>
      </c>
      <c r="AJY332">
        <v>0.48</v>
      </c>
      <c r="AKD332">
        <v>11.9</v>
      </c>
      <c r="AKE332">
        <v>0.48</v>
      </c>
      <c r="AKJ332">
        <v>0</v>
      </c>
      <c r="AKK332">
        <v>1</v>
      </c>
      <c r="AKL332">
        <v>34</v>
      </c>
      <c r="AKM332">
        <v>2</v>
      </c>
      <c r="AKN332">
        <f>0.84*2</f>
        <v>1.68</v>
      </c>
      <c r="AKO332">
        <v>1</v>
      </c>
      <c r="AKV332" s="18"/>
      <c r="ALN332">
        <v>0</v>
      </c>
    </row>
    <row r="333" spans="1:1024" x14ac:dyDescent="0.2">
      <c r="A333" s="1" t="s">
        <v>919</v>
      </c>
      <c r="B333" s="12">
        <v>42928</v>
      </c>
      <c r="C333">
        <v>1</v>
      </c>
      <c r="D333" s="13">
        <v>42814</v>
      </c>
      <c r="E333" s="12">
        <v>33428</v>
      </c>
      <c r="F333" s="14">
        <f t="shared" si="120"/>
        <v>26.009582477754961</v>
      </c>
      <c r="G333" s="14">
        <f t="shared" si="121"/>
        <v>0.31211498973305957</v>
      </c>
      <c r="H333" s="19" t="s">
        <v>217</v>
      </c>
      <c r="I333" s="15" t="s">
        <v>218</v>
      </c>
      <c r="J333" s="15" t="s">
        <v>183</v>
      </c>
      <c r="K333" s="15" t="s">
        <v>913</v>
      </c>
      <c r="L333" s="19">
        <v>45</v>
      </c>
      <c r="M333">
        <v>1.55</v>
      </c>
      <c r="N333" s="16">
        <f t="shared" si="122"/>
        <v>18.730489073881373</v>
      </c>
      <c r="O333" s="19">
        <v>0</v>
      </c>
      <c r="P333" s="19">
        <v>0</v>
      </c>
      <c r="Q333" s="19">
        <v>0</v>
      </c>
      <c r="R333" s="26">
        <v>0</v>
      </c>
      <c r="S333" s="26">
        <v>0</v>
      </c>
      <c r="T333" s="26">
        <v>0</v>
      </c>
      <c r="U333" s="19">
        <v>0</v>
      </c>
      <c r="V333" s="19">
        <v>0</v>
      </c>
      <c r="W333" s="19">
        <v>0</v>
      </c>
      <c r="X333" s="19">
        <v>0</v>
      </c>
      <c r="Y333" s="19">
        <v>0</v>
      </c>
      <c r="Z333" s="19">
        <v>0</v>
      </c>
      <c r="AA333" s="19">
        <v>0</v>
      </c>
      <c r="AB333" s="19">
        <v>0</v>
      </c>
      <c r="AC333" s="19">
        <v>0</v>
      </c>
      <c r="AD333" s="19">
        <v>0</v>
      </c>
      <c r="AE333" s="19">
        <v>1</v>
      </c>
      <c r="AF333" s="19">
        <v>0</v>
      </c>
      <c r="AG333" s="19">
        <v>0</v>
      </c>
      <c r="AH333" s="19">
        <v>0</v>
      </c>
      <c r="AI333" s="19">
        <v>0</v>
      </c>
      <c r="AJ333" s="19">
        <v>0</v>
      </c>
      <c r="AK333" s="19">
        <v>0</v>
      </c>
      <c r="AL333" s="19">
        <v>0</v>
      </c>
      <c r="AM333" s="19">
        <v>0</v>
      </c>
      <c r="AN333" s="19">
        <v>0</v>
      </c>
      <c r="AO333" s="19">
        <v>0</v>
      </c>
      <c r="AP333" s="19">
        <v>0</v>
      </c>
      <c r="AQ333" s="19">
        <v>0</v>
      </c>
      <c r="AR333" s="19">
        <v>0</v>
      </c>
      <c r="AS333" s="19">
        <v>0</v>
      </c>
      <c r="AT333" s="19">
        <v>0</v>
      </c>
      <c r="AU333" s="19">
        <v>0</v>
      </c>
      <c r="AV333" s="19">
        <v>0</v>
      </c>
      <c r="AW333" s="19">
        <v>0</v>
      </c>
      <c r="AX333" s="19">
        <v>0</v>
      </c>
      <c r="AY333" s="19">
        <v>0</v>
      </c>
      <c r="AZ333" s="19">
        <v>0</v>
      </c>
      <c r="BA333" s="19">
        <v>0</v>
      </c>
      <c r="BB333" s="19">
        <v>0</v>
      </c>
      <c r="BC333" s="19">
        <v>0</v>
      </c>
      <c r="BD333" s="19">
        <v>0</v>
      </c>
      <c r="BE333" s="19">
        <v>0</v>
      </c>
      <c r="BF333" s="19">
        <v>0</v>
      </c>
      <c r="BG333" s="19">
        <v>0</v>
      </c>
      <c r="BH333" s="19">
        <v>0</v>
      </c>
      <c r="BI333" s="19">
        <v>0</v>
      </c>
      <c r="BJ333" s="19">
        <v>0</v>
      </c>
      <c r="BK333" s="19">
        <v>0</v>
      </c>
      <c r="BL333" s="19">
        <v>0</v>
      </c>
      <c r="BM333" s="19">
        <v>0</v>
      </c>
      <c r="BN333" s="19">
        <v>0</v>
      </c>
      <c r="BO333" s="19">
        <v>0</v>
      </c>
      <c r="BP333" s="19">
        <v>0</v>
      </c>
      <c r="BQ333" s="19">
        <v>0</v>
      </c>
      <c r="BR333" s="19">
        <v>1</v>
      </c>
      <c r="BS333" s="19">
        <v>1</v>
      </c>
      <c r="BT333" s="19">
        <v>2</v>
      </c>
      <c r="BU333" s="19">
        <v>5</v>
      </c>
      <c r="BV333" s="19">
        <v>1</v>
      </c>
      <c r="BW333" s="19">
        <v>1</v>
      </c>
      <c r="BX333" s="19">
        <v>4</v>
      </c>
      <c r="BY333" s="19">
        <v>5</v>
      </c>
      <c r="BZ333" s="19">
        <v>5</v>
      </c>
      <c r="CA333" s="19">
        <v>5</v>
      </c>
      <c r="CB333" s="19">
        <v>5</v>
      </c>
      <c r="CC333" s="19">
        <v>5</v>
      </c>
      <c r="CD333" s="19">
        <v>4</v>
      </c>
      <c r="CE333" s="19">
        <v>5</v>
      </c>
      <c r="CF333" s="19">
        <v>5</v>
      </c>
      <c r="CG333" s="19">
        <v>5</v>
      </c>
      <c r="CH333" s="19">
        <v>5</v>
      </c>
      <c r="CI333" s="19">
        <v>5</v>
      </c>
      <c r="CJ333" s="19">
        <v>5</v>
      </c>
      <c r="CK333" s="19">
        <v>8</v>
      </c>
      <c r="CL333" t="s">
        <v>224</v>
      </c>
      <c r="CM333">
        <v>39.5</v>
      </c>
      <c r="CN333" s="16">
        <v>60.8</v>
      </c>
      <c r="CO333" s="16">
        <v>80.400000000000006</v>
      </c>
      <c r="CP333" s="16">
        <v>22.9</v>
      </c>
      <c r="CQ333">
        <v>67.010000000000005</v>
      </c>
      <c r="CR333">
        <v>11.71</v>
      </c>
      <c r="CS333">
        <v>16.61</v>
      </c>
      <c r="CT333">
        <v>0</v>
      </c>
      <c r="CU333">
        <v>4.67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20.9</v>
      </c>
      <c r="DD333">
        <v>25.23</v>
      </c>
      <c r="DE333">
        <v>0.57999999999999996</v>
      </c>
      <c r="DF333">
        <v>0</v>
      </c>
      <c r="DG333">
        <v>0</v>
      </c>
      <c r="DH333">
        <v>0</v>
      </c>
      <c r="DU333">
        <v>2</v>
      </c>
      <c r="DV333">
        <v>1</v>
      </c>
      <c r="DW333">
        <v>103</v>
      </c>
      <c r="DX333">
        <v>2</v>
      </c>
      <c r="DY333">
        <f>0.18+0.14</f>
        <v>0.32</v>
      </c>
      <c r="DZ333">
        <v>1</v>
      </c>
      <c r="EA333">
        <v>68</v>
      </c>
      <c r="EB333">
        <v>1</v>
      </c>
      <c r="EC333">
        <v>0.01</v>
      </c>
      <c r="ED333">
        <v>1</v>
      </c>
      <c r="EE333">
        <v>52</v>
      </c>
      <c r="EF333">
        <v>3</v>
      </c>
      <c r="EG333" s="18">
        <v>0.05</v>
      </c>
      <c r="EH333">
        <v>2</v>
      </c>
      <c r="EY333">
        <v>0</v>
      </c>
      <c r="GJ333" s="16">
        <v>3.66</v>
      </c>
      <c r="GK333" s="16">
        <v>1</v>
      </c>
      <c r="GL333" s="16">
        <v>1</v>
      </c>
      <c r="GM333" s="16"/>
      <c r="GN333" s="16">
        <f>2.69*3+1.35*3+0.14*2+0.1</f>
        <v>12.5</v>
      </c>
      <c r="GO333" s="16">
        <v>2</v>
      </c>
      <c r="GP333" s="16"/>
      <c r="GQ333" s="16">
        <f>0.66+0.35+0.18+0.14+1.25+1.23</f>
        <v>3.81</v>
      </c>
      <c r="GR333" s="16"/>
      <c r="GS333" s="16"/>
      <c r="GT333" s="16"/>
      <c r="GU333" s="16">
        <v>10.050000000000001</v>
      </c>
      <c r="GV333" s="16">
        <v>27.11</v>
      </c>
      <c r="GW333" s="16"/>
      <c r="GX333" s="16"/>
      <c r="GY333" s="16">
        <v>0</v>
      </c>
      <c r="GZ333" s="16">
        <v>0</v>
      </c>
      <c r="HA333" s="16">
        <v>0</v>
      </c>
      <c r="HB333">
        <v>0</v>
      </c>
      <c r="HC333" t="s">
        <v>225</v>
      </c>
      <c r="HD333">
        <v>47</v>
      </c>
      <c r="HE333" s="16">
        <v>72.3</v>
      </c>
      <c r="HF333" s="16">
        <v>80.400000000000006</v>
      </c>
      <c r="HG333" s="16">
        <v>18</v>
      </c>
      <c r="HH333">
        <v>70.55</v>
      </c>
      <c r="HI333">
        <v>6.81</v>
      </c>
      <c r="HJ333">
        <v>3.09</v>
      </c>
      <c r="HK333">
        <v>0</v>
      </c>
      <c r="HL333">
        <v>19.55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18.07</v>
      </c>
      <c r="HU333">
        <v>30.57</v>
      </c>
      <c r="HV333">
        <v>7.61</v>
      </c>
      <c r="HW333">
        <v>0</v>
      </c>
      <c r="HX333">
        <v>14</v>
      </c>
      <c r="HY333">
        <v>2</v>
      </c>
      <c r="HZ333">
        <v>5</v>
      </c>
      <c r="IA333">
        <v>4.47</v>
      </c>
      <c r="IC333">
        <v>7</v>
      </c>
      <c r="ID333">
        <v>5.15</v>
      </c>
      <c r="IF333">
        <v>5</v>
      </c>
      <c r="IG333">
        <v>4.47</v>
      </c>
      <c r="II333">
        <v>7</v>
      </c>
      <c r="IJ333">
        <v>5.15</v>
      </c>
      <c r="IL333">
        <v>0</v>
      </c>
      <c r="IM333">
        <v>0</v>
      </c>
      <c r="IX333" s="18"/>
      <c r="JP333">
        <v>0</v>
      </c>
      <c r="LA333" s="16">
        <v>4.21</v>
      </c>
      <c r="LB333" s="16">
        <v>1</v>
      </c>
      <c r="LC333" s="16">
        <v>2</v>
      </c>
      <c r="LD333" s="16"/>
      <c r="LE333" s="16">
        <f>7.46+1.59+0.6</f>
        <v>9.65</v>
      </c>
      <c r="LF333" s="16"/>
      <c r="LG333" s="16"/>
      <c r="LH333" s="16"/>
      <c r="LI333" s="16"/>
      <c r="LJ333" s="16"/>
      <c r="LK333" s="16"/>
      <c r="LL333" s="16">
        <v>10.63</v>
      </c>
      <c r="LM333" s="16">
        <v>36.380000000000003</v>
      </c>
      <c r="LN333" s="16"/>
      <c r="LO333" s="16"/>
      <c r="LP333" s="16">
        <v>0</v>
      </c>
      <c r="LQ333" s="16">
        <v>0</v>
      </c>
      <c r="LR333" s="16">
        <v>0</v>
      </c>
      <c r="LS333">
        <v>0</v>
      </c>
      <c r="LT333" t="s">
        <v>226</v>
      </c>
      <c r="LU333">
        <v>19</v>
      </c>
      <c r="LV333" s="16">
        <v>82.6</v>
      </c>
      <c r="LW333" s="16">
        <v>80.400000000000006</v>
      </c>
      <c r="LX333" s="16">
        <v>7.7</v>
      </c>
      <c r="LY333">
        <v>86.83</v>
      </c>
      <c r="LZ333">
        <v>12.69</v>
      </c>
      <c r="MA333">
        <v>0</v>
      </c>
      <c r="MB333">
        <v>0</v>
      </c>
      <c r="MC333">
        <v>0.48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7.16</v>
      </c>
      <c r="ML333">
        <v>10.76</v>
      </c>
      <c r="MM333">
        <v>0</v>
      </c>
      <c r="MN333">
        <v>0</v>
      </c>
      <c r="MO333">
        <v>3.4</v>
      </c>
      <c r="MP333">
        <v>2</v>
      </c>
      <c r="MQ333">
        <v>11.9</v>
      </c>
      <c r="MR333">
        <v>0.48</v>
      </c>
      <c r="MW333">
        <v>11.9</v>
      </c>
      <c r="MX333">
        <v>0.48</v>
      </c>
      <c r="NC333">
        <v>0</v>
      </c>
      <c r="ND333">
        <v>1</v>
      </c>
      <c r="NE333">
        <v>34</v>
      </c>
      <c r="NF333">
        <v>2</v>
      </c>
      <c r="NG333">
        <f>0.84*2</f>
        <v>1.68</v>
      </c>
      <c r="NH333">
        <v>1</v>
      </c>
      <c r="NO333" s="18"/>
      <c r="OG333">
        <v>0</v>
      </c>
      <c r="PR333" s="16">
        <v>3.25</v>
      </c>
      <c r="PS333" s="16">
        <v>1</v>
      </c>
      <c r="PT333" s="16">
        <v>2</v>
      </c>
      <c r="PU333" s="16"/>
      <c r="PV333" s="16">
        <f>1.59*2+0.21*2</f>
        <v>3.6</v>
      </c>
      <c r="PW333" s="16"/>
      <c r="PX333" s="16"/>
      <c r="PY333" s="16"/>
      <c r="PZ333" s="16"/>
      <c r="QA333" s="16"/>
      <c r="QB333" s="16"/>
      <c r="QC333" s="16">
        <v>4.26</v>
      </c>
      <c r="QD333" s="16">
        <v>4.25</v>
      </c>
      <c r="QE333" s="16"/>
      <c r="QF333" s="16"/>
      <c r="QG333" s="16">
        <v>0</v>
      </c>
      <c r="QH333" s="16">
        <v>0</v>
      </c>
      <c r="QI333" s="16">
        <v>0</v>
      </c>
      <c r="QJ333">
        <v>0</v>
      </c>
      <c r="QK333" t="s">
        <v>519</v>
      </c>
      <c r="QL333">
        <v>17.5</v>
      </c>
      <c r="QM333" s="16">
        <v>85.1</v>
      </c>
      <c r="QN333" s="16">
        <v>80.400000000000006</v>
      </c>
      <c r="QO333" s="16">
        <v>9.6</v>
      </c>
      <c r="QP333">
        <v>86.79</v>
      </c>
      <c r="QQ333">
        <v>5.81</v>
      </c>
      <c r="QR333">
        <v>6.87</v>
      </c>
      <c r="QS333">
        <v>0</v>
      </c>
      <c r="QT333">
        <v>0.52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13.81</v>
      </c>
      <c r="RC333">
        <v>2.99</v>
      </c>
      <c r="RD333">
        <v>0</v>
      </c>
      <c r="RE333">
        <v>0</v>
      </c>
      <c r="RF333">
        <v>3.4</v>
      </c>
      <c r="RG333">
        <v>2</v>
      </c>
      <c r="RH333">
        <v>11.9</v>
      </c>
      <c r="RI333">
        <v>0.48</v>
      </c>
      <c r="RN333">
        <v>11.9</v>
      </c>
      <c r="RO333">
        <v>0.48</v>
      </c>
      <c r="RT333">
        <v>0</v>
      </c>
      <c r="RU333">
        <v>1</v>
      </c>
      <c r="RV333">
        <v>34</v>
      </c>
      <c r="RW333">
        <v>2</v>
      </c>
      <c r="RX333">
        <f>0.84*2</f>
        <v>1.68</v>
      </c>
      <c r="RY333">
        <v>1</v>
      </c>
      <c r="SF333" s="18"/>
      <c r="SX333">
        <v>0</v>
      </c>
      <c r="UI333" s="16">
        <v>0.81</v>
      </c>
      <c r="UJ333" s="16">
        <v>1</v>
      </c>
      <c r="UK333" s="16">
        <v>2</v>
      </c>
      <c r="UL333" s="16"/>
      <c r="UM333" s="16">
        <f>1.35*2</f>
        <v>2.7</v>
      </c>
      <c r="UN333" s="16"/>
      <c r="UO333" s="16"/>
      <c r="UP333" s="16"/>
      <c r="UQ333" s="16"/>
      <c r="UR333" s="16"/>
      <c r="US333" s="16"/>
      <c r="UT333" s="16">
        <v>3.67</v>
      </c>
      <c r="UU333" s="16">
        <v>3.18</v>
      </c>
      <c r="UV333" s="16"/>
      <c r="UW333" s="16"/>
      <c r="UX333" s="16">
        <v>0</v>
      </c>
      <c r="UY333" s="16">
        <v>0</v>
      </c>
      <c r="UZ333" s="16">
        <v>0</v>
      </c>
      <c r="VA333">
        <v>0</v>
      </c>
      <c r="VB333" t="s">
        <v>520</v>
      </c>
      <c r="VC333">
        <v>40</v>
      </c>
      <c r="VD333" s="16">
        <v>79.7</v>
      </c>
      <c r="VE333" s="16">
        <v>80.400000000000006</v>
      </c>
      <c r="VF333" s="16">
        <v>13.2</v>
      </c>
      <c r="VG333">
        <v>64.849999999999994</v>
      </c>
      <c r="VH333">
        <v>35.15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4.9800000000000004</v>
      </c>
      <c r="VT333">
        <v>32.96</v>
      </c>
      <c r="VU333">
        <v>0</v>
      </c>
      <c r="VV333">
        <v>0</v>
      </c>
      <c r="VW333">
        <v>0</v>
      </c>
      <c r="VX333">
        <v>0</v>
      </c>
      <c r="WK333">
        <v>0</v>
      </c>
      <c r="WL333">
        <v>1</v>
      </c>
      <c r="WM333">
        <v>34</v>
      </c>
      <c r="WN333">
        <v>7</v>
      </c>
      <c r="WO333">
        <f>1+1.59+1.2*2</f>
        <v>4.99</v>
      </c>
      <c r="WP333">
        <v>1</v>
      </c>
      <c r="WW333" s="18"/>
      <c r="XO333">
        <v>0</v>
      </c>
      <c r="YZ333" s="16">
        <v>8.98</v>
      </c>
      <c r="ZA333" s="16">
        <v>1</v>
      </c>
      <c r="ZB333" s="16">
        <v>2</v>
      </c>
      <c r="ZC333" s="16"/>
      <c r="ZD333" s="16">
        <f>4.43*3+3.59+13.29</f>
        <v>30.169999999999998</v>
      </c>
      <c r="ZE333" s="16"/>
      <c r="ZF333" s="16"/>
      <c r="ZG333" s="16"/>
      <c r="ZH333" s="16"/>
      <c r="ZI333" s="16"/>
      <c r="ZJ333" s="16"/>
      <c r="ZK333" s="16">
        <v>17.43</v>
      </c>
      <c r="ZL333" s="16">
        <v>30.17</v>
      </c>
      <c r="ZM333" s="16"/>
      <c r="ZN333" s="16"/>
      <c r="ZO333" s="16">
        <v>0</v>
      </c>
      <c r="ZP333" s="16">
        <v>0</v>
      </c>
      <c r="ZQ333" s="16">
        <v>0</v>
      </c>
      <c r="ZR333">
        <v>0</v>
      </c>
      <c r="ZS333" t="s">
        <v>521</v>
      </c>
      <c r="ZT333">
        <v>39.5</v>
      </c>
      <c r="ZU333" s="16">
        <v>83.3</v>
      </c>
      <c r="ZV333" s="16">
        <v>80.400000000000006</v>
      </c>
      <c r="ZW333" s="16">
        <v>13.1</v>
      </c>
      <c r="ZX333">
        <v>63.39</v>
      </c>
      <c r="ZY333">
        <v>36.61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7.53</v>
      </c>
      <c r="AAK333">
        <v>32.96</v>
      </c>
      <c r="AAL333">
        <v>0</v>
      </c>
      <c r="AAM333">
        <v>0</v>
      </c>
      <c r="AAN333">
        <v>0</v>
      </c>
      <c r="AAO333">
        <v>0</v>
      </c>
      <c r="ABB333">
        <v>0</v>
      </c>
      <c r="ABC333">
        <v>1</v>
      </c>
      <c r="ABD333">
        <v>34</v>
      </c>
      <c r="ABE333">
        <v>7</v>
      </c>
      <c r="ABF333">
        <f>1+1.59+1.2*2</f>
        <v>4.99</v>
      </c>
      <c r="ABG333">
        <v>1</v>
      </c>
      <c r="ABN333" s="18"/>
      <c r="ACF333">
        <v>0</v>
      </c>
      <c r="ADQ333" s="16">
        <v>8.98</v>
      </c>
      <c r="ADR333" s="16">
        <v>1</v>
      </c>
      <c r="ADS333" s="16">
        <v>2</v>
      </c>
      <c r="ADT333" s="16"/>
      <c r="ADU333" s="16">
        <f>4.43*3+13.29+3.59</f>
        <v>30.169999999999998</v>
      </c>
      <c r="ADV333" s="16"/>
      <c r="ADW333" s="16"/>
      <c r="ADX333" s="16"/>
      <c r="ADY333" s="16"/>
      <c r="ADZ333" s="16"/>
      <c r="AEA333" s="16"/>
      <c r="AEB333" s="16">
        <v>17.43</v>
      </c>
      <c r="AEC333" s="16">
        <v>30.17</v>
      </c>
      <c r="AED333" s="16"/>
      <c r="AEE333" s="16"/>
      <c r="AEF333" s="16">
        <v>0</v>
      </c>
      <c r="AEG333" s="16">
        <v>0</v>
      </c>
      <c r="AEH333" s="16">
        <v>0</v>
      </c>
      <c r="AEI333">
        <v>0</v>
      </c>
      <c r="AEJ333" s="34"/>
      <c r="AEK333" s="15"/>
      <c r="AEL333" s="15"/>
      <c r="AEN333" s="34"/>
      <c r="AEO333" s="34"/>
      <c r="AER333" s="34"/>
      <c r="AES333" s="15"/>
      <c r="AET333" s="15"/>
      <c r="AEV333" s="34"/>
      <c r="AEW333" s="34"/>
      <c r="AEZ333" s="34"/>
      <c r="AFA333" s="15"/>
      <c r="AFB333" s="15"/>
      <c r="AFD333" s="34"/>
      <c r="AFE333" s="34"/>
      <c r="AFH333" s="34"/>
      <c r="AFI333" s="15"/>
      <c r="AFJ333" s="15"/>
      <c r="AFL333" s="34"/>
      <c r="AFM333" s="34"/>
      <c r="AFP333" s="34"/>
      <c r="AFQ333" s="15"/>
      <c r="AFR333" s="15"/>
      <c r="AFT333" s="34"/>
      <c r="AFU333" s="34"/>
      <c r="AFX333" s="34"/>
      <c r="AFY333" s="15"/>
      <c r="AFZ333" s="15"/>
      <c r="AGB333" s="34"/>
      <c r="AGC333" s="34"/>
      <c r="AGF333" s="34"/>
      <c r="AGG333" s="15"/>
      <c r="AGH333" s="15"/>
      <c r="AGJ333" s="34"/>
      <c r="AGK333" s="34"/>
      <c r="AGN333" s="34"/>
      <c r="AGO333" s="15"/>
      <c r="AGP333" s="15"/>
      <c r="AGR333" s="34"/>
      <c r="AGS333" s="34"/>
      <c r="AGV333" s="34"/>
      <c r="AGW333" s="15"/>
      <c r="AGX333" s="15"/>
      <c r="AGZ333" s="34"/>
      <c r="AHA333" s="34"/>
      <c r="AHD333" s="34"/>
      <c r="AHE333" s="15"/>
      <c r="AHF333" s="15"/>
      <c r="AHH333" s="34"/>
      <c r="AHI333" s="34"/>
      <c r="AHL333" s="34"/>
      <c r="AHM333" s="15"/>
      <c r="AHN333" s="15"/>
      <c r="AHP333" s="34"/>
      <c r="AHQ333" s="34"/>
      <c r="AHT333" s="34"/>
      <c r="AHU333" s="15"/>
      <c r="AHV333" s="15"/>
      <c r="AHX333" s="34"/>
      <c r="AHY333" s="34"/>
      <c r="AIB333" s="34"/>
      <c r="AIC333" s="15"/>
      <c r="AID333" s="15"/>
      <c r="AIF333" s="34"/>
      <c r="AIG333" s="34"/>
      <c r="AIJ333" s="34"/>
      <c r="AIK333" s="15"/>
      <c r="AIL333" s="15"/>
      <c r="AIN333" s="34"/>
      <c r="AIO333" s="34"/>
      <c r="AIR333" s="34"/>
      <c r="AIS333" s="15"/>
      <c r="AIT333" s="15"/>
      <c r="AIV333" s="34"/>
      <c r="AIW333" s="34"/>
      <c r="AIZ333" s="34"/>
      <c r="AJA333" s="15"/>
      <c r="AJB333" s="15"/>
      <c r="AJD333" s="34"/>
      <c r="AJE333" s="34"/>
      <c r="AJH333" s="34"/>
      <c r="AJI333" s="15"/>
      <c r="AJJ333" s="15"/>
      <c r="AJL333" s="34"/>
      <c r="AJM333" s="34"/>
      <c r="AJP333" s="34"/>
      <c r="AJQ333" s="15"/>
      <c r="AJR333" s="15"/>
      <c r="AJT333" s="34"/>
      <c r="AJU333" s="34"/>
      <c r="AJX333" s="34"/>
      <c r="AJY333" s="15"/>
      <c r="AJZ333" s="15"/>
      <c r="AKB333" s="34"/>
      <c r="AKC333" s="34"/>
      <c r="AKF333" s="34"/>
      <c r="AKG333" s="15"/>
      <c r="AKH333" s="15"/>
      <c r="AKJ333" s="34"/>
      <c r="AKK333" s="34"/>
      <c r="AKN333" s="34"/>
      <c r="AKO333" s="15"/>
      <c r="AKP333" s="15"/>
      <c r="AKR333" s="34"/>
      <c r="AKS333" s="34"/>
      <c r="AKV333" s="34"/>
      <c r="AKW333" s="15"/>
      <c r="AKX333" s="15"/>
      <c r="AKZ333" s="34"/>
      <c r="ALA333" s="34"/>
      <c r="ALD333" s="34"/>
      <c r="ALE333" s="15"/>
      <c r="ALF333" s="15"/>
      <c r="ALH333" s="34"/>
      <c r="ALI333" s="34"/>
      <c r="ALL333" s="34"/>
      <c r="ALM333" s="15"/>
      <c r="ALN333" s="15"/>
      <c r="ALP333" s="34"/>
      <c r="ALQ333" s="34"/>
      <c r="ALT333" s="34"/>
      <c r="ALU333" s="15"/>
      <c r="ALV333" s="15"/>
      <c r="ALX333" s="34"/>
      <c r="ALY333" s="34"/>
      <c r="AMB333" s="34"/>
      <c r="AMC333" s="15"/>
      <c r="AMD333" s="15"/>
      <c r="AMF333" s="34"/>
      <c r="AMG333" s="34"/>
      <c r="AMJ333" s="34"/>
    </row>
    <row r="334" spans="1:1024" x14ac:dyDescent="0.2">
      <c r="A334" s="1" t="s">
        <v>920</v>
      </c>
      <c r="B334" s="12">
        <v>42933</v>
      </c>
      <c r="C334">
        <v>2</v>
      </c>
      <c r="D334" s="13">
        <v>42797</v>
      </c>
      <c r="E334" s="12">
        <v>32660</v>
      </c>
      <c r="F334" s="14">
        <f t="shared" si="120"/>
        <v>28.125941136208077</v>
      </c>
      <c r="G334" s="14">
        <f t="shared" si="121"/>
        <v>0.37234770704996578</v>
      </c>
      <c r="H334" s="19" t="s">
        <v>217</v>
      </c>
      <c r="I334" s="15" t="s">
        <v>218</v>
      </c>
      <c r="J334" s="15" t="s">
        <v>183</v>
      </c>
      <c r="K334" s="15">
        <v>4</v>
      </c>
      <c r="L334" s="19">
        <v>85</v>
      </c>
      <c r="M334">
        <v>1.96</v>
      </c>
      <c r="N334" s="16">
        <f t="shared" si="122"/>
        <v>22.12619741774261</v>
      </c>
      <c r="O334" s="19">
        <v>0</v>
      </c>
      <c r="P334" s="19">
        <v>0</v>
      </c>
      <c r="Q334" s="19">
        <v>0</v>
      </c>
      <c r="R334" s="26">
        <v>0</v>
      </c>
      <c r="S334" s="26">
        <v>0</v>
      </c>
      <c r="T334" s="26">
        <v>0</v>
      </c>
      <c r="U334" s="19">
        <v>0</v>
      </c>
      <c r="V334" s="19">
        <v>0</v>
      </c>
      <c r="W334" s="19">
        <v>0</v>
      </c>
      <c r="X334" s="19">
        <v>0</v>
      </c>
      <c r="Y334" s="19">
        <v>1</v>
      </c>
      <c r="Z334" s="19">
        <v>1</v>
      </c>
      <c r="AA334" s="19">
        <v>60</v>
      </c>
      <c r="AB334" s="19" t="s">
        <v>349</v>
      </c>
      <c r="AC334" s="19">
        <v>1</v>
      </c>
      <c r="AD334" s="19">
        <v>10</v>
      </c>
      <c r="AE334" s="19">
        <v>0</v>
      </c>
      <c r="AF334" s="19">
        <v>0</v>
      </c>
      <c r="AG334" s="19">
        <v>0</v>
      </c>
      <c r="AH334" s="19">
        <v>0</v>
      </c>
      <c r="AI334" s="19">
        <v>0</v>
      </c>
      <c r="AJ334" s="19">
        <v>0</v>
      </c>
      <c r="AK334" s="19">
        <v>0</v>
      </c>
      <c r="AL334" s="19">
        <v>0</v>
      </c>
      <c r="AM334" s="19">
        <v>0</v>
      </c>
      <c r="AN334" s="19">
        <v>0</v>
      </c>
      <c r="AO334" s="19">
        <v>0</v>
      </c>
      <c r="AP334" s="19">
        <v>0</v>
      </c>
      <c r="AQ334" s="19">
        <v>0</v>
      </c>
      <c r="AR334" s="19">
        <v>0</v>
      </c>
      <c r="AS334" s="19">
        <v>0</v>
      </c>
      <c r="AT334" s="19">
        <v>0</v>
      </c>
      <c r="AU334" s="19">
        <v>0</v>
      </c>
      <c r="AV334" s="19">
        <v>0</v>
      </c>
      <c r="AW334" s="19">
        <v>0</v>
      </c>
      <c r="AX334" s="19">
        <v>0</v>
      </c>
      <c r="AY334" s="19">
        <v>0</v>
      </c>
      <c r="AZ334" s="19">
        <v>0</v>
      </c>
      <c r="BA334" s="19">
        <v>0</v>
      </c>
      <c r="BB334" s="19">
        <v>1</v>
      </c>
      <c r="BC334" s="19">
        <v>0</v>
      </c>
      <c r="BD334" s="19">
        <v>1</v>
      </c>
      <c r="BE334" s="19">
        <v>5</v>
      </c>
      <c r="BF334" s="19">
        <v>0</v>
      </c>
      <c r="BG334" s="19">
        <v>0</v>
      </c>
      <c r="BH334" s="19">
        <v>0</v>
      </c>
      <c r="BI334" s="19">
        <v>0</v>
      </c>
      <c r="BJ334" s="19">
        <v>0</v>
      </c>
      <c r="BK334" s="19">
        <v>0</v>
      </c>
      <c r="BL334" s="19">
        <v>0</v>
      </c>
      <c r="BM334" s="19">
        <v>0</v>
      </c>
      <c r="BN334" s="19">
        <v>0</v>
      </c>
      <c r="BO334" s="19">
        <v>0</v>
      </c>
      <c r="BP334" s="19">
        <v>0</v>
      </c>
      <c r="BQ334" s="19">
        <v>0</v>
      </c>
      <c r="BR334" s="19">
        <v>2</v>
      </c>
      <c r="BS334" s="19">
        <v>2</v>
      </c>
      <c r="BT334" s="19">
        <v>3</v>
      </c>
      <c r="BU334" s="19">
        <v>5</v>
      </c>
      <c r="BV334" s="19">
        <v>3</v>
      </c>
      <c r="BW334" s="19">
        <v>3</v>
      </c>
      <c r="BX334" s="19">
        <v>4</v>
      </c>
      <c r="BY334" s="19">
        <v>3</v>
      </c>
      <c r="BZ334" s="19">
        <v>4</v>
      </c>
      <c r="CA334" s="19">
        <v>3</v>
      </c>
      <c r="CB334" s="19">
        <v>4</v>
      </c>
      <c r="CC334" s="19">
        <v>5</v>
      </c>
      <c r="CD334" s="19">
        <v>4</v>
      </c>
      <c r="CE334" s="19">
        <v>5</v>
      </c>
      <c r="CF334" s="19">
        <v>5</v>
      </c>
      <c r="CG334" s="19">
        <v>5</v>
      </c>
      <c r="CH334" s="19">
        <v>4</v>
      </c>
      <c r="CI334" s="19">
        <v>4</v>
      </c>
      <c r="CJ334" s="19">
        <v>4</v>
      </c>
      <c r="CK334" s="19">
        <v>8</v>
      </c>
      <c r="CL334" t="s">
        <v>219</v>
      </c>
      <c r="CM334">
        <v>33.5</v>
      </c>
      <c r="CN334" s="16">
        <v>91.5</v>
      </c>
      <c r="CO334" s="16">
        <v>80.400000000000006</v>
      </c>
      <c r="CP334" s="16">
        <v>20</v>
      </c>
      <c r="CQ334">
        <v>84.58</v>
      </c>
      <c r="CR334" s="17">
        <v>0</v>
      </c>
      <c r="CS334">
        <v>15.42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13.79</v>
      </c>
      <c r="DD334">
        <v>2.67</v>
      </c>
      <c r="DE334">
        <v>11.54</v>
      </c>
      <c r="DF334">
        <v>0</v>
      </c>
      <c r="DG334">
        <v>12.3</v>
      </c>
      <c r="DH334">
        <v>2</v>
      </c>
      <c r="DI334">
        <v>5</v>
      </c>
      <c r="DJ334">
        <v>2</v>
      </c>
      <c r="DO334">
        <v>5</v>
      </c>
      <c r="DP334">
        <v>2</v>
      </c>
      <c r="DU334">
        <v>0</v>
      </c>
      <c r="DV334">
        <v>1</v>
      </c>
      <c r="DW334">
        <v>34</v>
      </c>
      <c r="DX334">
        <v>2</v>
      </c>
      <c r="DY334">
        <v>0.1</v>
      </c>
      <c r="DZ334">
        <v>1</v>
      </c>
      <c r="EA334">
        <v>10</v>
      </c>
      <c r="EB334">
        <f t="shared" ref="EB334:EB340" si="123">8*4</f>
        <v>32</v>
      </c>
      <c r="EC334">
        <f t="shared" ref="EC334:EC340" si="124">0.06+0.01+0.4+1.7+0.24+0.14+0.96</f>
        <v>3.5100000000000002</v>
      </c>
      <c r="ED334">
        <v>3</v>
      </c>
      <c r="EG334" s="18"/>
      <c r="EY334">
        <v>0</v>
      </c>
      <c r="GJ334" s="16">
        <v>0.25</v>
      </c>
      <c r="GK334" s="16">
        <v>1</v>
      </c>
      <c r="GL334" s="16">
        <v>2</v>
      </c>
      <c r="GM334" s="16"/>
      <c r="GN334" s="16">
        <v>0.55000000000000004</v>
      </c>
      <c r="GO334" s="16"/>
      <c r="GP334" s="16"/>
      <c r="GQ334" s="16"/>
      <c r="GR334" s="16"/>
      <c r="GS334" s="16"/>
      <c r="GT334" s="16"/>
      <c r="GU334" s="16">
        <v>0.55000000000000004</v>
      </c>
      <c r="GV334" s="16">
        <v>0.55000000000000004</v>
      </c>
      <c r="GW334" s="16"/>
      <c r="GX334" s="16"/>
      <c r="GY334" s="16">
        <v>0</v>
      </c>
      <c r="GZ334" s="16">
        <v>0</v>
      </c>
      <c r="HA334" s="16">
        <v>0</v>
      </c>
      <c r="HB334">
        <v>0</v>
      </c>
      <c r="HC334" t="s">
        <v>220</v>
      </c>
      <c r="HD334">
        <v>27</v>
      </c>
      <c r="HE334" s="16">
        <v>54.4</v>
      </c>
      <c r="HF334" s="16">
        <v>80.400000000000006</v>
      </c>
      <c r="HG334" s="16">
        <v>18.100000000000001</v>
      </c>
      <c r="HH334">
        <v>81.88</v>
      </c>
      <c r="HI334" s="17">
        <v>0</v>
      </c>
      <c r="HJ334">
        <v>9.83</v>
      </c>
      <c r="HK334">
        <v>0</v>
      </c>
      <c r="HL334">
        <v>2.14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2.3199999999999998</v>
      </c>
      <c r="HU334">
        <v>19.66</v>
      </c>
      <c r="HV334">
        <v>3.64</v>
      </c>
      <c r="HW334">
        <v>0</v>
      </c>
      <c r="HX334">
        <v>0</v>
      </c>
      <c r="HY334">
        <v>0</v>
      </c>
      <c r="IL334">
        <v>0</v>
      </c>
      <c r="IM334">
        <v>1</v>
      </c>
      <c r="IN334">
        <v>26</v>
      </c>
      <c r="IO334">
        <v>2</v>
      </c>
      <c r="IP334">
        <v>0.05</v>
      </c>
      <c r="IQ334">
        <v>2</v>
      </c>
      <c r="IX334" s="18"/>
      <c r="JP334">
        <v>0</v>
      </c>
      <c r="LA334" s="16">
        <v>2.1</v>
      </c>
      <c r="LB334" s="16">
        <v>1</v>
      </c>
      <c r="LC334" s="16">
        <v>1</v>
      </c>
      <c r="LD334" s="16"/>
      <c r="LE334" s="16">
        <f t="shared" ref="LE334:LE340" si="125">0.1+0.76*2+2.02+1.35*2+0.67</f>
        <v>7.01</v>
      </c>
      <c r="LF334" s="16"/>
      <c r="LG334" s="16"/>
      <c r="LH334" s="16"/>
      <c r="LI334" s="16"/>
      <c r="LJ334" s="16"/>
      <c r="LK334" s="16"/>
      <c r="LL334" s="16">
        <v>6.35</v>
      </c>
      <c r="LM334" s="16">
        <v>14.8</v>
      </c>
      <c r="LN334" s="16"/>
      <c r="LO334" s="16"/>
      <c r="LP334" s="16">
        <v>0</v>
      </c>
      <c r="LQ334" s="16">
        <v>0</v>
      </c>
      <c r="LR334" s="16">
        <v>0</v>
      </c>
      <c r="LS334">
        <v>0</v>
      </c>
      <c r="LT334" t="s">
        <v>221</v>
      </c>
      <c r="LU334">
        <v>20.5</v>
      </c>
      <c r="LV334" s="16">
        <v>76.900000000000006</v>
      </c>
      <c r="LW334" s="16">
        <v>80.400000000000006</v>
      </c>
      <c r="LX334" s="16">
        <v>9.1</v>
      </c>
      <c r="LY334">
        <v>88.58</v>
      </c>
      <c r="LZ334">
        <v>10.3</v>
      </c>
      <c r="MA334">
        <v>1.1200000000000001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6.33</v>
      </c>
      <c r="ML334">
        <v>16.97</v>
      </c>
      <c r="MM334">
        <v>0</v>
      </c>
      <c r="MN334">
        <v>0</v>
      </c>
      <c r="MO334">
        <v>4.0999999999999996</v>
      </c>
      <c r="MP334">
        <v>2</v>
      </c>
      <c r="MQ334">
        <v>5</v>
      </c>
      <c r="MR334">
        <v>1</v>
      </c>
      <c r="MW334">
        <v>5</v>
      </c>
      <c r="MX334">
        <v>1</v>
      </c>
      <c r="NC334">
        <v>0</v>
      </c>
      <c r="ND334">
        <v>0</v>
      </c>
      <c r="NO334" s="18"/>
      <c r="OG334">
        <v>0</v>
      </c>
      <c r="PR334" s="16">
        <v>2.2400000000000002</v>
      </c>
      <c r="PS334" s="16">
        <v>1</v>
      </c>
      <c r="PT334" s="16">
        <v>2</v>
      </c>
      <c r="PU334" s="16"/>
      <c r="PV334" s="16">
        <v>4.97</v>
      </c>
      <c r="PW334" s="16"/>
      <c r="PX334" s="16"/>
      <c r="PY334" s="16"/>
      <c r="PZ334" s="16"/>
      <c r="QA334" s="16"/>
      <c r="QB334" s="16"/>
      <c r="QC334" s="16">
        <v>5.0999999999999996</v>
      </c>
      <c r="QD334" s="16">
        <v>5.97</v>
      </c>
      <c r="QE334" s="16"/>
      <c r="QF334" s="16"/>
      <c r="QG334" s="16">
        <v>0</v>
      </c>
      <c r="QH334" s="16">
        <v>0</v>
      </c>
      <c r="QI334" s="16">
        <v>0</v>
      </c>
      <c r="QJ334">
        <v>0</v>
      </c>
      <c r="QK334" t="s">
        <v>222</v>
      </c>
      <c r="QL334">
        <v>32.5</v>
      </c>
      <c r="QM334" s="16">
        <v>96.7</v>
      </c>
      <c r="QN334" s="16">
        <v>80.400000000000006</v>
      </c>
      <c r="QO334" s="16">
        <v>15.1</v>
      </c>
      <c r="QP334">
        <v>52.24</v>
      </c>
      <c r="QQ334">
        <v>45.43</v>
      </c>
      <c r="QR334">
        <v>1.1200000000000001</v>
      </c>
      <c r="QS334">
        <v>0</v>
      </c>
      <c r="QT334">
        <v>1.2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1.2</v>
      </c>
      <c r="RB334">
        <v>15.88</v>
      </c>
      <c r="RC334">
        <v>48.59</v>
      </c>
      <c r="RD334">
        <v>0</v>
      </c>
      <c r="RE334">
        <v>0</v>
      </c>
      <c r="RF334">
        <v>0</v>
      </c>
      <c r="RG334">
        <v>0</v>
      </c>
      <c r="RT334">
        <v>0</v>
      </c>
      <c r="RU334">
        <v>0</v>
      </c>
      <c r="SF334" s="18"/>
      <c r="SX334">
        <v>1</v>
      </c>
      <c r="SY334">
        <v>50</v>
      </c>
      <c r="SZ334">
        <v>2</v>
      </c>
      <c r="TA334">
        <f>3.18+12.73</f>
        <v>15.91</v>
      </c>
      <c r="TB334">
        <v>1</v>
      </c>
      <c r="UI334" s="16">
        <v>5.9</v>
      </c>
      <c r="UJ334" s="16">
        <v>1</v>
      </c>
      <c r="UK334" s="16">
        <v>2</v>
      </c>
      <c r="UL334" s="16"/>
      <c r="UM334" s="16">
        <f>0.09+0.18*3+0.13+0.53+1.07*2+1.34*2+0.17*2+3.18+12.73</f>
        <v>22.36</v>
      </c>
      <c r="UN334" s="16"/>
      <c r="UO334" s="16"/>
      <c r="UP334" s="16"/>
      <c r="UQ334" s="16"/>
      <c r="UR334" s="16"/>
      <c r="US334" s="16"/>
      <c r="UT334" s="16">
        <v>11.45</v>
      </c>
      <c r="UU334" s="16">
        <v>41.19</v>
      </c>
      <c r="UV334" s="16"/>
      <c r="UW334" s="16"/>
      <c r="UX334" s="16">
        <v>0</v>
      </c>
      <c r="UY334" s="16">
        <v>0</v>
      </c>
      <c r="UZ334" s="16">
        <v>0</v>
      </c>
      <c r="VA334">
        <v>0</v>
      </c>
      <c r="VB334" t="s">
        <v>223</v>
      </c>
      <c r="VC334">
        <v>30.5</v>
      </c>
      <c r="VD334" s="16">
        <v>68.8</v>
      </c>
      <c r="VE334" s="16">
        <v>80.400000000000006</v>
      </c>
      <c r="VF334" s="16">
        <v>16.3</v>
      </c>
      <c r="VG334">
        <v>66.28</v>
      </c>
      <c r="VH334">
        <v>20.09</v>
      </c>
      <c r="VI334">
        <v>1.81</v>
      </c>
      <c r="VJ334">
        <v>0</v>
      </c>
      <c r="VK334">
        <v>11.82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13.17</v>
      </c>
      <c r="VT334">
        <v>35.75</v>
      </c>
      <c r="VU334">
        <v>0</v>
      </c>
      <c r="VV334">
        <v>0</v>
      </c>
      <c r="VW334">
        <v>0</v>
      </c>
      <c r="VX334">
        <v>0</v>
      </c>
      <c r="WK334">
        <v>0</v>
      </c>
      <c r="WL334">
        <v>1</v>
      </c>
      <c r="WM334">
        <v>52</v>
      </c>
      <c r="WN334">
        <v>1</v>
      </c>
      <c r="WO334">
        <v>0.01</v>
      </c>
      <c r="WP334">
        <v>2</v>
      </c>
      <c r="WW334" s="18"/>
      <c r="XO334">
        <v>0</v>
      </c>
      <c r="YZ334" s="16">
        <v>5.43</v>
      </c>
      <c r="ZA334" s="16">
        <v>1</v>
      </c>
      <c r="ZB334" s="16">
        <v>1</v>
      </c>
      <c r="ZC334" s="16"/>
      <c r="ZD334" s="16">
        <f>0.09*2+0.07+1.36</f>
        <v>1.61</v>
      </c>
      <c r="ZE334" s="16">
        <v>2</v>
      </c>
      <c r="ZF334" s="16"/>
      <c r="ZG334" s="16">
        <f>4.2+0.09+0.66+0.01+3.18+3.18</f>
        <v>11.32</v>
      </c>
      <c r="ZH334" s="16"/>
      <c r="ZI334" s="16"/>
      <c r="ZJ334" s="16"/>
      <c r="ZK334" s="16">
        <v>8.61</v>
      </c>
      <c r="ZL334" s="16">
        <v>26.91</v>
      </c>
      <c r="ZM334" s="16"/>
      <c r="ZN334" s="16"/>
      <c r="ZO334" s="16">
        <v>0</v>
      </c>
      <c r="ZP334" s="16">
        <v>0</v>
      </c>
      <c r="ZQ334" s="16">
        <v>0</v>
      </c>
      <c r="ZR334">
        <v>0</v>
      </c>
      <c r="ZS334" t="s">
        <v>224</v>
      </c>
      <c r="ZT334">
        <v>39.5</v>
      </c>
      <c r="ZU334" s="16">
        <v>60.8</v>
      </c>
      <c r="ZV334" s="16">
        <v>80.400000000000006</v>
      </c>
      <c r="ZW334" s="16">
        <v>22.9</v>
      </c>
      <c r="ZX334">
        <v>67.010000000000005</v>
      </c>
      <c r="ZY334">
        <v>11.71</v>
      </c>
      <c r="ZZ334">
        <v>16.61</v>
      </c>
      <c r="AAA334">
        <v>0</v>
      </c>
      <c r="AAB334">
        <v>4.67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20.9</v>
      </c>
      <c r="AAK334">
        <v>25.23</v>
      </c>
      <c r="AAL334">
        <v>0.57999999999999996</v>
      </c>
      <c r="AAM334">
        <v>0</v>
      </c>
      <c r="AAN334">
        <v>0</v>
      </c>
      <c r="AAO334">
        <v>0</v>
      </c>
      <c r="ABB334">
        <v>2</v>
      </c>
      <c r="ABC334">
        <v>1</v>
      </c>
      <c r="ABD334">
        <v>103</v>
      </c>
      <c r="ABE334">
        <v>2</v>
      </c>
      <c r="ABF334">
        <f>0.18+0.14</f>
        <v>0.32</v>
      </c>
      <c r="ABG334">
        <v>1</v>
      </c>
      <c r="ABH334">
        <v>68</v>
      </c>
      <c r="ABI334">
        <v>1</v>
      </c>
      <c r="ABJ334">
        <v>0.01</v>
      </c>
      <c r="ABK334">
        <v>1</v>
      </c>
      <c r="ABL334">
        <v>52</v>
      </c>
      <c r="ABM334">
        <v>3</v>
      </c>
      <c r="ABN334" s="18">
        <v>0.05</v>
      </c>
      <c r="ABO334">
        <v>2</v>
      </c>
      <c r="ACF334">
        <v>0</v>
      </c>
      <c r="ADQ334" s="16">
        <v>3.66</v>
      </c>
      <c r="ADR334" s="16">
        <v>1</v>
      </c>
      <c r="ADS334" s="16">
        <v>1</v>
      </c>
      <c r="ADT334" s="16"/>
      <c r="ADU334" s="16">
        <f>2.69*3+1.35*3+0.14*2+0.1</f>
        <v>12.5</v>
      </c>
      <c r="ADV334" s="16">
        <v>2</v>
      </c>
      <c r="ADW334" s="16"/>
      <c r="ADX334" s="16">
        <f>0.66+0.35+0.18+0.14+1.25+1.23</f>
        <v>3.81</v>
      </c>
      <c r="ADY334" s="16"/>
      <c r="ADZ334" s="16"/>
      <c r="AEA334" s="16"/>
      <c r="AEB334" s="16">
        <v>10.050000000000001</v>
      </c>
      <c r="AEC334" s="16">
        <v>27.11</v>
      </c>
      <c r="AED334" s="16"/>
      <c r="AEE334" s="16"/>
      <c r="AEF334" s="16">
        <v>0</v>
      </c>
      <c r="AEG334" s="16">
        <v>0</v>
      </c>
      <c r="AEH334" s="16">
        <v>0</v>
      </c>
      <c r="AEI334">
        <v>0</v>
      </c>
      <c r="AEJ334" t="s">
        <v>225</v>
      </c>
      <c r="AEK334">
        <v>47</v>
      </c>
      <c r="AEL334" s="16">
        <v>72.3</v>
      </c>
      <c r="AEM334" s="16">
        <v>80.400000000000006</v>
      </c>
      <c r="AEN334" s="16">
        <v>18</v>
      </c>
      <c r="AEO334">
        <v>70.55</v>
      </c>
      <c r="AEP334">
        <v>6.81</v>
      </c>
      <c r="AEQ334">
        <v>3.09</v>
      </c>
      <c r="AER334">
        <v>0</v>
      </c>
      <c r="AES334">
        <v>19.55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18.07</v>
      </c>
      <c r="AFB334">
        <v>30.57</v>
      </c>
      <c r="AFC334">
        <v>7.61</v>
      </c>
      <c r="AFD334">
        <v>0</v>
      </c>
      <c r="AFE334">
        <v>14</v>
      </c>
      <c r="AFF334">
        <v>2</v>
      </c>
      <c r="AFG334">
        <v>5</v>
      </c>
      <c r="AFH334">
        <v>4.47</v>
      </c>
      <c r="AFJ334">
        <v>7</v>
      </c>
      <c r="AFK334">
        <v>5.15</v>
      </c>
      <c r="AFM334">
        <v>5</v>
      </c>
      <c r="AFN334">
        <v>4.47</v>
      </c>
      <c r="AFP334">
        <v>7</v>
      </c>
      <c r="AFQ334">
        <v>5.15</v>
      </c>
      <c r="AFS334">
        <v>0</v>
      </c>
      <c r="AFT334">
        <v>0</v>
      </c>
      <c r="AGE334" s="18"/>
      <c r="AGW334">
        <v>0</v>
      </c>
      <c r="AIH334" s="16">
        <v>4.21</v>
      </c>
      <c r="AII334" s="16">
        <v>1</v>
      </c>
      <c r="AIJ334" s="16">
        <v>2</v>
      </c>
      <c r="AIK334" s="16"/>
      <c r="AIL334" s="16">
        <f>7.46+1.59+0.6</f>
        <v>9.65</v>
      </c>
      <c r="AIM334" s="16"/>
      <c r="AIN334" s="16"/>
      <c r="AIO334" s="16"/>
      <c r="AIP334" s="16"/>
      <c r="AIQ334" s="16"/>
      <c r="AIR334" s="16"/>
      <c r="AIS334" s="16">
        <v>10.63</v>
      </c>
      <c r="AIT334" s="16">
        <v>36.380000000000003</v>
      </c>
      <c r="AIU334" s="16"/>
      <c r="AIV334" s="16"/>
      <c r="AIW334" s="16">
        <v>0</v>
      </c>
      <c r="AIX334" s="16">
        <v>0</v>
      </c>
      <c r="AIY334" s="16">
        <v>0</v>
      </c>
      <c r="AIZ334">
        <v>0</v>
      </c>
      <c r="AJA334" t="s">
        <v>226</v>
      </c>
      <c r="AJB334">
        <v>19</v>
      </c>
      <c r="AJC334" s="16">
        <v>82.6</v>
      </c>
      <c r="AJD334" s="16">
        <v>80.400000000000006</v>
      </c>
      <c r="AJE334" s="16">
        <v>7.7</v>
      </c>
      <c r="AJF334">
        <v>86.83</v>
      </c>
      <c r="AJG334">
        <v>12.69</v>
      </c>
      <c r="AJH334">
        <v>0</v>
      </c>
      <c r="AJI334">
        <v>0</v>
      </c>
      <c r="AJJ334">
        <v>0.48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7.16</v>
      </c>
      <c r="AJS334">
        <v>10.76</v>
      </c>
      <c r="AJT334">
        <v>0</v>
      </c>
      <c r="AJU334">
        <v>0</v>
      </c>
      <c r="AJV334">
        <v>3.4</v>
      </c>
      <c r="AJW334">
        <v>2</v>
      </c>
      <c r="AJX334">
        <v>11.9</v>
      </c>
      <c r="AJY334">
        <v>0.48</v>
      </c>
      <c r="AKD334">
        <v>11.9</v>
      </c>
      <c r="AKE334">
        <v>0.48</v>
      </c>
      <c r="AKJ334">
        <v>0</v>
      </c>
      <c r="AKK334">
        <v>1</v>
      </c>
      <c r="AKL334">
        <v>34</v>
      </c>
      <c r="AKM334">
        <v>2</v>
      </c>
      <c r="AKN334">
        <f>0.84*2</f>
        <v>1.68</v>
      </c>
      <c r="AKO334">
        <v>1</v>
      </c>
      <c r="AKV334" s="18"/>
      <c r="ALN334">
        <v>0</v>
      </c>
    </row>
    <row r="335" spans="1:1024" x14ac:dyDescent="0.2">
      <c r="A335" s="1" t="s">
        <v>921</v>
      </c>
      <c r="B335" s="12">
        <v>42929</v>
      </c>
      <c r="C335">
        <v>2</v>
      </c>
      <c r="D335" s="13">
        <v>42801</v>
      </c>
      <c r="E335" s="12">
        <v>33445</v>
      </c>
      <c r="F335" s="14">
        <f t="shared" si="120"/>
        <v>25.965776865160848</v>
      </c>
      <c r="G335" s="14">
        <f t="shared" si="121"/>
        <v>0.35044490075290896</v>
      </c>
      <c r="H335" s="19" t="s">
        <v>217</v>
      </c>
      <c r="I335" s="15" t="s">
        <v>218</v>
      </c>
      <c r="J335" s="15" t="s">
        <v>183</v>
      </c>
      <c r="K335" s="15">
        <v>4</v>
      </c>
      <c r="L335" s="19">
        <v>91</v>
      </c>
      <c r="M335">
        <v>1.7</v>
      </c>
      <c r="N335" s="16">
        <f t="shared" si="122"/>
        <v>31.487889273356405</v>
      </c>
      <c r="O335" s="19">
        <v>0</v>
      </c>
      <c r="P335" s="19">
        <v>0</v>
      </c>
      <c r="Q335" s="19">
        <v>0</v>
      </c>
      <c r="R335" s="26">
        <v>0</v>
      </c>
      <c r="S335" s="26">
        <v>0</v>
      </c>
      <c r="T335" s="26">
        <v>0</v>
      </c>
      <c r="U335" s="19">
        <v>0</v>
      </c>
      <c r="V335" s="19">
        <v>0</v>
      </c>
      <c r="W335" s="19">
        <v>1</v>
      </c>
      <c r="X335" s="19">
        <v>0</v>
      </c>
      <c r="Y335" s="19">
        <v>0</v>
      </c>
      <c r="Z335" s="19">
        <v>0</v>
      </c>
      <c r="AA335" s="19">
        <v>0</v>
      </c>
      <c r="AB335" s="19">
        <v>0</v>
      </c>
      <c r="AC335" s="19">
        <v>0</v>
      </c>
      <c r="AD335" s="19">
        <v>0</v>
      </c>
      <c r="AE335" s="19">
        <v>0</v>
      </c>
      <c r="AF335" s="19">
        <v>0</v>
      </c>
      <c r="AG335" s="19">
        <v>0</v>
      </c>
      <c r="AH335" s="19">
        <v>0</v>
      </c>
      <c r="AI335" s="19">
        <v>0</v>
      </c>
      <c r="AJ335" s="19">
        <v>0</v>
      </c>
      <c r="AK335" s="19">
        <v>0</v>
      </c>
      <c r="AL335" s="19">
        <v>0</v>
      </c>
      <c r="AM335" s="19">
        <v>0</v>
      </c>
      <c r="AN335" s="19">
        <v>0</v>
      </c>
      <c r="AO335" s="19">
        <v>0</v>
      </c>
      <c r="AP335" s="19">
        <v>0</v>
      </c>
      <c r="AQ335" s="19">
        <v>0</v>
      </c>
      <c r="AR335" s="19">
        <v>0</v>
      </c>
      <c r="AS335" s="19">
        <v>0</v>
      </c>
      <c r="AT335" s="19">
        <v>0</v>
      </c>
      <c r="AU335" s="19">
        <v>0</v>
      </c>
      <c r="AV335" s="19">
        <v>0</v>
      </c>
      <c r="AW335" s="19">
        <v>0</v>
      </c>
      <c r="AX335" s="19">
        <v>0</v>
      </c>
      <c r="AY335" s="19">
        <v>0</v>
      </c>
      <c r="AZ335" s="19">
        <v>0</v>
      </c>
      <c r="BA335" s="19">
        <v>0</v>
      </c>
      <c r="BB335" s="19">
        <v>1</v>
      </c>
      <c r="BC335" s="19">
        <v>0</v>
      </c>
      <c r="BD335" s="19">
        <v>1</v>
      </c>
      <c r="BE335" s="19">
        <v>1</v>
      </c>
      <c r="BF335" s="19">
        <v>0</v>
      </c>
      <c r="BG335" s="19">
        <v>0</v>
      </c>
      <c r="BH335" s="19">
        <v>0</v>
      </c>
      <c r="BI335" s="19">
        <v>0</v>
      </c>
      <c r="BJ335" s="19">
        <v>0</v>
      </c>
      <c r="BK335" s="19">
        <v>0</v>
      </c>
      <c r="BL335" s="19">
        <v>0</v>
      </c>
      <c r="BM335" s="19">
        <v>0</v>
      </c>
      <c r="BN335" s="19">
        <v>0</v>
      </c>
      <c r="BO335" s="19">
        <v>0</v>
      </c>
      <c r="BP335" s="19">
        <v>0</v>
      </c>
      <c r="BQ335" s="19">
        <v>0</v>
      </c>
      <c r="BR335" s="19">
        <v>1</v>
      </c>
      <c r="BS335" s="19">
        <v>2</v>
      </c>
      <c r="BT335" s="19">
        <v>2</v>
      </c>
      <c r="BU335" s="19">
        <v>5</v>
      </c>
      <c r="BV335" s="19">
        <v>2</v>
      </c>
      <c r="BW335" s="19">
        <v>1</v>
      </c>
      <c r="BX335" s="19">
        <v>3</v>
      </c>
      <c r="BY335" s="19">
        <v>3</v>
      </c>
      <c r="BZ335" s="19">
        <v>5</v>
      </c>
      <c r="CA335" s="19">
        <v>4</v>
      </c>
      <c r="CB335" s="19">
        <v>5</v>
      </c>
      <c r="CC335" s="19">
        <v>5</v>
      </c>
      <c r="CD335" s="19">
        <v>5</v>
      </c>
      <c r="CE335" s="19">
        <v>4</v>
      </c>
      <c r="CF335" s="19">
        <v>5</v>
      </c>
      <c r="CG335" s="19">
        <v>5</v>
      </c>
      <c r="CH335" s="19"/>
      <c r="CI335" s="19"/>
      <c r="CJ335" s="19"/>
      <c r="CK335" s="19"/>
      <c r="CL335" t="s">
        <v>219</v>
      </c>
      <c r="CM335">
        <v>33.5</v>
      </c>
      <c r="CN335" s="16">
        <v>91.5</v>
      </c>
      <c r="CO335" s="16">
        <v>80.400000000000006</v>
      </c>
      <c r="CP335" s="16">
        <v>20</v>
      </c>
      <c r="CQ335">
        <v>84.58</v>
      </c>
      <c r="CR335" s="17">
        <v>0</v>
      </c>
      <c r="CS335">
        <v>15.42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13.79</v>
      </c>
      <c r="DD335">
        <v>2.67</v>
      </c>
      <c r="DE335">
        <v>11.54</v>
      </c>
      <c r="DF335">
        <v>0</v>
      </c>
      <c r="DG335">
        <v>12.3</v>
      </c>
      <c r="DH335">
        <v>2</v>
      </c>
      <c r="DI335">
        <v>5</v>
      </c>
      <c r="DJ335">
        <v>2</v>
      </c>
      <c r="DO335">
        <v>5</v>
      </c>
      <c r="DP335">
        <v>2</v>
      </c>
      <c r="DU335">
        <v>0</v>
      </c>
      <c r="DV335">
        <v>1</v>
      </c>
      <c r="DW335">
        <v>34</v>
      </c>
      <c r="DX335">
        <v>2</v>
      </c>
      <c r="DY335">
        <v>0.1</v>
      </c>
      <c r="DZ335">
        <v>1</v>
      </c>
      <c r="EA335">
        <v>10</v>
      </c>
      <c r="EB335">
        <f t="shared" si="123"/>
        <v>32</v>
      </c>
      <c r="EC335">
        <f t="shared" si="124"/>
        <v>3.5100000000000002</v>
      </c>
      <c r="ED335">
        <v>3</v>
      </c>
      <c r="EG335" s="18"/>
      <c r="EY335">
        <v>0</v>
      </c>
      <c r="GJ335" s="16">
        <v>0.25</v>
      </c>
      <c r="GK335" s="16">
        <v>1</v>
      </c>
      <c r="GL335" s="16">
        <v>2</v>
      </c>
      <c r="GM335" s="16"/>
      <c r="GN335" s="16">
        <v>0.55000000000000004</v>
      </c>
      <c r="GO335" s="16"/>
      <c r="GP335" s="16"/>
      <c r="GQ335" s="16"/>
      <c r="GR335" s="16"/>
      <c r="GS335" s="16"/>
      <c r="GT335" s="16"/>
      <c r="GU335" s="16">
        <v>0.55000000000000004</v>
      </c>
      <c r="GV335" s="16">
        <v>0.55000000000000004</v>
      </c>
      <c r="GW335" s="16"/>
      <c r="GX335" s="16"/>
      <c r="GY335" s="16">
        <v>0</v>
      </c>
      <c r="GZ335" s="16">
        <v>0</v>
      </c>
      <c r="HA335" s="16">
        <v>0</v>
      </c>
      <c r="HB335">
        <v>0</v>
      </c>
      <c r="HC335" t="s">
        <v>220</v>
      </c>
      <c r="HD335">
        <v>27</v>
      </c>
      <c r="HE335" s="16">
        <v>54.4</v>
      </c>
      <c r="HF335" s="16">
        <v>80.400000000000006</v>
      </c>
      <c r="HG335" s="16">
        <v>18.100000000000001</v>
      </c>
      <c r="HH335">
        <v>81.88</v>
      </c>
      <c r="HI335" s="17">
        <v>0</v>
      </c>
      <c r="HJ335">
        <v>9.83</v>
      </c>
      <c r="HK335">
        <v>0</v>
      </c>
      <c r="HL335">
        <v>2.14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2.3199999999999998</v>
      </c>
      <c r="HU335">
        <v>19.66</v>
      </c>
      <c r="HV335">
        <v>3.64</v>
      </c>
      <c r="HW335">
        <v>0</v>
      </c>
      <c r="HX335">
        <v>0</v>
      </c>
      <c r="HY335">
        <v>0</v>
      </c>
      <c r="IL335">
        <v>0</v>
      </c>
      <c r="IM335">
        <v>1</v>
      </c>
      <c r="IN335">
        <v>26</v>
      </c>
      <c r="IO335">
        <v>2</v>
      </c>
      <c r="IP335">
        <v>0.05</v>
      </c>
      <c r="IQ335">
        <v>2</v>
      </c>
      <c r="IX335" s="18"/>
      <c r="JP335">
        <v>0</v>
      </c>
      <c r="LA335" s="16">
        <v>2.1</v>
      </c>
      <c r="LB335" s="16">
        <v>1</v>
      </c>
      <c r="LC335" s="16">
        <v>1</v>
      </c>
      <c r="LD335" s="16"/>
      <c r="LE335" s="16">
        <f t="shared" si="125"/>
        <v>7.01</v>
      </c>
      <c r="LF335" s="16"/>
      <c r="LG335" s="16"/>
      <c r="LH335" s="16"/>
      <c r="LI335" s="16"/>
      <c r="LJ335" s="16"/>
      <c r="LK335" s="16"/>
      <c r="LL335" s="16">
        <v>6.35</v>
      </c>
      <c r="LM335" s="16">
        <v>14.8</v>
      </c>
      <c r="LN335" s="16"/>
      <c r="LO335" s="16"/>
      <c r="LP335" s="16">
        <v>0</v>
      </c>
      <c r="LQ335" s="16">
        <v>0</v>
      </c>
      <c r="LR335" s="16">
        <v>0</v>
      </c>
      <c r="LS335">
        <v>0</v>
      </c>
      <c r="LT335" t="s">
        <v>221</v>
      </c>
      <c r="LU335">
        <v>20.5</v>
      </c>
      <c r="LV335" s="16">
        <v>76.900000000000006</v>
      </c>
      <c r="LW335" s="16">
        <v>80.400000000000006</v>
      </c>
      <c r="LX335" s="16">
        <v>9.1</v>
      </c>
      <c r="LY335">
        <v>88.58</v>
      </c>
      <c r="LZ335">
        <v>10.3</v>
      </c>
      <c r="MA335">
        <v>1.1200000000000001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6.33</v>
      </c>
      <c r="ML335">
        <v>16.97</v>
      </c>
      <c r="MM335">
        <v>0</v>
      </c>
      <c r="MN335">
        <v>0</v>
      </c>
      <c r="MO335">
        <v>4.0999999999999996</v>
      </c>
      <c r="MP335">
        <v>2</v>
      </c>
      <c r="MQ335">
        <v>5</v>
      </c>
      <c r="MR335">
        <v>1</v>
      </c>
      <c r="MW335">
        <v>5</v>
      </c>
      <c r="MX335">
        <v>1</v>
      </c>
      <c r="NC335">
        <v>0</v>
      </c>
      <c r="ND335">
        <v>0</v>
      </c>
      <c r="NO335" s="18"/>
      <c r="OG335">
        <v>0</v>
      </c>
      <c r="PR335" s="16">
        <v>2.2400000000000002</v>
      </c>
      <c r="PS335" s="16">
        <v>1</v>
      </c>
      <c r="PT335" s="16">
        <v>2</v>
      </c>
      <c r="PU335" s="16"/>
      <c r="PV335" s="16">
        <v>4.97</v>
      </c>
      <c r="PW335" s="16"/>
      <c r="PX335" s="16"/>
      <c r="PY335" s="16"/>
      <c r="PZ335" s="16"/>
      <c r="QA335" s="16"/>
      <c r="QB335" s="16"/>
      <c r="QC335" s="16">
        <v>5.0999999999999996</v>
      </c>
      <c r="QD335" s="16">
        <v>5.97</v>
      </c>
      <c r="QE335" s="16"/>
      <c r="QF335" s="16"/>
      <c r="QG335" s="16">
        <v>0</v>
      </c>
      <c r="QH335" s="16">
        <v>0</v>
      </c>
      <c r="QI335" s="16">
        <v>0</v>
      </c>
      <c r="QJ335">
        <v>0</v>
      </c>
      <c r="QK335" t="s">
        <v>222</v>
      </c>
      <c r="QL335">
        <v>32.5</v>
      </c>
      <c r="QM335" s="16">
        <v>96.7</v>
      </c>
      <c r="QN335" s="16">
        <v>80.400000000000006</v>
      </c>
      <c r="QO335" s="16">
        <v>15.1</v>
      </c>
      <c r="QP335">
        <v>52.24</v>
      </c>
      <c r="QQ335">
        <v>45.43</v>
      </c>
      <c r="QR335">
        <v>1.1200000000000001</v>
      </c>
      <c r="QS335">
        <v>0</v>
      </c>
      <c r="QT335">
        <v>1.2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1.2</v>
      </c>
      <c r="RB335">
        <v>15.88</v>
      </c>
      <c r="RC335">
        <v>48.59</v>
      </c>
      <c r="RD335">
        <v>0</v>
      </c>
      <c r="RE335">
        <v>0</v>
      </c>
      <c r="RF335">
        <v>0</v>
      </c>
      <c r="RG335">
        <v>0</v>
      </c>
      <c r="RT335">
        <v>0</v>
      </c>
      <c r="RU335">
        <v>0</v>
      </c>
      <c r="SF335" s="18"/>
      <c r="SX335">
        <v>1</v>
      </c>
      <c r="SY335">
        <v>50</v>
      </c>
      <c r="SZ335">
        <v>2</v>
      </c>
      <c r="TA335">
        <f>3.18+12.73</f>
        <v>15.91</v>
      </c>
      <c r="TB335">
        <v>1</v>
      </c>
      <c r="UI335" s="16">
        <v>5.9</v>
      </c>
      <c r="UJ335" s="16">
        <v>1</v>
      </c>
      <c r="UK335" s="16">
        <v>2</v>
      </c>
      <c r="UL335" s="16"/>
      <c r="UM335" s="16">
        <f>0.09+0.18*3+0.13+0.53+1.07*2+1.34*2+0.17*2+3.18+12.73</f>
        <v>22.36</v>
      </c>
      <c r="UN335" s="16"/>
      <c r="UO335" s="16"/>
      <c r="UP335" s="16"/>
      <c r="UQ335" s="16"/>
      <c r="UR335" s="16"/>
      <c r="US335" s="16"/>
      <c r="UT335" s="16">
        <v>11.45</v>
      </c>
      <c r="UU335" s="16">
        <v>41.19</v>
      </c>
      <c r="UV335" s="16"/>
      <c r="UW335" s="16"/>
      <c r="UX335" s="16">
        <v>0</v>
      </c>
      <c r="UY335" s="16">
        <v>0</v>
      </c>
      <c r="UZ335" s="16">
        <v>0</v>
      </c>
      <c r="VA335">
        <v>0</v>
      </c>
      <c r="VB335" t="s">
        <v>223</v>
      </c>
      <c r="VC335">
        <v>30.5</v>
      </c>
      <c r="VD335" s="16">
        <v>68.8</v>
      </c>
      <c r="VE335" s="16">
        <v>80.400000000000006</v>
      </c>
      <c r="VF335" s="16">
        <v>16.3</v>
      </c>
      <c r="VG335">
        <v>66.28</v>
      </c>
      <c r="VH335">
        <v>20.09</v>
      </c>
      <c r="VI335">
        <v>1.81</v>
      </c>
      <c r="VJ335">
        <v>0</v>
      </c>
      <c r="VK335">
        <v>11.82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13.17</v>
      </c>
      <c r="VT335">
        <v>35.75</v>
      </c>
      <c r="VU335">
        <v>0</v>
      </c>
      <c r="VV335">
        <v>0</v>
      </c>
      <c r="VW335">
        <v>0</v>
      </c>
      <c r="VX335">
        <v>0</v>
      </c>
      <c r="WK335">
        <v>0</v>
      </c>
      <c r="WL335">
        <v>1</v>
      </c>
      <c r="WM335">
        <v>52</v>
      </c>
      <c r="WN335">
        <v>1</v>
      </c>
      <c r="WO335">
        <v>0.01</v>
      </c>
      <c r="WP335">
        <v>2</v>
      </c>
      <c r="WW335" s="18"/>
      <c r="XO335">
        <v>0</v>
      </c>
      <c r="YZ335" s="16">
        <v>5.43</v>
      </c>
      <c r="ZA335" s="16">
        <v>1</v>
      </c>
      <c r="ZB335" s="16">
        <v>1</v>
      </c>
      <c r="ZC335" s="16"/>
      <c r="ZD335" s="16">
        <f>0.09*2+0.07+1.36</f>
        <v>1.61</v>
      </c>
      <c r="ZE335" s="16">
        <v>2</v>
      </c>
      <c r="ZF335" s="16"/>
      <c r="ZG335" s="16">
        <f>4.2+0.09+0.66+0.01+3.18+3.18</f>
        <v>11.32</v>
      </c>
      <c r="ZH335" s="16"/>
      <c r="ZI335" s="16"/>
      <c r="ZJ335" s="16"/>
      <c r="ZK335" s="16">
        <v>8.61</v>
      </c>
      <c r="ZL335" s="16">
        <v>26.91</v>
      </c>
      <c r="ZM335" s="16"/>
      <c r="ZN335" s="16"/>
      <c r="ZO335" s="16">
        <v>0</v>
      </c>
      <c r="ZP335" s="16">
        <v>0</v>
      </c>
      <c r="ZQ335" s="16">
        <v>0</v>
      </c>
      <c r="ZR335">
        <v>0</v>
      </c>
      <c r="ZS335" t="s">
        <v>224</v>
      </c>
      <c r="ZT335">
        <v>39.5</v>
      </c>
      <c r="ZU335" s="16">
        <v>60.8</v>
      </c>
      <c r="ZV335" s="16">
        <v>80.400000000000006</v>
      </c>
      <c r="ZW335" s="16">
        <v>22.9</v>
      </c>
      <c r="ZX335">
        <v>67.010000000000005</v>
      </c>
      <c r="ZY335">
        <v>11.71</v>
      </c>
      <c r="ZZ335">
        <v>16.61</v>
      </c>
      <c r="AAA335">
        <v>0</v>
      </c>
      <c r="AAB335">
        <v>4.67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20.9</v>
      </c>
      <c r="AAK335">
        <v>25.23</v>
      </c>
      <c r="AAL335">
        <v>0.57999999999999996</v>
      </c>
      <c r="AAM335">
        <v>0</v>
      </c>
      <c r="AAN335">
        <v>0</v>
      </c>
      <c r="AAO335">
        <v>0</v>
      </c>
      <c r="ABB335">
        <v>2</v>
      </c>
      <c r="ABC335">
        <v>1</v>
      </c>
      <c r="ABD335">
        <v>103</v>
      </c>
      <c r="ABE335">
        <v>2</v>
      </c>
      <c r="ABF335">
        <f>0.18+0.14</f>
        <v>0.32</v>
      </c>
      <c r="ABG335">
        <v>1</v>
      </c>
      <c r="ABH335">
        <v>68</v>
      </c>
      <c r="ABI335">
        <v>1</v>
      </c>
      <c r="ABJ335">
        <v>0.01</v>
      </c>
      <c r="ABK335">
        <v>1</v>
      </c>
      <c r="ABL335">
        <v>52</v>
      </c>
      <c r="ABM335">
        <v>3</v>
      </c>
      <c r="ABN335" s="18">
        <v>0.05</v>
      </c>
      <c r="ABO335">
        <v>2</v>
      </c>
      <c r="ACF335">
        <v>0</v>
      </c>
      <c r="ADQ335" s="16">
        <v>3.66</v>
      </c>
      <c r="ADR335" s="16">
        <v>1</v>
      </c>
      <c r="ADS335" s="16">
        <v>1</v>
      </c>
      <c r="ADT335" s="16"/>
      <c r="ADU335" s="16">
        <f>2.69*3+1.35*3+0.14*2+0.1</f>
        <v>12.5</v>
      </c>
      <c r="ADV335" s="16">
        <v>2</v>
      </c>
      <c r="ADW335" s="16"/>
      <c r="ADX335" s="16">
        <f>0.66+0.35+0.18+0.14+1.25+1.23</f>
        <v>3.81</v>
      </c>
      <c r="ADY335" s="16"/>
      <c r="ADZ335" s="16"/>
      <c r="AEA335" s="16"/>
      <c r="AEB335" s="16">
        <v>10.050000000000001</v>
      </c>
      <c r="AEC335" s="16">
        <v>27.11</v>
      </c>
      <c r="AED335" s="16"/>
      <c r="AEE335" s="16"/>
      <c r="AEF335" s="16">
        <v>0</v>
      </c>
      <c r="AEG335" s="16">
        <v>0</v>
      </c>
      <c r="AEH335" s="16">
        <v>0</v>
      </c>
      <c r="AEI335">
        <v>0</v>
      </c>
      <c r="AEJ335" t="s">
        <v>225</v>
      </c>
      <c r="AEK335">
        <v>47</v>
      </c>
      <c r="AEL335" s="16">
        <v>72.3</v>
      </c>
      <c r="AEM335" s="16">
        <v>80.400000000000006</v>
      </c>
      <c r="AEN335" s="16">
        <v>18</v>
      </c>
      <c r="AEO335">
        <v>70.55</v>
      </c>
      <c r="AEP335">
        <v>6.81</v>
      </c>
      <c r="AEQ335">
        <v>3.09</v>
      </c>
      <c r="AER335">
        <v>0</v>
      </c>
      <c r="AES335">
        <v>19.55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18.07</v>
      </c>
      <c r="AFB335">
        <v>30.57</v>
      </c>
      <c r="AFC335">
        <v>7.61</v>
      </c>
      <c r="AFD335">
        <v>0</v>
      </c>
      <c r="AFE335">
        <v>14</v>
      </c>
      <c r="AFF335">
        <v>2</v>
      </c>
      <c r="AFG335">
        <v>5</v>
      </c>
      <c r="AFH335">
        <v>4.47</v>
      </c>
      <c r="AFJ335">
        <v>7</v>
      </c>
      <c r="AFK335">
        <v>5.15</v>
      </c>
      <c r="AFM335">
        <v>5</v>
      </c>
      <c r="AFN335">
        <v>4.47</v>
      </c>
      <c r="AFP335">
        <v>7</v>
      </c>
      <c r="AFQ335">
        <v>5.15</v>
      </c>
      <c r="AFS335">
        <v>0</v>
      </c>
      <c r="AFT335">
        <v>0</v>
      </c>
      <c r="AGE335" s="18"/>
      <c r="AGW335">
        <v>0</v>
      </c>
      <c r="AIH335" s="16">
        <v>4.21</v>
      </c>
      <c r="AII335" s="16">
        <v>1</v>
      </c>
      <c r="AIJ335" s="16">
        <v>2</v>
      </c>
      <c r="AIK335" s="16"/>
      <c r="AIL335" s="16">
        <f>7.46+1.59+0.6</f>
        <v>9.65</v>
      </c>
      <c r="AIM335" s="16"/>
      <c r="AIN335" s="16"/>
      <c r="AIO335" s="16"/>
      <c r="AIP335" s="16"/>
      <c r="AIQ335" s="16"/>
      <c r="AIR335" s="16"/>
      <c r="AIS335" s="16">
        <v>10.63</v>
      </c>
      <c r="AIT335" s="16">
        <v>36.380000000000003</v>
      </c>
      <c r="AIU335" s="16"/>
      <c r="AIV335" s="16"/>
      <c r="AIW335" s="16">
        <v>0</v>
      </c>
      <c r="AIX335" s="16">
        <v>0</v>
      </c>
      <c r="AIY335" s="16">
        <v>0</v>
      </c>
      <c r="AIZ335">
        <v>0</v>
      </c>
      <c r="AJA335" t="s">
        <v>226</v>
      </c>
      <c r="AJB335">
        <v>19</v>
      </c>
      <c r="AJC335" s="16">
        <v>82.6</v>
      </c>
      <c r="AJD335" s="16">
        <v>80.400000000000006</v>
      </c>
      <c r="AJE335" s="16">
        <v>7.7</v>
      </c>
      <c r="AJF335">
        <v>86.83</v>
      </c>
      <c r="AJG335">
        <v>12.69</v>
      </c>
      <c r="AJH335">
        <v>0</v>
      </c>
      <c r="AJI335">
        <v>0</v>
      </c>
      <c r="AJJ335">
        <v>0.48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7.16</v>
      </c>
      <c r="AJS335">
        <v>10.76</v>
      </c>
      <c r="AJT335">
        <v>0</v>
      </c>
      <c r="AJU335">
        <v>0</v>
      </c>
      <c r="AJV335">
        <v>3.4</v>
      </c>
      <c r="AJW335">
        <v>2</v>
      </c>
      <c r="AJX335">
        <v>11.9</v>
      </c>
      <c r="AJY335">
        <v>0.48</v>
      </c>
      <c r="AKD335">
        <v>11.9</v>
      </c>
      <c r="AKE335">
        <v>0.48</v>
      </c>
      <c r="AKJ335">
        <v>0</v>
      </c>
      <c r="AKK335">
        <v>1</v>
      </c>
      <c r="AKL335">
        <v>34</v>
      </c>
      <c r="AKM335">
        <v>2</v>
      </c>
      <c r="AKN335">
        <f>0.84*2</f>
        <v>1.68</v>
      </c>
      <c r="AKO335">
        <v>1</v>
      </c>
      <c r="AKV335" s="18"/>
      <c r="ALN335">
        <v>0</v>
      </c>
    </row>
    <row r="336" spans="1:1024" x14ac:dyDescent="0.2">
      <c r="A336" s="1" t="s">
        <v>922</v>
      </c>
      <c r="B336" s="12">
        <v>42929</v>
      </c>
      <c r="C336">
        <v>2</v>
      </c>
      <c r="D336" s="13">
        <v>40721</v>
      </c>
      <c r="E336" s="12">
        <v>31427</v>
      </c>
      <c r="F336" s="14">
        <f t="shared" si="120"/>
        <v>31.49075975359343</v>
      </c>
      <c r="G336" s="14">
        <f t="shared" si="121"/>
        <v>6.0451745379876796</v>
      </c>
      <c r="H336" s="19" t="s">
        <v>217</v>
      </c>
      <c r="I336" s="15" t="s">
        <v>218</v>
      </c>
      <c r="J336" s="15" t="s">
        <v>183</v>
      </c>
      <c r="K336" s="15">
        <v>4</v>
      </c>
      <c r="L336" s="19">
        <v>72</v>
      </c>
      <c r="M336">
        <v>1.75</v>
      </c>
      <c r="N336" s="16">
        <f t="shared" si="122"/>
        <v>23.510204081632654</v>
      </c>
      <c r="O336" s="19">
        <v>0</v>
      </c>
      <c r="P336" s="19">
        <v>0</v>
      </c>
      <c r="Q336" s="19">
        <v>0</v>
      </c>
      <c r="R336" s="26">
        <v>0</v>
      </c>
      <c r="S336" s="26">
        <v>0</v>
      </c>
      <c r="T336" s="26">
        <v>0</v>
      </c>
      <c r="U336" s="19">
        <v>0</v>
      </c>
      <c r="V336" s="19">
        <v>0</v>
      </c>
      <c r="W336" s="19">
        <v>0</v>
      </c>
      <c r="X336" s="19">
        <v>0</v>
      </c>
      <c r="Y336" s="19">
        <v>1</v>
      </c>
      <c r="Z336" s="19">
        <v>2</v>
      </c>
      <c r="AA336" s="19">
        <v>60</v>
      </c>
      <c r="AB336" s="19" t="s">
        <v>923</v>
      </c>
      <c r="AC336" s="19">
        <v>0</v>
      </c>
      <c r="AD336" s="19">
        <v>0</v>
      </c>
      <c r="AE336" s="19">
        <v>0</v>
      </c>
      <c r="AF336" s="19">
        <v>0</v>
      </c>
      <c r="AG336" s="19">
        <v>0</v>
      </c>
      <c r="AH336" s="19">
        <v>0</v>
      </c>
      <c r="AI336" s="19">
        <v>0</v>
      </c>
      <c r="AJ336" s="19">
        <v>0</v>
      </c>
      <c r="AK336" s="19">
        <v>0</v>
      </c>
      <c r="AL336" s="19">
        <v>0</v>
      </c>
      <c r="AM336" s="19">
        <v>0</v>
      </c>
      <c r="AN336" s="19">
        <v>0</v>
      </c>
      <c r="AO336" s="19">
        <v>0</v>
      </c>
      <c r="AP336" s="19">
        <v>0</v>
      </c>
      <c r="AQ336" s="19">
        <v>0</v>
      </c>
      <c r="AR336" s="19">
        <v>0</v>
      </c>
      <c r="AS336" s="19">
        <v>0</v>
      </c>
      <c r="AT336" s="19">
        <v>0</v>
      </c>
      <c r="AU336" s="19">
        <v>0</v>
      </c>
      <c r="AV336" s="19">
        <v>0</v>
      </c>
      <c r="AW336" s="19">
        <v>0</v>
      </c>
      <c r="AX336" s="19">
        <v>0</v>
      </c>
      <c r="AY336" s="19">
        <v>0</v>
      </c>
      <c r="AZ336" s="19">
        <v>0</v>
      </c>
      <c r="BA336" s="19">
        <v>0</v>
      </c>
      <c r="BB336" s="19">
        <v>0</v>
      </c>
      <c r="BC336" s="19">
        <v>0</v>
      </c>
      <c r="BD336" s="19">
        <v>0</v>
      </c>
      <c r="BE336" s="19">
        <v>0</v>
      </c>
      <c r="BF336" s="19">
        <v>0</v>
      </c>
      <c r="BG336" s="19">
        <v>0</v>
      </c>
      <c r="BH336" s="19">
        <v>0</v>
      </c>
      <c r="BI336" s="19">
        <v>0</v>
      </c>
      <c r="BJ336" s="19">
        <v>0</v>
      </c>
      <c r="BK336" s="19">
        <v>0</v>
      </c>
      <c r="BL336" s="19">
        <v>0</v>
      </c>
      <c r="BM336" s="19">
        <v>0</v>
      </c>
      <c r="BN336" s="19">
        <v>0</v>
      </c>
      <c r="BO336" s="19">
        <v>0</v>
      </c>
      <c r="BP336" s="19">
        <v>0</v>
      </c>
      <c r="BQ336" s="19">
        <v>0</v>
      </c>
      <c r="BR336" s="19">
        <v>3</v>
      </c>
      <c r="BS336" s="19"/>
      <c r="BT336" s="19">
        <v>3</v>
      </c>
      <c r="BU336" s="19">
        <v>5</v>
      </c>
      <c r="BV336" s="19">
        <v>2</v>
      </c>
      <c r="BW336" s="19">
        <v>3</v>
      </c>
      <c r="BX336" s="19">
        <v>2</v>
      </c>
      <c r="BY336" s="19">
        <v>3</v>
      </c>
      <c r="BZ336" s="19">
        <v>3</v>
      </c>
      <c r="CA336" s="19">
        <v>4</v>
      </c>
      <c r="CB336" s="19"/>
      <c r="CC336" s="19">
        <v>5</v>
      </c>
      <c r="CD336" s="19">
        <v>3</v>
      </c>
      <c r="CE336" s="19">
        <v>3</v>
      </c>
      <c r="CF336" s="19">
        <v>4</v>
      </c>
      <c r="CG336" s="19">
        <v>5</v>
      </c>
      <c r="CH336" s="19">
        <v>3</v>
      </c>
      <c r="CI336" s="19">
        <v>4</v>
      </c>
      <c r="CJ336" s="19">
        <v>3</v>
      </c>
      <c r="CK336" s="19">
        <v>9</v>
      </c>
      <c r="CL336" t="s">
        <v>219</v>
      </c>
      <c r="CM336">
        <v>33.5</v>
      </c>
      <c r="CN336" s="16">
        <v>91.5</v>
      </c>
      <c r="CO336" s="16">
        <v>80.400000000000006</v>
      </c>
      <c r="CP336" s="16">
        <v>20</v>
      </c>
      <c r="CQ336">
        <v>84.58</v>
      </c>
      <c r="CR336" s="17">
        <v>0</v>
      </c>
      <c r="CS336">
        <v>15.42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13.79</v>
      </c>
      <c r="DD336">
        <v>2.67</v>
      </c>
      <c r="DE336">
        <v>11.54</v>
      </c>
      <c r="DF336">
        <v>0</v>
      </c>
      <c r="DG336">
        <v>12.3</v>
      </c>
      <c r="DH336">
        <v>2</v>
      </c>
      <c r="DI336">
        <v>5</v>
      </c>
      <c r="DJ336">
        <v>2</v>
      </c>
      <c r="DO336">
        <v>5</v>
      </c>
      <c r="DP336">
        <v>2</v>
      </c>
      <c r="DU336">
        <v>0</v>
      </c>
      <c r="DV336">
        <v>1</v>
      </c>
      <c r="DW336">
        <v>34</v>
      </c>
      <c r="DX336">
        <v>2</v>
      </c>
      <c r="DY336">
        <v>0.1</v>
      </c>
      <c r="DZ336">
        <v>1</v>
      </c>
      <c r="EA336">
        <v>10</v>
      </c>
      <c r="EB336">
        <f t="shared" si="123"/>
        <v>32</v>
      </c>
      <c r="EC336">
        <f t="shared" si="124"/>
        <v>3.5100000000000002</v>
      </c>
      <c r="ED336">
        <v>3</v>
      </c>
      <c r="EG336" s="18"/>
      <c r="EY336">
        <v>0</v>
      </c>
      <c r="GJ336" s="16">
        <v>0.25</v>
      </c>
      <c r="GK336" s="16">
        <v>1</v>
      </c>
      <c r="GL336" s="16">
        <v>2</v>
      </c>
      <c r="GM336" s="16"/>
      <c r="GN336" s="16">
        <v>0.55000000000000004</v>
      </c>
      <c r="GO336" s="16"/>
      <c r="GP336" s="16"/>
      <c r="GQ336" s="16"/>
      <c r="GR336" s="16"/>
      <c r="GS336" s="16"/>
      <c r="GT336" s="16"/>
      <c r="GU336" s="16">
        <v>0.55000000000000004</v>
      </c>
      <c r="GV336" s="16">
        <v>0.55000000000000004</v>
      </c>
      <c r="GW336" s="16"/>
      <c r="GX336" s="16"/>
      <c r="GY336" s="16">
        <v>0</v>
      </c>
      <c r="GZ336" s="16">
        <v>0</v>
      </c>
      <c r="HA336" s="16">
        <v>0</v>
      </c>
      <c r="HB336">
        <v>0</v>
      </c>
      <c r="HC336" t="s">
        <v>220</v>
      </c>
      <c r="HD336">
        <v>27</v>
      </c>
      <c r="HE336" s="16">
        <v>54.4</v>
      </c>
      <c r="HF336" s="16">
        <v>80.400000000000006</v>
      </c>
      <c r="HG336" s="16">
        <v>18.100000000000001</v>
      </c>
      <c r="HH336">
        <v>81.88</v>
      </c>
      <c r="HI336" s="17">
        <v>0</v>
      </c>
      <c r="HJ336">
        <v>9.83</v>
      </c>
      <c r="HK336">
        <v>0</v>
      </c>
      <c r="HL336">
        <v>2.14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2.3199999999999998</v>
      </c>
      <c r="HU336">
        <v>19.66</v>
      </c>
      <c r="HV336">
        <v>3.64</v>
      </c>
      <c r="HW336">
        <v>0</v>
      </c>
      <c r="HX336">
        <v>0</v>
      </c>
      <c r="HY336">
        <v>0</v>
      </c>
      <c r="IL336">
        <v>0</v>
      </c>
      <c r="IM336">
        <v>1</v>
      </c>
      <c r="IN336">
        <v>26</v>
      </c>
      <c r="IO336">
        <v>2</v>
      </c>
      <c r="IP336">
        <v>0.05</v>
      </c>
      <c r="IQ336">
        <v>2</v>
      </c>
      <c r="IX336" s="18"/>
      <c r="JP336">
        <v>0</v>
      </c>
      <c r="LA336" s="16">
        <v>2.1</v>
      </c>
      <c r="LB336" s="16">
        <v>1</v>
      </c>
      <c r="LC336" s="16">
        <v>1</v>
      </c>
      <c r="LD336" s="16"/>
      <c r="LE336" s="16">
        <f t="shared" si="125"/>
        <v>7.01</v>
      </c>
      <c r="LF336" s="16"/>
      <c r="LG336" s="16"/>
      <c r="LH336" s="16"/>
      <c r="LI336" s="16"/>
      <c r="LJ336" s="16"/>
      <c r="LK336" s="16"/>
      <c r="LL336" s="16">
        <v>6.35</v>
      </c>
      <c r="LM336" s="16">
        <v>14.8</v>
      </c>
      <c r="LN336" s="16"/>
      <c r="LO336" s="16"/>
      <c r="LP336" s="16">
        <v>0</v>
      </c>
      <c r="LQ336" s="16">
        <v>0</v>
      </c>
      <c r="LR336" s="16">
        <v>0</v>
      </c>
      <c r="LS336">
        <v>0</v>
      </c>
      <c r="LT336" t="s">
        <v>221</v>
      </c>
      <c r="LU336">
        <v>20.5</v>
      </c>
      <c r="LV336" s="16">
        <v>76.900000000000006</v>
      </c>
      <c r="LW336" s="16">
        <v>80.400000000000006</v>
      </c>
      <c r="LX336" s="16">
        <v>9.1</v>
      </c>
      <c r="LY336">
        <v>88.58</v>
      </c>
      <c r="LZ336">
        <v>10.3</v>
      </c>
      <c r="MA336">
        <v>1.1200000000000001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6.33</v>
      </c>
      <c r="ML336">
        <v>16.97</v>
      </c>
      <c r="MM336">
        <v>0</v>
      </c>
      <c r="MN336">
        <v>0</v>
      </c>
      <c r="MO336">
        <v>4.0999999999999996</v>
      </c>
      <c r="MP336">
        <v>2</v>
      </c>
      <c r="MQ336">
        <v>5</v>
      </c>
      <c r="MR336">
        <v>1</v>
      </c>
      <c r="MW336">
        <v>5</v>
      </c>
      <c r="MX336">
        <v>1</v>
      </c>
      <c r="NC336">
        <v>0</v>
      </c>
      <c r="ND336">
        <v>0</v>
      </c>
      <c r="NO336" s="18"/>
      <c r="OG336">
        <v>0</v>
      </c>
      <c r="PR336" s="16">
        <v>2.2400000000000002</v>
      </c>
      <c r="PS336" s="16">
        <v>1</v>
      </c>
      <c r="PT336" s="16">
        <v>2</v>
      </c>
      <c r="PU336" s="16"/>
      <c r="PV336" s="16">
        <v>4.97</v>
      </c>
      <c r="PW336" s="16"/>
      <c r="PX336" s="16"/>
      <c r="PY336" s="16"/>
      <c r="PZ336" s="16"/>
      <c r="QA336" s="16"/>
      <c r="QB336" s="16"/>
      <c r="QC336" s="16">
        <v>5.0999999999999996</v>
      </c>
      <c r="QD336" s="16">
        <v>5.97</v>
      </c>
      <c r="QE336" s="16"/>
      <c r="QF336" s="16"/>
      <c r="QG336" s="16">
        <v>0</v>
      </c>
      <c r="QH336" s="16">
        <v>0</v>
      </c>
      <c r="QI336" s="16">
        <v>0</v>
      </c>
      <c r="QJ336">
        <v>0</v>
      </c>
      <c r="QK336" t="s">
        <v>222</v>
      </c>
      <c r="QL336">
        <v>32.5</v>
      </c>
      <c r="QM336" s="16">
        <v>96.7</v>
      </c>
      <c r="QN336" s="16">
        <v>80.400000000000006</v>
      </c>
      <c r="QO336" s="16">
        <v>15.1</v>
      </c>
      <c r="QP336">
        <v>52.24</v>
      </c>
      <c r="QQ336">
        <v>45.43</v>
      </c>
      <c r="QR336">
        <v>1.1200000000000001</v>
      </c>
      <c r="QS336">
        <v>0</v>
      </c>
      <c r="QT336">
        <v>1.2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1.2</v>
      </c>
      <c r="RB336">
        <v>15.88</v>
      </c>
      <c r="RC336">
        <v>48.59</v>
      </c>
      <c r="RD336">
        <v>0</v>
      </c>
      <c r="RE336">
        <v>0</v>
      </c>
      <c r="RF336">
        <v>0</v>
      </c>
      <c r="RG336">
        <v>0</v>
      </c>
      <c r="RT336">
        <v>0</v>
      </c>
      <c r="RU336">
        <v>0</v>
      </c>
      <c r="SF336" s="18"/>
      <c r="SX336">
        <v>1</v>
      </c>
      <c r="SY336">
        <v>50</v>
      </c>
      <c r="SZ336">
        <v>2</v>
      </c>
      <c r="TA336">
        <f>3.18+12.73</f>
        <v>15.91</v>
      </c>
      <c r="TB336">
        <v>1</v>
      </c>
      <c r="UI336" s="16">
        <v>5.9</v>
      </c>
      <c r="UJ336" s="16">
        <v>1</v>
      </c>
      <c r="UK336" s="16">
        <v>2</v>
      </c>
      <c r="UL336" s="16"/>
      <c r="UM336" s="16">
        <f>0.09+0.18*3+0.13+0.53+1.07*2+1.34*2+0.17*2+3.18+12.73</f>
        <v>22.36</v>
      </c>
      <c r="UN336" s="16"/>
      <c r="UO336" s="16"/>
      <c r="UP336" s="16"/>
      <c r="UQ336" s="16"/>
      <c r="UR336" s="16"/>
      <c r="US336" s="16"/>
      <c r="UT336" s="16">
        <v>11.45</v>
      </c>
      <c r="UU336" s="16">
        <v>41.19</v>
      </c>
      <c r="UV336" s="16"/>
      <c r="UW336" s="16"/>
      <c r="UX336" s="16">
        <v>0</v>
      </c>
      <c r="UY336" s="16">
        <v>0</v>
      </c>
      <c r="UZ336" s="16">
        <v>0</v>
      </c>
      <c r="VA336">
        <v>0</v>
      </c>
      <c r="VB336" t="s">
        <v>223</v>
      </c>
      <c r="VC336">
        <v>30.5</v>
      </c>
      <c r="VD336" s="16">
        <v>68.8</v>
      </c>
      <c r="VE336" s="16">
        <v>80.400000000000006</v>
      </c>
      <c r="VF336" s="16">
        <v>16.3</v>
      </c>
      <c r="VG336">
        <v>66.28</v>
      </c>
      <c r="VH336">
        <v>20.09</v>
      </c>
      <c r="VI336">
        <v>1.81</v>
      </c>
      <c r="VJ336">
        <v>0</v>
      </c>
      <c r="VK336">
        <v>11.82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13.17</v>
      </c>
      <c r="VT336">
        <v>35.75</v>
      </c>
      <c r="VU336">
        <v>0</v>
      </c>
      <c r="VV336">
        <v>0</v>
      </c>
      <c r="VW336">
        <v>0</v>
      </c>
      <c r="VX336">
        <v>0</v>
      </c>
      <c r="WK336">
        <v>0</v>
      </c>
      <c r="WL336">
        <v>1</v>
      </c>
      <c r="WM336">
        <v>52</v>
      </c>
      <c r="WN336">
        <v>1</v>
      </c>
      <c r="WO336">
        <v>0.01</v>
      </c>
      <c r="WP336">
        <v>2</v>
      </c>
      <c r="WW336" s="18"/>
      <c r="XO336">
        <v>0</v>
      </c>
      <c r="YZ336" s="16">
        <v>5.43</v>
      </c>
      <c r="ZA336" s="16">
        <v>1</v>
      </c>
      <c r="ZB336" s="16">
        <v>1</v>
      </c>
      <c r="ZC336" s="16"/>
      <c r="ZD336" s="16">
        <f>0.09*2+0.07+1.36</f>
        <v>1.61</v>
      </c>
      <c r="ZE336" s="16">
        <v>2</v>
      </c>
      <c r="ZF336" s="16"/>
      <c r="ZG336" s="16">
        <f>4.2+0.09+0.66+0.01+3.18+3.18</f>
        <v>11.32</v>
      </c>
      <c r="ZH336" s="16"/>
      <c r="ZI336" s="16"/>
      <c r="ZJ336" s="16"/>
      <c r="ZK336" s="16">
        <v>8.61</v>
      </c>
      <c r="ZL336" s="16">
        <v>26.91</v>
      </c>
      <c r="ZM336" s="16"/>
      <c r="ZN336" s="16"/>
      <c r="ZO336" s="16">
        <v>0</v>
      </c>
      <c r="ZP336" s="16">
        <v>0</v>
      </c>
      <c r="ZQ336" s="16">
        <v>0</v>
      </c>
      <c r="ZR336">
        <v>0</v>
      </c>
      <c r="ZS336" t="s">
        <v>224</v>
      </c>
      <c r="ZT336">
        <v>39.5</v>
      </c>
      <c r="ZU336" s="16">
        <v>60.8</v>
      </c>
      <c r="ZV336" s="16">
        <v>80.400000000000006</v>
      </c>
      <c r="ZW336" s="16">
        <v>22.9</v>
      </c>
      <c r="ZX336">
        <v>67.010000000000005</v>
      </c>
      <c r="ZY336">
        <v>11.71</v>
      </c>
      <c r="ZZ336">
        <v>16.61</v>
      </c>
      <c r="AAA336">
        <v>0</v>
      </c>
      <c r="AAB336">
        <v>4.67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20.9</v>
      </c>
      <c r="AAK336">
        <v>25.23</v>
      </c>
      <c r="AAL336">
        <v>0.57999999999999996</v>
      </c>
      <c r="AAM336">
        <v>0</v>
      </c>
      <c r="AAN336">
        <v>0</v>
      </c>
      <c r="AAO336">
        <v>0</v>
      </c>
      <c r="ABB336">
        <v>2</v>
      </c>
      <c r="ABC336">
        <v>1</v>
      </c>
      <c r="ABD336">
        <v>103</v>
      </c>
      <c r="ABE336">
        <v>2</v>
      </c>
      <c r="ABF336">
        <f>0.18+0.14</f>
        <v>0.32</v>
      </c>
      <c r="ABG336">
        <v>1</v>
      </c>
      <c r="ABH336">
        <v>68</v>
      </c>
      <c r="ABI336">
        <v>1</v>
      </c>
      <c r="ABJ336">
        <v>0.01</v>
      </c>
      <c r="ABK336">
        <v>1</v>
      </c>
      <c r="ABL336">
        <v>52</v>
      </c>
      <c r="ABM336">
        <v>3</v>
      </c>
      <c r="ABN336" s="18">
        <v>0.05</v>
      </c>
      <c r="ABO336">
        <v>2</v>
      </c>
      <c r="ACF336">
        <v>0</v>
      </c>
      <c r="ADQ336" s="16">
        <v>3.66</v>
      </c>
      <c r="ADR336" s="16">
        <v>1</v>
      </c>
      <c r="ADS336" s="16">
        <v>1</v>
      </c>
      <c r="ADT336" s="16"/>
      <c r="ADU336" s="16">
        <f>2.69*3+1.35*3+0.14*2+0.1</f>
        <v>12.5</v>
      </c>
      <c r="ADV336" s="16">
        <v>2</v>
      </c>
      <c r="ADW336" s="16"/>
      <c r="ADX336" s="16">
        <f>0.66+0.35+0.18+0.14+1.25+1.23</f>
        <v>3.81</v>
      </c>
      <c r="ADY336" s="16"/>
      <c r="ADZ336" s="16"/>
      <c r="AEA336" s="16"/>
      <c r="AEB336" s="16">
        <v>10.050000000000001</v>
      </c>
      <c r="AEC336" s="16">
        <v>27.11</v>
      </c>
      <c r="AED336" s="16"/>
      <c r="AEE336" s="16"/>
      <c r="AEF336" s="16">
        <v>0</v>
      </c>
      <c r="AEG336" s="16">
        <v>0</v>
      </c>
      <c r="AEH336" s="16">
        <v>0</v>
      </c>
      <c r="AEI336">
        <v>0</v>
      </c>
      <c r="AEJ336" t="s">
        <v>225</v>
      </c>
      <c r="AEK336">
        <v>47</v>
      </c>
      <c r="AEL336" s="16">
        <v>72.3</v>
      </c>
      <c r="AEM336" s="16">
        <v>80.400000000000006</v>
      </c>
      <c r="AEN336" s="16">
        <v>18</v>
      </c>
      <c r="AEO336">
        <v>70.55</v>
      </c>
      <c r="AEP336">
        <v>6.81</v>
      </c>
      <c r="AEQ336">
        <v>3.09</v>
      </c>
      <c r="AER336">
        <v>0</v>
      </c>
      <c r="AES336">
        <v>19.55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18.07</v>
      </c>
      <c r="AFB336">
        <v>30.57</v>
      </c>
      <c r="AFC336">
        <v>7.61</v>
      </c>
      <c r="AFD336">
        <v>0</v>
      </c>
      <c r="AFE336">
        <v>14</v>
      </c>
      <c r="AFF336">
        <v>2</v>
      </c>
      <c r="AFG336">
        <v>5</v>
      </c>
      <c r="AFH336">
        <v>4.47</v>
      </c>
      <c r="AFJ336">
        <v>7</v>
      </c>
      <c r="AFK336">
        <v>5.15</v>
      </c>
      <c r="AFM336">
        <v>5</v>
      </c>
      <c r="AFN336">
        <v>4.47</v>
      </c>
      <c r="AFP336">
        <v>7</v>
      </c>
      <c r="AFQ336">
        <v>5.15</v>
      </c>
      <c r="AFS336">
        <v>0</v>
      </c>
      <c r="AFT336">
        <v>0</v>
      </c>
      <c r="AGE336" s="18"/>
      <c r="AGW336">
        <v>0</v>
      </c>
      <c r="AIH336" s="16">
        <v>4.21</v>
      </c>
      <c r="AII336" s="16">
        <v>1</v>
      </c>
      <c r="AIJ336" s="16">
        <v>2</v>
      </c>
      <c r="AIK336" s="16"/>
      <c r="AIL336" s="16">
        <f>7.46+1.59+0.6</f>
        <v>9.65</v>
      </c>
      <c r="AIM336" s="16"/>
      <c r="AIN336" s="16"/>
      <c r="AIO336" s="16"/>
      <c r="AIP336" s="16"/>
      <c r="AIQ336" s="16"/>
      <c r="AIR336" s="16"/>
      <c r="AIS336" s="16">
        <v>10.63</v>
      </c>
      <c r="AIT336" s="16">
        <v>36.380000000000003</v>
      </c>
      <c r="AIU336" s="16"/>
      <c r="AIV336" s="16"/>
      <c r="AIW336" s="16">
        <v>0</v>
      </c>
      <c r="AIX336" s="16">
        <v>0</v>
      </c>
      <c r="AIY336" s="16">
        <v>0</v>
      </c>
      <c r="AIZ336">
        <v>0</v>
      </c>
      <c r="AJA336" t="s">
        <v>226</v>
      </c>
      <c r="AJB336">
        <v>19</v>
      </c>
      <c r="AJC336" s="16">
        <v>82.6</v>
      </c>
      <c r="AJD336" s="16">
        <v>80.400000000000006</v>
      </c>
      <c r="AJE336" s="16">
        <v>7.7</v>
      </c>
      <c r="AJF336">
        <v>86.83</v>
      </c>
      <c r="AJG336">
        <v>12.69</v>
      </c>
      <c r="AJH336">
        <v>0</v>
      </c>
      <c r="AJI336">
        <v>0</v>
      </c>
      <c r="AJJ336">
        <v>0.48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7.16</v>
      </c>
      <c r="AJS336">
        <v>10.76</v>
      </c>
      <c r="AJT336">
        <v>0</v>
      </c>
      <c r="AJU336">
        <v>0</v>
      </c>
      <c r="AJV336">
        <v>3.4</v>
      </c>
      <c r="AJW336">
        <v>2</v>
      </c>
      <c r="AJX336">
        <v>11.9</v>
      </c>
      <c r="AJY336">
        <v>0.48</v>
      </c>
      <c r="AKD336">
        <v>11.9</v>
      </c>
      <c r="AKE336">
        <v>0.48</v>
      </c>
      <c r="AKJ336">
        <v>0</v>
      </c>
      <c r="AKK336">
        <v>1</v>
      </c>
      <c r="AKL336">
        <v>34</v>
      </c>
      <c r="AKM336">
        <v>2</v>
      </c>
      <c r="AKN336">
        <f>0.84*2</f>
        <v>1.68</v>
      </c>
      <c r="AKO336">
        <v>1</v>
      </c>
      <c r="AKV336" s="18"/>
      <c r="ALN336">
        <v>0</v>
      </c>
    </row>
    <row r="337" spans="1:1018" x14ac:dyDescent="0.2">
      <c r="A337" s="1" t="s">
        <v>924</v>
      </c>
      <c r="B337" s="12">
        <v>42928</v>
      </c>
      <c r="C337">
        <v>2</v>
      </c>
      <c r="D337" s="13">
        <v>42923</v>
      </c>
      <c r="E337" s="12">
        <v>32646</v>
      </c>
      <c r="F337" s="14">
        <f t="shared" si="120"/>
        <v>28.150581793292265</v>
      </c>
      <c r="G337" s="14">
        <f t="shared" si="121"/>
        <v>1.3689253935660506E-2</v>
      </c>
      <c r="H337" s="19" t="s">
        <v>217</v>
      </c>
      <c r="I337" s="15" t="s">
        <v>218</v>
      </c>
      <c r="J337" s="15" t="s">
        <v>183</v>
      </c>
      <c r="K337" s="15" t="s">
        <v>913</v>
      </c>
      <c r="L337" s="19">
        <v>71</v>
      </c>
      <c r="M337">
        <v>1.72</v>
      </c>
      <c r="N337" s="16">
        <f t="shared" si="122"/>
        <v>23.999459167117362</v>
      </c>
      <c r="O337" s="19">
        <v>0</v>
      </c>
      <c r="P337" s="19">
        <v>0</v>
      </c>
      <c r="Q337" s="19">
        <v>0</v>
      </c>
      <c r="R337" s="26">
        <v>0</v>
      </c>
      <c r="S337" s="26">
        <v>0</v>
      </c>
      <c r="T337" s="26">
        <v>0</v>
      </c>
      <c r="U337" s="19">
        <v>0</v>
      </c>
      <c r="V337" s="19">
        <v>0</v>
      </c>
      <c r="W337" s="19">
        <v>0</v>
      </c>
      <c r="X337" s="19"/>
      <c r="Y337" s="19">
        <v>0</v>
      </c>
      <c r="Z337" s="19">
        <v>0</v>
      </c>
      <c r="AA337" s="19">
        <v>0</v>
      </c>
      <c r="AB337" s="19">
        <v>0</v>
      </c>
      <c r="AC337" s="19">
        <v>1</v>
      </c>
      <c r="AD337" s="19">
        <v>5</v>
      </c>
      <c r="AE337" s="19">
        <v>1</v>
      </c>
      <c r="AF337" s="19">
        <v>0</v>
      </c>
      <c r="AG337" s="19">
        <v>0</v>
      </c>
      <c r="AH337" s="19">
        <v>0</v>
      </c>
      <c r="AI337" s="19">
        <v>0</v>
      </c>
      <c r="AJ337" s="19">
        <v>0</v>
      </c>
      <c r="AK337" s="19">
        <v>0</v>
      </c>
      <c r="AL337" s="19">
        <v>0</v>
      </c>
      <c r="AM337" s="19">
        <v>0</v>
      </c>
      <c r="AN337" s="19">
        <v>0</v>
      </c>
      <c r="AO337" s="19">
        <v>0</v>
      </c>
      <c r="AP337" s="19">
        <v>0</v>
      </c>
      <c r="AQ337" s="19">
        <v>0</v>
      </c>
      <c r="AR337" s="19">
        <v>0</v>
      </c>
      <c r="AS337" s="19">
        <v>1</v>
      </c>
      <c r="AT337" s="19">
        <v>0</v>
      </c>
      <c r="AU337" s="19"/>
      <c r="AV337" s="19"/>
      <c r="AW337" s="19"/>
      <c r="AX337" s="19">
        <v>0</v>
      </c>
      <c r="AY337" s="19">
        <v>0</v>
      </c>
      <c r="AZ337" s="19">
        <v>0</v>
      </c>
      <c r="BA337" s="19">
        <v>0</v>
      </c>
      <c r="BB337" s="19">
        <v>1</v>
      </c>
      <c r="BC337" s="19">
        <v>0</v>
      </c>
      <c r="BD337" s="19">
        <v>0</v>
      </c>
      <c r="BE337" s="19">
        <v>0</v>
      </c>
      <c r="BF337" s="19">
        <v>0</v>
      </c>
      <c r="BG337" s="19">
        <v>0</v>
      </c>
      <c r="BH337" s="19">
        <v>0</v>
      </c>
      <c r="BI337" s="19">
        <v>0</v>
      </c>
      <c r="BJ337" s="19">
        <v>0</v>
      </c>
      <c r="BK337" s="19">
        <v>0</v>
      </c>
      <c r="BL337" s="19">
        <v>0</v>
      </c>
      <c r="BM337" s="19">
        <v>0</v>
      </c>
      <c r="BN337" s="19">
        <v>0</v>
      </c>
      <c r="BO337" s="19">
        <v>0</v>
      </c>
      <c r="BP337" s="19">
        <v>0</v>
      </c>
      <c r="BQ337" s="19">
        <v>0</v>
      </c>
      <c r="BR337" s="19">
        <v>2</v>
      </c>
      <c r="BS337" s="19">
        <v>2</v>
      </c>
      <c r="BT337" s="19">
        <v>4</v>
      </c>
      <c r="BU337" s="19">
        <v>5</v>
      </c>
      <c r="BV337" s="19">
        <v>1</v>
      </c>
      <c r="BW337" s="19">
        <v>2</v>
      </c>
      <c r="BX337" s="19">
        <v>3</v>
      </c>
      <c r="BY337" s="19">
        <v>4</v>
      </c>
      <c r="BZ337" s="19">
        <v>5</v>
      </c>
      <c r="CA337" s="19">
        <v>5</v>
      </c>
      <c r="CB337" s="19">
        <v>5</v>
      </c>
      <c r="CC337" s="19">
        <v>5</v>
      </c>
      <c r="CD337" s="19">
        <v>5</v>
      </c>
      <c r="CE337" s="19">
        <v>5</v>
      </c>
      <c r="CF337" s="19">
        <v>5</v>
      </c>
      <c r="CG337" s="19">
        <v>5</v>
      </c>
      <c r="CH337" s="19">
        <v>5</v>
      </c>
      <c r="CI337" s="19">
        <v>5</v>
      </c>
      <c r="CJ337" s="19">
        <v>5</v>
      </c>
      <c r="CK337" s="19">
        <v>10</v>
      </c>
      <c r="CL337" t="s">
        <v>219</v>
      </c>
      <c r="CM337">
        <v>33.5</v>
      </c>
      <c r="CN337" s="16">
        <v>91.5</v>
      </c>
      <c r="CO337" s="16">
        <v>80.400000000000006</v>
      </c>
      <c r="CP337" s="16">
        <v>20</v>
      </c>
      <c r="CQ337">
        <v>84.58</v>
      </c>
      <c r="CR337" s="17">
        <v>0</v>
      </c>
      <c r="CS337">
        <v>15.42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13.79</v>
      </c>
      <c r="DD337">
        <v>2.67</v>
      </c>
      <c r="DE337">
        <v>11.54</v>
      </c>
      <c r="DF337">
        <v>0</v>
      </c>
      <c r="DG337">
        <v>12.3</v>
      </c>
      <c r="DH337">
        <v>2</v>
      </c>
      <c r="DI337">
        <v>5</v>
      </c>
      <c r="DJ337">
        <v>2</v>
      </c>
      <c r="DO337">
        <v>5</v>
      </c>
      <c r="DP337">
        <v>2</v>
      </c>
      <c r="DU337">
        <v>0</v>
      </c>
      <c r="DV337">
        <v>1</v>
      </c>
      <c r="DW337">
        <v>34</v>
      </c>
      <c r="DX337">
        <v>2</v>
      </c>
      <c r="DY337">
        <v>0.1</v>
      </c>
      <c r="DZ337">
        <v>1</v>
      </c>
      <c r="EA337">
        <v>10</v>
      </c>
      <c r="EB337">
        <f t="shared" si="123"/>
        <v>32</v>
      </c>
      <c r="EC337">
        <f t="shared" si="124"/>
        <v>3.5100000000000002</v>
      </c>
      <c r="ED337">
        <v>3</v>
      </c>
      <c r="EG337" s="18"/>
      <c r="EY337">
        <v>0</v>
      </c>
      <c r="GJ337" s="16">
        <v>0.25</v>
      </c>
      <c r="GK337" s="16">
        <v>1</v>
      </c>
      <c r="GL337" s="16">
        <v>2</v>
      </c>
      <c r="GM337" s="16"/>
      <c r="GN337" s="16">
        <v>0.55000000000000004</v>
      </c>
      <c r="GO337" s="16"/>
      <c r="GP337" s="16"/>
      <c r="GQ337" s="16"/>
      <c r="GR337" s="16"/>
      <c r="GS337" s="16"/>
      <c r="GT337" s="16"/>
      <c r="GU337" s="16">
        <v>0.55000000000000004</v>
      </c>
      <c r="GV337" s="16">
        <v>0.55000000000000004</v>
      </c>
      <c r="GW337" s="16"/>
      <c r="GX337" s="16"/>
      <c r="GY337" s="16">
        <v>0</v>
      </c>
      <c r="GZ337" s="16">
        <v>0</v>
      </c>
      <c r="HA337" s="16">
        <v>0</v>
      </c>
      <c r="HB337">
        <v>0</v>
      </c>
      <c r="HC337" t="s">
        <v>220</v>
      </c>
      <c r="HD337">
        <v>27</v>
      </c>
      <c r="HE337" s="16">
        <v>54.4</v>
      </c>
      <c r="HF337" s="16">
        <v>80.400000000000006</v>
      </c>
      <c r="HG337" s="16">
        <v>18.100000000000001</v>
      </c>
      <c r="HH337">
        <v>81.88</v>
      </c>
      <c r="HI337" s="17">
        <v>0</v>
      </c>
      <c r="HJ337">
        <v>9.83</v>
      </c>
      <c r="HK337">
        <v>0</v>
      </c>
      <c r="HL337">
        <v>2.14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2.3199999999999998</v>
      </c>
      <c r="HU337">
        <v>19.66</v>
      </c>
      <c r="HV337">
        <v>3.64</v>
      </c>
      <c r="HW337">
        <v>0</v>
      </c>
      <c r="HX337">
        <v>0</v>
      </c>
      <c r="HY337">
        <v>0</v>
      </c>
      <c r="IL337">
        <v>0</v>
      </c>
      <c r="IM337">
        <v>1</v>
      </c>
      <c r="IN337">
        <v>26</v>
      </c>
      <c r="IO337">
        <v>2</v>
      </c>
      <c r="IP337">
        <v>0.05</v>
      </c>
      <c r="IQ337">
        <v>2</v>
      </c>
      <c r="IX337" s="18"/>
      <c r="JP337">
        <v>0</v>
      </c>
      <c r="LA337" s="16">
        <v>2.1</v>
      </c>
      <c r="LB337" s="16">
        <v>1</v>
      </c>
      <c r="LC337" s="16">
        <v>1</v>
      </c>
      <c r="LD337" s="16"/>
      <c r="LE337" s="16">
        <f t="shared" si="125"/>
        <v>7.01</v>
      </c>
      <c r="LF337" s="16"/>
      <c r="LG337" s="16"/>
      <c r="LH337" s="16"/>
      <c r="LI337" s="16"/>
      <c r="LJ337" s="16"/>
      <c r="LK337" s="16"/>
      <c r="LL337" s="16">
        <v>6.35</v>
      </c>
      <c r="LM337" s="16">
        <v>14.8</v>
      </c>
      <c r="LN337" s="16"/>
      <c r="LO337" s="16"/>
      <c r="LP337" s="16">
        <v>0</v>
      </c>
      <c r="LQ337" s="16">
        <v>0</v>
      </c>
      <c r="LR337" s="16">
        <v>0</v>
      </c>
      <c r="LS337">
        <v>0</v>
      </c>
      <c r="LT337" t="s">
        <v>221</v>
      </c>
      <c r="LU337">
        <v>20.5</v>
      </c>
      <c r="LV337" s="16">
        <v>76.900000000000006</v>
      </c>
      <c r="LW337" s="16">
        <v>80.400000000000006</v>
      </c>
      <c r="LX337" s="16">
        <v>9.1</v>
      </c>
      <c r="LY337">
        <v>88.58</v>
      </c>
      <c r="LZ337">
        <v>10.3</v>
      </c>
      <c r="MA337">
        <v>1.1200000000000001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6.33</v>
      </c>
      <c r="ML337">
        <v>16.97</v>
      </c>
      <c r="MM337">
        <v>0</v>
      </c>
      <c r="MN337">
        <v>0</v>
      </c>
      <c r="MO337">
        <v>4.0999999999999996</v>
      </c>
      <c r="MP337">
        <v>2</v>
      </c>
      <c r="MQ337">
        <v>5</v>
      </c>
      <c r="MR337">
        <v>1</v>
      </c>
      <c r="MW337">
        <v>5</v>
      </c>
      <c r="MX337">
        <v>1</v>
      </c>
      <c r="NC337">
        <v>0</v>
      </c>
      <c r="ND337">
        <v>0</v>
      </c>
      <c r="NO337" s="18"/>
      <c r="OG337">
        <v>0</v>
      </c>
      <c r="PR337" s="16">
        <v>2.2400000000000002</v>
      </c>
      <c r="PS337" s="16">
        <v>1</v>
      </c>
      <c r="PT337" s="16">
        <v>2</v>
      </c>
      <c r="PU337" s="16"/>
      <c r="PV337" s="16">
        <v>4.97</v>
      </c>
      <c r="PW337" s="16"/>
      <c r="PX337" s="16"/>
      <c r="PY337" s="16"/>
      <c r="PZ337" s="16"/>
      <c r="QA337" s="16"/>
      <c r="QB337" s="16"/>
      <c r="QC337" s="16">
        <v>5.0999999999999996</v>
      </c>
      <c r="QD337" s="16">
        <v>5.97</v>
      </c>
      <c r="QE337" s="16"/>
      <c r="QF337" s="16"/>
      <c r="QG337" s="16">
        <v>0</v>
      </c>
      <c r="QH337" s="16">
        <v>0</v>
      </c>
      <c r="QI337" s="16">
        <v>0</v>
      </c>
      <c r="QJ337">
        <v>0</v>
      </c>
      <c r="QK337" t="s">
        <v>222</v>
      </c>
      <c r="QL337">
        <v>32.5</v>
      </c>
      <c r="QM337" s="16">
        <v>96.7</v>
      </c>
      <c r="QN337" s="16">
        <v>80.400000000000006</v>
      </c>
      <c r="QO337" s="16">
        <v>15.1</v>
      </c>
      <c r="QP337">
        <v>52.24</v>
      </c>
      <c r="QQ337">
        <v>45.43</v>
      </c>
      <c r="QR337">
        <v>1.1200000000000001</v>
      </c>
      <c r="QS337">
        <v>0</v>
      </c>
      <c r="QT337">
        <v>1.2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1.2</v>
      </c>
      <c r="RB337">
        <v>15.88</v>
      </c>
      <c r="RC337">
        <v>48.59</v>
      </c>
      <c r="RD337">
        <v>0</v>
      </c>
      <c r="RE337">
        <v>0</v>
      </c>
      <c r="RF337">
        <v>0</v>
      </c>
      <c r="RG337">
        <v>0</v>
      </c>
      <c r="RT337">
        <v>0</v>
      </c>
      <c r="RU337">
        <v>0</v>
      </c>
      <c r="SF337" s="18"/>
      <c r="SX337">
        <v>1</v>
      </c>
      <c r="SY337">
        <v>50</v>
      </c>
      <c r="SZ337">
        <v>2</v>
      </c>
      <c r="TA337">
        <f>3.18+12.73</f>
        <v>15.91</v>
      </c>
      <c r="TB337">
        <v>1</v>
      </c>
      <c r="UI337" s="16">
        <v>5.9</v>
      </c>
      <c r="UJ337" s="16">
        <v>1</v>
      </c>
      <c r="UK337" s="16">
        <v>2</v>
      </c>
      <c r="UL337" s="16"/>
      <c r="UM337" s="16">
        <f>0.09+0.18*3+0.13+0.53+1.07*2+1.34*2+0.17*2+3.18+12.73</f>
        <v>22.36</v>
      </c>
      <c r="UN337" s="16"/>
      <c r="UO337" s="16"/>
      <c r="UP337" s="16"/>
      <c r="UQ337" s="16"/>
      <c r="UR337" s="16"/>
      <c r="US337" s="16"/>
      <c r="UT337" s="16">
        <v>11.45</v>
      </c>
      <c r="UU337" s="16">
        <v>41.19</v>
      </c>
      <c r="UV337" s="16"/>
      <c r="UW337" s="16"/>
      <c r="UX337" s="16">
        <v>0</v>
      </c>
      <c r="UY337" s="16">
        <v>0</v>
      </c>
      <c r="UZ337" s="16">
        <v>0</v>
      </c>
      <c r="VA337">
        <v>0</v>
      </c>
      <c r="VB337" t="s">
        <v>223</v>
      </c>
      <c r="VC337">
        <v>30.5</v>
      </c>
      <c r="VD337" s="16">
        <v>68.8</v>
      </c>
      <c r="VE337" s="16">
        <v>80.400000000000006</v>
      </c>
      <c r="VF337" s="16">
        <v>16.3</v>
      </c>
      <c r="VG337">
        <v>66.28</v>
      </c>
      <c r="VH337">
        <v>20.09</v>
      </c>
      <c r="VI337">
        <v>1.81</v>
      </c>
      <c r="VJ337">
        <v>0</v>
      </c>
      <c r="VK337">
        <v>11.82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13.17</v>
      </c>
      <c r="VT337">
        <v>35.75</v>
      </c>
      <c r="VU337">
        <v>0</v>
      </c>
      <c r="VV337">
        <v>0</v>
      </c>
      <c r="VW337">
        <v>0</v>
      </c>
      <c r="VX337">
        <v>0</v>
      </c>
      <c r="WK337">
        <v>0</v>
      </c>
      <c r="WL337">
        <v>1</v>
      </c>
      <c r="WM337">
        <v>52</v>
      </c>
      <c r="WN337">
        <v>1</v>
      </c>
      <c r="WO337">
        <v>0.01</v>
      </c>
      <c r="WP337">
        <v>2</v>
      </c>
      <c r="WW337" s="18"/>
      <c r="XO337">
        <v>0</v>
      </c>
      <c r="YZ337" s="16">
        <v>5.43</v>
      </c>
      <c r="ZA337" s="16">
        <v>1</v>
      </c>
      <c r="ZB337" s="16">
        <v>1</v>
      </c>
      <c r="ZC337" s="16"/>
      <c r="ZD337" s="16">
        <f>0.09*2+0.07+1.36</f>
        <v>1.61</v>
      </c>
      <c r="ZE337" s="16">
        <v>2</v>
      </c>
      <c r="ZF337" s="16"/>
      <c r="ZG337" s="16">
        <f>4.2+0.09+0.66+0.01+3.18+3.18</f>
        <v>11.32</v>
      </c>
      <c r="ZH337" s="16"/>
      <c r="ZI337" s="16"/>
      <c r="ZJ337" s="16"/>
      <c r="ZK337" s="16">
        <v>8.61</v>
      </c>
      <c r="ZL337" s="16">
        <v>26.91</v>
      </c>
      <c r="ZM337" s="16"/>
      <c r="ZN337" s="16"/>
      <c r="ZO337" s="16">
        <v>0</v>
      </c>
      <c r="ZP337" s="16">
        <v>0</v>
      </c>
      <c r="ZQ337" s="16">
        <v>0</v>
      </c>
      <c r="ZR337">
        <v>0</v>
      </c>
      <c r="ZS337" t="s">
        <v>224</v>
      </c>
      <c r="ZT337">
        <v>39.5</v>
      </c>
      <c r="ZU337" s="16">
        <v>60.8</v>
      </c>
      <c r="ZV337" s="16">
        <v>80.400000000000006</v>
      </c>
      <c r="ZW337" s="16">
        <v>22.9</v>
      </c>
      <c r="ZX337">
        <v>67.010000000000005</v>
      </c>
      <c r="ZY337">
        <v>11.71</v>
      </c>
      <c r="ZZ337">
        <v>16.61</v>
      </c>
      <c r="AAA337">
        <v>0</v>
      </c>
      <c r="AAB337">
        <v>4.67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20.9</v>
      </c>
      <c r="AAK337">
        <v>25.23</v>
      </c>
      <c r="AAL337">
        <v>0.57999999999999996</v>
      </c>
      <c r="AAM337">
        <v>0</v>
      </c>
      <c r="AAN337">
        <v>0</v>
      </c>
      <c r="AAO337">
        <v>0</v>
      </c>
      <c r="ABB337">
        <v>2</v>
      </c>
      <c r="ABC337">
        <v>1</v>
      </c>
      <c r="ABD337">
        <v>103</v>
      </c>
      <c r="ABE337">
        <v>2</v>
      </c>
      <c r="ABF337">
        <f>0.18+0.14</f>
        <v>0.32</v>
      </c>
      <c r="ABG337">
        <v>1</v>
      </c>
      <c r="ABH337">
        <v>68</v>
      </c>
      <c r="ABI337">
        <v>1</v>
      </c>
      <c r="ABJ337">
        <v>0.01</v>
      </c>
      <c r="ABK337">
        <v>1</v>
      </c>
      <c r="ABL337">
        <v>52</v>
      </c>
      <c r="ABM337">
        <v>3</v>
      </c>
      <c r="ABN337" s="18">
        <v>0.05</v>
      </c>
      <c r="ABO337">
        <v>2</v>
      </c>
      <c r="ACF337">
        <v>0</v>
      </c>
      <c r="ADQ337" s="16">
        <v>3.66</v>
      </c>
      <c r="ADR337" s="16">
        <v>1</v>
      </c>
      <c r="ADS337" s="16">
        <v>1</v>
      </c>
      <c r="ADT337" s="16"/>
      <c r="ADU337" s="16">
        <f>2.69*3+1.35*3+0.14*2+0.1</f>
        <v>12.5</v>
      </c>
      <c r="ADV337" s="16">
        <v>2</v>
      </c>
      <c r="ADW337" s="16"/>
      <c r="ADX337" s="16">
        <f>0.66+0.35+0.18+0.14+1.25+1.23</f>
        <v>3.81</v>
      </c>
      <c r="ADY337" s="16"/>
      <c r="ADZ337" s="16"/>
      <c r="AEA337" s="16"/>
      <c r="AEB337" s="16">
        <v>10.050000000000001</v>
      </c>
      <c r="AEC337" s="16">
        <v>27.11</v>
      </c>
      <c r="AED337" s="16"/>
      <c r="AEE337" s="16"/>
      <c r="AEF337" s="16">
        <v>0</v>
      </c>
      <c r="AEG337" s="16">
        <v>0</v>
      </c>
      <c r="AEH337" s="16">
        <v>0</v>
      </c>
      <c r="AEI337">
        <v>0</v>
      </c>
      <c r="AEJ337" t="s">
        <v>225</v>
      </c>
      <c r="AEK337">
        <v>47</v>
      </c>
      <c r="AEL337" s="16">
        <v>72.3</v>
      </c>
      <c r="AEM337" s="16">
        <v>80.400000000000006</v>
      </c>
      <c r="AEN337" s="16">
        <v>18</v>
      </c>
      <c r="AEO337">
        <v>70.55</v>
      </c>
      <c r="AEP337">
        <v>6.81</v>
      </c>
      <c r="AEQ337">
        <v>3.09</v>
      </c>
      <c r="AER337">
        <v>0</v>
      </c>
      <c r="AES337">
        <v>19.55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18.07</v>
      </c>
      <c r="AFB337">
        <v>30.57</v>
      </c>
      <c r="AFC337">
        <v>7.61</v>
      </c>
      <c r="AFD337">
        <v>0</v>
      </c>
      <c r="AFE337">
        <v>14</v>
      </c>
      <c r="AFF337">
        <v>2</v>
      </c>
      <c r="AFG337">
        <v>5</v>
      </c>
      <c r="AFH337">
        <v>4.47</v>
      </c>
      <c r="AFJ337">
        <v>7</v>
      </c>
      <c r="AFK337">
        <v>5.15</v>
      </c>
      <c r="AFM337">
        <v>5</v>
      </c>
      <c r="AFN337">
        <v>4.47</v>
      </c>
      <c r="AFP337">
        <v>7</v>
      </c>
      <c r="AFQ337">
        <v>5.15</v>
      </c>
      <c r="AFS337">
        <v>0</v>
      </c>
      <c r="AFT337">
        <v>0</v>
      </c>
      <c r="AGE337" s="18"/>
      <c r="AGW337">
        <v>0</v>
      </c>
      <c r="AIH337" s="16">
        <v>4.21</v>
      </c>
      <c r="AII337" s="16">
        <v>1</v>
      </c>
      <c r="AIJ337" s="16">
        <v>2</v>
      </c>
      <c r="AIK337" s="16"/>
      <c r="AIL337" s="16">
        <f>7.46+1.59+0.6</f>
        <v>9.65</v>
      </c>
      <c r="AIM337" s="16"/>
      <c r="AIN337" s="16"/>
      <c r="AIO337" s="16"/>
      <c r="AIP337" s="16"/>
      <c r="AIQ337" s="16"/>
      <c r="AIR337" s="16"/>
      <c r="AIS337" s="16">
        <v>10.63</v>
      </c>
      <c r="AIT337" s="16">
        <v>36.380000000000003</v>
      </c>
      <c r="AIU337" s="16"/>
      <c r="AIV337" s="16"/>
      <c r="AIW337" s="16">
        <v>0</v>
      </c>
      <c r="AIX337" s="16">
        <v>0</v>
      </c>
      <c r="AIY337" s="16">
        <v>0</v>
      </c>
      <c r="AIZ337">
        <v>0</v>
      </c>
      <c r="AJA337" t="s">
        <v>226</v>
      </c>
      <c r="AJB337">
        <v>19</v>
      </c>
      <c r="AJC337" s="16">
        <v>82.6</v>
      </c>
      <c r="AJD337" s="16">
        <v>80.400000000000006</v>
      </c>
      <c r="AJE337" s="16">
        <v>7.7</v>
      </c>
      <c r="AJF337">
        <v>86.83</v>
      </c>
      <c r="AJG337">
        <v>12.69</v>
      </c>
      <c r="AJH337">
        <v>0</v>
      </c>
      <c r="AJI337">
        <v>0</v>
      </c>
      <c r="AJJ337">
        <v>0.48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7.16</v>
      </c>
      <c r="AJS337">
        <v>10.76</v>
      </c>
      <c r="AJT337">
        <v>0</v>
      </c>
      <c r="AJU337">
        <v>0</v>
      </c>
      <c r="AJV337">
        <v>3.4</v>
      </c>
      <c r="AJW337">
        <v>2</v>
      </c>
      <c r="AJX337">
        <v>11.9</v>
      </c>
      <c r="AJY337">
        <v>0.48</v>
      </c>
      <c r="AKD337">
        <v>11.9</v>
      </c>
      <c r="AKE337">
        <v>0.48</v>
      </c>
      <c r="AKJ337">
        <v>0</v>
      </c>
      <c r="AKK337">
        <v>1</v>
      </c>
      <c r="AKL337">
        <v>34</v>
      </c>
      <c r="AKM337">
        <v>2</v>
      </c>
      <c r="AKN337">
        <f>0.84*2</f>
        <v>1.68</v>
      </c>
      <c r="AKO337">
        <v>1</v>
      </c>
      <c r="AKV337" s="18"/>
      <c r="ALN337">
        <v>0</v>
      </c>
    </row>
    <row r="338" spans="1:1018" x14ac:dyDescent="0.2">
      <c r="A338" s="1" t="s">
        <v>925</v>
      </c>
      <c r="B338" s="12">
        <v>42929</v>
      </c>
      <c r="C338">
        <v>2</v>
      </c>
      <c r="D338" s="13">
        <v>42811</v>
      </c>
      <c r="E338" s="12">
        <v>32642</v>
      </c>
      <c r="F338" s="14">
        <f t="shared" si="120"/>
        <v>28.164271047227928</v>
      </c>
      <c r="G338" s="14">
        <f t="shared" si="121"/>
        <v>0.32306639288158795</v>
      </c>
      <c r="H338" s="19" t="s">
        <v>217</v>
      </c>
      <c r="I338" s="15" t="s">
        <v>218</v>
      </c>
      <c r="J338" s="15" t="s">
        <v>183</v>
      </c>
      <c r="K338" s="15">
        <v>4</v>
      </c>
      <c r="L338" s="19">
        <v>82</v>
      </c>
      <c r="M338">
        <v>1.79</v>
      </c>
      <c r="N338" s="16">
        <f t="shared" si="122"/>
        <v>25.592209980961893</v>
      </c>
      <c r="O338" s="19">
        <v>0</v>
      </c>
      <c r="P338" s="19">
        <v>0</v>
      </c>
      <c r="Q338" s="19">
        <v>0</v>
      </c>
      <c r="R338" s="26">
        <v>0</v>
      </c>
      <c r="S338" s="26">
        <v>0</v>
      </c>
      <c r="T338" s="26">
        <v>0</v>
      </c>
      <c r="U338" s="19">
        <v>0</v>
      </c>
      <c r="V338" s="19">
        <v>0</v>
      </c>
      <c r="W338" s="19">
        <v>0</v>
      </c>
      <c r="X338" s="19">
        <v>0</v>
      </c>
      <c r="Y338" s="19">
        <v>0</v>
      </c>
      <c r="Z338" s="19">
        <v>0</v>
      </c>
      <c r="AA338" s="19">
        <v>0</v>
      </c>
      <c r="AB338" s="19">
        <v>0</v>
      </c>
      <c r="AC338" s="19">
        <v>0</v>
      </c>
      <c r="AD338" s="19">
        <v>0</v>
      </c>
      <c r="AE338" s="19">
        <v>0</v>
      </c>
      <c r="AF338" s="19">
        <v>0</v>
      </c>
      <c r="AG338" s="19">
        <v>0</v>
      </c>
      <c r="AH338" s="19">
        <v>0</v>
      </c>
      <c r="AI338" s="19">
        <v>0</v>
      </c>
      <c r="AJ338" s="19">
        <v>0</v>
      </c>
      <c r="AK338" s="19">
        <v>0</v>
      </c>
      <c r="AL338" s="19">
        <v>0</v>
      </c>
      <c r="AM338" s="19">
        <v>0</v>
      </c>
      <c r="AN338" s="19">
        <v>0</v>
      </c>
      <c r="AO338" s="19">
        <v>0</v>
      </c>
      <c r="AP338" s="19">
        <v>0</v>
      </c>
      <c r="AQ338" s="19">
        <v>0</v>
      </c>
      <c r="AR338" s="19">
        <v>0</v>
      </c>
      <c r="AS338" s="19">
        <v>0</v>
      </c>
      <c r="AT338" s="19">
        <v>0</v>
      </c>
      <c r="AU338" s="19">
        <v>0</v>
      </c>
      <c r="AV338" s="19">
        <v>0</v>
      </c>
      <c r="AW338" s="19">
        <v>0</v>
      </c>
      <c r="AX338" s="19">
        <v>0</v>
      </c>
      <c r="AY338" s="19">
        <v>0</v>
      </c>
      <c r="AZ338" s="19">
        <v>0</v>
      </c>
      <c r="BA338" s="19">
        <v>0</v>
      </c>
      <c r="BB338" s="19">
        <v>0</v>
      </c>
      <c r="BC338" s="19">
        <v>0</v>
      </c>
      <c r="BD338" s="19">
        <v>0</v>
      </c>
      <c r="BE338" s="19">
        <v>0</v>
      </c>
      <c r="BF338" s="19">
        <v>0</v>
      </c>
      <c r="BG338" s="19">
        <v>0</v>
      </c>
      <c r="BH338" s="19">
        <v>0</v>
      </c>
      <c r="BI338" s="19">
        <v>0</v>
      </c>
      <c r="BJ338" s="19">
        <v>0</v>
      </c>
      <c r="BK338" s="19">
        <v>0</v>
      </c>
      <c r="BL338" s="19">
        <v>0</v>
      </c>
      <c r="BM338" s="19">
        <v>0</v>
      </c>
      <c r="BN338" s="19">
        <v>0</v>
      </c>
      <c r="BO338" s="19">
        <v>0</v>
      </c>
      <c r="BP338" s="19">
        <v>0</v>
      </c>
      <c r="BQ338" s="19">
        <v>0</v>
      </c>
      <c r="BR338" s="19">
        <v>2</v>
      </c>
      <c r="BS338" s="19">
        <v>1</v>
      </c>
      <c r="BT338" s="19">
        <v>4</v>
      </c>
      <c r="BU338" s="19">
        <v>5</v>
      </c>
      <c r="BV338" s="19">
        <v>1</v>
      </c>
      <c r="BW338" s="19">
        <v>1</v>
      </c>
      <c r="BX338" s="19">
        <v>4</v>
      </c>
      <c r="BY338" s="19">
        <v>4</v>
      </c>
      <c r="BZ338" s="19">
        <v>5</v>
      </c>
      <c r="CA338" s="19">
        <v>5</v>
      </c>
      <c r="CB338" s="19">
        <v>4</v>
      </c>
      <c r="CC338" s="19">
        <v>4</v>
      </c>
      <c r="CD338" s="19">
        <v>5</v>
      </c>
      <c r="CE338" s="19">
        <v>5</v>
      </c>
      <c r="CF338" s="19">
        <v>5</v>
      </c>
      <c r="CG338" s="19">
        <v>5</v>
      </c>
      <c r="CH338" s="19">
        <v>4</v>
      </c>
      <c r="CI338" s="19">
        <v>4</v>
      </c>
      <c r="CJ338" s="19">
        <v>4</v>
      </c>
      <c r="CK338" s="19">
        <v>8</v>
      </c>
      <c r="CL338" t="s">
        <v>219</v>
      </c>
      <c r="CM338">
        <v>33.5</v>
      </c>
      <c r="CN338" s="16">
        <v>91.5</v>
      </c>
      <c r="CO338" s="16">
        <v>80.400000000000006</v>
      </c>
      <c r="CP338" s="16">
        <v>20</v>
      </c>
      <c r="CQ338">
        <v>84.58</v>
      </c>
      <c r="CR338" s="17">
        <v>0</v>
      </c>
      <c r="CS338">
        <v>15.42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13.79</v>
      </c>
      <c r="DD338">
        <v>2.67</v>
      </c>
      <c r="DE338">
        <v>11.54</v>
      </c>
      <c r="DF338">
        <v>0</v>
      </c>
      <c r="DG338">
        <v>12.3</v>
      </c>
      <c r="DH338">
        <v>2</v>
      </c>
      <c r="DI338">
        <v>5</v>
      </c>
      <c r="DJ338">
        <v>2</v>
      </c>
      <c r="DO338">
        <v>5</v>
      </c>
      <c r="DP338">
        <v>2</v>
      </c>
      <c r="DU338">
        <v>0</v>
      </c>
      <c r="DV338">
        <v>1</v>
      </c>
      <c r="DW338">
        <v>34</v>
      </c>
      <c r="DX338">
        <v>2</v>
      </c>
      <c r="DY338">
        <v>0.1</v>
      </c>
      <c r="DZ338">
        <v>1</v>
      </c>
      <c r="EA338">
        <v>10</v>
      </c>
      <c r="EB338">
        <f t="shared" si="123"/>
        <v>32</v>
      </c>
      <c r="EC338">
        <f t="shared" si="124"/>
        <v>3.5100000000000002</v>
      </c>
      <c r="ED338">
        <v>3</v>
      </c>
      <c r="EG338" s="18"/>
      <c r="EY338">
        <v>0</v>
      </c>
      <c r="GJ338" s="16">
        <v>0.25</v>
      </c>
      <c r="GK338" s="16">
        <v>1</v>
      </c>
      <c r="GL338" s="16">
        <v>2</v>
      </c>
      <c r="GM338" s="16"/>
      <c r="GN338" s="16">
        <v>0.55000000000000004</v>
      </c>
      <c r="GO338" s="16"/>
      <c r="GP338" s="16"/>
      <c r="GQ338" s="16"/>
      <c r="GR338" s="16"/>
      <c r="GS338" s="16"/>
      <c r="GT338" s="16"/>
      <c r="GU338" s="16">
        <v>0.55000000000000004</v>
      </c>
      <c r="GV338" s="16">
        <v>0.55000000000000004</v>
      </c>
      <c r="GW338" s="16"/>
      <c r="GX338" s="16"/>
      <c r="GY338" s="16">
        <v>0</v>
      </c>
      <c r="GZ338" s="16">
        <v>0</v>
      </c>
      <c r="HA338" s="16">
        <v>0</v>
      </c>
      <c r="HB338">
        <v>0</v>
      </c>
      <c r="HC338" t="s">
        <v>220</v>
      </c>
      <c r="HD338">
        <v>27</v>
      </c>
      <c r="HE338" s="16">
        <v>54.4</v>
      </c>
      <c r="HF338" s="16">
        <v>80.400000000000006</v>
      </c>
      <c r="HG338" s="16">
        <v>18.100000000000001</v>
      </c>
      <c r="HH338">
        <v>81.88</v>
      </c>
      <c r="HI338" s="17">
        <v>0</v>
      </c>
      <c r="HJ338">
        <v>9.83</v>
      </c>
      <c r="HK338">
        <v>0</v>
      </c>
      <c r="HL338">
        <v>2.14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2.3199999999999998</v>
      </c>
      <c r="HU338">
        <v>19.66</v>
      </c>
      <c r="HV338">
        <v>3.64</v>
      </c>
      <c r="HW338">
        <v>0</v>
      </c>
      <c r="HX338">
        <v>0</v>
      </c>
      <c r="HY338">
        <v>0</v>
      </c>
      <c r="IL338">
        <v>0</v>
      </c>
      <c r="IM338">
        <v>1</v>
      </c>
      <c r="IN338">
        <v>26</v>
      </c>
      <c r="IO338">
        <v>2</v>
      </c>
      <c r="IP338">
        <v>0.05</v>
      </c>
      <c r="IQ338">
        <v>2</v>
      </c>
      <c r="IX338" s="18"/>
      <c r="JP338">
        <v>0</v>
      </c>
      <c r="LA338" s="16">
        <v>2.1</v>
      </c>
      <c r="LB338" s="16">
        <v>1</v>
      </c>
      <c r="LC338" s="16">
        <v>1</v>
      </c>
      <c r="LD338" s="16"/>
      <c r="LE338" s="16">
        <f t="shared" si="125"/>
        <v>7.01</v>
      </c>
      <c r="LF338" s="16"/>
      <c r="LG338" s="16"/>
      <c r="LH338" s="16"/>
      <c r="LI338" s="16"/>
      <c r="LJ338" s="16"/>
      <c r="LK338" s="16"/>
      <c r="LL338" s="16">
        <v>6.35</v>
      </c>
      <c r="LM338" s="16">
        <v>14.8</v>
      </c>
      <c r="LN338" s="16"/>
      <c r="LO338" s="16"/>
      <c r="LP338" s="16">
        <v>0</v>
      </c>
      <c r="LQ338" s="16">
        <v>0</v>
      </c>
      <c r="LR338" s="16">
        <v>0</v>
      </c>
      <c r="LS338">
        <v>0</v>
      </c>
      <c r="LT338" t="s">
        <v>221</v>
      </c>
      <c r="LU338">
        <v>20.5</v>
      </c>
      <c r="LV338" s="16">
        <v>76.900000000000006</v>
      </c>
      <c r="LW338" s="16">
        <v>80.400000000000006</v>
      </c>
      <c r="LX338" s="16">
        <v>9.1</v>
      </c>
      <c r="LY338">
        <v>88.58</v>
      </c>
      <c r="LZ338">
        <v>10.3</v>
      </c>
      <c r="MA338">
        <v>1.1200000000000001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6.33</v>
      </c>
      <c r="ML338">
        <v>16.97</v>
      </c>
      <c r="MM338">
        <v>0</v>
      </c>
      <c r="MN338">
        <v>0</v>
      </c>
      <c r="MO338">
        <v>4.0999999999999996</v>
      </c>
      <c r="MP338">
        <v>2</v>
      </c>
      <c r="MQ338">
        <v>5</v>
      </c>
      <c r="MR338">
        <v>1</v>
      </c>
      <c r="MW338">
        <v>5</v>
      </c>
      <c r="MX338">
        <v>1</v>
      </c>
      <c r="NC338">
        <v>0</v>
      </c>
      <c r="ND338">
        <v>0</v>
      </c>
      <c r="NO338" s="18"/>
      <c r="OG338">
        <v>0</v>
      </c>
      <c r="PR338" s="16">
        <v>2.2400000000000002</v>
      </c>
      <c r="PS338" s="16">
        <v>1</v>
      </c>
      <c r="PT338" s="16">
        <v>2</v>
      </c>
      <c r="PU338" s="16"/>
      <c r="PV338" s="16">
        <v>4.97</v>
      </c>
      <c r="PW338" s="16"/>
      <c r="PX338" s="16"/>
      <c r="PY338" s="16"/>
      <c r="PZ338" s="16"/>
      <c r="QA338" s="16"/>
      <c r="QB338" s="16"/>
      <c r="QC338" s="16">
        <v>5.0999999999999996</v>
      </c>
      <c r="QD338" s="16">
        <v>5.97</v>
      </c>
      <c r="QE338" s="16"/>
      <c r="QF338" s="16"/>
      <c r="QG338" s="16">
        <v>0</v>
      </c>
      <c r="QH338" s="16">
        <v>0</v>
      </c>
      <c r="QI338" s="16">
        <v>0</v>
      </c>
      <c r="QJ338">
        <v>0</v>
      </c>
      <c r="QK338" t="s">
        <v>222</v>
      </c>
      <c r="QL338">
        <v>32.5</v>
      </c>
      <c r="QM338" s="16">
        <v>96.7</v>
      </c>
      <c r="QN338" s="16">
        <v>80.400000000000006</v>
      </c>
      <c r="QO338" s="16">
        <v>15.1</v>
      </c>
      <c r="QP338">
        <v>52.24</v>
      </c>
      <c r="QQ338">
        <v>45.43</v>
      </c>
      <c r="QR338">
        <v>1.1200000000000001</v>
      </c>
      <c r="QS338">
        <v>0</v>
      </c>
      <c r="QT338">
        <v>1.2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1.2</v>
      </c>
      <c r="RB338">
        <v>15.88</v>
      </c>
      <c r="RC338">
        <v>48.59</v>
      </c>
      <c r="RD338">
        <v>0</v>
      </c>
      <c r="RE338">
        <v>0</v>
      </c>
      <c r="RF338">
        <v>0</v>
      </c>
      <c r="RG338">
        <v>0</v>
      </c>
      <c r="RT338">
        <v>0</v>
      </c>
      <c r="RU338">
        <v>0</v>
      </c>
      <c r="SF338" s="18"/>
      <c r="SX338">
        <v>1</v>
      </c>
      <c r="SY338">
        <v>50</v>
      </c>
      <c r="SZ338">
        <v>2</v>
      </c>
      <c r="TA338">
        <f>3.18+12.73</f>
        <v>15.91</v>
      </c>
      <c r="TB338">
        <v>1</v>
      </c>
      <c r="UI338" s="16">
        <v>5.9</v>
      </c>
      <c r="UJ338" s="16">
        <v>1</v>
      </c>
      <c r="UK338" s="16">
        <v>2</v>
      </c>
      <c r="UL338" s="16"/>
      <c r="UM338" s="16">
        <f>0.09+0.18*3+0.13+0.53+1.07*2+1.34*2+0.17*2+3.18+12.73</f>
        <v>22.36</v>
      </c>
      <c r="UN338" s="16"/>
      <c r="UO338" s="16"/>
      <c r="UP338" s="16"/>
      <c r="UQ338" s="16"/>
      <c r="UR338" s="16"/>
      <c r="US338" s="16"/>
      <c r="UT338" s="16">
        <v>11.45</v>
      </c>
      <c r="UU338" s="16">
        <v>41.19</v>
      </c>
      <c r="UV338" s="16"/>
      <c r="UW338" s="16"/>
      <c r="UX338" s="16">
        <v>0</v>
      </c>
      <c r="UY338" s="16">
        <v>0</v>
      </c>
      <c r="UZ338" s="16">
        <v>0</v>
      </c>
      <c r="VA338">
        <v>0</v>
      </c>
      <c r="VB338" t="s">
        <v>223</v>
      </c>
      <c r="VC338">
        <v>30.5</v>
      </c>
      <c r="VD338" s="16">
        <v>68.8</v>
      </c>
      <c r="VE338" s="16">
        <v>80.400000000000006</v>
      </c>
      <c r="VF338" s="16">
        <v>16.3</v>
      </c>
      <c r="VG338">
        <v>66.28</v>
      </c>
      <c r="VH338">
        <v>20.09</v>
      </c>
      <c r="VI338">
        <v>1.81</v>
      </c>
      <c r="VJ338">
        <v>0</v>
      </c>
      <c r="VK338">
        <v>11.82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13.17</v>
      </c>
      <c r="VT338">
        <v>35.75</v>
      </c>
      <c r="VU338">
        <v>0</v>
      </c>
      <c r="VV338">
        <v>0</v>
      </c>
      <c r="VW338">
        <v>0</v>
      </c>
      <c r="VX338">
        <v>0</v>
      </c>
      <c r="WK338">
        <v>0</v>
      </c>
      <c r="WL338">
        <v>1</v>
      </c>
      <c r="WM338">
        <v>52</v>
      </c>
      <c r="WN338">
        <v>1</v>
      </c>
      <c r="WO338">
        <v>0.01</v>
      </c>
      <c r="WP338">
        <v>2</v>
      </c>
      <c r="WW338" s="18"/>
      <c r="XO338">
        <v>0</v>
      </c>
      <c r="YZ338" s="16">
        <v>5.43</v>
      </c>
      <c r="ZA338" s="16">
        <v>1</v>
      </c>
      <c r="ZB338" s="16">
        <v>1</v>
      </c>
      <c r="ZC338" s="16"/>
      <c r="ZD338" s="16">
        <f>0.09*2+0.07+1.36</f>
        <v>1.61</v>
      </c>
      <c r="ZE338" s="16">
        <v>2</v>
      </c>
      <c r="ZF338" s="16"/>
      <c r="ZG338" s="16">
        <f>4.2+0.09+0.66+0.01+3.18+3.18</f>
        <v>11.32</v>
      </c>
      <c r="ZH338" s="16"/>
      <c r="ZI338" s="16"/>
      <c r="ZJ338" s="16"/>
      <c r="ZK338" s="16">
        <v>8.61</v>
      </c>
      <c r="ZL338" s="16">
        <v>26.91</v>
      </c>
      <c r="ZM338" s="16"/>
      <c r="ZN338" s="16"/>
      <c r="ZO338" s="16">
        <v>0</v>
      </c>
      <c r="ZP338" s="16">
        <v>0</v>
      </c>
      <c r="ZQ338" s="16">
        <v>0</v>
      </c>
      <c r="ZR338">
        <v>0</v>
      </c>
      <c r="ZS338" t="s">
        <v>224</v>
      </c>
      <c r="ZT338">
        <v>39.5</v>
      </c>
      <c r="ZU338" s="16">
        <v>60.8</v>
      </c>
      <c r="ZV338" s="16">
        <v>80.400000000000006</v>
      </c>
      <c r="ZW338" s="16">
        <v>22.9</v>
      </c>
      <c r="ZX338">
        <v>67.010000000000005</v>
      </c>
      <c r="ZY338">
        <v>11.71</v>
      </c>
      <c r="ZZ338">
        <v>16.61</v>
      </c>
      <c r="AAA338">
        <v>0</v>
      </c>
      <c r="AAB338">
        <v>4.67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20.9</v>
      </c>
      <c r="AAK338">
        <v>25.23</v>
      </c>
      <c r="AAL338">
        <v>0.57999999999999996</v>
      </c>
      <c r="AAM338">
        <v>0</v>
      </c>
      <c r="AAN338">
        <v>0</v>
      </c>
      <c r="AAO338">
        <v>0</v>
      </c>
      <c r="ABB338">
        <v>2</v>
      </c>
      <c r="ABC338">
        <v>1</v>
      </c>
      <c r="ABD338">
        <v>103</v>
      </c>
      <c r="ABE338">
        <v>2</v>
      </c>
      <c r="ABF338">
        <f>0.18+0.14</f>
        <v>0.32</v>
      </c>
      <c r="ABG338">
        <v>1</v>
      </c>
      <c r="ABH338">
        <v>68</v>
      </c>
      <c r="ABI338">
        <v>1</v>
      </c>
      <c r="ABJ338">
        <v>0.01</v>
      </c>
      <c r="ABK338">
        <v>1</v>
      </c>
      <c r="ABL338">
        <v>52</v>
      </c>
      <c r="ABM338">
        <v>3</v>
      </c>
      <c r="ABN338" s="18">
        <v>0.05</v>
      </c>
      <c r="ABO338">
        <v>2</v>
      </c>
      <c r="ACF338">
        <v>0</v>
      </c>
      <c r="ADQ338" s="16">
        <v>3.66</v>
      </c>
      <c r="ADR338" s="16">
        <v>1</v>
      </c>
      <c r="ADS338" s="16">
        <v>1</v>
      </c>
      <c r="ADT338" s="16"/>
      <c r="ADU338" s="16">
        <f>2.69*3+1.35*3+0.14*2+0.1</f>
        <v>12.5</v>
      </c>
      <c r="ADV338" s="16">
        <v>2</v>
      </c>
      <c r="ADW338" s="16"/>
      <c r="ADX338" s="16">
        <f>0.66+0.35+0.18+0.14+1.25+1.23</f>
        <v>3.81</v>
      </c>
      <c r="ADY338" s="16"/>
      <c r="ADZ338" s="16"/>
      <c r="AEA338" s="16"/>
      <c r="AEB338" s="16">
        <v>10.050000000000001</v>
      </c>
      <c r="AEC338" s="16">
        <v>27.11</v>
      </c>
      <c r="AED338" s="16"/>
      <c r="AEE338" s="16"/>
      <c r="AEF338" s="16">
        <v>0</v>
      </c>
      <c r="AEG338" s="16">
        <v>0</v>
      </c>
      <c r="AEH338" s="16">
        <v>0</v>
      </c>
      <c r="AEI338">
        <v>0</v>
      </c>
      <c r="AEJ338" t="s">
        <v>225</v>
      </c>
      <c r="AEK338">
        <v>47</v>
      </c>
      <c r="AEL338" s="16">
        <v>72.3</v>
      </c>
      <c r="AEM338" s="16">
        <v>80.400000000000006</v>
      </c>
      <c r="AEN338" s="16">
        <v>18</v>
      </c>
      <c r="AEO338">
        <v>70.55</v>
      </c>
      <c r="AEP338">
        <v>6.81</v>
      </c>
      <c r="AEQ338">
        <v>3.09</v>
      </c>
      <c r="AER338">
        <v>0</v>
      </c>
      <c r="AES338">
        <v>19.55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18.07</v>
      </c>
      <c r="AFB338">
        <v>30.57</v>
      </c>
      <c r="AFC338">
        <v>7.61</v>
      </c>
      <c r="AFD338">
        <v>0</v>
      </c>
      <c r="AFE338">
        <v>14</v>
      </c>
      <c r="AFF338">
        <v>2</v>
      </c>
      <c r="AFG338">
        <v>5</v>
      </c>
      <c r="AFH338">
        <v>4.47</v>
      </c>
      <c r="AFJ338">
        <v>7</v>
      </c>
      <c r="AFK338">
        <v>5.15</v>
      </c>
      <c r="AFM338">
        <v>5</v>
      </c>
      <c r="AFN338">
        <v>4.47</v>
      </c>
      <c r="AFP338">
        <v>7</v>
      </c>
      <c r="AFQ338">
        <v>5.15</v>
      </c>
      <c r="AFS338">
        <v>0</v>
      </c>
      <c r="AFT338">
        <v>0</v>
      </c>
      <c r="AGE338" s="18"/>
      <c r="AGW338">
        <v>0</v>
      </c>
      <c r="AIH338" s="16">
        <v>4.21</v>
      </c>
      <c r="AII338" s="16">
        <v>1</v>
      </c>
      <c r="AIJ338" s="16">
        <v>2</v>
      </c>
      <c r="AIK338" s="16"/>
      <c r="AIL338" s="16">
        <f>7.46+1.59+0.6</f>
        <v>9.65</v>
      </c>
      <c r="AIM338" s="16"/>
      <c r="AIN338" s="16"/>
      <c r="AIO338" s="16"/>
      <c r="AIP338" s="16"/>
      <c r="AIQ338" s="16"/>
      <c r="AIR338" s="16"/>
      <c r="AIS338" s="16">
        <v>10.63</v>
      </c>
      <c r="AIT338" s="16">
        <v>36.380000000000003</v>
      </c>
      <c r="AIU338" s="16"/>
      <c r="AIV338" s="16"/>
      <c r="AIW338" s="16">
        <v>0</v>
      </c>
      <c r="AIX338" s="16">
        <v>0</v>
      </c>
      <c r="AIY338" s="16">
        <v>0</v>
      </c>
      <c r="AIZ338">
        <v>0</v>
      </c>
      <c r="AJA338" t="s">
        <v>226</v>
      </c>
      <c r="AJB338">
        <v>19</v>
      </c>
      <c r="AJC338" s="16">
        <v>82.6</v>
      </c>
      <c r="AJD338" s="16">
        <v>80.400000000000006</v>
      </c>
      <c r="AJE338" s="16">
        <v>7.7</v>
      </c>
      <c r="AJF338">
        <v>86.83</v>
      </c>
      <c r="AJG338">
        <v>12.69</v>
      </c>
      <c r="AJH338">
        <v>0</v>
      </c>
      <c r="AJI338">
        <v>0</v>
      </c>
      <c r="AJJ338">
        <v>0.48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7.16</v>
      </c>
      <c r="AJS338">
        <v>10.76</v>
      </c>
      <c r="AJT338">
        <v>0</v>
      </c>
      <c r="AJU338">
        <v>0</v>
      </c>
      <c r="AJV338">
        <v>3.4</v>
      </c>
      <c r="AJW338">
        <v>2</v>
      </c>
      <c r="AJX338">
        <v>11.9</v>
      </c>
      <c r="AJY338">
        <v>0.48</v>
      </c>
      <c r="AKD338">
        <v>11.9</v>
      </c>
      <c r="AKE338">
        <v>0.48</v>
      </c>
      <c r="AKJ338">
        <v>0</v>
      </c>
      <c r="AKK338">
        <v>1</v>
      </c>
      <c r="AKL338">
        <v>34</v>
      </c>
      <c r="AKM338">
        <v>2</v>
      </c>
      <c r="AKN338">
        <f>0.84*2</f>
        <v>1.68</v>
      </c>
      <c r="AKO338">
        <v>1</v>
      </c>
      <c r="AKV338" s="18"/>
      <c r="ALN338">
        <v>0</v>
      </c>
    </row>
    <row r="339" spans="1:1018" x14ac:dyDescent="0.2">
      <c r="A339" s="1" t="s">
        <v>926</v>
      </c>
      <c r="B339" s="12">
        <v>42928</v>
      </c>
      <c r="C339">
        <v>1</v>
      </c>
      <c r="D339" s="13">
        <v>42786</v>
      </c>
      <c r="E339" s="12">
        <v>35522</v>
      </c>
      <c r="F339" s="14">
        <f t="shared" si="120"/>
        <v>20.276522929500342</v>
      </c>
      <c r="G339" s="14">
        <f t="shared" si="121"/>
        <v>0.38877481177275841</v>
      </c>
      <c r="H339" s="19" t="s">
        <v>217</v>
      </c>
      <c r="I339" s="15" t="s">
        <v>218</v>
      </c>
      <c r="J339" s="15" t="s">
        <v>183</v>
      </c>
      <c r="K339" s="15" t="s">
        <v>913</v>
      </c>
      <c r="L339" s="19">
        <v>60</v>
      </c>
      <c r="M339">
        <v>1.7</v>
      </c>
      <c r="N339" s="16">
        <f t="shared" si="122"/>
        <v>20.761245674740486</v>
      </c>
      <c r="O339" s="19">
        <v>0</v>
      </c>
      <c r="P339" s="19">
        <v>0</v>
      </c>
      <c r="Q339" s="19">
        <v>0</v>
      </c>
      <c r="R339" s="26">
        <v>0</v>
      </c>
      <c r="S339" s="26">
        <v>0</v>
      </c>
      <c r="T339" s="26">
        <v>0</v>
      </c>
      <c r="U339" s="19">
        <v>0</v>
      </c>
      <c r="V339" s="19">
        <v>0</v>
      </c>
      <c r="W339" s="19">
        <v>0</v>
      </c>
      <c r="X339" s="19">
        <v>0</v>
      </c>
      <c r="Y339" s="19">
        <v>0</v>
      </c>
      <c r="Z339" s="19">
        <v>0</v>
      </c>
      <c r="AA339" s="19">
        <v>0</v>
      </c>
      <c r="AB339" s="19">
        <v>0</v>
      </c>
      <c r="AC339" s="19">
        <v>1</v>
      </c>
      <c r="AD339" s="19">
        <v>15</v>
      </c>
      <c r="AE339" s="19">
        <v>0</v>
      </c>
      <c r="AF339" s="19">
        <v>0</v>
      </c>
      <c r="AG339" s="19">
        <v>0</v>
      </c>
      <c r="AH339" s="19">
        <v>0</v>
      </c>
      <c r="AI339" s="19">
        <v>0</v>
      </c>
      <c r="AJ339" s="19">
        <v>0</v>
      </c>
      <c r="AK339" s="19">
        <v>0</v>
      </c>
      <c r="AL339" s="19">
        <v>0</v>
      </c>
      <c r="AM339" s="19">
        <v>0</v>
      </c>
      <c r="AN339" s="19">
        <v>0</v>
      </c>
      <c r="AO339" s="19">
        <v>0</v>
      </c>
      <c r="AP339" s="19">
        <v>0</v>
      </c>
      <c r="AQ339" s="19">
        <v>0</v>
      </c>
      <c r="AR339" s="19">
        <v>0</v>
      </c>
      <c r="AS339" s="19">
        <v>0</v>
      </c>
      <c r="AT339" s="19">
        <v>0</v>
      </c>
      <c r="AU339" s="19">
        <v>0</v>
      </c>
      <c r="AV339" s="19">
        <v>0</v>
      </c>
      <c r="AW339" s="19">
        <v>0</v>
      </c>
      <c r="AX339" s="19">
        <v>0</v>
      </c>
      <c r="AY339" s="19">
        <v>0</v>
      </c>
      <c r="AZ339" s="19">
        <v>0</v>
      </c>
      <c r="BA339" s="19">
        <v>0</v>
      </c>
      <c r="BB339" s="19">
        <v>0</v>
      </c>
      <c r="BC339" s="19">
        <v>0</v>
      </c>
      <c r="BD339" s="19">
        <v>0</v>
      </c>
      <c r="BE339" s="19">
        <v>0</v>
      </c>
      <c r="BF339" s="19">
        <v>0</v>
      </c>
      <c r="BG339" s="19">
        <v>0</v>
      </c>
      <c r="BH339" s="19">
        <v>0</v>
      </c>
      <c r="BI339" s="19">
        <v>0</v>
      </c>
      <c r="BJ339" s="19">
        <v>0</v>
      </c>
      <c r="BK339" s="19">
        <v>0</v>
      </c>
      <c r="BL339" s="19">
        <v>0</v>
      </c>
      <c r="BM339" s="19">
        <v>0</v>
      </c>
      <c r="BN339" s="19">
        <v>0</v>
      </c>
      <c r="BO339" s="19">
        <v>0</v>
      </c>
      <c r="BP339" s="19">
        <v>0</v>
      </c>
      <c r="BQ339" s="19">
        <v>0</v>
      </c>
      <c r="BR339" s="19">
        <v>1</v>
      </c>
      <c r="BS339" s="19">
        <v>1</v>
      </c>
      <c r="BT339" s="19">
        <v>1</v>
      </c>
      <c r="BU339" s="19">
        <v>2</v>
      </c>
      <c r="BV339" s="19">
        <v>1</v>
      </c>
      <c r="BW339" s="19">
        <v>1</v>
      </c>
      <c r="BX339" s="19">
        <v>1</v>
      </c>
      <c r="BY339" s="19">
        <v>1</v>
      </c>
      <c r="BZ339" s="19">
        <v>3</v>
      </c>
      <c r="CA339" s="19">
        <v>5</v>
      </c>
      <c r="CB339" s="19">
        <v>5</v>
      </c>
      <c r="CC339" s="19">
        <v>5</v>
      </c>
      <c r="CD339" s="19">
        <v>4</v>
      </c>
      <c r="CE339" s="19">
        <v>5</v>
      </c>
      <c r="CF339" s="19">
        <v>5</v>
      </c>
      <c r="CG339" s="19">
        <v>5</v>
      </c>
      <c r="CH339" s="19">
        <v>4</v>
      </c>
      <c r="CI339" s="19">
        <v>4</v>
      </c>
      <c r="CJ339" s="19">
        <v>4</v>
      </c>
      <c r="CK339" s="19">
        <v>8</v>
      </c>
      <c r="CL339" t="s">
        <v>219</v>
      </c>
      <c r="CM339">
        <v>33.5</v>
      </c>
      <c r="CN339" s="16">
        <v>91.5</v>
      </c>
      <c r="CO339" s="16">
        <v>80.400000000000006</v>
      </c>
      <c r="CP339" s="16">
        <v>20</v>
      </c>
      <c r="CQ339">
        <v>84.58</v>
      </c>
      <c r="CR339" s="17">
        <v>0</v>
      </c>
      <c r="CS339">
        <v>15.42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13.79</v>
      </c>
      <c r="DD339">
        <v>2.67</v>
      </c>
      <c r="DE339">
        <v>11.54</v>
      </c>
      <c r="DF339">
        <v>0</v>
      </c>
      <c r="DG339">
        <v>12.3</v>
      </c>
      <c r="DH339">
        <v>2</v>
      </c>
      <c r="DI339">
        <v>5</v>
      </c>
      <c r="DJ339">
        <v>2</v>
      </c>
      <c r="DO339">
        <v>5</v>
      </c>
      <c r="DP339">
        <v>2</v>
      </c>
      <c r="DU339">
        <v>0</v>
      </c>
      <c r="DV339">
        <v>1</v>
      </c>
      <c r="DW339">
        <v>34</v>
      </c>
      <c r="DX339">
        <v>2</v>
      </c>
      <c r="DY339">
        <v>0.1</v>
      </c>
      <c r="DZ339">
        <v>1</v>
      </c>
      <c r="EA339">
        <v>10</v>
      </c>
      <c r="EB339">
        <f t="shared" si="123"/>
        <v>32</v>
      </c>
      <c r="EC339">
        <f t="shared" si="124"/>
        <v>3.5100000000000002</v>
      </c>
      <c r="ED339">
        <v>3</v>
      </c>
      <c r="EG339" s="18"/>
      <c r="EY339">
        <v>0</v>
      </c>
      <c r="GJ339" s="16">
        <v>0.25</v>
      </c>
      <c r="GK339" s="16">
        <v>1</v>
      </c>
      <c r="GL339" s="16">
        <v>2</v>
      </c>
      <c r="GM339" s="16"/>
      <c r="GN339" s="16">
        <v>0.55000000000000004</v>
      </c>
      <c r="GO339" s="16"/>
      <c r="GP339" s="16"/>
      <c r="GQ339" s="16"/>
      <c r="GR339" s="16"/>
      <c r="GS339" s="16"/>
      <c r="GT339" s="16"/>
      <c r="GU339" s="16">
        <v>0.55000000000000004</v>
      </c>
      <c r="GV339" s="16">
        <v>0.55000000000000004</v>
      </c>
      <c r="GW339" s="16"/>
      <c r="GX339" s="16"/>
      <c r="GY339" s="16">
        <v>0</v>
      </c>
      <c r="GZ339" s="16">
        <v>0</v>
      </c>
      <c r="HA339" s="16">
        <v>0</v>
      </c>
      <c r="HB339">
        <v>0</v>
      </c>
      <c r="HC339" t="s">
        <v>220</v>
      </c>
      <c r="HD339">
        <v>27</v>
      </c>
      <c r="HE339" s="16">
        <v>54.4</v>
      </c>
      <c r="HF339" s="16">
        <v>80.400000000000006</v>
      </c>
      <c r="HG339" s="16">
        <v>18.100000000000001</v>
      </c>
      <c r="HH339">
        <v>81.88</v>
      </c>
      <c r="HI339" s="17">
        <v>0</v>
      </c>
      <c r="HJ339">
        <v>9.83</v>
      </c>
      <c r="HK339">
        <v>0</v>
      </c>
      <c r="HL339">
        <v>2.14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2.3199999999999998</v>
      </c>
      <c r="HU339">
        <v>19.66</v>
      </c>
      <c r="HV339">
        <v>3.64</v>
      </c>
      <c r="HW339">
        <v>0</v>
      </c>
      <c r="HX339">
        <v>0</v>
      </c>
      <c r="HY339">
        <v>0</v>
      </c>
      <c r="IL339">
        <v>0</v>
      </c>
      <c r="IM339">
        <v>1</v>
      </c>
      <c r="IN339">
        <v>26</v>
      </c>
      <c r="IO339">
        <v>2</v>
      </c>
      <c r="IP339">
        <v>0.05</v>
      </c>
      <c r="IQ339">
        <v>2</v>
      </c>
      <c r="IX339" s="18"/>
      <c r="JP339">
        <v>0</v>
      </c>
      <c r="LA339" s="16">
        <v>2.1</v>
      </c>
      <c r="LB339" s="16">
        <v>1</v>
      </c>
      <c r="LC339" s="16">
        <v>1</v>
      </c>
      <c r="LD339" s="16"/>
      <c r="LE339" s="16">
        <f t="shared" si="125"/>
        <v>7.01</v>
      </c>
      <c r="LF339" s="16"/>
      <c r="LG339" s="16"/>
      <c r="LH339" s="16"/>
      <c r="LI339" s="16"/>
      <c r="LJ339" s="16"/>
      <c r="LK339" s="16"/>
      <c r="LL339" s="16">
        <v>6.35</v>
      </c>
      <c r="LM339" s="16">
        <v>14.8</v>
      </c>
      <c r="LN339" s="16"/>
      <c r="LO339" s="16"/>
      <c r="LP339" s="16">
        <v>0</v>
      </c>
      <c r="LQ339" s="16">
        <v>0</v>
      </c>
      <c r="LR339" s="16">
        <v>0</v>
      </c>
      <c r="LS339">
        <v>0</v>
      </c>
      <c r="LT339" t="s">
        <v>223</v>
      </c>
      <c r="LU339">
        <v>30.5</v>
      </c>
      <c r="LV339" s="16">
        <v>68.8</v>
      </c>
      <c r="LW339" s="16">
        <v>80.400000000000006</v>
      </c>
      <c r="LX339" s="16">
        <v>16.3</v>
      </c>
      <c r="LY339">
        <v>66.28</v>
      </c>
      <c r="LZ339">
        <v>20.09</v>
      </c>
      <c r="MA339">
        <v>1.81</v>
      </c>
      <c r="MB339">
        <v>0</v>
      </c>
      <c r="MC339">
        <v>11.82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13.17</v>
      </c>
      <c r="ML339">
        <v>35.75</v>
      </c>
      <c r="MM339">
        <v>0</v>
      </c>
      <c r="MN339">
        <v>0</v>
      </c>
      <c r="MO339">
        <v>0</v>
      </c>
      <c r="MP339">
        <v>0</v>
      </c>
      <c r="NC339">
        <v>0</v>
      </c>
      <c r="ND339">
        <v>1</v>
      </c>
      <c r="NE339">
        <v>52</v>
      </c>
      <c r="NF339">
        <v>1</v>
      </c>
      <c r="NG339">
        <v>0.01</v>
      </c>
      <c r="NH339">
        <v>2</v>
      </c>
      <c r="NO339" s="18"/>
      <c r="OG339">
        <v>0</v>
      </c>
      <c r="PR339" s="16">
        <v>5.43</v>
      </c>
      <c r="PS339" s="16">
        <v>1</v>
      </c>
      <c r="PT339" s="16">
        <v>1</v>
      </c>
      <c r="PU339" s="16"/>
      <c r="PV339" s="16">
        <f>0.09*2+0.07+1.36</f>
        <v>1.61</v>
      </c>
      <c r="PW339" s="16">
        <v>2</v>
      </c>
      <c r="PX339" s="16"/>
      <c r="PY339" s="16">
        <f>4.2+0.09+0.66+0.01+3.18+3.18</f>
        <v>11.32</v>
      </c>
      <c r="PZ339" s="16"/>
      <c r="QA339" s="16"/>
      <c r="QB339" s="16"/>
      <c r="QC339" s="16">
        <v>8.61</v>
      </c>
      <c r="QD339" s="16">
        <v>26.91</v>
      </c>
      <c r="QE339" s="16"/>
      <c r="QF339" s="16"/>
      <c r="QG339" s="16">
        <v>0</v>
      </c>
      <c r="QH339" s="16">
        <v>0</v>
      </c>
      <c r="QI339" s="16">
        <v>0</v>
      </c>
      <c r="QJ339">
        <v>0</v>
      </c>
      <c r="QK339" t="s">
        <v>224</v>
      </c>
      <c r="QL339">
        <v>39.5</v>
      </c>
      <c r="QM339" s="16">
        <v>60.8</v>
      </c>
      <c r="QN339" s="16">
        <v>80.400000000000006</v>
      </c>
      <c r="QO339" s="16">
        <v>22.9</v>
      </c>
      <c r="QP339">
        <v>67.010000000000005</v>
      </c>
      <c r="QQ339">
        <v>11.71</v>
      </c>
      <c r="QR339">
        <v>16.61</v>
      </c>
      <c r="QS339">
        <v>0</v>
      </c>
      <c r="QT339">
        <v>4.67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20.9</v>
      </c>
      <c r="RC339">
        <v>25.23</v>
      </c>
      <c r="RD339">
        <v>0.57999999999999996</v>
      </c>
      <c r="RE339">
        <v>0</v>
      </c>
      <c r="RF339">
        <v>0</v>
      </c>
      <c r="RG339">
        <v>0</v>
      </c>
      <c r="RT339">
        <v>2</v>
      </c>
      <c r="RU339">
        <v>1</v>
      </c>
      <c r="RV339">
        <v>103</v>
      </c>
      <c r="RW339">
        <v>2</v>
      </c>
      <c r="RX339">
        <f>0.18+0.14</f>
        <v>0.32</v>
      </c>
      <c r="RY339">
        <v>1</v>
      </c>
      <c r="RZ339">
        <v>68</v>
      </c>
      <c r="SA339">
        <v>1</v>
      </c>
      <c r="SB339">
        <v>0.01</v>
      </c>
      <c r="SC339">
        <v>1</v>
      </c>
      <c r="SD339">
        <v>52</v>
      </c>
      <c r="SE339">
        <v>3</v>
      </c>
      <c r="SF339" s="18">
        <v>0.05</v>
      </c>
      <c r="SG339">
        <v>2</v>
      </c>
      <c r="SX339">
        <v>0</v>
      </c>
      <c r="UI339" s="16">
        <v>3.66</v>
      </c>
      <c r="UJ339" s="16">
        <v>1</v>
      </c>
      <c r="UK339" s="16">
        <v>1</v>
      </c>
      <c r="UL339" s="16"/>
      <c r="UM339" s="16">
        <f>2.69*3+1.35*3+0.14*2+0.1</f>
        <v>12.5</v>
      </c>
      <c r="UN339" s="16">
        <v>2</v>
      </c>
      <c r="UO339" s="16"/>
      <c r="UP339" s="16">
        <f>0.66+0.35+0.18+0.14+1.25+1.23</f>
        <v>3.81</v>
      </c>
      <c r="UQ339" s="16"/>
      <c r="UR339" s="16"/>
      <c r="US339" s="16"/>
      <c r="UT339" s="16">
        <v>10.050000000000001</v>
      </c>
      <c r="UU339" s="16">
        <v>27.11</v>
      </c>
      <c r="UV339" s="16"/>
      <c r="UW339" s="16"/>
      <c r="UX339" s="16">
        <v>0</v>
      </c>
      <c r="UY339" s="16">
        <v>0</v>
      </c>
      <c r="UZ339" s="16">
        <v>0</v>
      </c>
      <c r="VA339">
        <v>0</v>
      </c>
      <c r="VB339" t="s">
        <v>225</v>
      </c>
      <c r="VC339">
        <v>47</v>
      </c>
      <c r="VD339" s="16">
        <v>72.3</v>
      </c>
      <c r="VE339" s="16">
        <v>80.400000000000006</v>
      </c>
      <c r="VF339" s="16">
        <v>18</v>
      </c>
      <c r="VG339">
        <v>70.55</v>
      </c>
      <c r="VH339">
        <v>6.81</v>
      </c>
      <c r="VI339">
        <v>3.09</v>
      </c>
      <c r="VJ339">
        <v>0</v>
      </c>
      <c r="VK339">
        <v>19.55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18.07</v>
      </c>
      <c r="VT339">
        <v>30.57</v>
      </c>
      <c r="VU339">
        <v>7.61</v>
      </c>
      <c r="VV339">
        <v>0</v>
      </c>
      <c r="VW339">
        <v>14</v>
      </c>
      <c r="VX339">
        <v>2</v>
      </c>
      <c r="VY339">
        <v>5</v>
      </c>
      <c r="VZ339">
        <v>4.47</v>
      </c>
      <c r="WB339">
        <v>7</v>
      </c>
      <c r="WC339">
        <v>5.15</v>
      </c>
      <c r="WE339">
        <v>5</v>
      </c>
      <c r="WF339">
        <v>4.47</v>
      </c>
      <c r="WH339">
        <v>7</v>
      </c>
      <c r="WI339">
        <v>5.15</v>
      </c>
      <c r="WK339">
        <v>0</v>
      </c>
      <c r="WL339">
        <v>0</v>
      </c>
      <c r="WW339" s="18"/>
      <c r="XO339">
        <v>0</v>
      </c>
      <c r="YZ339" s="16">
        <v>4.21</v>
      </c>
      <c r="ZA339" s="16">
        <v>1</v>
      </c>
      <c r="ZB339" s="16">
        <v>2</v>
      </c>
      <c r="ZC339" s="16"/>
      <c r="ZD339" s="16">
        <f>7.46+1.59+0.6</f>
        <v>9.65</v>
      </c>
      <c r="ZE339" s="16"/>
      <c r="ZF339" s="16"/>
      <c r="ZG339" s="16"/>
      <c r="ZH339" s="16"/>
      <c r="ZI339" s="16"/>
      <c r="ZJ339" s="16"/>
      <c r="ZK339" s="16">
        <v>10.63</v>
      </c>
      <c r="ZL339" s="16">
        <v>36.380000000000003</v>
      </c>
      <c r="ZM339" s="16"/>
      <c r="ZN339" s="16"/>
      <c r="ZO339" s="16">
        <v>0</v>
      </c>
      <c r="ZP339" s="16">
        <v>0</v>
      </c>
      <c r="ZQ339" s="16">
        <v>0</v>
      </c>
      <c r="ZR339">
        <v>0</v>
      </c>
      <c r="ZS339" t="s">
        <v>226</v>
      </c>
      <c r="ZT339">
        <v>19</v>
      </c>
      <c r="ZU339" s="16">
        <v>82.6</v>
      </c>
      <c r="ZV339" s="16">
        <v>80.400000000000006</v>
      </c>
      <c r="ZW339" s="16">
        <v>7.7</v>
      </c>
      <c r="ZX339">
        <v>86.83</v>
      </c>
      <c r="ZY339">
        <v>12.69</v>
      </c>
      <c r="ZZ339">
        <v>0</v>
      </c>
      <c r="AAA339">
        <v>0</v>
      </c>
      <c r="AAB339">
        <v>0.48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7.16</v>
      </c>
      <c r="AAK339">
        <v>10.76</v>
      </c>
      <c r="AAL339">
        <v>0</v>
      </c>
      <c r="AAM339">
        <v>0</v>
      </c>
      <c r="AAN339">
        <v>3.4</v>
      </c>
      <c r="AAO339">
        <v>2</v>
      </c>
      <c r="AAP339">
        <v>11.9</v>
      </c>
      <c r="AAQ339">
        <v>0.48</v>
      </c>
      <c r="AAV339">
        <v>11.9</v>
      </c>
      <c r="AAW339">
        <v>0.48</v>
      </c>
      <c r="ABB339">
        <v>0</v>
      </c>
      <c r="ABC339">
        <v>1</v>
      </c>
      <c r="ABD339">
        <v>34</v>
      </c>
      <c r="ABE339">
        <v>2</v>
      </c>
      <c r="ABF339">
        <f>0.84*2</f>
        <v>1.68</v>
      </c>
      <c r="ABG339">
        <v>1</v>
      </c>
      <c r="ABN339" s="18"/>
      <c r="ACF339">
        <v>0</v>
      </c>
      <c r="ADQ339" s="16">
        <v>3.25</v>
      </c>
      <c r="ADR339" s="16">
        <v>1</v>
      </c>
      <c r="ADS339" s="16">
        <v>2</v>
      </c>
      <c r="ADT339" s="16"/>
      <c r="ADU339" s="16">
        <f>1.59*2+0.21*2</f>
        <v>3.6</v>
      </c>
      <c r="ADV339" s="16"/>
      <c r="ADW339" s="16"/>
      <c r="ADX339" s="16"/>
      <c r="ADY339" s="16"/>
      <c r="ADZ339" s="16"/>
      <c r="AEA339" s="16"/>
      <c r="AEB339" s="16">
        <v>4.26</v>
      </c>
      <c r="AEC339" s="16">
        <v>4.25</v>
      </c>
      <c r="AED339" s="16"/>
      <c r="AEE339" s="16"/>
      <c r="AEF339" s="16">
        <v>0</v>
      </c>
      <c r="AEG339" s="16">
        <v>0</v>
      </c>
      <c r="AEH339" s="16">
        <v>0</v>
      </c>
      <c r="AEI339">
        <v>0</v>
      </c>
      <c r="AEJ339" t="s">
        <v>519</v>
      </c>
      <c r="AEK339">
        <v>17.5</v>
      </c>
      <c r="AEL339" s="16">
        <v>85.1</v>
      </c>
      <c r="AEM339" s="16">
        <v>80.400000000000006</v>
      </c>
      <c r="AEN339" s="16">
        <v>9.6</v>
      </c>
      <c r="AEO339">
        <v>86.79</v>
      </c>
      <c r="AEP339">
        <v>5.81</v>
      </c>
      <c r="AEQ339">
        <v>6.87</v>
      </c>
      <c r="AER339">
        <v>0</v>
      </c>
      <c r="AES339">
        <v>0.52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13.81</v>
      </c>
      <c r="AFB339">
        <v>2.99</v>
      </c>
      <c r="AFC339">
        <v>0</v>
      </c>
      <c r="AFD339">
        <v>0</v>
      </c>
      <c r="AFE339">
        <v>3.4</v>
      </c>
      <c r="AFF339">
        <v>2</v>
      </c>
      <c r="AFG339">
        <v>11.9</v>
      </c>
      <c r="AFH339">
        <v>0.48</v>
      </c>
      <c r="AFM339">
        <v>11.9</v>
      </c>
      <c r="AFN339">
        <v>0.48</v>
      </c>
      <c r="AFS339">
        <v>0</v>
      </c>
      <c r="AFT339">
        <v>1</v>
      </c>
      <c r="AFU339">
        <v>34</v>
      </c>
      <c r="AFV339">
        <v>2</v>
      </c>
      <c r="AFW339">
        <f>0.84*2</f>
        <v>1.68</v>
      </c>
      <c r="AFX339">
        <v>1</v>
      </c>
      <c r="AGE339" s="18"/>
      <c r="AGW339">
        <v>0</v>
      </c>
      <c r="AIH339" s="16">
        <v>0.81</v>
      </c>
      <c r="AII339" s="16">
        <v>1</v>
      </c>
      <c r="AIJ339" s="16">
        <v>2</v>
      </c>
      <c r="AIK339" s="16"/>
      <c r="AIL339" s="16">
        <f>1.35*2</f>
        <v>2.7</v>
      </c>
      <c r="AIM339" s="16"/>
      <c r="AIN339" s="16"/>
      <c r="AIO339" s="16"/>
      <c r="AIP339" s="16"/>
      <c r="AIQ339" s="16"/>
      <c r="AIR339" s="16"/>
      <c r="AIS339" s="16">
        <v>3.67</v>
      </c>
      <c r="AIT339" s="16">
        <v>3.18</v>
      </c>
      <c r="AIU339" s="16"/>
      <c r="AIV339" s="16"/>
      <c r="AIW339" s="16">
        <v>0</v>
      </c>
      <c r="AIX339" s="16">
        <v>0</v>
      </c>
      <c r="AIY339" s="16">
        <v>0</v>
      </c>
      <c r="AIZ339">
        <v>0</v>
      </c>
      <c r="AJA339" t="s">
        <v>520</v>
      </c>
      <c r="AJB339">
        <v>40</v>
      </c>
      <c r="AJC339" s="16">
        <v>79.7</v>
      </c>
      <c r="AJD339" s="16">
        <v>80.400000000000006</v>
      </c>
      <c r="AJE339" s="16">
        <v>13.2</v>
      </c>
      <c r="AJF339">
        <v>64.849999999999994</v>
      </c>
      <c r="AJG339">
        <v>35.15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4.9800000000000004</v>
      </c>
      <c r="AJS339">
        <v>32.96</v>
      </c>
      <c r="AJT339">
        <v>0</v>
      </c>
      <c r="AJU339">
        <v>0</v>
      </c>
      <c r="AJV339">
        <v>0</v>
      </c>
      <c r="AJW339">
        <v>0</v>
      </c>
      <c r="AKJ339">
        <v>0</v>
      </c>
      <c r="AKK339">
        <v>1</v>
      </c>
      <c r="AKL339">
        <v>34</v>
      </c>
      <c r="AKM339">
        <v>7</v>
      </c>
      <c r="AKN339">
        <f>1+1.59+1.2*2</f>
        <v>4.99</v>
      </c>
      <c r="AKO339">
        <v>1</v>
      </c>
      <c r="AKV339" s="18"/>
      <c r="ALN339">
        <v>0</v>
      </c>
    </row>
    <row r="340" spans="1:1018" x14ac:dyDescent="0.2">
      <c r="A340" s="1" t="s">
        <v>927</v>
      </c>
      <c r="B340" s="12">
        <v>42930</v>
      </c>
      <c r="C340">
        <v>2</v>
      </c>
      <c r="D340" s="13">
        <v>40513</v>
      </c>
      <c r="E340" s="12">
        <v>25752</v>
      </c>
      <c r="F340" s="14">
        <f t="shared" si="120"/>
        <v>47.030800821355236</v>
      </c>
      <c r="G340" s="14">
        <f t="shared" si="121"/>
        <v>6.6173853524982889</v>
      </c>
      <c r="H340" s="19" t="s">
        <v>217</v>
      </c>
      <c r="I340" s="15" t="s">
        <v>218</v>
      </c>
      <c r="J340" s="15" t="s">
        <v>183</v>
      </c>
      <c r="K340" s="15">
        <v>4</v>
      </c>
      <c r="L340" s="19">
        <v>90</v>
      </c>
      <c r="M340">
        <v>1.78</v>
      </c>
      <c r="N340" s="16">
        <f t="shared" si="122"/>
        <v>28.405504355510669</v>
      </c>
      <c r="O340" s="19">
        <v>0</v>
      </c>
      <c r="P340" s="19">
        <v>0</v>
      </c>
      <c r="Q340" s="19">
        <v>0</v>
      </c>
      <c r="R340" s="26">
        <v>0</v>
      </c>
      <c r="S340" s="26">
        <v>0</v>
      </c>
      <c r="T340" s="26">
        <v>0</v>
      </c>
      <c r="U340" s="19">
        <v>0</v>
      </c>
      <c r="V340" s="19">
        <v>0</v>
      </c>
      <c r="W340" s="19">
        <v>0</v>
      </c>
      <c r="X340" s="19">
        <v>0</v>
      </c>
      <c r="Y340" s="19">
        <v>1</v>
      </c>
      <c r="Z340" s="19">
        <v>1</v>
      </c>
      <c r="AA340" s="19">
        <v>120</v>
      </c>
      <c r="AB340" s="19" t="s">
        <v>441</v>
      </c>
      <c r="AC340" s="19">
        <v>0</v>
      </c>
      <c r="AD340" s="19">
        <v>0</v>
      </c>
      <c r="AE340" s="19">
        <v>0</v>
      </c>
      <c r="AF340" s="19">
        <v>0</v>
      </c>
      <c r="AG340" s="19">
        <v>0</v>
      </c>
      <c r="AH340" s="19">
        <v>0</v>
      </c>
      <c r="AI340" s="19">
        <v>0</v>
      </c>
      <c r="AJ340" s="19">
        <v>0</v>
      </c>
      <c r="AK340" s="19">
        <v>0</v>
      </c>
      <c r="AL340" s="19">
        <v>0</v>
      </c>
      <c r="AM340" s="19">
        <v>0</v>
      </c>
      <c r="AN340" s="19">
        <v>0</v>
      </c>
      <c r="AO340" s="19">
        <v>0</v>
      </c>
      <c r="AP340" s="19">
        <v>0</v>
      </c>
      <c r="AQ340" s="19">
        <v>0</v>
      </c>
      <c r="AR340" s="19">
        <v>0</v>
      </c>
      <c r="AS340" s="19">
        <v>3</v>
      </c>
      <c r="AT340" s="19">
        <v>2</v>
      </c>
      <c r="AU340" s="19">
        <v>2</v>
      </c>
      <c r="AV340" s="19">
        <v>0</v>
      </c>
      <c r="AW340" s="19">
        <v>4</v>
      </c>
      <c r="AX340" s="19">
        <v>0</v>
      </c>
      <c r="AY340" s="19">
        <v>0</v>
      </c>
      <c r="AZ340" s="19">
        <v>0</v>
      </c>
      <c r="BA340" s="19">
        <v>0</v>
      </c>
      <c r="BB340" s="19">
        <v>0</v>
      </c>
      <c r="BC340" s="19">
        <v>0</v>
      </c>
      <c r="BD340" s="19">
        <v>0</v>
      </c>
      <c r="BE340" s="19">
        <v>0</v>
      </c>
      <c r="BF340" s="19">
        <v>0</v>
      </c>
      <c r="BG340" s="19">
        <v>0</v>
      </c>
      <c r="BH340" s="19">
        <v>0</v>
      </c>
      <c r="BI340" s="19">
        <v>0</v>
      </c>
      <c r="BJ340" s="19">
        <v>0</v>
      </c>
      <c r="BK340" s="19">
        <v>0</v>
      </c>
      <c r="BL340" s="19">
        <v>0</v>
      </c>
      <c r="BM340" s="19">
        <v>0</v>
      </c>
      <c r="BN340" s="19">
        <v>0</v>
      </c>
      <c r="BO340" s="19">
        <v>0</v>
      </c>
      <c r="BP340" s="19">
        <v>0</v>
      </c>
      <c r="BQ340" s="19">
        <v>0</v>
      </c>
      <c r="BR340" s="19">
        <v>2</v>
      </c>
      <c r="BS340" s="19"/>
      <c r="BT340" s="19">
        <v>5</v>
      </c>
      <c r="BU340" s="19">
        <v>5</v>
      </c>
      <c r="BV340" s="19">
        <v>1</v>
      </c>
      <c r="BW340" s="19">
        <v>1</v>
      </c>
      <c r="BX340" s="19">
        <v>1</v>
      </c>
      <c r="BY340" s="19">
        <v>4</v>
      </c>
      <c r="BZ340" s="19">
        <v>5</v>
      </c>
      <c r="CA340" s="19">
        <v>2</v>
      </c>
      <c r="CB340" s="19">
        <v>4</v>
      </c>
      <c r="CC340" s="19">
        <v>4</v>
      </c>
      <c r="CD340" s="19">
        <v>3</v>
      </c>
      <c r="CE340" s="19">
        <v>3</v>
      </c>
      <c r="CF340" s="19">
        <v>4</v>
      </c>
      <c r="CG340" s="19">
        <v>5</v>
      </c>
      <c r="CH340" s="19">
        <v>4</v>
      </c>
      <c r="CI340" s="19">
        <v>3</v>
      </c>
      <c r="CJ340" s="19">
        <v>4</v>
      </c>
      <c r="CK340" s="19">
        <v>10</v>
      </c>
      <c r="CL340" t="s">
        <v>219</v>
      </c>
      <c r="CM340">
        <v>33.5</v>
      </c>
      <c r="CN340" s="16">
        <v>91.5</v>
      </c>
      <c r="CO340" s="16">
        <v>80.400000000000006</v>
      </c>
      <c r="CP340" s="16">
        <v>20</v>
      </c>
      <c r="CQ340">
        <v>84.58</v>
      </c>
      <c r="CR340" s="17">
        <v>0</v>
      </c>
      <c r="CS340">
        <v>15.42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13.79</v>
      </c>
      <c r="DD340">
        <v>2.67</v>
      </c>
      <c r="DE340">
        <v>11.54</v>
      </c>
      <c r="DF340">
        <v>0</v>
      </c>
      <c r="DG340">
        <v>12.3</v>
      </c>
      <c r="DH340">
        <v>2</v>
      </c>
      <c r="DI340">
        <v>5</v>
      </c>
      <c r="DJ340">
        <v>2</v>
      </c>
      <c r="DO340">
        <v>5</v>
      </c>
      <c r="DP340">
        <v>2</v>
      </c>
      <c r="DU340">
        <v>0</v>
      </c>
      <c r="DV340">
        <v>1</v>
      </c>
      <c r="DW340">
        <v>34</v>
      </c>
      <c r="DX340">
        <v>2</v>
      </c>
      <c r="DY340">
        <v>0.1</v>
      </c>
      <c r="DZ340">
        <v>1</v>
      </c>
      <c r="EA340">
        <v>10</v>
      </c>
      <c r="EB340">
        <f t="shared" si="123"/>
        <v>32</v>
      </c>
      <c r="EC340">
        <f t="shared" si="124"/>
        <v>3.5100000000000002</v>
      </c>
      <c r="ED340">
        <v>3</v>
      </c>
      <c r="EG340" s="18"/>
      <c r="EY340">
        <v>0</v>
      </c>
      <c r="GJ340" s="16">
        <v>0.25</v>
      </c>
      <c r="GK340" s="16">
        <v>1</v>
      </c>
      <c r="GL340" s="16">
        <v>2</v>
      </c>
      <c r="GM340" s="16"/>
      <c r="GN340" s="16">
        <v>0.55000000000000004</v>
      </c>
      <c r="GO340" s="16"/>
      <c r="GP340" s="16"/>
      <c r="GQ340" s="16"/>
      <c r="GR340" s="16"/>
      <c r="GS340" s="16"/>
      <c r="GT340" s="16"/>
      <c r="GU340" s="16">
        <v>0.55000000000000004</v>
      </c>
      <c r="GV340" s="16">
        <v>0.55000000000000004</v>
      </c>
      <c r="GW340" s="16"/>
      <c r="GX340" s="16"/>
      <c r="GY340" s="16">
        <v>0</v>
      </c>
      <c r="GZ340" s="16">
        <v>0</v>
      </c>
      <c r="HA340" s="16">
        <v>0</v>
      </c>
      <c r="HB340">
        <v>0</v>
      </c>
      <c r="HC340" t="s">
        <v>220</v>
      </c>
      <c r="HD340">
        <v>27</v>
      </c>
      <c r="HE340" s="16">
        <v>54.4</v>
      </c>
      <c r="HF340" s="16">
        <v>80.400000000000006</v>
      </c>
      <c r="HG340" s="16">
        <v>18.100000000000001</v>
      </c>
      <c r="HH340">
        <v>81.88</v>
      </c>
      <c r="HI340" s="17">
        <v>0</v>
      </c>
      <c r="HJ340">
        <v>9.83</v>
      </c>
      <c r="HK340">
        <v>0</v>
      </c>
      <c r="HL340">
        <v>2.14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2.3199999999999998</v>
      </c>
      <c r="HU340">
        <v>19.66</v>
      </c>
      <c r="HV340">
        <v>3.64</v>
      </c>
      <c r="HW340">
        <v>0</v>
      </c>
      <c r="HX340">
        <v>0</v>
      </c>
      <c r="HY340">
        <v>0</v>
      </c>
      <c r="IL340">
        <v>0</v>
      </c>
      <c r="IM340">
        <v>1</v>
      </c>
      <c r="IN340">
        <v>26</v>
      </c>
      <c r="IO340">
        <v>2</v>
      </c>
      <c r="IP340">
        <v>0.05</v>
      </c>
      <c r="IQ340">
        <v>2</v>
      </c>
      <c r="IX340" s="18"/>
      <c r="JP340">
        <v>0</v>
      </c>
      <c r="LA340" s="16">
        <v>2.1</v>
      </c>
      <c r="LB340" s="16">
        <v>1</v>
      </c>
      <c r="LC340" s="16">
        <v>1</v>
      </c>
      <c r="LD340" s="16"/>
      <c r="LE340" s="16">
        <f t="shared" si="125"/>
        <v>7.01</v>
      </c>
      <c r="LF340" s="16"/>
      <c r="LG340" s="16"/>
      <c r="LH340" s="16"/>
      <c r="LI340" s="16"/>
      <c r="LJ340" s="16"/>
      <c r="LK340" s="16"/>
      <c r="LL340" s="16">
        <v>6.35</v>
      </c>
      <c r="LM340" s="16">
        <v>14.8</v>
      </c>
      <c r="LN340" s="16"/>
      <c r="LO340" s="16"/>
      <c r="LP340" s="16">
        <v>0</v>
      </c>
      <c r="LQ340" s="16">
        <v>0</v>
      </c>
      <c r="LR340" s="16">
        <v>0</v>
      </c>
      <c r="LS340">
        <v>0</v>
      </c>
      <c r="LT340" t="s">
        <v>221</v>
      </c>
      <c r="LU340">
        <v>20.5</v>
      </c>
      <c r="LV340" s="16">
        <v>76.900000000000006</v>
      </c>
      <c r="LW340" s="16">
        <v>80.400000000000006</v>
      </c>
      <c r="LX340" s="16">
        <v>9.1</v>
      </c>
      <c r="LY340">
        <v>88.58</v>
      </c>
      <c r="LZ340">
        <v>10.3</v>
      </c>
      <c r="MA340">
        <v>1.1200000000000001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6.33</v>
      </c>
      <c r="ML340">
        <v>16.97</v>
      </c>
      <c r="MM340">
        <v>0</v>
      </c>
      <c r="MN340">
        <v>0</v>
      </c>
      <c r="MO340">
        <v>4.0999999999999996</v>
      </c>
      <c r="MP340">
        <v>2</v>
      </c>
      <c r="MQ340">
        <v>5</v>
      </c>
      <c r="MR340">
        <v>1</v>
      </c>
      <c r="MW340">
        <v>5</v>
      </c>
      <c r="MX340">
        <v>1</v>
      </c>
      <c r="NC340">
        <v>0</v>
      </c>
      <c r="ND340">
        <v>0</v>
      </c>
      <c r="NO340" s="18"/>
      <c r="OG340">
        <v>0</v>
      </c>
      <c r="PR340" s="16">
        <v>2.2400000000000002</v>
      </c>
      <c r="PS340" s="16">
        <v>1</v>
      </c>
      <c r="PT340" s="16">
        <v>2</v>
      </c>
      <c r="PU340" s="16"/>
      <c r="PV340" s="16">
        <v>4.97</v>
      </c>
      <c r="PW340" s="16"/>
      <c r="PX340" s="16"/>
      <c r="PY340" s="16"/>
      <c r="PZ340" s="16"/>
      <c r="QA340" s="16"/>
      <c r="QB340" s="16"/>
      <c r="QC340" s="16">
        <v>5.0999999999999996</v>
      </c>
      <c r="QD340" s="16">
        <v>5.97</v>
      </c>
      <c r="QE340" s="16"/>
      <c r="QF340" s="16"/>
      <c r="QG340" s="16">
        <v>0</v>
      </c>
      <c r="QH340" s="16">
        <v>0</v>
      </c>
      <c r="QI340" s="16">
        <v>0</v>
      </c>
      <c r="QJ340">
        <v>0</v>
      </c>
      <c r="QK340" t="s">
        <v>222</v>
      </c>
      <c r="QL340">
        <v>32.5</v>
      </c>
      <c r="QM340" s="16">
        <v>96.7</v>
      </c>
      <c r="QN340" s="16">
        <v>80.400000000000006</v>
      </c>
      <c r="QO340" s="16">
        <v>15.1</v>
      </c>
      <c r="QP340">
        <v>52.24</v>
      </c>
      <c r="QQ340">
        <v>45.43</v>
      </c>
      <c r="QR340">
        <v>1.1200000000000001</v>
      </c>
      <c r="QS340">
        <v>0</v>
      </c>
      <c r="QT340">
        <v>1.2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1.2</v>
      </c>
      <c r="RB340">
        <v>15.88</v>
      </c>
      <c r="RC340">
        <v>48.59</v>
      </c>
      <c r="RD340">
        <v>0</v>
      </c>
      <c r="RE340">
        <v>0</v>
      </c>
      <c r="RF340">
        <v>0</v>
      </c>
      <c r="RG340">
        <v>0</v>
      </c>
      <c r="RT340">
        <v>0</v>
      </c>
      <c r="RU340">
        <v>0</v>
      </c>
      <c r="SF340" s="18"/>
      <c r="SX340">
        <v>1</v>
      </c>
      <c r="SY340">
        <v>50</v>
      </c>
      <c r="SZ340">
        <v>2</v>
      </c>
      <c r="TA340">
        <f>3.18+12.73</f>
        <v>15.91</v>
      </c>
      <c r="TB340">
        <v>1</v>
      </c>
      <c r="UI340" s="16">
        <v>5.9</v>
      </c>
      <c r="UJ340" s="16">
        <v>1</v>
      </c>
      <c r="UK340" s="16">
        <v>2</v>
      </c>
      <c r="UL340" s="16"/>
      <c r="UM340" s="16">
        <f>0.09+0.18*3+0.13+0.53+1.07*2+1.34*2+0.17*2+3.18+12.73</f>
        <v>22.36</v>
      </c>
      <c r="UN340" s="16"/>
      <c r="UO340" s="16"/>
      <c r="UP340" s="16"/>
      <c r="UQ340" s="16"/>
      <c r="UR340" s="16"/>
      <c r="US340" s="16"/>
      <c r="UT340" s="16">
        <v>11.45</v>
      </c>
      <c r="UU340" s="16">
        <v>41.19</v>
      </c>
      <c r="UV340" s="16"/>
      <c r="UW340" s="16"/>
      <c r="UX340" s="16">
        <v>0</v>
      </c>
      <c r="UY340" s="16">
        <v>0</v>
      </c>
      <c r="UZ340" s="16">
        <v>0</v>
      </c>
      <c r="VA340">
        <v>0</v>
      </c>
      <c r="VB340" t="s">
        <v>223</v>
      </c>
      <c r="VC340">
        <v>30.5</v>
      </c>
      <c r="VD340" s="16">
        <v>68.8</v>
      </c>
      <c r="VE340" s="16">
        <v>80.400000000000006</v>
      </c>
      <c r="VF340" s="16">
        <v>16.3</v>
      </c>
      <c r="VG340">
        <v>66.28</v>
      </c>
      <c r="VH340">
        <v>20.09</v>
      </c>
      <c r="VI340">
        <v>1.81</v>
      </c>
      <c r="VJ340">
        <v>0</v>
      </c>
      <c r="VK340">
        <v>11.82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13.17</v>
      </c>
      <c r="VT340">
        <v>35.75</v>
      </c>
      <c r="VU340">
        <v>0</v>
      </c>
      <c r="VV340">
        <v>0</v>
      </c>
      <c r="VW340">
        <v>0</v>
      </c>
      <c r="VX340">
        <v>0</v>
      </c>
      <c r="WK340">
        <v>0</v>
      </c>
      <c r="WL340">
        <v>1</v>
      </c>
      <c r="WM340">
        <v>52</v>
      </c>
      <c r="WN340">
        <v>1</v>
      </c>
      <c r="WO340">
        <v>0.01</v>
      </c>
      <c r="WP340">
        <v>2</v>
      </c>
      <c r="WW340" s="18"/>
      <c r="XO340">
        <v>0</v>
      </c>
      <c r="YZ340" s="16">
        <v>5.43</v>
      </c>
      <c r="ZA340" s="16">
        <v>1</v>
      </c>
      <c r="ZB340" s="16">
        <v>1</v>
      </c>
      <c r="ZC340" s="16"/>
      <c r="ZD340" s="16">
        <f>0.09*2+0.07+1.36</f>
        <v>1.61</v>
      </c>
      <c r="ZE340" s="16">
        <v>2</v>
      </c>
      <c r="ZF340" s="16"/>
      <c r="ZG340" s="16">
        <f>4.2+0.09+0.66+0.01+3.18+3.18</f>
        <v>11.32</v>
      </c>
      <c r="ZH340" s="16"/>
      <c r="ZI340" s="16"/>
      <c r="ZJ340" s="16"/>
      <c r="ZK340" s="16">
        <v>8.61</v>
      </c>
      <c r="ZL340" s="16">
        <v>26.91</v>
      </c>
      <c r="ZM340" s="16"/>
      <c r="ZN340" s="16"/>
      <c r="ZO340" s="16">
        <v>0</v>
      </c>
      <c r="ZP340" s="16">
        <v>0</v>
      </c>
      <c r="ZQ340" s="16">
        <v>0</v>
      </c>
      <c r="ZR340">
        <v>0</v>
      </c>
      <c r="ZS340" t="s">
        <v>224</v>
      </c>
      <c r="ZT340">
        <v>39.5</v>
      </c>
      <c r="ZU340" s="16">
        <v>60.8</v>
      </c>
      <c r="ZV340" s="16">
        <v>80.400000000000006</v>
      </c>
      <c r="ZW340" s="16">
        <v>22.9</v>
      </c>
      <c r="ZX340">
        <v>67.010000000000005</v>
      </c>
      <c r="ZY340">
        <v>11.71</v>
      </c>
      <c r="ZZ340">
        <v>16.61</v>
      </c>
      <c r="AAA340">
        <v>0</v>
      </c>
      <c r="AAB340">
        <v>4.67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20.9</v>
      </c>
      <c r="AAK340">
        <v>25.23</v>
      </c>
      <c r="AAL340">
        <v>0.57999999999999996</v>
      </c>
      <c r="AAM340">
        <v>0</v>
      </c>
      <c r="AAN340">
        <v>0</v>
      </c>
      <c r="AAO340">
        <v>0</v>
      </c>
      <c r="ABB340">
        <v>2</v>
      </c>
      <c r="ABC340">
        <v>1</v>
      </c>
      <c r="ABD340">
        <v>103</v>
      </c>
      <c r="ABE340">
        <v>2</v>
      </c>
      <c r="ABF340">
        <f>0.18+0.14</f>
        <v>0.32</v>
      </c>
      <c r="ABG340">
        <v>1</v>
      </c>
      <c r="ABH340">
        <v>68</v>
      </c>
      <c r="ABI340">
        <v>1</v>
      </c>
      <c r="ABJ340">
        <v>0.01</v>
      </c>
      <c r="ABK340">
        <v>1</v>
      </c>
      <c r="ABL340">
        <v>52</v>
      </c>
      <c r="ABM340">
        <v>3</v>
      </c>
      <c r="ABN340" s="18">
        <v>0.05</v>
      </c>
      <c r="ABO340">
        <v>2</v>
      </c>
      <c r="ACF340">
        <v>0</v>
      </c>
      <c r="ADQ340" s="16">
        <v>3.66</v>
      </c>
      <c r="ADR340" s="16">
        <v>1</v>
      </c>
      <c r="ADS340" s="16">
        <v>1</v>
      </c>
      <c r="ADT340" s="16"/>
      <c r="ADU340" s="16">
        <f>2.69*3+1.35*3+0.14*2+0.1</f>
        <v>12.5</v>
      </c>
      <c r="ADV340" s="16">
        <v>2</v>
      </c>
      <c r="ADW340" s="16"/>
      <c r="ADX340" s="16">
        <f>0.66+0.35+0.18+0.14+1.25+1.23</f>
        <v>3.81</v>
      </c>
      <c r="ADY340" s="16"/>
      <c r="ADZ340" s="16"/>
      <c r="AEA340" s="16"/>
      <c r="AEB340" s="16">
        <v>10.050000000000001</v>
      </c>
      <c r="AEC340" s="16">
        <v>27.11</v>
      </c>
      <c r="AED340" s="16"/>
      <c r="AEE340" s="16"/>
      <c r="AEF340" s="16">
        <v>0</v>
      </c>
      <c r="AEG340" s="16">
        <v>0</v>
      </c>
      <c r="AEH340" s="16">
        <v>0</v>
      </c>
      <c r="AEI340">
        <v>0</v>
      </c>
      <c r="AEJ340" t="s">
        <v>225</v>
      </c>
      <c r="AEK340">
        <v>47</v>
      </c>
      <c r="AEL340" s="16">
        <v>72.3</v>
      </c>
      <c r="AEM340" s="16">
        <v>80.400000000000006</v>
      </c>
      <c r="AEN340" s="16">
        <v>18</v>
      </c>
      <c r="AEO340">
        <v>70.55</v>
      </c>
      <c r="AEP340">
        <v>6.81</v>
      </c>
      <c r="AEQ340">
        <v>3.09</v>
      </c>
      <c r="AER340">
        <v>0</v>
      </c>
      <c r="AES340">
        <v>19.55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18.07</v>
      </c>
      <c r="AFB340">
        <v>30.57</v>
      </c>
      <c r="AFC340">
        <v>7.61</v>
      </c>
      <c r="AFD340">
        <v>0</v>
      </c>
      <c r="AFE340">
        <v>14</v>
      </c>
      <c r="AFF340">
        <v>2</v>
      </c>
      <c r="AFG340">
        <v>5</v>
      </c>
      <c r="AFH340">
        <v>4.47</v>
      </c>
      <c r="AFJ340">
        <v>7</v>
      </c>
      <c r="AFK340">
        <v>5.15</v>
      </c>
      <c r="AFM340">
        <v>5</v>
      </c>
      <c r="AFN340">
        <v>4.47</v>
      </c>
      <c r="AFP340">
        <v>7</v>
      </c>
      <c r="AFQ340">
        <v>5.15</v>
      </c>
      <c r="AFS340">
        <v>0</v>
      </c>
      <c r="AFT340">
        <v>0</v>
      </c>
      <c r="AGE340" s="18"/>
      <c r="AGW340">
        <v>0</v>
      </c>
      <c r="AIH340" s="16">
        <v>4.21</v>
      </c>
      <c r="AII340" s="16">
        <v>1</v>
      </c>
      <c r="AIJ340" s="16">
        <v>2</v>
      </c>
      <c r="AIK340" s="16"/>
      <c r="AIL340" s="16">
        <f>7.46+1.59+0.6</f>
        <v>9.65</v>
      </c>
      <c r="AIM340" s="16"/>
      <c r="AIN340" s="16"/>
      <c r="AIO340" s="16"/>
      <c r="AIP340" s="16"/>
      <c r="AIQ340" s="16"/>
      <c r="AIR340" s="16"/>
      <c r="AIS340" s="16">
        <v>10.63</v>
      </c>
      <c r="AIT340" s="16">
        <v>36.380000000000003</v>
      </c>
      <c r="AIU340" s="16"/>
      <c r="AIV340" s="16"/>
      <c r="AIW340" s="16">
        <v>0</v>
      </c>
      <c r="AIX340" s="16">
        <v>0</v>
      </c>
      <c r="AIY340" s="16">
        <v>0</v>
      </c>
      <c r="AIZ340">
        <v>0</v>
      </c>
      <c r="AJA340" t="s">
        <v>226</v>
      </c>
      <c r="AJB340">
        <v>19</v>
      </c>
      <c r="AJC340" s="16">
        <v>82.6</v>
      </c>
      <c r="AJD340" s="16">
        <v>80.400000000000006</v>
      </c>
      <c r="AJE340" s="16">
        <v>7.7</v>
      </c>
      <c r="AJF340">
        <v>86.83</v>
      </c>
      <c r="AJG340">
        <v>12.69</v>
      </c>
      <c r="AJH340">
        <v>0</v>
      </c>
      <c r="AJI340">
        <v>0</v>
      </c>
      <c r="AJJ340">
        <v>0.48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7.16</v>
      </c>
      <c r="AJS340">
        <v>10.76</v>
      </c>
      <c r="AJT340">
        <v>0</v>
      </c>
      <c r="AJU340">
        <v>0</v>
      </c>
      <c r="AJV340">
        <v>3.4</v>
      </c>
      <c r="AJW340">
        <v>2</v>
      </c>
      <c r="AJX340">
        <v>11.9</v>
      </c>
      <c r="AJY340">
        <v>0.48</v>
      </c>
      <c r="AKD340">
        <v>11.9</v>
      </c>
      <c r="AKE340">
        <v>0.48</v>
      </c>
      <c r="AKJ340">
        <v>0</v>
      </c>
      <c r="AKK340">
        <v>1</v>
      </c>
      <c r="AKL340">
        <v>34</v>
      </c>
      <c r="AKM340">
        <v>2</v>
      </c>
      <c r="AKN340">
        <f>0.84*2</f>
        <v>1.68</v>
      </c>
      <c r="AKO340">
        <v>1</v>
      </c>
      <c r="AKV340" s="18"/>
      <c r="ALN340">
        <v>0</v>
      </c>
    </row>
    <row r="341" spans="1:1018" x14ac:dyDescent="0.2">
      <c r="A341" s="1" t="s">
        <v>928</v>
      </c>
      <c r="B341" s="12">
        <v>42933</v>
      </c>
      <c r="C341">
        <v>2</v>
      </c>
      <c r="D341" s="13">
        <v>42811</v>
      </c>
      <c r="E341" s="12">
        <v>31163</v>
      </c>
      <c r="F341" s="14">
        <f t="shared" si="120"/>
        <v>32.224503764544835</v>
      </c>
      <c r="G341" s="14">
        <f t="shared" si="121"/>
        <v>0.33401779603011633</v>
      </c>
      <c r="H341" s="19" t="s">
        <v>228</v>
      </c>
      <c r="I341" s="15" t="s">
        <v>229</v>
      </c>
      <c r="J341" s="15" t="s">
        <v>181</v>
      </c>
      <c r="K341" s="15">
        <v>8</v>
      </c>
      <c r="L341" s="19">
        <v>90</v>
      </c>
      <c r="M341">
        <v>1.77</v>
      </c>
      <c r="N341" s="16">
        <f t="shared" si="122"/>
        <v>28.727377190462509</v>
      </c>
      <c r="O341" s="19">
        <v>0</v>
      </c>
      <c r="P341" s="19">
        <v>0</v>
      </c>
      <c r="Q341" s="19">
        <v>0</v>
      </c>
      <c r="R341" s="26">
        <v>0</v>
      </c>
      <c r="S341" s="26">
        <v>0</v>
      </c>
      <c r="T341" s="26">
        <v>0</v>
      </c>
      <c r="U341" s="19">
        <v>0</v>
      </c>
      <c r="V341" s="19">
        <v>0</v>
      </c>
      <c r="W341" s="19">
        <v>0</v>
      </c>
      <c r="X341" s="19">
        <v>0</v>
      </c>
      <c r="Y341" s="19">
        <v>1</v>
      </c>
      <c r="Z341" s="19">
        <v>2</v>
      </c>
      <c r="AA341" s="19">
        <v>120</v>
      </c>
      <c r="AB341" s="19" t="s">
        <v>929</v>
      </c>
      <c r="AC341" s="19">
        <v>0</v>
      </c>
      <c r="AD341" s="19">
        <v>0</v>
      </c>
      <c r="AE341" s="19"/>
      <c r="AF341" s="19"/>
      <c r="AG341" s="19"/>
      <c r="AH341" s="19"/>
      <c r="AI341" s="19">
        <v>0</v>
      </c>
      <c r="AJ341" s="19">
        <v>0</v>
      </c>
      <c r="AK341" s="19">
        <v>0</v>
      </c>
      <c r="AL341" s="19">
        <v>0</v>
      </c>
      <c r="AM341" s="19">
        <v>0</v>
      </c>
      <c r="AN341" s="19">
        <v>0</v>
      </c>
      <c r="AO341" s="19">
        <v>0</v>
      </c>
      <c r="AP341" s="19">
        <v>0</v>
      </c>
      <c r="AQ341" s="19">
        <v>0</v>
      </c>
      <c r="AR341" s="19">
        <v>0</v>
      </c>
      <c r="AS341" s="19">
        <v>3</v>
      </c>
      <c r="AT341" s="19">
        <v>1</v>
      </c>
      <c r="AU341" s="19">
        <v>3</v>
      </c>
      <c r="AV341" s="19">
        <v>5</v>
      </c>
      <c r="AW341" s="19">
        <v>5</v>
      </c>
      <c r="AX341" s="19">
        <v>0</v>
      </c>
      <c r="AY341" s="19">
        <v>0</v>
      </c>
      <c r="AZ341" s="19">
        <v>0</v>
      </c>
      <c r="BA341" s="19">
        <v>0</v>
      </c>
      <c r="BB341" s="19">
        <v>1</v>
      </c>
      <c r="BC341" s="19">
        <v>1</v>
      </c>
      <c r="BD341" s="19">
        <v>1</v>
      </c>
      <c r="BE341" s="19">
        <v>5</v>
      </c>
      <c r="BF341" s="19">
        <v>0</v>
      </c>
      <c r="BG341" s="19">
        <v>0</v>
      </c>
      <c r="BH341" s="19">
        <v>0</v>
      </c>
      <c r="BI341" s="19">
        <v>0</v>
      </c>
      <c r="BJ341" s="19">
        <v>0</v>
      </c>
      <c r="BK341" s="19">
        <v>0</v>
      </c>
      <c r="BL341" s="19">
        <v>0</v>
      </c>
      <c r="BM341" s="19">
        <v>0</v>
      </c>
      <c r="BN341" s="19">
        <v>0</v>
      </c>
      <c r="BO341" s="19">
        <v>0</v>
      </c>
      <c r="BP341" s="19">
        <v>0</v>
      </c>
      <c r="BQ341" s="19">
        <v>0</v>
      </c>
      <c r="BR341" s="19">
        <v>3</v>
      </c>
      <c r="BS341" s="19">
        <v>2</v>
      </c>
      <c r="BT341" s="19">
        <v>3</v>
      </c>
      <c r="BU341" s="19">
        <v>5</v>
      </c>
      <c r="BV341" s="19">
        <v>3</v>
      </c>
      <c r="BW341" s="19">
        <v>5</v>
      </c>
      <c r="BX341" s="19">
        <v>5</v>
      </c>
      <c r="BY341" s="19">
        <v>4</v>
      </c>
      <c r="BZ341" s="19">
        <v>3</v>
      </c>
      <c r="CA341" s="19">
        <v>4</v>
      </c>
      <c r="CB341" s="19">
        <v>4</v>
      </c>
      <c r="CC341" s="19">
        <v>4</v>
      </c>
      <c r="CD341" s="19">
        <v>4</v>
      </c>
      <c r="CE341" s="19">
        <v>4</v>
      </c>
      <c r="CF341" s="19">
        <v>4</v>
      </c>
      <c r="CG341" s="19">
        <v>4</v>
      </c>
      <c r="CH341" s="19">
        <v>4</v>
      </c>
      <c r="CI341" s="19">
        <v>4</v>
      </c>
      <c r="CJ341" s="19">
        <v>3</v>
      </c>
      <c r="CK341" s="19">
        <v>10</v>
      </c>
      <c r="CL341" t="s">
        <v>230</v>
      </c>
      <c r="CM341">
        <v>64</v>
      </c>
      <c r="CN341" s="16">
        <v>74.3</v>
      </c>
      <c r="CO341" s="16">
        <v>81</v>
      </c>
      <c r="CP341" s="16">
        <v>58.5</v>
      </c>
      <c r="CQ341">
        <v>49.17</v>
      </c>
      <c r="CR341">
        <v>0</v>
      </c>
      <c r="CS341">
        <v>34.450000000000003</v>
      </c>
      <c r="CT341">
        <v>16.22</v>
      </c>
      <c r="CU341">
        <v>0.16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2.52</v>
      </c>
      <c r="DE341">
        <v>9.18</v>
      </c>
      <c r="DF341">
        <v>0</v>
      </c>
      <c r="DG341">
        <v>0</v>
      </c>
      <c r="DH341">
        <v>0</v>
      </c>
      <c r="DU341">
        <v>0.3</v>
      </c>
      <c r="DV341">
        <v>1</v>
      </c>
      <c r="DW341">
        <v>34</v>
      </c>
      <c r="DX341">
        <v>8</v>
      </c>
      <c r="DY341">
        <v>0.43</v>
      </c>
      <c r="DZ341">
        <v>1</v>
      </c>
      <c r="EA341">
        <v>47</v>
      </c>
      <c r="EB341">
        <v>1</v>
      </c>
      <c r="EC341">
        <v>0.04</v>
      </c>
      <c r="ED341">
        <v>3</v>
      </c>
      <c r="EG341" s="18"/>
      <c r="EY341">
        <v>0</v>
      </c>
      <c r="GJ341" s="16">
        <v>2.89</v>
      </c>
      <c r="GK341" s="16">
        <v>1</v>
      </c>
      <c r="GL341" s="16">
        <v>1</v>
      </c>
      <c r="GM341" s="16"/>
      <c r="GN341" s="16">
        <v>7.35</v>
      </c>
      <c r="GO341" s="16"/>
      <c r="GP341" s="16"/>
      <c r="GQ341" s="16"/>
      <c r="GR341" s="16"/>
      <c r="GS341" s="16"/>
      <c r="GT341" s="16"/>
      <c r="GU341" s="16">
        <v>0</v>
      </c>
      <c r="GV341" s="16">
        <v>0</v>
      </c>
      <c r="GW341" s="16"/>
      <c r="GX341" s="16"/>
      <c r="GY341" s="16">
        <v>0</v>
      </c>
      <c r="GZ341" s="16">
        <v>0</v>
      </c>
      <c r="HA341" s="16">
        <v>0</v>
      </c>
      <c r="HB341">
        <v>0</v>
      </c>
      <c r="HC341" t="s">
        <v>231</v>
      </c>
      <c r="HD341">
        <v>64.5</v>
      </c>
      <c r="HE341" s="16">
        <v>77.8</v>
      </c>
      <c r="HF341" s="16">
        <v>81</v>
      </c>
      <c r="HG341" s="16">
        <v>52.5</v>
      </c>
      <c r="HH341">
        <v>50.19</v>
      </c>
      <c r="HI341">
        <v>0</v>
      </c>
      <c r="HJ341">
        <v>26.36</v>
      </c>
      <c r="HK341">
        <v>23.45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1.91</v>
      </c>
      <c r="HU341">
        <v>2.12</v>
      </c>
      <c r="HV341">
        <v>0</v>
      </c>
      <c r="HW341">
        <v>0</v>
      </c>
      <c r="HX341">
        <v>0</v>
      </c>
      <c r="HY341">
        <v>0</v>
      </c>
      <c r="IL341">
        <v>5.4</v>
      </c>
      <c r="IM341">
        <v>1</v>
      </c>
      <c r="IN341">
        <v>68</v>
      </c>
      <c r="IO341">
        <v>8</v>
      </c>
      <c r="IP341">
        <f>1.4*2+0.13</f>
        <v>2.9299999999999997</v>
      </c>
      <c r="IQ341">
        <v>1</v>
      </c>
      <c r="IR341">
        <v>34</v>
      </c>
      <c r="IS341">
        <v>1</v>
      </c>
      <c r="IT341">
        <v>0.13</v>
      </c>
      <c r="IU341">
        <v>1</v>
      </c>
      <c r="IX341" s="18"/>
      <c r="JP341">
        <v>1</v>
      </c>
      <c r="JQ341">
        <v>60</v>
      </c>
      <c r="JR341">
        <v>1</v>
      </c>
      <c r="JS341">
        <v>0.22</v>
      </c>
      <c r="JT341">
        <v>3</v>
      </c>
      <c r="LA341" s="16">
        <v>3.48</v>
      </c>
      <c r="LB341" s="16">
        <v>1</v>
      </c>
      <c r="LC341" s="16">
        <v>1</v>
      </c>
      <c r="LD341" s="16"/>
      <c r="LE341" s="16">
        <f>7.35+1.4*2+0.62+0.74+0.03+0.7+0.18+0.03+0.05+0.01</f>
        <v>12.509999999999996</v>
      </c>
      <c r="LF341" s="16"/>
      <c r="LG341" s="16"/>
      <c r="LH341" s="16"/>
      <c r="LI341" s="16"/>
      <c r="LJ341" s="16"/>
      <c r="LK341" s="16"/>
      <c r="LL341" s="16">
        <v>0.13</v>
      </c>
      <c r="LM341" s="16">
        <v>0.13</v>
      </c>
      <c r="LN341" s="16"/>
      <c r="LO341" s="16"/>
      <c r="LP341" s="16">
        <v>0</v>
      </c>
      <c r="LQ341" s="16">
        <v>0</v>
      </c>
      <c r="LR341" s="16">
        <v>0</v>
      </c>
      <c r="LS341">
        <v>0</v>
      </c>
      <c r="LT341" t="s">
        <v>232</v>
      </c>
      <c r="LU341">
        <v>40</v>
      </c>
      <c r="LV341" s="16">
        <v>84.9</v>
      </c>
      <c r="LW341" s="16">
        <v>81</v>
      </c>
      <c r="LX341" s="16">
        <v>13.2</v>
      </c>
      <c r="LY341">
        <v>93.04</v>
      </c>
      <c r="LZ341">
        <v>0</v>
      </c>
      <c r="MA341">
        <v>0</v>
      </c>
      <c r="MB341">
        <v>3.59</v>
      </c>
      <c r="MC341">
        <v>3.38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1.7</v>
      </c>
      <c r="MK341">
        <v>3.97</v>
      </c>
      <c r="ML341">
        <v>39.76</v>
      </c>
      <c r="MM341">
        <v>0.13</v>
      </c>
      <c r="MN341">
        <v>0</v>
      </c>
      <c r="MO341">
        <v>0</v>
      </c>
      <c r="MP341">
        <v>0</v>
      </c>
      <c r="NC341">
        <v>15.9</v>
      </c>
      <c r="ND341">
        <v>1</v>
      </c>
      <c r="NE341">
        <v>47</v>
      </c>
      <c r="NF341">
        <v>2</v>
      </c>
      <c r="NG341">
        <v>1.51</v>
      </c>
      <c r="NH341">
        <v>3</v>
      </c>
      <c r="NO341" s="18"/>
      <c r="OG341">
        <v>1</v>
      </c>
      <c r="OH341">
        <v>40</v>
      </c>
      <c r="OI341">
        <v>7</v>
      </c>
      <c r="OJ341">
        <f>2.27+3.02</f>
        <v>5.29</v>
      </c>
      <c r="OK341">
        <v>3</v>
      </c>
      <c r="PR341" s="16">
        <v>1.48</v>
      </c>
      <c r="PS341" s="16">
        <v>1</v>
      </c>
      <c r="PT341" s="16">
        <v>1</v>
      </c>
      <c r="PU341" s="16"/>
      <c r="PV341" s="16">
        <f>2.1+1.7+0.37+0.74</f>
        <v>4.91</v>
      </c>
      <c r="PW341" s="16"/>
      <c r="PX341" s="16"/>
      <c r="PY341" s="16"/>
      <c r="PZ341" s="16"/>
      <c r="QA341" s="16"/>
      <c r="QB341" s="16"/>
      <c r="QC341" s="16">
        <v>7.34</v>
      </c>
      <c r="QD341" s="16">
        <v>5.01</v>
      </c>
      <c r="QE341" s="16"/>
      <c r="QF341" s="16"/>
      <c r="QG341" s="16">
        <v>0</v>
      </c>
      <c r="QH341" s="16">
        <v>0</v>
      </c>
      <c r="QI341" s="16">
        <v>0</v>
      </c>
      <c r="QJ341">
        <v>0</v>
      </c>
      <c r="QK341" t="s">
        <v>233</v>
      </c>
      <c r="QL341">
        <v>39.5</v>
      </c>
      <c r="QM341" s="16">
        <v>85</v>
      </c>
      <c r="QN341" s="16">
        <v>81</v>
      </c>
      <c r="QO341" s="16">
        <v>12.7</v>
      </c>
      <c r="QP341">
        <v>93.14</v>
      </c>
      <c r="QQ341">
        <v>0</v>
      </c>
      <c r="QR341">
        <v>1.57</v>
      </c>
      <c r="QS341">
        <v>2.08</v>
      </c>
      <c r="QT341">
        <v>3.21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1.7</v>
      </c>
      <c r="RB341">
        <v>6.54</v>
      </c>
      <c r="RC341">
        <v>37.880000000000003</v>
      </c>
      <c r="RD341">
        <v>3</v>
      </c>
      <c r="RE341">
        <v>0</v>
      </c>
      <c r="RF341">
        <v>0</v>
      </c>
      <c r="RG341">
        <v>0</v>
      </c>
      <c r="RT341">
        <v>15.7</v>
      </c>
      <c r="RU341">
        <v>1</v>
      </c>
      <c r="RV341">
        <v>47</v>
      </c>
      <c r="RW341">
        <v>2</v>
      </c>
      <c r="RX341">
        <v>1.51</v>
      </c>
      <c r="RY341">
        <v>3</v>
      </c>
      <c r="SF341" s="18"/>
      <c r="SX341">
        <v>1</v>
      </c>
      <c r="SY341">
        <v>50</v>
      </c>
      <c r="SZ341">
        <v>3</v>
      </c>
      <c r="TA341">
        <v>0.4</v>
      </c>
      <c r="TB341">
        <v>3</v>
      </c>
      <c r="TC341">
        <v>40</v>
      </c>
      <c r="TD341">
        <v>7</v>
      </c>
      <c r="TE341">
        <f>2.27+3.02</f>
        <v>5.29</v>
      </c>
      <c r="TF341">
        <v>3</v>
      </c>
      <c r="UI341" s="16">
        <v>1.76</v>
      </c>
      <c r="UJ341" s="16">
        <v>1</v>
      </c>
      <c r="UK341" s="16">
        <v>1</v>
      </c>
      <c r="UL341" s="16"/>
      <c r="UM341" s="16">
        <f>2.1+1.7+0.4+0.37+0.74</f>
        <v>5.3100000000000005</v>
      </c>
      <c r="UN341" s="16"/>
      <c r="UO341" s="16"/>
      <c r="UP341" s="16"/>
      <c r="UQ341" s="16"/>
      <c r="UR341" s="16"/>
      <c r="US341" s="16"/>
      <c r="UT341" s="16">
        <v>7.31</v>
      </c>
      <c r="UU341" s="16">
        <v>6.99</v>
      </c>
      <c r="UV341" s="16"/>
      <c r="UW341" s="16"/>
      <c r="UX341" s="16">
        <v>0</v>
      </c>
      <c r="UY341" s="16">
        <v>0</v>
      </c>
      <c r="UZ341" s="16">
        <v>0</v>
      </c>
      <c r="VA341">
        <v>0</v>
      </c>
      <c r="VB341" t="s">
        <v>234</v>
      </c>
      <c r="VC341">
        <v>22.5</v>
      </c>
      <c r="VD341" s="16">
        <v>60.3</v>
      </c>
      <c r="VE341" s="16">
        <v>81</v>
      </c>
      <c r="VF341" s="16">
        <v>13.3</v>
      </c>
      <c r="VG341">
        <v>92.98</v>
      </c>
      <c r="VH341">
        <v>0</v>
      </c>
      <c r="VI341">
        <v>0</v>
      </c>
      <c r="VJ341">
        <v>0</v>
      </c>
      <c r="VK341">
        <v>7.02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0.72</v>
      </c>
      <c r="VT341">
        <v>23.12</v>
      </c>
      <c r="VU341">
        <v>24.81</v>
      </c>
      <c r="VV341">
        <v>0</v>
      </c>
      <c r="VW341">
        <v>0</v>
      </c>
      <c r="VX341">
        <v>0</v>
      </c>
      <c r="WK341">
        <v>0</v>
      </c>
      <c r="WL341">
        <v>1</v>
      </c>
      <c r="WM341">
        <v>23</v>
      </c>
      <c r="WN341">
        <v>1</v>
      </c>
      <c r="WO341">
        <v>0.3</v>
      </c>
      <c r="WP341">
        <v>3</v>
      </c>
      <c r="WW341" s="18"/>
      <c r="XO341">
        <v>0</v>
      </c>
      <c r="YZ341" s="16">
        <v>1.26</v>
      </c>
      <c r="ZA341" s="16">
        <v>1</v>
      </c>
      <c r="ZB341" s="16">
        <v>1</v>
      </c>
      <c r="ZC341" s="16"/>
      <c r="ZD341" s="16">
        <f>2.1+1.7+0.4+0.37+0.74</f>
        <v>5.3100000000000005</v>
      </c>
      <c r="ZE341" s="16"/>
      <c r="ZF341" s="16"/>
      <c r="ZG341" s="16"/>
      <c r="ZH341" s="16"/>
      <c r="ZI341" s="16"/>
      <c r="ZJ341" s="16"/>
      <c r="ZK341" s="16">
        <v>6.24</v>
      </c>
      <c r="ZL341" s="16">
        <v>6.99</v>
      </c>
      <c r="ZM341" s="16"/>
      <c r="ZN341" s="16"/>
      <c r="ZO341" s="16">
        <v>0</v>
      </c>
      <c r="ZP341" s="16">
        <v>0</v>
      </c>
      <c r="ZQ341" s="16">
        <v>0</v>
      </c>
      <c r="ZR341">
        <v>0</v>
      </c>
      <c r="ZS341" t="s">
        <v>235</v>
      </c>
      <c r="ZT341">
        <v>37</v>
      </c>
      <c r="ZU341" s="16">
        <v>81.900000000000006</v>
      </c>
      <c r="ZV341" s="16">
        <v>81</v>
      </c>
      <c r="ZW341" s="16">
        <v>26.3</v>
      </c>
      <c r="ZX341">
        <v>68.540000000000006</v>
      </c>
      <c r="ZY341">
        <v>0</v>
      </c>
      <c r="ZZ341">
        <v>0</v>
      </c>
      <c r="AAA341">
        <v>0</v>
      </c>
      <c r="AAB341">
        <v>31.46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5.42</v>
      </c>
      <c r="AAK341">
        <v>17.37</v>
      </c>
      <c r="AAL341">
        <v>41.85</v>
      </c>
      <c r="AAM341">
        <v>0</v>
      </c>
      <c r="AAN341">
        <v>0</v>
      </c>
      <c r="AAO341">
        <v>0</v>
      </c>
      <c r="ABB341">
        <v>0</v>
      </c>
      <c r="ABC341">
        <v>1</v>
      </c>
      <c r="ABD341">
        <v>23</v>
      </c>
      <c r="ABE341">
        <v>2</v>
      </c>
      <c r="ABF341">
        <v>2.11</v>
      </c>
      <c r="ABG341">
        <v>3</v>
      </c>
      <c r="ABN341" s="18"/>
      <c r="ACF341">
        <v>0</v>
      </c>
      <c r="ADQ341" s="16">
        <v>2.64</v>
      </c>
      <c r="ADR341" s="16">
        <v>1</v>
      </c>
      <c r="ADS341" s="16">
        <v>1</v>
      </c>
      <c r="ADT341" s="16"/>
      <c r="ADU341" s="16">
        <f>4.2*2+1.7+5.1+0.37+0.74</f>
        <v>16.309999999999999</v>
      </c>
      <c r="ADV341" s="16"/>
      <c r="ADW341" s="16"/>
      <c r="ADX341" s="16"/>
      <c r="ADY341" s="16"/>
      <c r="ADZ341" s="16"/>
      <c r="AEA341" s="16"/>
      <c r="AEB341" s="16">
        <v>5.32</v>
      </c>
      <c r="AEC341" s="16">
        <v>8.0399999999999991</v>
      </c>
      <c r="AED341" s="16"/>
      <c r="AEE341" s="16"/>
      <c r="AEF341" s="16">
        <v>0</v>
      </c>
      <c r="AEG341" s="16">
        <v>0</v>
      </c>
      <c r="AEH341" s="16">
        <v>0</v>
      </c>
      <c r="AEI341">
        <v>0</v>
      </c>
      <c r="AEJ341" t="s">
        <v>236</v>
      </c>
      <c r="AEK341">
        <v>51</v>
      </c>
      <c r="AEL341" s="16">
        <v>93.4</v>
      </c>
      <c r="AEM341" s="16">
        <v>81</v>
      </c>
      <c r="AEN341" s="16">
        <v>29.5</v>
      </c>
      <c r="AEO341">
        <v>55.24</v>
      </c>
      <c r="AEP341">
        <v>0</v>
      </c>
      <c r="AEQ341">
        <v>0</v>
      </c>
      <c r="AER341">
        <v>0</v>
      </c>
      <c r="AES341">
        <v>44.76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0.67</v>
      </c>
      <c r="AFA341">
        <v>5.0999999999999996</v>
      </c>
      <c r="AFB341">
        <v>47.22</v>
      </c>
      <c r="AFC341">
        <v>18.3</v>
      </c>
      <c r="AFD341">
        <v>0</v>
      </c>
      <c r="AFE341">
        <v>7.5</v>
      </c>
      <c r="AFF341">
        <v>1</v>
      </c>
      <c r="AFG341">
        <v>3.6</v>
      </c>
      <c r="AFI341">
        <v>1</v>
      </c>
      <c r="AFM341">
        <v>3.6</v>
      </c>
      <c r="AFO341">
        <v>1</v>
      </c>
      <c r="AFS341">
        <v>0</v>
      </c>
      <c r="AFT341">
        <v>0</v>
      </c>
      <c r="AGE341" s="18"/>
      <c r="AGW341">
        <v>0</v>
      </c>
      <c r="AIH341" s="16">
        <v>1.95</v>
      </c>
      <c r="AII341" s="16">
        <v>1</v>
      </c>
      <c r="AIJ341" s="16">
        <v>1</v>
      </c>
      <c r="AIK341" s="16"/>
      <c r="AIL341" s="16">
        <f>2.42+1.67+5+0.22+0.66+0.22</f>
        <v>10.190000000000001</v>
      </c>
      <c r="AIM341" s="16"/>
      <c r="AIN341" s="16"/>
      <c r="AIO341" s="16"/>
      <c r="AIP341" s="16"/>
      <c r="AIQ341" s="16"/>
      <c r="AIR341" s="16"/>
      <c r="AIS341" s="16">
        <v>5.63</v>
      </c>
      <c r="AIT341" s="16">
        <v>11.04</v>
      </c>
      <c r="AIU341" s="16"/>
      <c r="AIV341" s="16"/>
      <c r="AIW341" s="16">
        <v>0</v>
      </c>
      <c r="AIX341" s="16">
        <v>0</v>
      </c>
      <c r="AIY341" s="16">
        <v>0</v>
      </c>
      <c r="AIZ341">
        <v>0</v>
      </c>
      <c r="AJA341" t="s">
        <v>237</v>
      </c>
      <c r="AJB341">
        <v>46</v>
      </c>
      <c r="AJC341" s="16">
        <v>92.7</v>
      </c>
      <c r="AJD341" s="16">
        <v>81</v>
      </c>
      <c r="AJE341" s="16">
        <v>20.8</v>
      </c>
      <c r="AJF341">
        <v>76.44</v>
      </c>
      <c r="AJG341">
        <v>0</v>
      </c>
      <c r="AJH341">
        <v>0</v>
      </c>
      <c r="AJI341">
        <v>0</v>
      </c>
      <c r="AJJ341">
        <v>23.56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0.23</v>
      </c>
      <c r="AJR341">
        <v>0.51</v>
      </c>
      <c r="AJS341">
        <v>26.55</v>
      </c>
      <c r="AJT341">
        <v>36.69</v>
      </c>
      <c r="AJU341">
        <v>0</v>
      </c>
      <c r="AJV341">
        <v>10.6</v>
      </c>
      <c r="AJW341">
        <v>1</v>
      </c>
      <c r="AJX341">
        <v>6</v>
      </c>
      <c r="AJZ341">
        <v>1</v>
      </c>
      <c r="AKD341">
        <v>6</v>
      </c>
      <c r="AKF341">
        <v>1</v>
      </c>
      <c r="AKJ341">
        <v>7.1</v>
      </c>
      <c r="AKK341">
        <v>1</v>
      </c>
      <c r="AKL341">
        <v>35</v>
      </c>
      <c r="AKM341">
        <v>2</v>
      </c>
      <c r="AKN341">
        <f>0.76*2</f>
        <v>1.52</v>
      </c>
      <c r="AKO341">
        <v>3</v>
      </c>
      <c r="AKV341" s="18"/>
      <c r="ALN341">
        <v>0</v>
      </c>
    </row>
    <row r="342" spans="1:1018" x14ac:dyDescent="0.2">
      <c r="A342" s="1" t="s">
        <v>930</v>
      </c>
      <c r="B342" s="12">
        <v>42927</v>
      </c>
      <c r="C342">
        <v>1</v>
      </c>
      <c r="D342" s="13">
        <v>42790</v>
      </c>
      <c r="E342" s="12">
        <v>33245</v>
      </c>
      <c r="F342" s="14">
        <f t="shared" si="120"/>
        <v>26.507871321013006</v>
      </c>
      <c r="G342" s="14">
        <f t="shared" si="121"/>
        <v>0.3750855578370979</v>
      </c>
      <c r="H342" s="19" t="s">
        <v>228</v>
      </c>
      <c r="I342" s="15" t="s">
        <v>229</v>
      </c>
      <c r="J342" s="15" t="s">
        <v>181</v>
      </c>
      <c r="K342" s="15" t="s">
        <v>913</v>
      </c>
      <c r="L342" s="19">
        <v>55</v>
      </c>
      <c r="M342">
        <v>1.63</v>
      </c>
      <c r="N342" s="16">
        <f t="shared" si="122"/>
        <v>20.700816741315069</v>
      </c>
      <c r="O342" s="19">
        <v>0</v>
      </c>
      <c r="P342" s="19">
        <v>0</v>
      </c>
      <c r="Q342" s="19">
        <v>0</v>
      </c>
      <c r="R342" s="26">
        <v>0</v>
      </c>
      <c r="S342" s="26">
        <v>0</v>
      </c>
      <c r="T342" s="26">
        <v>0</v>
      </c>
      <c r="U342" s="19">
        <v>0</v>
      </c>
      <c r="V342" s="19">
        <v>0</v>
      </c>
      <c r="W342" s="19">
        <v>0</v>
      </c>
      <c r="X342" s="19">
        <v>0</v>
      </c>
      <c r="Y342" s="19">
        <v>0</v>
      </c>
      <c r="Z342" s="19">
        <v>0</v>
      </c>
      <c r="AA342" s="19">
        <v>0</v>
      </c>
      <c r="AB342" s="19">
        <v>0</v>
      </c>
      <c r="AC342" s="19">
        <v>1</v>
      </c>
      <c r="AD342" s="19">
        <v>8</v>
      </c>
      <c r="AE342" s="19">
        <v>0</v>
      </c>
      <c r="AF342" s="19">
        <v>0</v>
      </c>
      <c r="AG342" s="19">
        <v>0</v>
      </c>
      <c r="AH342" s="19">
        <v>0</v>
      </c>
      <c r="AI342" s="19">
        <v>0</v>
      </c>
      <c r="AJ342" s="19">
        <v>0</v>
      </c>
      <c r="AK342" s="19">
        <v>0</v>
      </c>
      <c r="AL342" s="19">
        <v>0</v>
      </c>
      <c r="AM342" s="19">
        <v>0</v>
      </c>
      <c r="AN342" s="19">
        <v>0</v>
      </c>
      <c r="AO342" s="19">
        <v>0</v>
      </c>
      <c r="AP342" s="19">
        <v>0</v>
      </c>
      <c r="AQ342" s="19">
        <v>0</v>
      </c>
      <c r="AR342" s="19">
        <v>0</v>
      </c>
      <c r="AS342" s="19">
        <v>0</v>
      </c>
      <c r="AT342" s="19">
        <v>0</v>
      </c>
      <c r="AU342" s="19">
        <v>0</v>
      </c>
      <c r="AV342" s="19">
        <v>0</v>
      </c>
      <c r="AW342" s="19">
        <v>0</v>
      </c>
      <c r="AX342" s="19">
        <v>0</v>
      </c>
      <c r="AY342" s="19">
        <v>0</v>
      </c>
      <c r="AZ342" s="19">
        <v>0</v>
      </c>
      <c r="BA342" s="19">
        <v>0</v>
      </c>
      <c r="BB342" s="19">
        <v>0</v>
      </c>
      <c r="BC342" s="19">
        <v>0</v>
      </c>
      <c r="BD342" s="19">
        <v>0</v>
      </c>
      <c r="BE342" s="19">
        <v>0</v>
      </c>
      <c r="BF342" s="19">
        <v>0</v>
      </c>
      <c r="BG342" s="19">
        <v>0</v>
      </c>
      <c r="BH342" s="19">
        <v>0</v>
      </c>
      <c r="BI342" s="19">
        <v>0</v>
      </c>
      <c r="BJ342" s="19">
        <v>0</v>
      </c>
      <c r="BK342" s="19">
        <v>0</v>
      </c>
      <c r="BL342" s="19">
        <v>0</v>
      </c>
      <c r="BM342" s="19">
        <v>0</v>
      </c>
      <c r="BN342" s="19">
        <v>0</v>
      </c>
      <c r="BO342" s="19">
        <v>0</v>
      </c>
      <c r="BP342" s="19">
        <v>0</v>
      </c>
      <c r="BQ342" s="19">
        <v>0</v>
      </c>
      <c r="BR342" s="19">
        <v>1</v>
      </c>
      <c r="BS342" s="19">
        <v>1</v>
      </c>
      <c r="BT342" s="19">
        <v>2</v>
      </c>
      <c r="BU342" s="19">
        <v>4</v>
      </c>
      <c r="BV342" s="19">
        <v>3</v>
      </c>
      <c r="BW342" s="19">
        <v>3</v>
      </c>
      <c r="BX342" s="19">
        <v>3</v>
      </c>
      <c r="BY342" s="19">
        <v>3</v>
      </c>
      <c r="BZ342" s="19">
        <v>5</v>
      </c>
      <c r="CA342" s="19">
        <v>5</v>
      </c>
      <c r="CB342" s="19">
        <v>5</v>
      </c>
      <c r="CC342" s="19">
        <v>5</v>
      </c>
      <c r="CD342" s="19">
        <v>3</v>
      </c>
      <c r="CE342" s="19">
        <v>5</v>
      </c>
      <c r="CF342" s="19">
        <v>5</v>
      </c>
      <c r="CG342" s="19">
        <v>5</v>
      </c>
      <c r="CH342" s="19">
        <v>4</v>
      </c>
      <c r="CI342" s="19">
        <v>5</v>
      </c>
      <c r="CJ342" s="19">
        <v>5</v>
      </c>
      <c r="CK342" s="19">
        <v>8</v>
      </c>
      <c r="CL342" t="s">
        <v>232</v>
      </c>
      <c r="CM342">
        <v>40</v>
      </c>
      <c r="CN342" s="16">
        <v>84.9</v>
      </c>
      <c r="CO342" s="16">
        <v>81</v>
      </c>
      <c r="CP342" s="16">
        <v>13.2</v>
      </c>
      <c r="CQ342">
        <v>93.04</v>
      </c>
      <c r="CR342">
        <v>0</v>
      </c>
      <c r="CS342">
        <v>0</v>
      </c>
      <c r="CT342">
        <v>3.59</v>
      </c>
      <c r="CU342">
        <v>3.38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1.7</v>
      </c>
      <c r="DC342">
        <v>3.97</v>
      </c>
      <c r="DD342">
        <v>39.76</v>
      </c>
      <c r="DE342">
        <v>0.13</v>
      </c>
      <c r="DF342">
        <v>0</v>
      </c>
      <c r="DG342">
        <v>0</v>
      </c>
      <c r="DH342">
        <v>0</v>
      </c>
      <c r="DU342">
        <v>15.9</v>
      </c>
      <c r="DV342">
        <v>1</v>
      </c>
      <c r="DW342">
        <v>47</v>
      </c>
      <c r="DX342">
        <v>2</v>
      </c>
      <c r="DY342">
        <v>1.51</v>
      </c>
      <c r="DZ342">
        <v>3</v>
      </c>
      <c r="EG342" s="18"/>
      <c r="EY342">
        <v>1</v>
      </c>
      <c r="EZ342">
        <v>40</v>
      </c>
      <c r="FA342">
        <v>7</v>
      </c>
      <c r="FB342">
        <f>2.27+3.02</f>
        <v>5.29</v>
      </c>
      <c r="FC342">
        <v>3</v>
      </c>
      <c r="GJ342" s="16">
        <v>1.48</v>
      </c>
      <c r="GK342" s="16">
        <v>1</v>
      </c>
      <c r="GL342" s="16">
        <v>1</v>
      </c>
      <c r="GM342" s="16"/>
      <c r="GN342" s="16">
        <f>2.1+1.7+0.37+0.74</f>
        <v>4.91</v>
      </c>
      <c r="GO342" s="16"/>
      <c r="GP342" s="16"/>
      <c r="GQ342" s="16"/>
      <c r="GR342" s="16"/>
      <c r="GS342" s="16"/>
      <c r="GT342" s="16"/>
      <c r="GU342" s="16">
        <v>7.34</v>
      </c>
      <c r="GV342" s="16">
        <v>5.01</v>
      </c>
      <c r="GW342" s="16"/>
      <c r="GX342" s="16"/>
      <c r="GY342" s="16">
        <v>0</v>
      </c>
      <c r="GZ342" s="16">
        <v>0</v>
      </c>
      <c r="HA342" s="16">
        <v>0</v>
      </c>
      <c r="HB342">
        <v>0</v>
      </c>
      <c r="HC342" t="s">
        <v>233</v>
      </c>
      <c r="HD342">
        <v>39.5</v>
      </c>
      <c r="HE342" s="16">
        <v>85</v>
      </c>
      <c r="HF342" s="16">
        <v>81</v>
      </c>
      <c r="HG342" s="16">
        <v>12.7</v>
      </c>
      <c r="HH342">
        <v>93.14</v>
      </c>
      <c r="HI342">
        <v>0</v>
      </c>
      <c r="HJ342">
        <v>1.57</v>
      </c>
      <c r="HK342">
        <v>2.08</v>
      </c>
      <c r="HL342">
        <v>3.21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1.7</v>
      </c>
      <c r="HT342">
        <v>6.54</v>
      </c>
      <c r="HU342">
        <v>37.880000000000003</v>
      </c>
      <c r="HV342">
        <v>3</v>
      </c>
      <c r="HW342">
        <v>0</v>
      </c>
      <c r="HX342">
        <v>0</v>
      </c>
      <c r="HY342">
        <v>0</v>
      </c>
      <c r="IL342">
        <v>15.7</v>
      </c>
      <c r="IM342">
        <v>1</v>
      </c>
      <c r="IN342">
        <v>47</v>
      </c>
      <c r="IO342">
        <v>2</v>
      </c>
      <c r="IP342">
        <v>1.51</v>
      </c>
      <c r="IQ342">
        <v>3</v>
      </c>
      <c r="IX342" s="18"/>
      <c r="JP342">
        <v>1</v>
      </c>
      <c r="JQ342">
        <v>50</v>
      </c>
      <c r="JR342">
        <v>3</v>
      </c>
      <c r="JS342">
        <v>0.4</v>
      </c>
      <c r="JT342">
        <v>3</v>
      </c>
      <c r="JU342">
        <v>40</v>
      </c>
      <c r="JV342">
        <v>7</v>
      </c>
      <c r="JW342">
        <f>2.27+3.02</f>
        <v>5.29</v>
      </c>
      <c r="JX342">
        <v>3</v>
      </c>
      <c r="LA342" s="16">
        <v>1.76</v>
      </c>
      <c r="LB342" s="16">
        <v>1</v>
      </c>
      <c r="LC342" s="16">
        <v>1</v>
      </c>
      <c r="LD342" s="16"/>
      <c r="LE342" s="16">
        <f>2.1+1.7+0.4+0.37+0.74</f>
        <v>5.3100000000000005</v>
      </c>
      <c r="LF342" s="16"/>
      <c r="LG342" s="16"/>
      <c r="LH342" s="16"/>
      <c r="LI342" s="16"/>
      <c r="LJ342" s="16"/>
      <c r="LK342" s="16"/>
      <c r="LL342" s="16">
        <v>7.31</v>
      </c>
      <c r="LM342" s="16">
        <v>6.99</v>
      </c>
      <c r="LN342" s="16"/>
      <c r="LO342" s="16"/>
      <c r="LP342" s="16">
        <v>0</v>
      </c>
      <c r="LQ342" s="16">
        <v>0</v>
      </c>
      <c r="LR342" s="16">
        <v>0</v>
      </c>
      <c r="LS342">
        <v>0</v>
      </c>
      <c r="LT342" t="s">
        <v>234</v>
      </c>
      <c r="LU342">
        <v>22.5</v>
      </c>
      <c r="LV342" s="16">
        <v>60.3</v>
      </c>
      <c r="LW342" s="16">
        <v>81</v>
      </c>
      <c r="LX342" s="16">
        <v>13.3</v>
      </c>
      <c r="LY342">
        <v>92.98</v>
      </c>
      <c r="LZ342">
        <v>0</v>
      </c>
      <c r="MA342">
        <v>0</v>
      </c>
      <c r="MB342">
        <v>0</v>
      </c>
      <c r="MC342">
        <v>7.02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0.72</v>
      </c>
      <c r="ML342">
        <v>23.12</v>
      </c>
      <c r="MM342">
        <v>24.81</v>
      </c>
      <c r="MN342">
        <v>0</v>
      </c>
      <c r="MO342">
        <v>0</v>
      </c>
      <c r="MP342">
        <v>0</v>
      </c>
      <c r="NC342">
        <v>0</v>
      </c>
      <c r="ND342">
        <v>1</v>
      </c>
      <c r="NE342">
        <v>23</v>
      </c>
      <c r="NF342">
        <v>1</v>
      </c>
      <c r="NG342">
        <v>0.3</v>
      </c>
      <c r="NH342">
        <v>3</v>
      </c>
      <c r="NO342" s="18"/>
      <c r="OG342">
        <v>0</v>
      </c>
      <c r="PR342" s="16">
        <v>1.26</v>
      </c>
      <c r="PS342" s="16">
        <v>1</v>
      </c>
      <c r="PT342" s="16">
        <v>1</v>
      </c>
      <c r="PU342" s="16"/>
      <c r="PV342" s="16">
        <f>2.1+1.7+0.4+0.37+0.74</f>
        <v>5.3100000000000005</v>
      </c>
      <c r="PW342" s="16"/>
      <c r="PX342" s="16"/>
      <c r="PY342" s="16"/>
      <c r="PZ342" s="16"/>
      <c r="QA342" s="16"/>
      <c r="QB342" s="16"/>
      <c r="QC342" s="16">
        <v>6.24</v>
      </c>
      <c r="QD342" s="16">
        <v>6.99</v>
      </c>
      <c r="QE342" s="16"/>
      <c r="QF342" s="16"/>
      <c r="QG342" s="16">
        <v>0</v>
      </c>
      <c r="QH342" s="16">
        <v>0</v>
      </c>
      <c r="QI342" s="16">
        <v>0</v>
      </c>
      <c r="QJ342">
        <v>0</v>
      </c>
      <c r="QK342" t="s">
        <v>235</v>
      </c>
      <c r="QL342">
        <v>37</v>
      </c>
      <c r="QM342" s="16">
        <v>81.900000000000006</v>
      </c>
      <c r="QN342" s="16">
        <v>81</v>
      </c>
      <c r="QO342" s="16">
        <v>26.3</v>
      </c>
      <c r="QP342">
        <v>68.540000000000006</v>
      </c>
      <c r="QQ342">
        <v>0</v>
      </c>
      <c r="QR342">
        <v>0</v>
      </c>
      <c r="QS342">
        <v>0</v>
      </c>
      <c r="QT342">
        <v>31.46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5.42</v>
      </c>
      <c r="RC342">
        <v>17.37</v>
      </c>
      <c r="RD342">
        <v>41.85</v>
      </c>
      <c r="RE342">
        <v>0</v>
      </c>
      <c r="RF342">
        <v>0</v>
      </c>
      <c r="RG342">
        <v>0</v>
      </c>
      <c r="RT342">
        <v>0</v>
      </c>
      <c r="RU342">
        <v>1</v>
      </c>
      <c r="RV342">
        <v>23</v>
      </c>
      <c r="RW342">
        <v>2</v>
      </c>
      <c r="RX342">
        <v>2.11</v>
      </c>
      <c r="RY342">
        <v>3</v>
      </c>
      <c r="SF342" s="18"/>
      <c r="SX342">
        <v>0</v>
      </c>
      <c r="UI342" s="16">
        <v>2.64</v>
      </c>
      <c r="UJ342" s="16">
        <v>1</v>
      </c>
      <c r="UK342" s="16">
        <v>1</v>
      </c>
      <c r="UL342" s="16"/>
      <c r="UM342" s="16">
        <f>4.2*2+1.7+5.1+0.37+0.74</f>
        <v>16.309999999999999</v>
      </c>
      <c r="UN342" s="16"/>
      <c r="UO342" s="16"/>
      <c r="UP342" s="16"/>
      <c r="UQ342" s="16"/>
      <c r="UR342" s="16"/>
      <c r="US342" s="16"/>
      <c r="UT342" s="16">
        <v>5.32</v>
      </c>
      <c r="UU342" s="16">
        <v>8.0399999999999991</v>
      </c>
      <c r="UV342" s="16"/>
      <c r="UW342" s="16"/>
      <c r="UX342" s="16">
        <v>0</v>
      </c>
      <c r="UY342" s="16">
        <v>0</v>
      </c>
      <c r="UZ342" s="16">
        <v>0</v>
      </c>
      <c r="VA342">
        <v>0</v>
      </c>
      <c r="VB342" t="s">
        <v>236</v>
      </c>
      <c r="VC342">
        <v>51</v>
      </c>
      <c r="VD342" s="16">
        <v>93.4</v>
      </c>
      <c r="VE342" s="16">
        <v>81</v>
      </c>
      <c r="VF342" s="16">
        <v>29.5</v>
      </c>
      <c r="VG342">
        <v>55.24</v>
      </c>
      <c r="VH342">
        <v>0</v>
      </c>
      <c r="VI342">
        <v>0</v>
      </c>
      <c r="VJ342">
        <v>0</v>
      </c>
      <c r="VK342">
        <v>44.76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0.67</v>
      </c>
      <c r="VS342">
        <v>5.0999999999999996</v>
      </c>
      <c r="VT342">
        <v>47.22</v>
      </c>
      <c r="VU342">
        <v>18.3</v>
      </c>
      <c r="VV342">
        <v>0</v>
      </c>
      <c r="VW342">
        <v>7.5</v>
      </c>
      <c r="VX342">
        <v>1</v>
      </c>
      <c r="VY342">
        <v>3.6</v>
      </c>
      <c r="WA342">
        <v>1</v>
      </c>
      <c r="WE342">
        <v>3.6</v>
      </c>
      <c r="WG342">
        <v>1</v>
      </c>
      <c r="WK342">
        <v>0</v>
      </c>
      <c r="WL342">
        <v>0</v>
      </c>
      <c r="WW342" s="18"/>
      <c r="XO342">
        <v>0</v>
      </c>
      <c r="YZ342" s="16">
        <v>1.95</v>
      </c>
      <c r="ZA342" s="16">
        <v>1</v>
      </c>
      <c r="ZB342" s="16">
        <v>1</v>
      </c>
      <c r="ZC342" s="16"/>
      <c r="ZD342" s="16">
        <f>2.42+1.67+5+0.22+0.66+0.22</f>
        <v>10.190000000000001</v>
      </c>
      <c r="ZE342" s="16"/>
      <c r="ZF342" s="16"/>
      <c r="ZG342" s="16"/>
      <c r="ZH342" s="16"/>
      <c r="ZI342" s="16"/>
      <c r="ZJ342" s="16"/>
      <c r="ZK342" s="16">
        <v>5.63</v>
      </c>
      <c r="ZL342" s="16">
        <v>11.04</v>
      </c>
      <c r="ZM342" s="16"/>
      <c r="ZN342" s="16"/>
      <c r="ZO342" s="16">
        <v>0</v>
      </c>
      <c r="ZP342" s="16">
        <v>0</v>
      </c>
      <c r="ZQ342" s="16">
        <v>0</v>
      </c>
      <c r="ZR342">
        <v>0</v>
      </c>
      <c r="ZS342" t="s">
        <v>237</v>
      </c>
      <c r="ZT342">
        <v>46</v>
      </c>
      <c r="ZU342" s="16">
        <v>92.7</v>
      </c>
      <c r="ZV342" s="16">
        <v>81</v>
      </c>
      <c r="ZW342" s="16">
        <v>20.8</v>
      </c>
      <c r="ZX342">
        <v>76.44</v>
      </c>
      <c r="ZY342">
        <v>0</v>
      </c>
      <c r="ZZ342">
        <v>0</v>
      </c>
      <c r="AAA342">
        <v>0</v>
      </c>
      <c r="AAB342">
        <v>23.56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0.23</v>
      </c>
      <c r="AAJ342">
        <v>0.51</v>
      </c>
      <c r="AAK342">
        <v>26.55</v>
      </c>
      <c r="AAL342">
        <v>36.69</v>
      </c>
      <c r="AAM342">
        <v>0</v>
      </c>
      <c r="AAN342">
        <v>10.6</v>
      </c>
      <c r="AAO342">
        <v>1</v>
      </c>
      <c r="AAP342">
        <v>6</v>
      </c>
      <c r="AAR342">
        <v>1</v>
      </c>
      <c r="AAV342">
        <v>6</v>
      </c>
      <c r="AAX342">
        <v>1</v>
      </c>
      <c r="ABB342">
        <v>7.1</v>
      </c>
      <c r="ABC342">
        <v>1</v>
      </c>
      <c r="ABD342">
        <v>35</v>
      </c>
      <c r="ABE342">
        <v>2</v>
      </c>
      <c r="ABF342">
        <f>0.76*2</f>
        <v>1.52</v>
      </c>
      <c r="ABG342">
        <v>3</v>
      </c>
      <c r="ABN342" s="18"/>
      <c r="ACF342">
        <v>0</v>
      </c>
      <c r="ADQ342" s="16">
        <v>2.41</v>
      </c>
      <c r="ADR342" s="16">
        <v>1</v>
      </c>
      <c r="ADS342" s="16">
        <v>1</v>
      </c>
      <c r="ADT342" s="16"/>
      <c r="ADU342" s="16">
        <f>0.41+1.67+5+0.33+0.45+0.15</f>
        <v>8.01</v>
      </c>
      <c r="ADV342" s="16"/>
      <c r="ADW342" s="16"/>
      <c r="ADX342" s="16"/>
      <c r="ADY342" s="16"/>
      <c r="ADZ342" s="16"/>
      <c r="AEA342" s="16"/>
      <c r="AEB342" s="16">
        <v>0.33</v>
      </c>
      <c r="AEC342" s="16">
        <v>0.33</v>
      </c>
      <c r="AED342" s="16"/>
      <c r="AEE342" s="16"/>
      <c r="AEF342" s="16">
        <v>0</v>
      </c>
      <c r="AEG342" s="16">
        <v>0</v>
      </c>
      <c r="AEH342" s="16">
        <v>0</v>
      </c>
      <c r="AEI342">
        <v>0</v>
      </c>
      <c r="AEJ342" t="s">
        <v>461</v>
      </c>
      <c r="AEK342">
        <v>38</v>
      </c>
      <c r="AEL342" s="16">
        <v>84.5</v>
      </c>
      <c r="AEM342" s="16">
        <v>81</v>
      </c>
      <c r="AEN342" s="16">
        <v>11.8</v>
      </c>
      <c r="AEO342">
        <v>99.78</v>
      </c>
      <c r="AEP342">
        <v>0</v>
      </c>
      <c r="AEQ342">
        <v>0</v>
      </c>
      <c r="AER342">
        <v>0</v>
      </c>
      <c r="AES342">
        <v>0.22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7.31</v>
      </c>
      <c r="AFA342">
        <v>0</v>
      </c>
      <c r="AFB342">
        <v>30.29</v>
      </c>
      <c r="AFC342">
        <v>31.72</v>
      </c>
      <c r="AFD342">
        <v>0</v>
      </c>
      <c r="AFE342">
        <v>0</v>
      </c>
      <c r="AFF342">
        <v>0</v>
      </c>
      <c r="AFS342">
        <v>14</v>
      </c>
      <c r="AFT342">
        <v>1</v>
      </c>
      <c r="AFU342">
        <v>52</v>
      </c>
      <c r="AFV342">
        <v>6</v>
      </c>
      <c r="AFW342">
        <v>4.53</v>
      </c>
      <c r="AFX342">
        <v>2</v>
      </c>
      <c r="AGE342" s="18"/>
      <c r="AGW342">
        <v>1</v>
      </c>
      <c r="AGX342">
        <v>50</v>
      </c>
      <c r="AGY342">
        <v>3</v>
      </c>
      <c r="AGZ342">
        <v>0.4</v>
      </c>
      <c r="AHA342">
        <v>6</v>
      </c>
      <c r="AIH342" s="16">
        <v>3.9</v>
      </c>
      <c r="AII342" s="16">
        <v>1</v>
      </c>
      <c r="AIJ342" s="16">
        <v>1</v>
      </c>
      <c r="AIK342" s="16"/>
      <c r="AIL342" s="16">
        <f>1.7*3+4.53+2.64*2+0.6</f>
        <v>15.51</v>
      </c>
      <c r="AIM342" s="16"/>
      <c r="AIN342" s="16"/>
      <c r="AIO342" s="16"/>
      <c r="AIP342" s="16"/>
      <c r="AIQ342" s="16"/>
      <c r="AIR342" s="16"/>
      <c r="AIS342" s="16">
        <v>8.14</v>
      </c>
      <c r="AIT342" s="16">
        <v>15.87</v>
      </c>
      <c r="AIU342" s="16"/>
      <c r="AIV342" s="16"/>
      <c r="AIW342" s="16">
        <v>0</v>
      </c>
      <c r="AIX342" s="16">
        <v>0</v>
      </c>
      <c r="AIY342" s="16">
        <v>0</v>
      </c>
      <c r="AIZ342">
        <v>0</v>
      </c>
      <c r="AJA342" t="s">
        <v>595</v>
      </c>
      <c r="AJB342">
        <v>21.5</v>
      </c>
      <c r="AJC342" s="16">
        <v>79.7</v>
      </c>
      <c r="AJD342" s="16">
        <v>81</v>
      </c>
      <c r="AJE342" s="16">
        <v>7.9</v>
      </c>
      <c r="AJF342">
        <v>99.71</v>
      </c>
      <c r="AJG342">
        <v>0</v>
      </c>
      <c r="AJH342">
        <v>0</v>
      </c>
      <c r="AJI342">
        <v>0</v>
      </c>
      <c r="AJJ342">
        <v>0.28999999999999998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11.15</v>
      </c>
      <c r="AJS342">
        <v>33.119999999999997</v>
      </c>
      <c r="AJT342">
        <v>8.7200000000000006</v>
      </c>
      <c r="AJU342">
        <v>0</v>
      </c>
      <c r="AJV342">
        <v>0</v>
      </c>
      <c r="AJW342">
        <v>0</v>
      </c>
      <c r="AKJ342">
        <v>0</v>
      </c>
      <c r="AKK342">
        <v>1</v>
      </c>
      <c r="AKL342">
        <v>23</v>
      </c>
      <c r="AKM342">
        <v>1</v>
      </c>
      <c r="AKN342">
        <v>2.27</v>
      </c>
      <c r="AKO342">
        <v>3</v>
      </c>
      <c r="AKV342" s="18"/>
      <c r="ALN342">
        <v>1</v>
      </c>
      <c r="ALO342">
        <v>50</v>
      </c>
      <c r="ALP342">
        <v>9</v>
      </c>
      <c r="ALQ342">
        <v>4.93</v>
      </c>
      <c r="ALR342">
        <v>3</v>
      </c>
    </row>
    <row r="343" spans="1:1018" x14ac:dyDescent="0.2">
      <c r="A343" s="1" t="s">
        <v>931</v>
      </c>
      <c r="B343" s="12">
        <v>42927</v>
      </c>
      <c r="C343">
        <v>1</v>
      </c>
      <c r="D343" s="13">
        <v>42790</v>
      </c>
      <c r="E343" s="12">
        <v>31370</v>
      </c>
      <c r="F343" s="14">
        <f t="shared" si="120"/>
        <v>31.641341546885695</v>
      </c>
      <c r="G343" s="14">
        <f t="shared" si="121"/>
        <v>0.3750855578370979</v>
      </c>
      <c r="H343" s="19" t="s">
        <v>228</v>
      </c>
      <c r="I343" s="15" t="s">
        <v>229</v>
      </c>
      <c r="J343" s="15" t="s">
        <v>181</v>
      </c>
      <c r="K343" s="15" t="s">
        <v>913</v>
      </c>
      <c r="L343" s="19">
        <v>61</v>
      </c>
      <c r="M343">
        <v>1.67</v>
      </c>
      <c r="N343" s="16">
        <f t="shared" si="122"/>
        <v>21.872422819032593</v>
      </c>
      <c r="O343" s="19">
        <v>0</v>
      </c>
      <c r="P343" s="19">
        <v>0</v>
      </c>
      <c r="Q343" s="19">
        <v>0</v>
      </c>
      <c r="R343" s="26">
        <v>0</v>
      </c>
      <c r="S343" s="26">
        <v>0</v>
      </c>
      <c r="T343" s="26">
        <v>0</v>
      </c>
      <c r="U343" s="19">
        <v>0</v>
      </c>
      <c r="V343" s="19">
        <v>0</v>
      </c>
      <c r="W343" s="19">
        <v>0</v>
      </c>
      <c r="X343" s="19">
        <v>0</v>
      </c>
      <c r="Y343" s="19">
        <v>1</v>
      </c>
      <c r="Z343" s="19">
        <v>1</v>
      </c>
      <c r="AA343" s="19">
        <v>60</v>
      </c>
      <c r="AB343" s="19" t="s">
        <v>215</v>
      </c>
      <c r="AC343" s="19">
        <v>0</v>
      </c>
      <c r="AD343" s="19">
        <v>0</v>
      </c>
      <c r="AE343" s="19">
        <v>0</v>
      </c>
      <c r="AF343" s="19">
        <v>0</v>
      </c>
      <c r="AG343" s="19">
        <v>0</v>
      </c>
      <c r="AH343" s="19">
        <v>0</v>
      </c>
      <c r="AI343" s="19">
        <v>0</v>
      </c>
      <c r="AJ343" s="19">
        <v>0</v>
      </c>
      <c r="AK343" s="19">
        <v>0</v>
      </c>
      <c r="AL343" s="19">
        <v>0</v>
      </c>
      <c r="AM343" s="19">
        <v>0</v>
      </c>
      <c r="AN343" s="19">
        <v>0</v>
      </c>
      <c r="AO343" s="19">
        <v>0</v>
      </c>
      <c r="AP343" s="19">
        <v>0</v>
      </c>
      <c r="AQ343" s="19">
        <v>0</v>
      </c>
      <c r="AR343" s="19">
        <v>0</v>
      </c>
      <c r="AS343" s="19">
        <v>0</v>
      </c>
      <c r="AT343" s="19">
        <v>0</v>
      </c>
      <c r="AU343" s="19">
        <v>0</v>
      </c>
      <c r="AV343" s="19">
        <v>0</v>
      </c>
      <c r="AW343" s="19">
        <v>0</v>
      </c>
      <c r="AX343" s="19">
        <v>0</v>
      </c>
      <c r="AY343" s="19">
        <v>0</v>
      </c>
      <c r="AZ343" s="19">
        <v>0</v>
      </c>
      <c r="BA343" s="19">
        <v>0</v>
      </c>
      <c r="BB343" s="19">
        <v>0</v>
      </c>
      <c r="BC343" s="19">
        <v>0</v>
      </c>
      <c r="BD343" s="19">
        <v>0</v>
      </c>
      <c r="BE343" s="19">
        <v>0</v>
      </c>
      <c r="BF343" s="19">
        <v>0</v>
      </c>
      <c r="BG343" s="19">
        <v>0</v>
      </c>
      <c r="BH343" s="19">
        <v>0</v>
      </c>
      <c r="BI343" s="19">
        <v>0</v>
      </c>
      <c r="BJ343" s="19">
        <v>0</v>
      </c>
      <c r="BK343" s="19">
        <v>0</v>
      </c>
      <c r="BL343" s="19">
        <v>0</v>
      </c>
      <c r="BM343" s="19">
        <v>0</v>
      </c>
      <c r="BN343" s="19">
        <v>0</v>
      </c>
      <c r="BO343" s="19">
        <v>0</v>
      </c>
      <c r="BP343" s="19">
        <v>0</v>
      </c>
      <c r="BQ343" s="19">
        <v>0</v>
      </c>
      <c r="BR343" s="19">
        <v>1</v>
      </c>
      <c r="BS343" s="19">
        <v>1</v>
      </c>
      <c r="BT343" s="19">
        <v>1</v>
      </c>
      <c r="BU343" s="19">
        <v>5</v>
      </c>
      <c r="BV343" s="19">
        <v>5</v>
      </c>
      <c r="BW343" s="19">
        <v>5</v>
      </c>
      <c r="BX343" s="19">
        <v>5</v>
      </c>
      <c r="BY343" s="19">
        <v>5</v>
      </c>
      <c r="BZ343" s="19">
        <v>5</v>
      </c>
      <c r="CA343" s="19">
        <v>5</v>
      </c>
      <c r="CB343" s="19">
        <v>5</v>
      </c>
      <c r="CC343" s="19">
        <v>5</v>
      </c>
      <c r="CD343" s="19">
        <v>5</v>
      </c>
      <c r="CE343" s="19">
        <v>5</v>
      </c>
      <c r="CF343" s="19">
        <v>5</v>
      </c>
      <c r="CG343" s="19">
        <v>5</v>
      </c>
      <c r="CH343" s="19">
        <v>5</v>
      </c>
      <c r="CI343" s="19">
        <v>5</v>
      </c>
      <c r="CJ343" s="19">
        <v>5</v>
      </c>
      <c r="CK343" s="19">
        <v>10</v>
      </c>
      <c r="CL343" t="s">
        <v>232</v>
      </c>
      <c r="CM343">
        <v>40</v>
      </c>
      <c r="CN343" s="16">
        <v>84.9</v>
      </c>
      <c r="CO343" s="16">
        <v>81</v>
      </c>
      <c r="CP343" s="16">
        <v>13.2</v>
      </c>
      <c r="CQ343">
        <v>93.04</v>
      </c>
      <c r="CR343">
        <v>0</v>
      </c>
      <c r="CS343">
        <v>0</v>
      </c>
      <c r="CT343">
        <v>3.59</v>
      </c>
      <c r="CU343">
        <v>3.38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1.7</v>
      </c>
      <c r="DC343">
        <v>3.97</v>
      </c>
      <c r="DD343">
        <v>39.76</v>
      </c>
      <c r="DE343">
        <v>0.13</v>
      </c>
      <c r="DF343">
        <v>0</v>
      </c>
      <c r="DG343">
        <v>0</v>
      </c>
      <c r="DH343">
        <v>0</v>
      </c>
      <c r="DU343">
        <v>15.9</v>
      </c>
      <c r="DV343">
        <v>1</v>
      </c>
      <c r="DW343">
        <v>47</v>
      </c>
      <c r="DX343">
        <v>2</v>
      </c>
      <c r="DY343">
        <v>1.51</v>
      </c>
      <c r="DZ343">
        <v>3</v>
      </c>
      <c r="EG343" s="18"/>
      <c r="EY343">
        <v>1</v>
      </c>
      <c r="EZ343">
        <v>40</v>
      </c>
      <c r="FA343">
        <v>7</v>
      </c>
      <c r="FB343">
        <f>2.27+3.02</f>
        <v>5.29</v>
      </c>
      <c r="FC343">
        <v>3</v>
      </c>
      <c r="GJ343" s="16">
        <v>1.48</v>
      </c>
      <c r="GK343" s="16">
        <v>1</v>
      </c>
      <c r="GL343" s="16">
        <v>1</v>
      </c>
      <c r="GM343" s="16"/>
      <c r="GN343" s="16">
        <f>2.1+1.7+0.37+0.74</f>
        <v>4.91</v>
      </c>
      <c r="GO343" s="16"/>
      <c r="GP343" s="16"/>
      <c r="GQ343" s="16"/>
      <c r="GR343" s="16"/>
      <c r="GS343" s="16"/>
      <c r="GT343" s="16"/>
      <c r="GU343" s="16">
        <v>7.34</v>
      </c>
      <c r="GV343" s="16">
        <v>5.01</v>
      </c>
      <c r="GW343" s="16"/>
      <c r="GX343" s="16"/>
      <c r="GY343" s="16">
        <v>0</v>
      </c>
      <c r="GZ343" s="16">
        <v>0</v>
      </c>
      <c r="HA343" s="16">
        <v>0</v>
      </c>
      <c r="HB343">
        <v>0</v>
      </c>
      <c r="HC343" t="s">
        <v>233</v>
      </c>
      <c r="HD343">
        <v>39.5</v>
      </c>
      <c r="HE343" s="16">
        <v>85</v>
      </c>
      <c r="HF343" s="16">
        <v>81</v>
      </c>
      <c r="HG343" s="16">
        <v>12.7</v>
      </c>
      <c r="HH343">
        <v>93.14</v>
      </c>
      <c r="HI343">
        <v>0</v>
      </c>
      <c r="HJ343">
        <v>1.57</v>
      </c>
      <c r="HK343">
        <v>2.08</v>
      </c>
      <c r="HL343">
        <v>3.21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1.7</v>
      </c>
      <c r="HT343">
        <v>6.54</v>
      </c>
      <c r="HU343">
        <v>37.880000000000003</v>
      </c>
      <c r="HV343">
        <v>3</v>
      </c>
      <c r="HW343">
        <v>0</v>
      </c>
      <c r="HX343">
        <v>0</v>
      </c>
      <c r="HY343">
        <v>0</v>
      </c>
      <c r="IL343">
        <v>15.7</v>
      </c>
      <c r="IM343">
        <v>1</v>
      </c>
      <c r="IN343">
        <v>47</v>
      </c>
      <c r="IO343">
        <v>2</v>
      </c>
      <c r="IP343">
        <v>1.51</v>
      </c>
      <c r="IQ343">
        <v>3</v>
      </c>
      <c r="IX343" s="18"/>
      <c r="JP343">
        <v>1</v>
      </c>
      <c r="JQ343">
        <v>50</v>
      </c>
      <c r="JR343">
        <v>3</v>
      </c>
      <c r="JS343">
        <v>0.4</v>
      </c>
      <c r="JT343">
        <v>3</v>
      </c>
      <c r="JU343">
        <v>40</v>
      </c>
      <c r="JV343">
        <v>7</v>
      </c>
      <c r="JW343">
        <f>2.27+3.02</f>
        <v>5.29</v>
      </c>
      <c r="JX343">
        <v>3</v>
      </c>
      <c r="LA343" s="16">
        <v>1.76</v>
      </c>
      <c r="LB343" s="16">
        <v>1</v>
      </c>
      <c r="LC343" s="16">
        <v>1</v>
      </c>
      <c r="LD343" s="16"/>
      <c r="LE343" s="16">
        <f>2.1+1.7+0.4+0.37+0.74</f>
        <v>5.3100000000000005</v>
      </c>
      <c r="LF343" s="16"/>
      <c r="LG343" s="16"/>
      <c r="LH343" s="16"/>
      <c r="LI343" s="16"/>
      <c r="LJ343" s="16"/>
      <c r="LK343" s="16"/>
      <c r="LL343" s="16">
        <v>7.31</v>
      </c>
      <c r="LM343" s="16">
        <v>6.99</v>
      </c>
      <c r="LN343" s="16"/>
      <c r="LO343" s="16"/>
      <c r="LP343" s="16">
        <v>0</v>
      </c>
      <c r="LQ343" s="16">
        <v>0</v>
      </c>
      <c r="LR343" s="16">
        <v>0</v>
      </c>
      <c r="LS343">
        <v>0</v>
      </c>
      <c r="LT343" t="s">
        <v>234</v>
      </c>
      <c r="LU343">
        <v>22.5</v>
      </c>
      <c r="LV343" s="16">
        <v>60.3</v>
      </c>
      <c r="LW343" s="16">
        <v>81</v>
      </c>
      <c r="LX343" s="16">
        <v>13.3</v>
      </c>
      <c r="LY343">
        <v>92.98</v>
      </c>
      <c r="LZ343">
        <v>0</v>
      </c>
      <c r="MA343">
        <v>0</v>
      </c>
      <c r="MB343">
        <v>0</v>
      </c>
      <c r="MC343">
        <v>7.02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0.72</v>
      </c>
      <c r="ML343">
        <v>23.12</v>
      </c>
      <c r="MM343">
        <v>24.81</v>
      </c>
      <c r="MN343">
        <v>0</v>
      </c>
      <c r="MO343">
        <v>0</v>
      </c>
      <c r="MP343">
        <v>0</v>
      </c>
      <c r="NC343">
        <v>0</v>
      </c>
      <c r="ND343">
        <v>1</v>
      </c>
      <c r="NE343">
        <v>23</v>
      </c>
      <c r="NF343">
        <v>1</v>
      </c>
      <c r="NG343">
        <v>0.3</v>
      </c>
      <c r="NH343">
        <v>3</v>
      </c>
      <c r="NO343" s="18"/>
      <c r="OG343">
        <v>0</v>
      </c>
      <c r="PR343" s="16">
        <v>1.26</v>
      </c>
      <c r="PS343" s="16">
        <v>1</v>
      </c>
      <c r="PT343" s="16">
        <v>1</v>
      </c>
      <c r="PU343" s="16"/>
      <c r="PV343" s="16">
        <f>2.1+1.7+0.4+0.37+0.74</f>
        <v>5.3100000000000005</v>
      </c>
      <c r="PW343" s="16"/>
      <c r="PX343" s="16"/>
      <c r="PY343" s="16"/>
      <c r="PZ343" s="16"/>
      <c r="QA343" s="16"/>
      <c r="QB343" s="16"/>
      <c r="QC343" s="16">
        <v>6.24</v>
      </c>
      <c r="QD343" s="16">
        <v>6.99</v>
      </c>
      <c r="QE343" s="16"/>
      <c r="QF343" s="16"/>
      <c r="QG343" s="16">
        <v>0</v>
      </c>
      <c r="QH343" s="16">
        <v>0</v>
      </c>
      <c r="QI343" s="16">
        <v>0</v>
      </c>
      <c r="QJ343">
        <v>0</v>
      </c>
      <c r="QK343" t="s">
        <v>235</v>
      </c>
      <c r="QL343">
        <v>37</v>
      </c>
      <c r="QM343" s="16">
        <v>81.900000000000006</v>
      </c>
      <c r="QN343" s="16">
        <v>81</v>
      </c>
      <c r="QO343" s="16">
        <v>26.3</v>
      </c>
      <c r="QP343">
        <v>68.540000000000006</v>
      </c>
      <c r="QQ343">
        <v>0</v>
      </c>
      <c r="QR343">
        <v>0</v>
      </c>
      <c r="QS343">
        <v>0</v>
      </c>
      <c r="QT343">
        <v>31.46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5.42</v>
      </c>
      <c r="RC343">
        <v>17.37</v>
      </c>
      <c r="RD343">
        <v>41.85</v>
      </c>
      <c r="RE343">
        <v>0</v>
      </c>
      <c r="RF343">
        <v>0</v>
      </c>
      <c r="RG343">
        <v>0</v>
      </c>
      <c r="RT343">
        <v>0</v>
      </c>
      <c r="RU343">
        <v>1</v>
      </c>
      <c r="RV343">
        <v>23</v>
      </c>
      <c r="RW343">
        <v>2</v>
      </c>
      <c r="RX343">
        <v>2.11</v>
      </c>
      <c r="RY343">
        <v>3</v>
      </c>
      <c r="SF343" s="18"/>
      <c r="SX343">
        <v>0</v>
      </c>
      <c r="UI343" s="16">
        <v>2.64</v>
      </c>
      <c r="UJ343" s="16">
        <v>1</v>
      </c>
      <c r="UK343" s="16">
        <v>1</v>
      </c>
      <c r="UL343" s="16"/>
      <c r="UM343" s="16">
        <f>4.2*2+1.7+5.1+0.37+0.74</f>
        <v>16.309999999999999</v>
      </c>
      <c r="UN343" s="16"/>
      <c r="UO343" s="16"/>
      <c r="UP343" s="16"/>
      <c r="UQ343" s="16"/>
      <c r="UR343" s="16"/>
      <c r="US343" s="16"/>
      <c r="UT343" s="16">
        <v>5.32</v>
      </c>
      <c r="UU343" s="16">
        <v>8.0399999999999991</v>
      </c>
      <c r="UV343" s="16"/>
      <c r="UW343" s="16"/>
      <c r="UX343" s="16">
        <v>0</v>
      </c>
      <c r="UY343" s="16">
        <v>0</v>
      </c>
      <c r="UZ343" s="16">
        <v>0</v>
      </c>
      <c r="VA343">
        <v>0</v>
      </c>
      <c r="VB343" t="s">
        <v>236</v>
      </c>
      <c r="VC343">
        <v>51</v>
      </c>
      <c r="VD343" s="16">
        <v>93.4</v>
      </c>
      <c r="VE343" s="16">
        <v>81</v>
      </c>
      <c r="VF343" s="16">
        <v>29.5</v>
      </c>
      <c r="VG343">
        <v>55.24</v>
      </c>
      <c r="VH343">
        <v>0</v>
      </c>
      <c r="VI343">
        <v>0</v>
      </c>
      <c r="VJ343">
        <v>0</v>
      </c>
      <c r="VK343">
        <v>44.76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0.67</v>
      </c>
      <c r="VS343">
        <v>5.0999999999999996</v>
      </c>
      <c r="VT343">
        <v>47.22</v>
      </c>
      <c r="VU343">
        <v>18.3</v>
      </c>
      <c r="VV343">
        <v>0</v>
      </c>
      <c r="VW343">
        <v>7.5</v>
      </c>
      <c r="VX343">
        <v>1</v>
      </c>
      <c r="VY343">
        <v>3.6</v>
      </c>
      <c r="WA343">
        <v>1</v>
      </c>
      <c r="WE343">
        <v>3.6</v>
      </c>
      <c r="WG343">
        <v>1</v>
      </c>
      <c r="WK343">
        <v>0</v>
      </c>
      <c r="WL343">
        <v>0</v>
      </c>
      <c r="WW343" s="18"/>
      <c r="XO343">
        <v>0</v>
      </c>
      <c r="YZ343" s="16">
        <v>1.95</v>
      </c>
      <c r="ZA343" s="16">
        <v>1</v>
      </c>
      <c r="ZB343" s="16">
        <v>1</v>
      </c>
      <c r="ZC343" s="16"/>
      <c r="ZD343" s="16">
        <f>2.42+1.67+5+0.22+0.66+0.22</f>
        <v>10.190000000000001</v>
      </c>
      <c r="ZE343" s="16"/>
      <c r="ZF343" s="16"/>
      <c r="ZG343" s="16"/>
      <c r="ZH343" s="16"/>
      <c r="ZI343" s="16"/>
      <c r="ZJ343" s="16"/>
      <c r="ZK343" s="16">
        <v>5.63</v>
      </c>
      <c r="ZL343" s="16">
        <v>11.04</v>
      </c>
      <c r="ZM343" s="16"/>
      <c r="ZN343" s="16"/>
      <c r="ZO343" s="16">
        <v>0</v>
      </c>
      <c r="ZP343" s="16">
        <v>0</v>
      </c>
      <c r="ZQ343" s="16">
        <v>0</v>
      </c>
      <c r="ZR343">
        <v>0</v>
      </c>
      <c r="ZS343" t="s">
        <v>461</v>
      </c>
      <c r="ZT343">
        <v>38</v>
      </c>
      <c r="ZU343" s="16">
        <v>84.5</v>
      </c>
      <c r="ZV343" s="16">
        <v>81</v>
      </c>
      <c r="ZW343" s="16">
        <v>11.8</v>
      </c>
      <c r="ZX343">
        <v>99.78</v>
      </c>
      <c r="ZY343">
        <v>0</v>
      </c>
      <c r="ZZ343">
        <v>0</v>
      </c>
      <c r="AAA343">
        <v>0</v>
      </c>
      <c r="AAB343">
        <v>0.22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7.31</v>
      </c>
      <c r="AAJ343">
        <v>0</v>
      </c>
      <c r="AAK343">
        <v>30.29</v>
      </c>
      <c r="AAL343">
        <v>31.72</v>
      </c>
      <c r="AAM343">
        <v>0</v>
      </c>
      <c r="AAN343">
        <v>0</v>
      </c>
      <c r="AAO343">
        <v>0</v>
      </c>
      <c r="ABB343">
        <v>14</v>
      </c>
      <c r="ABC343">
        <v>1</v>
      </c>
      <c r="ABD343">
        <v>52</v>
      </c>
      <c r="ABE343">
        <v>6</v>
      </c>
      <c r="ABF343">
        <v>4.53</v>
      </c>
      <c r="ABG343">
        <v>2</v>
      </c>
      <c r="ABN343" s="18"/>
      <c r="ACF343">
        <v>1</v>
      </c>
      <c r="ACG343">
        <v>50</v>
      </c>
      <c r="ACH343">
        <v>3</v>
      </c>
      <c r="ACI343">
        <v>0.4</v>
      </c>
      <c r="ACJ343">
        <v>6</v>
      </c>
      <c r="ADQ343" s="16">
        <v>3.9</v>
      </c>
      <c r="ADR343" s="16">
        <v>1</v>
      </c>
      <c r="ADS343" s="16">
        <v>1</v>
      </c>
      <c r="ADT343" s="16"/>
      <c r="ADU343" s="16">
        <f>1.7*3+4.53+2.64*2+0.6</f>
        <v>15.51</v>
      </c>
      <c r="ADV343" s="16"/>
      <c r="ADW343" s="16"/>
      <c r="ADX343" s="16"/>
      <c r="ADY343" s="16"/>
      <c r="ADZ343" s="16"/>
      <c r="AEA343" s="16"/>
      <c r="AEB343" s="16">
        <v>8.14</v>
      </c>
      <c r="AEC343" s="16">
        <v>15.87</v>
      </c>
      <c r="AED343" s="16"/>
      <c r="AEE343" s="16"/>
      <c r="AEF343" s="16">
        <v>0</v>
      </c>
      <c r="AEG343" s="16">
        <v>0</v>
      </c>
      <c r="AEH343" s="16">
        <v>0</v>
      </c>
      <c r="AEI343">
        <v>0</v>
      </c>
      <c r="AEJ343" t="s">
        <v>595</v>
      </c>
      <c r="AEK343">
        <v>21.5</v>
      </c>
      <c r="AEL343" s="16">
        <v>79.7</v>
      </c>
      <c r="AEM343" s="16">
        <v>81</v>
      </c>
      <c r="AEN343" s="16">
        <v>7.9</v>
      </c>
      <c r="AEO343">
        <v>99.71</v>
      </c>
      <c r="AEP343">
        <v>0</v>
      </c>
      <c r="AEQ343">
        <v>0</v>
      </c>
      <c r="AER343">
        <v>0</v>
      </c>
      <c r="AES343">
        <v>0.28999999999999998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11.15</v>
      </c>
      <c r="AFB343">
        <v>33.119999999999997</v>
      </c>
      <c r="AFC343">
        <v>8.7200000000000006</v>
      </c>
      <c r="AFD343">
        <v>0</v>
      </c>
      <c r="AFE343">
        <v>0</v>
      </c>
      <c r="AFF343">
        <v>0</v>
      </c>
      <c r="AFS343">
        <v>0</v>
      </c>
      <c r="AFT343">
        <v>1</v>
      </c>
      <c r="AFU343">
        <v>23</v>
      </c>
      <c r="AFV343">
        <v>1</v>
      </c>
      <c r="AFW343">
        <v>2.27</v>
      </c>
      <c r="AFX343">
        <v>3</v>
      </c>
      <c r="AGE343" s="18"/>
      <c r="AGW343">
        <v>1</v>
      </c>
      <c r="AGX343">
        <v>50</v>
      </c>
      <c r="AGY343">
        <v>9</v>
      </c>
      <c r="AGZ343">
        <v>4.93</v>
      </c>
      <c r="AHA343">
        <v>3</v>
      </c>
      <c r="AIH343" s="16">
        <v>2</v>
      </c>
      <c r="AII343" s="16">
        <v>1</v>
      </c>
      <c r="AIJ343" s="16">
        <v>1</v>
      </c>
      <c r="AIK343" s="16"/>
      <c r="AIL343" s="16">
        <f>1.7+2.1*2+0.6</f>
        <v>6.5</v>
      </c>
      <c r="AIM343" s="16"/>
      <c r="AIN343" s="16"/>
      <c r="AIO343" s="16"/>
      <c r="AIP343" s="16"/>
      <c r="AIQ343" s="16"/>
      <c r="AIR343" s="16"/>
      <c r="AIS343" s="16">
        <v>11.21</v>
      </c>
      <c r="AIT343" s="16">
        <v>16.21</v>
      </c>
      <c r="AIU343" s="16"/>
      <c r="AIV343" s="16"/>
      <c r="AIW343" s="16">
        <v>0</v>
      </c>
      <c r="AIX343" s="16">
        <v>0</v>
      </c>
      <c r="AIY343" s="16">
        <v>0</v>
      </c>
      <c r="AIZ343">
        <v>0</v>
      </c>
      <c r="AJA343" t="s">
        <v>462</v>
      </c>
      <c r="AJB343">
        <v>47.5</v>
      </c>
      <c r="AJC343" s="16">
        <v>85.1</v>
      </c>
      <c r="AJD343" s="16">
        <v>81</v>
      </c>
      <c r="AJE343" s="16">
        <v>33.200000000000003</v>
      </c>
      <c r="AJF343">
        <v>52.89</v>
      </c>
      <c r="AJG343">
        <v>0</v>
      </c>
      <c r="AJH343">
        <v>0</v>
      </c>
      <c r="AJI343">
        <v>0</v>
      </c>
      <c r="AJJ343">
        <v>47.11</v>
      </c>
      <c r="AJK343">
        <v>0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3.65</v>
      </c>
      <c r="AJR343">
        <v>0</v>
      </c>
      <c r="AJS343">
        <v>19.66</v>
      </c>
      <c r="AJT343">
        <v>48.22</v>
      </c>
      <c r="AJU343">
        <v>0</v>
      </c>
      <c r="AJV343">
        <v>5.3</v>
      </c>
      <c r="AJW343">
        <v>1</v>
      </c>
      <c r="AJX343">
        <v>5</v>
      </c>
      <c r="AJZ343">
        <v>1</v>
      </c>
      <c r="AKD343">
        <v>5</v>
      </c>
      <c r="AKF343">
        <v>1</v>
      </c>
      <c r="AKJ343">
        <v>1.5</v>
      </c>
      <c r="AKK343">
        <v>0</v>
      </c>
      <c r="AKV343" s="18"/>
      <c r="ALN343">
        <v>1</v>
      </c>
      <c r="ALO343">
        <v>60</v>
      </c>
      <c r="ALP343">
        <v>1</v>
      </c>
      <c r="ALQ343">
        <v>3.97</v>
      </c>
      <c r="ALR343">
        <v>4</v>
      </c>
      <c r="ALS343">
        <v>60</v>
      </c>
      <c r="ALT343">
        <v>1</v>
      </c>
      <c r="ALU343">
        <v>0.2</v>
      </c>
      <c r="ALV343">
        <v>3</v>
      </c>
    </row>
    <row r="344" spans="1:1018" x14ac:dyDescent="0.2">
      <c r="A344" s="1" t="s">
        <v>932</v>
      </c>
      <c r="B344" s="12">
        <v>42894</v>
      </c>
      <c r="C344">
        <v>2</v>
      </c>
      <c r="D344" s="13">
        <v>42849</v>
      </c>
      <c r="E344" s="12">
        <v>30004</v>
      </c>
      <c r="F344" s="14">
        <f t="shared" si="120"/>
        <v>35.290896646132786</v>
      </c>
      <c r="G344" s="14">
        <f t="shared" si="121"/>
        <v>0.12320328542094455</v>
      </c>
      <c r="H344" s="19" t="s">
        <v>183</v>
      </c>
      <c r="I344" s="15" t="s">
        <v>298</v>
      </c>
      <c r="J344" s="15" t="s">
        <v>181</v>
      </c>
      <c r="K344" s="15">
        <v>4</v>
      </c>
      <c r="L344" s="19">
        <v>81</v>
      </c>
      <c r="M344">
        <v>1.82</v>
      </c>
      <c r="N344" s="16">
        <f t="shared" si="122"/>
        <v>24.453568409612362</v>
      </c>
      <c r="O344" s="19">
        <v>0</v>
      </c>
      <c r="P344" s="19">
        <v>0</v>
      </c>
      <c r="Q344" s="19">
        <v>0</v>
      </c>
      <c r="R344" s="26">
        <v>0</v>
      </c>
      <c r="S344" s="26">
        <v>0</v>
      </c>
      <c r="T344" s="26">
        <v>0</v>
      </c>
      <c r="U344" s="19">
        <v>0</v>
      </c>
      <c r="V344" s="19">
        <v>0</v>
      </c>
      <c r="W344" s="19">
        <v>0</v>
      </c>
      <c r="X344" s="19">
        <v>0</v>
      </c>
      <c r="Y344" s="19">
        <v>1</v>
      </c>
      <c r="Z344" s="19">
        <v>2</v>
      </c>
      <c r="AA344" s="19">
        <v>60</v>
      </c>
      <c r="AB344" s="19" t="s">
        <v>933</v>
      </c>
      <c r="AC344" s="19">
        <v>0</v>
      </c>
      <c r="AD344" s="19">
        <v>0</v>
      </c>
      <c r="AE344" s="19">
        <v>0</v>
      </c>
      <c r="AF344" s="19">
        <v>0</v>
      </c>
      <c r="AG344" s="19">
        <v>0</v>
      </c>
      <c r="AH344" s="19">
        <v>0</v>
      </c>
      <c r="AI344" s="19">
        <v>0</v>
      </c>
      <c r="AJ344" s="19">
        <v>0</v>
      </c>
      <c r="AK344" s="19">
        <v>0</v>
      </c>
      <c r="AL344" s="19">
        <v>0</v>
      </c>
      <c r="AM344" s="19">
        <v>0</v>
      </c>
      <c r="AN344" s="19">
        <v>0</v>
      </c>
      <c r="AO344" s="19">
        <v>0</v>
      </c>
      <c r="AP344" s="19">
        <v>0</v>
      </c>
      <c r="AQ344" s="19">
        <v>0</v>
      </c>
      <c r="AR344" s="19">
        <v>0</v>
      </c>
      <c r="AS344" s="19">
        <v>1</v>
      </c>
      <c r="AT344" s="19">
        <v>1</v>
      </c>
      <c r="AU344" s="19">
        <v>1</v>
      </c>
      <c r="AV344" s="19">
        <v>5</v>
      </c>
      <c r="AW344" s="19">
        <v>0</v>
      </c>
      <c r="AX344" s="19">
        <v>0</v>
      </c>
      <c r="AY344" s="19">
        <v>0</v>
      </c>
      <c r="AZ344" s="19">
        <v>0</v>
      </c>
      <c r="BA344" s="19">
        <v>0</v>
      </c>
      <c r="BB344" s="19">
        <v>0</v>
      </c>
      <c r="BC344" s="19">
        <v>0</v>
      </c>
      <c r="BD344" s="19">
        <v>0</v>
      </c>
      <c r="BE344" s="19">
        <v>0</v>
      </c>
      <c r="BF344" s="19">
        <v>0</v>
      </c>
      <c r="BG344" s="19">
        <v>0</v>
      </c>
      <c r="BH344" s="19">
        <v>0</v>
      </c>
      <c r="BI344" s="19">
        <v>0</v>
      </c>
      <c r="BJ344" s="19">
        <v>0</v>
      </c>
      <c r="BK344" s="19">
        <v>0</v>
      </c>
      <c r="BL344" s="19">
        <v>0</v>
      </c>
      <c r="BM344" s="19">
        <v>0</v>
      </c>
      <c r="BN344" s="19">
        <v>0</v>
      </c>
      <c r="BO344" s="19">
        <v>0</v>
      </c>
      <c r="BP344" s="19">
        <v>0</v>
      </c>
      <c r="BQ344" s="19">
        <v>0</v>
      </c>
      <c r="BR344" s="19">
        <v>3</v>
      </c>
      <c r="BS344" s="19">
        <v>3</v>
      </c>
      <c r="BT344" s="19">
        <v>4</v>
      </c>
      <c r="BU344" s="19">
        <v>5</v>
      </c>
      <c r="BV344" s="19">
        <v>3</v>
      </c>
      <c r="BW344" s="19">
        <v>4</v>
      </c>
      <c r="BX344" s="19">
        <v>3</v>
      </c>
      <c r="BY344" s="19">
        <v>3</v>
      </c>
      <c r="BZ344" s="19">
        <v>3</v>
      </c>
      <c r="CA344" s="19">
        <v>3</v>
      </c>
      <c r="CB344" s="19">
        <v>4</v>
      </c>
      <c r="CC344" s="19">
        <v>4</v>
      </c>
      <c r="CD344" s="19">
        <v>3</v>
      </c>
      <c r="CE344" s="19">
        <v>2</v>
      </c>
      <c r="CF344" s="19">
        <v>4</v>
      </c>
      <c r="CG344" s="19">
        <v>4</v>
      </c>
      <c r="CH344" s="19">
        <v>3</v>
      </c>
      <c r="CI344" s="19">
        <v>2</v>
      </c>
      <c r="CJ344" s="19">
        <v>3</v>
      </c>
      <c r="CK344" s="19">
        <v>9</v>
      </c>
      <c r="CL344" t="s">
        <v>299</v>
      </c>
      <c r="CM344">
        <v>17.5</v>
      </c>
      <c r="CN344" s="16">
        <v>81.900000000000006</v>
      </c>
      <c r="CO344" s="16">
        <v>80.400000000000006</v>
      </c>
      <c r="CP344" s="16">
        <v>12.5</v>
      </c>
      <c r="CQ344">
        <v>85.79</v>
      </c>
      <c r="CS344">
        <v>10.02</v>
      </c>
      <c r="CT344">
        <v>0</v>
      </c>
      <c r="CU344">
        <v>0</v>
      </c>
      <c r="CV344">
        <v>0</v>
      </c>
      <c r="CW344">
        <v>4.1900000000000004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53.51</v>
      </c>
      <c r="DD344">
        <v>0</v>
      </c>
      <c r="DE344">
        <v>0</v>
      </c>
      <c r="DF344">
        <v>0</v>
      </c>
      <c r="DG344">
        <v>0</v>
      </c>
      <c r="DH344">
        <v>0</v>
      </c>
      <c r="DU344">
        <v>0</v>
      </c>
      <c r="DV344">
        <v>0</v>
      </c>
      <c r="EG344" s="20"/>
      <c r="EY344">
        <v>0</v>
      </c>
      <c r="GJ344" s="16">
        <v>3.38</v>
      </c>
      <c r="GK344" s="16">
        <v>1</v>
      </c>
      <c r="GL344" s="16">
        <v>1</v>
      </c>
      <c r="GM344" s="16"/>
      <c r="GN344" s="16">
        <v>12.64</v>
      </c>
      <c r="GO344" s="16"/>
      <c r="GP344" s="16"/>
      <c r="GQ344" s="16"/>
      <c r="GR344" s="16"/>
      <c r="GS344" s="16"/>
      <c r="GT344" s="16"/>
      <c r="GU344" s="16">
        <v>0</v>
      </c>
      <c r="GV344" s="16">
        <v>0</v>
      </c>
      <c r="GW344" s="16">
        <v>0</v>
      </c>
      <c r="GX344" s="16">
        <v>0</v>
      </c>
      <c r="GY344" s="16">
        <v>0</v>
      </c>
      <c r="GZ344" s="16">
        <v>0</v>
      </c>
      <c r="HA344" s="16">
        <v>0</v>
      </c>
      <c r="HB344">
        <v>0</v>
      </c>
      <c r="HC344" t="s">
        <v>300</v>
      </c>
      <c r="HD344">
        <v>31</v>
      </c>
      <c r="HE344" s="16">
        <v>86.2</v>
      </c>
      <c r="HF344" s="16">
        <v>80.400000000000006</v>
      </c>
      <c r="HG344" s="16">
        <v>19.399999999999999</v>
      </c>
      <c r="HH344">
        <v>23.44</v>
      </c>
      <c r="HJ344">
        <v>0</v>
      </c>
      <c r="HK344">
        <v>0</v>
      </c>
      <c r="HL344">
        <v>0.94</v>
      </c>
      <c r="HM344">
        <v>0</v>
      </c>
      <c r="HN344">
        <v>75.62</v>
      </c>
      <c r="HO344">
        <v>16.829999999999998</v>
      </c>
      <c r="HP344">
        <v>0</v>
      </c>
      <c r="HQ344">
        <v>0</v>
      </c>
      <c r="HR344">
        <v>0</v>
      </c>
      <c r="HS344">
        <v>0</v>
      </c>
      <c r="HT344">
        <v>6.9</v>
      </c>
      <c r="HU344">
        <v>42.32</v>
      </c>
      <c r="HV344">
        <v>0</v>
      </c>
      <c r="HW344">
        <v>0</v>
      </c>
      <c r="HX344">
        <v>0</v>
      </c>
      <c r="HY344">
        <v>0</v>
      </c>
      <c r="IL344">
        <v>0</v>
      </c>
      <c r="IM344">
        <v>0</v>
      </c>
      <c r="IX344" s="20"/>
      <c r="JP344">
        <v>0</v>
      </c>
      <c r="LA344" s="16">
        <v>5.0599999999999996</v>
      </c>
      <c r="LB344" s="16">
        <v>1</v>
      </c>
      <c r="LC344" s="16">
        <v>1</v>
      </c>
      <c r="LD344" s="16"/>
      <c r="LE344" s="16">
        <v>6.74</v>
      </c>
      <c r="LF344" s="16">
        <v>2</v>
      </c>
      <c r="LG344" s="16"/>
      <c r="LH344" s="16">
        <v>10.7</v>
      </c>
      <c r="LI344" s="16"/>
      <c r="LJ344" s="16"/>
      <c r="LK344" s="16"/>
      <c r="LL344" s="16">
        <v>0</v>
      </c>
      <c r="LM344" s="16">
        <v>0</v>
      </c>
      <c r="LN344" s="16">
        <v>0</v>
      </c>
      <c r="LO344" s="16">
        <v>0</v>
      </c>
      <c r="LP344" s="16">
        <v>5.97</v>
      </c>
      <c r="LQ344" s="16">
        <v>0</v>
      </c>
      <c r="LR344" s="16">
        <v>0</v>
      </c>
      <c r="LS344">
        <v>1</v>
      </c>
      <c r="LT344" t="s">
        <v>301</v>
      </c>
      <c r="LU344">
        <v>44</v>
      </c>
      <c r="LV344" s="16">
        <v>88.4</v>
      </c>
      <c r="LW344" s="16">
        <v>80.400000000000006</v>
      </c>
      <c r="LX344" s="16">
        <v>40</v>
      </c>
      <c r="LY344">
        <v>11.38</v>
      </c>
      <c r="MA344">
        <v>0</v>
      </c>
      <c r="MB344">
        <v>0</v>
      </c>
      <c r="MC344">
        <v>0</v>
      </c>
      <c r="MD344">
        <v>0</v>
      </c>
      <c r="ME344">
        <v>88.62</v>
      </c>
      <c r="MF344">
        <v>22.58</v>
      </c>
      <c r="MG344">
        <v>24.22</v>
      </c>
      <c r="MH344">
        <v>0</v>
      </c>
      <c r="MI344">
        <v>0</v>
      </c>
      <c r="MJ344">
        <v>0</v>
      </c>
      <c r="MK344">
        <v>26.59</v>
      </c>
      <c r="ML344">
        <v>0.54</v>
      </c>
      <c r="MM344">
        <v>0</v>
      </c>
      <c r="MN344">
        <v>0</v>
      </c>
      <c r="MO344">
        <v>0</v>
      </c>
      <c r="MP344">
        <v>0</v>
      </c>
      <c r="NC344">
        <v>0</v>
      </c>
      <c r="ND344">
        <v>0</v>
      </c>
      <c r="NO344" s="20"/>
      <c r="OG344">
        <v>1</v>
      </c>
      <c r="OH344">
        <v>40</v>
      </c>
      <c r="OI344">
        <v>2</v>
      </c>
      <c r="OJ344">
        <v>0.26</v>
      </c>
      <c r="OK344">
        <v>3</v>
      </c>
      <c r="PR344" s="16">
        <v>3.77</v>
      </c>
      <c r="PS344" s="16">
        <v>1</v>
      </c>
      <c r="PT344" s="16">
        <v>1</v>
      </c>
      <c r="PU344" s="16"/>
      <c r="PV344" s="16">
        <v>25.78</v>
      </c>
      <c r="PW344" s="16"/>
      <c r="PX344" s="16"/>
      <c r="PY344" s="16"/>
      <c r="PZ344" s="16"/>
      <c r="QA344" s="16"/>
      <c r="QB344" s="16"/>
      <c r="QC344" s="16">
        <v>0</v>
      </c>
      <c r="QD344" s="16">
        <v>0</v>
      </c>
      <c r="QE344" s="16">
        <v>0</v>
      </c>
      <c r="QF344" s="16">
        <v>0</v>
      </c>
      <c r="QG344" s="16">
        <v>0</v>
      </c>
      <c r="QH344" s="16">
        <v>0</v>
      </c>
      <c r="QI344" s="16">
        <v>0</v>
      </c>
      <c r="QJ344">
        <v>0</v>
      </c>
      <c r="QK344" t="s">
        <v>208</v>
      </c>
      <c r="QL344">
        <v>35</v>
      </c>
      <c r="QM344" s="16">
        <v>69.2</v>
      </c>
      <c r="QN344" s="16">
        <v>80.400000000000006</v>
      </c>
      <c r="QO344" s="16">
        <v>24</v>
      </c>
      <c r="QP344">
        <v>71.73</v>
      </c>
      <c r="QR344">
        <v>0</v>
      </c>
      <c r="QS344">
        <v>6.09</v>
      </c>
      <c r="QT344">
        <v>19.28</v>
      </c>
      <c r="QU344">
        <v>0</v>
      </c>
      <c r="QV344">
        <v>2.83</v>
      </c>
      <c r="QW344">
        <v>0</v>
      </c>
      <c r="QX344">
        <v>0</v>
      </c>
      <c r="QY344">
        <v>0</v>
      </c>
      <c r="QZ344">
        <v>0</v>
      </c>
      <c r="RA344">
        <v>14.46</v>
      </c>
      <c r="RB344">
        <v>19.89</v>
      </c>
      <c r="RC344">
        <v>24.43</v>
      </c>
      <c r="RD344">
        <v>0</v>
      </c>
      <c r="RE344">
        <v>7.0000000000000007E-2</v>
      </c>
      <c r="RF344">
        <v>0</v>
      </c>
      <c r="RG344">
        <v>0</v>
      </c>
      <c r="RT344">
        <v>2</v>
      </c>
      <c r="RU344">
        <v>0</v>
      </c>
      <c r="SF344" s="20"/>
      <c r="SX344">
        <v>1</v>
      </c>
      <c r="SY344">
        <v>40</v>
      </c>
      <c r="SZ344">
        <v>2</v>
      </c>
      <c r="TA344">
        <v>1.52</v>
      </c>
      <c r="TB344">
        <v>3</v>
      </c>
      <c r="TC344">
        <v>50</v>
      </c>
      <c r="TD344">
        <v>4</v>
      </c>
      <c r="TE344">
        <v>0.54</v>
      </c>
      <c r="TF344">
        <v>1</v>
      </c>
      <c r="UI344" s="16">
        <v>1.6</v>
      </c>
      <c r="UJ344" s="16">
        <v>1</v>
      </c>
      <c r="UK344" s="16">
        <v>1</v>
      </c>
      <c r="UL344" s="16"/>
      <c r="UM344" s="16">
        <v>7.09</v>
      </c>
      <c r="UN344" s="16"/>
      <c r="UO344" s="16"/>
      <c r="UP344" s="16"/>
      <c r="UQ344" s="16"/>
      <c r="UR344" s="16"/>
      <c r="US344" s="16"/>
      <c r="UT344" s="16">
        <v>1.1200000000000001</v>
      </c>
      <c r="UU344" s="16">
        <v>0.27</v>
      </c>
      <c r="UV344" s="16">
        <v>0</v>
      </c>
      <c r="UW344" s="16">
        <v>0</v>
      </c>
      <c r="UX344" s="16">
        <v>0</v>
      </c>
      <c r="UY344" s="16">
        <v>0</v>
      </c>
      <c r="UZ344" s="16">
        <v>3</v>
      </c>
      <c r="VA344">
        <v>0</v>
      </c>
      <c r="VB344" t="s">
        <v>302</v>
      </c>
      <c r="VC344">
        <v>22</v>
      </c>
      <c r="VD344" s="16">
        <v>87.6</v>
      </c>
      <c r="VE344" s="16">
        <v>80.400000000000006</v>
      </c>
      <c r="VF344" s="16">
        <v>4.5</v>
      </c>
      <c r="VG344">
        <v>100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1.1399999999999999</v>
      </c>
      <c r="VS344">
        <v>27.07</v>
      </c>
      <c r="VT344">
        <v>1.9</v>
      </c>
      <c r="VU344">
        <v>0</v>
      </c>
      <c r="VV344">
        <v>0</v>
      </c>
      <c r="VW344">
        <v>0</v>
      </c>
      <c r="VX344">
        <v>0</v>
      </c>
      <c r="WK344">
        <v>8</v>
      </c>
      <c r="WL344">
        <v>1</v>
      </c>
      <c r="WM344">
        <v>35</v>
      </c>
      <c r="WN344">
        <v>2</v>
      </c>
      <c r="WO344">
        <v>1.52</v>
      </c>
      <c r="WP344">
        <v>3</v>
      </c>
      <c r="WW344" s="20"/>
      <c r="XO344">
        <v>1</v>
      </c>
      <c r="XP344">
        <v>40</v>
      </c>
      <c r="XQ344">
        <v>3</v>
      </c>
      <c r="XR344">
        <v>2.2799999999999998</v>
      </c>
      <c r="XS344">
        <v>3</v>
      </c>
      <c r="YZ344" s="16">
        <v>1.1200000000000001</v>
      </c>
      <c r="ZA344" s="16">
        <v>1</v>
      </c>
      <c r="ZB344" s="16">
        <v>1</v>
      </c>
      <c r="ZC344" s="16"/>
      <c r="ZD344" s="16">
        <v>2.2400000000000002</v>
      </c>
      <c r="ZE344" s="16"/>
      <c r="ZF344" s="16"/>
      <c r="ZG344" s="16"/>
      <c r="ZH344" s="16"/>
      <c r="ZI344" s="16"/>
      <c r="ZJ344" s="16"/>
      <c r="ZK344" s="16">
        <v>6.72</v>
      </c>
      <c r="ZL344" s="16">
        <v>0</v>
      </c>
      <c r="ZM344" s="16">
        <v>0</v>
      </c>
      <c r="ZN344" s="16">
        <v>0</v>
      </c>
      <c r="ZO344" s="16">
        <v>0</v>
      </c>
      <c r="ZP344" s="16">
        <v>0</v>
      </c>
      <c r="ZQ344" s="16">
        <v>0</v>
      </c>
      <c r="ZR344">
        <v>1</v>
      </c>
      <c r="ZS344" t="s">
        <v>303</v>
      </c>
      <c r="ZT344">
        <v>18</v>
      </c>
      <c r="ZU344" s="16">
        <v>84.7</v>
      </c>
      <c r="ZV344" s="16">
        <v>80.400000000000006</v>
      </c>
      <c r="ZW344" s="16">
        <v>6.7</v>
      </c>
      <c r="ZX344">
        <v>100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14.84</v>
      </c>
      <c r="AAJ344">
        <v>28.79</v>
      </c>
      <c r="AAK344">
        <v>1.9</v>
      </c>
      <c r="AAL344">
        <v>0</v>
      </c>
      <c r="AAM344">
        <v>0</v>
      </c>
      <c r="AAN344">
        <v>0</v>
      </c>
      <c r="AAO344">
        <v>0</v>
      </c>
      <c r="ABB344">
        <v>1.9</v>
      </c>
      <c r="ABC344">
        <v>0</v>
      </c>
      <c r="ABN344" s="20"/>
      <c r="ACF344">
        <v>1</v>
      </c>
      <c r="ACG344">
        <v>50</v>
      </c>
      <c r="ACH344">
        <v>3</v>
      </c>
      <c r="ACI344">
        <v>2.2799999999999998</v>
      </c>
      <c r="ACJ344">
        <v>3</v>
      </c>
      <c r="ADQ344" s="16">
        <v>1.1200000000000001</v>
      </c>
      <c r="ADR344" s="16">
        <v>1</v>
      </c>
      <c r="ADS344" s="16">
        <v>1</v>
      </c>
      <c r="ADT344" s="16"/>
      <c r="ADU344" s="16">
        <v>2.2400000000000002</v>
      </c>
      <c r="ADV344" s="16"/>
      <c r="ADW344" s="16"/>
      <c r="ADX344" s="16"/>
      <c r="ADY344" s="16"/>
      <c r="ADZ344" s="16"/>
      <c r="AEA344" s="16"/>
      <c r="AEB344" s="16">
        <v>0</v>
      </c>
      <c r="AEC344" s="16">
        <v>0</v>
      </c>
      <c r="AED344" s="16">
        <v>0</v>
      </c>
      <c r="AEE344" s="16">
        <v>0</v>
      </c>
      <c r="AEF344" s="16">
        <v>6.72</v>
      </c>
      <c r="AEG344" s="16">
        <v>0</v>
      </c>
      <c r="AEH344" s="16">
        <v>0</v>
      </c>
      <c r="AEI344">
        <v>1</v>
      </c>
      <c r="AEJ344" t="s">
        <v>304</v>
      </c>
      <c r="AEK344">
        <v>29</v>
      </c>
      <c r="AEL344" s="16">
        <v>84.9</v>
      </c>
      <c r="AEM344" s="16">
        <v>80.400000000000006</v>
      </c>
      <c r="AEN344" s="16">
        <v>22.7</v>
      </c>
      <c r="AEO344">
        <v>47.69</v>
      </c>
      <c r="AEQ344">
        <v>0</v>
      </c>
      <c r="AER344">
        <v>0</v>
      </c>
      <c r="AES344">
        <v>22.69</v>
      </c>
      <c r="AET344">
        <v>0</v>
      </c>
      <c r="AEU344">
        <v>28.56</v>
      </c>
      <c r="AEV344">
        <v>0</v>
      </c>
      <c r="AEW344">
        <v>0</v>
      </c>
      <c r="AEX344">
        <v>0</v>
      </c>
      <c r="AEY344">
        <v>0</v>
      </c>
      <c r="AEZ344">
        <v>30.64</v>
      </c>
      <c r="AFA344">
        <v>8.3800000000000008</v>
      </c>
      <c r="AFB344">
        <v>43.35</v>
      </c>
      <c r="AFC344">
        <v>6.09</v>
      </c>
      <c r="AFD344">
        <v>0</v>
      </c>
      <c r="AFE344">
        <v>0</v>
      </c>
      <c r="AFF344">
        <v>0</v>
      </c>
      <c r="AFS344">
        <v>2.5</v>
      </c>
      <c r="AFT344">
        <v>1</v>
      </c>
      <c r="AFU344">
        <v>35</v>
      </c>
      <c r="AFV344">
        <v>4</v>
      </c>
      <c r="AFW344">
        <v>0.54</v>
      </c>
      <c r="AFX344">
        <v>3</v>
      </c>
      <c r="AGE344" s="20"/>
      <c r="AGW344">
        <v>1</v>
      </c>
      <c r="AGX344">
        <v>40</v>
      </c>
      <c r="AGY344">
        <v>2</v>
      </c>
      <c r="AGZ344">
        <v>0.26</v>
      </c>
      <c r="AHA344">
        <v>3</v>
      </c>
      <c r="AIH344" s="16">
        <v>2.35</v>
      </c>
      <c r="AII344" s="16">
        <v>1</v>
      </c>
      <c r="AIJ344" s="16">
        <v>1</v>
      </c>
      <c r="AIK344" s="16"/>
      <c r="AIL344" s="16">
        <v>19.34</v>
      </c>
      <c r="AIM344" s="16"/>
      <c r="AIN344" s="16"/>
      <c r="AIO344" s="16"/>
      <c r="AIP344" s="16"/>
      <c r="AIQ344" s="16"/>
      <c r="AIR344" s="16"/>
      <c r="AIS344" s="16">
        <v>0</v>
      </c>
      <c r="AIT344" s="16">
        <v>0</v>
      </c>
      <c r="AIU344" s="16">
        <v>0</v>
      </c>
      <c r="AIV344" s="16">
        <v>0</v>
      </c>
      <c r="AIW344" s="16">
        <v>0</v>
      </c>
      <c r="AIX344" s="16">
        <v>0</v>
      </c>
      <c r="AIY344" s="16">
        <v>0</v>
      </c>
      <c r="AIZ344">
        <v>0</v>
      </c>
      <c r="AJA344" t="s">
        <v>934</v>
      </c>
      <c r="AJB344">
        <v>35</v>
      </c>
      <c r="AJC344" s="16">
        <v>81</v>
      </c>
      <c r="AJD344" s="16">
        <v>80.400000000000006</v>
      </c>
      <c r="AJE344" s="16">
        <v>8.6</v>
      </c>
      <c r="AJF344">
        <v>17.690000000000001</v>
      </c>
      <c r="AJH344">
        <v>1.29</v>
      </c>
      <c r="AJI344">
        <v>0</v>
      </c>
      <c r="AJJ344">
        <v>0</v>
      </c>
      <c r="AJK344">
        <v>0</v>
      </c>
      <c r="AJL344">
        <v>81.02</v>
      </c>
      <c r="AJM344">
        <v>0</v>
      </c>
      <c r="AJN344">
        <v>0</v>
      </c>
      <c r="AJO344">
        <v>0</v>
      </c>
      <c r="AJP344">
        <v>0</v>
      </c>
      <c r="AJQ344">
        <v>0.9</v>
      </c>
      <c r="AJR344">
        <v>32.39</v>
      </c>
      <c r="AJS344">
        <v>4.43</v>
      </c>
      <c r="AJT344">
        <v>0.12</v>
      </c>
      <c r="AJU344">
        <v>0</v>
      </c>
      <c r="AJV344">
        <v>17.8</v>
      </c>
      <c r="AJW344">
        <v>1</v>
      </c>
      <c r="AJX344">
        <v>5</v>
      </c>
      <c r="AJZ344">
        <v>2</v>
      </c>
      <c r="AKA344">
        <v>3</v>
      </c>
      <c r="AKC344">
        <v>4</v>
      </c>
      <c r="AKD344">
        <v>5</v>
      </c>
      <c r="AKF344">
        <v>2</v>
      </c>
      <c r="AKG344">
        <v>3</v>
      </c>
      <c r="AKI344">
        <v>4</v>
      </c>
      <c r="AKJ344">
        <v>0</v>
      </c>
      <c r="AKK344">
        <v>0</v>
      </c>
      <c r="AKV344" s="20"/>
      <c r="ALN344">
        <v>0</v>
      </c>
    </row>
    <row r="345" spans="1:1018" x14ac:dyDescent="0.2">
      <c r="A345" s="1" t="s">
        <v>935</v>
      </c>
      <c r="B345" s="12">
        <v>42907</v>
      </c>
      <c r="C345">
        <v>2</v>
      </c>
      <c r="D345" s="13">
        <v>37187</v>
      </c>
      <c r="E345" s="12">
        <v>25316</v>
      </c>
      <c r="F345" s="14">
        <f t="shared" si="120"/>
        <v>48.161533196440793</v>
      </c>
      <c r="G345" s="14">
        <f t="shared" si="121"/>
        <v>15.66050650239562</v>
      </c>
      <c r="H345" s="19" t="s">
        <v>183</v>
      </c>
      <c r="I345" s="15" t="s">
        <v>571</v>
      </c>
      <c r="J345" s="21" t="s">
        <v>181</v>
      </c>
      <c r="K345" s="21">
        <v>8</v>
      </c>
      <c r="L345" s="19">
        <v>86</v>
      </c>
      <c r="M345">
        <v>1.72</v>
      </c>
      <c r="N345" s="16">
        <f t="shared" si="122"/>
        <v>29.069767441860467</v>
      </c>
      <c r="O345" s="19">
        <v>0</v>
      </c>
      <c r="P345" s="19">
        <v>0</v>
      </c>
      <c r="Q345" s="19">
        <v>0</v>
      </c>
      <c r="R345" s="26">
        <v>0</v>
      </c>
      <c r="S345" s="26">
        <v>0</v>
      </c>
      <c r="T345" s="26">
        <v>0</v>
      </c>
      <c r="U345" s="19">
        <v>0</v>
      </c>
      <c r="V345" s="19">
        <v>0</v>
      </c>
      <c r="W345" s="19">
        <v>1</v>
      </c>
      <c r="X345" s="19">
        <v>1</v>
      </c>
      <c r="Y345" s="19">
        <v>1</v>
      </c>
      <c r="Z345" s="19">
        <v>3</v>
      </c>
      <c r="AA345" s="19">
        <v>30</v>
      </c>
      <c r="AB345" s="19" t="s">
        <v>215</v>
      </c>
      <c r="AC345" s="19">
        <v>0</v>
      </c>
      <c r="AD345" s="19">
        <v>0</v>
      </c>
      <c r="AE345" s="19">
        <v>1</v>
      </c>
      <c r="AF345" s="19">
        <v>1</v>
      </c>
      <c r="AG345" s="19">
        <v>1</v>
      </c>
      <c r="AH345" s="19">
        <v>6</v>
      </c>
      <c r="AI345" s="19">
        <v>3</v>
      </c>
      <c r="AJ345" s="19">
        <v>3</v>
      </c>
      <c r="AK345" s="19">
        <v>3</v>
      </c>
      <c r="AL345" s="19">
        <v>6</v>
      </c>
      <c r="AM345" s="19">
        <v>4</v>
      </c>
      <c r="AN345" s="19">
        <v>1</v>
      </c>
      <c r="AO345" s="19">
        <v>1</v>
      </c>
      <c r="AP345" s="19">
        <v>1</v>
      </c>
      <c r="AQ345" s="19">
        <v>4</v>
      </c>
      <c r="AR345" s="19">
        <v>0</v>
      </c>
      <c r="AS345" s="19">
        <v>1</v>
      </c>
      <c r="AT345" s="19">
        <v>1</v>
      </c>
      <c r="AU345" s="19">
        <v>1</v>
      </c>
      <c r="AV345" s="19">
        <v>6</v>
      </c>
      <c r="AW345" s="19">
        <v>0</v>
      </c>
      <c r="AX345" s="19">
        <v>0</v>
      </c>
      <c r="AY345" s="19">
        <v>0</v>
      </c>
      <c r="AZ345" s="19">
        <v>0</v>
      </c>
      <c r="BA345" s="19">
        <v>0</v>
      </c>
      <c r="BB345" s="19">
        <v>1</v>
      </c>
      <c r="BC345" s="19">
        <v>1</v>
      </c>
      <c r="BD345" s="19">
        <v>1</v>
      </c>
      <c r="BE345" s="19">
        <v>4</v>
      </c>
      <c r="BF345" s="19">
        <v>0</v>
      </c>
      <c r="BG345" s="19">
        <v>0</v>
      </c>
      <c r="BH345" s="19">
        <v>0</v>
      </c>
      <c r="BI345" s="19">
        <v>0</v>
      </c>
      <c r="BJ345" s="19">
        <v>1</v>
      </c>
      <c r="BK345" s="19">
        <v>1</v>
      </c>
      <c r="BL345" s="19">
        <v>0</v>
      </c>
      <c r="BM345" s="19">
        <v>0</v>
      </c>
      <c r="BN345" s="19">
        <v>0</v>
      </c>
      <c r="BO345" s="19">
        <v>0</v>
      </c>
      <c r="BP345" s="19">
        <v>0</v>
      </c>
      <c r="BQ345" s="19">
        <v>0</v>
      </c>
      <c r="BR345" s="19">
        <v>4</v>
      </c>
      <c r="BS345" s="19">
        <v>4</v>
      </c>
      <c r="BT345" s="19">
        <v>4</v>
      </c>
      <c r="BU345" s="19">
        <v>5</v>
      </c>
      <c r="BV345" s="19">
        <v>4</v>
      </c>
      <c r="BW345" s="19">
        <v>4</v>
      </c>
      <c r="BX345" s="19">
        <v>5</v>
      </c>
      <c r="BY345" s="19">
        <v>5</v>
      </c>
      <c r="BZ345" s="19">
        <v>3</v>
      </c>
      <c r="CA345" s="19">
        <v>1</v>
      </c>
      <c r="CB345" s="19">
        <v>3</v>
      </c>
      <c r="CC345" s="19">
        <v>5</v>
      </c>
      <c r="CD345" s="19">
        <v>3</v>
      </c>
      <c r="CE345" s="19">
        <v>3</v>
      </c>
      <c r="CF345" s="19">
        <v>3</v>
      </c>
      <c r="CG345" s="19">
        <v>4</v>
      </c>
      <c r="CH345" s="19">
        <v>3</v>
      </c>
      <c r="CI345" s="19">
        <v>3</v>
      </c>
      <c r="CJ345" s="19">
        <v>3</v>
      </c>
      <c r="CK345" s="19">
        <v>6</v>
      </c>
      <c r="CL345" t="s">
        <v>540</v>
      </c>
      <c r="CM345">
        <v>70.5</v>
      </c>
      <c r="CN345" s="16">
        <v>88.2</v>
      </c>
      <c r="CO345" s="16">
        <v>80.400000000000006</v>
      </c>
      <c r="CP345" s="16">
        <v>36.299999999999997</v>
      </c>
      <c r="CQ345">
        <v>72.69</v>
      </c>
      <c r="CR345" s="17">
        <v>0</v>
      </c>
      <c r="CS345">
        <v>10.32</v>
      </c>
      <c r="CT345">
        <v>16.989999999999998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36.659999999999997</v>
      </c>
      <c r="DD345">
        <v>7.54</v>
      </c>
      <c r="DE345">
        <v>10.32</v>
      </c>
      <c r="DF345">
        <v>0</v>
      </c>
      <c r="DG345">
        <v>0</v>
      </c>
      <c r="DH345">
        <v>0</v>
      </c>
      <c r="DU345">
        <v>21.2</v>
      </c>
      <c r="DV345">
        <v>1</v>
      </c>
      <c r="DW345">
        <v>35</v>
      </c>
      <c r="DX345">
        <v>7</v>
      </c>
      <c r="DY345">
        <f>5.71+0.54</f>
        <v>6.25</v>
      </c>
      <c r="DZ345">
        <v>3</v>
      </c>
      <c r="EA345">
        <v>47</v>
      </c>
      <c r="EB345">
        <v>2</v>
      </c>
      <c r="EC345">
        <v>0.4</v>
      </c>
      <c r="ED345">
        <v>3</v>
      </c>
      <c r="EG345" s="20"/>
      <c r="EY345">
        <v>0</v>
      </c>
      <c r="GJ345" s="16">
        <v>11.58</v>
      </c>
      <c r="GK345" s="16">
        <v>1</v>
      </c>
      <c r="GL345" s="16">
        <v>2</v>
      </c>
      <c r="GM345" s="16"/>
      <c r="GN345" s="16">
        <f>0.22+1.95+3.81+0.27+0.32+0.04+0.05</f>
        <v>6.66</v>
      </c>
      <c r="GO345" s="16"/>
      <c r="GP345" s="16"/>
      <c r="GQ345" s="16"/>
      <c r="GR345" s="16"/>
      <c r="GS345" s="16"/>
      <c r="GT345" s="16"/>
      <c r="GU345" s="16">
        <v>0.27</v>
      </c>
      <c r="GV345" s="16">
        <v>0.27</v>
      </c>
      <c r="GW345" s="16">
        <v>0</v>
      </c>
      <c r="GX345" s="16">
        <v>0</v>
      </c>
      <c r="GY345" s="16">
        <v>0</v>
      </c>
      <c r="GZ345" s="16">
        <v>0</v>
      </c>
      <c r="HA345" s="16">
        <v>0</v>
      </c>
      <c r="HB345">
        <v>0</v>
      </c>
      <c r="HC345" t="s">
        <v>541</v>
      </c>
      <c r="HD345">
        <v>94.5</v>
      </c>
      <c r="HE345" s="16">
        <v>88.2</v>
      </c>
      <c r="HF345" s="16">
        <v>80.400000000000006</v>
      </c>
      <c r="HG345" s="16">
        <v>73.099999999999994</v>
      </c>
      <c r="HH345">
        <v>41.34</v>
      </c>
      <c r="HI345" s="17">
        <v>0</v>
      </c>
      <c r="HJ345">
        <v>8.6300000000000008</v>
      </c>
      <c r="HK345">
        <v>0.04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8.06</v>
      </c>
      <c r="HU345">
        <v>3.65</v>
      </c>
      <c r="HV345">
        <v>7.2</v>
      </c>
      <c r="HW345">
        <v>0</v>
      </c>
      <c r="HX345">
        <v>0</v>
      </c>
      <c r="HY345">
        <v>0</v>
      </c>
      <c r="IL345">
        <v>9.4</v>
      </c>
      <c r="IM345">
        <v>1</v>
      </c>
      <c r="IN345">
        <v>35</v>
      </c>
      <c r="IO345">
        <v>2</v>
      </c>
      <c r="IP345">
        <f>0.76+0.45</f>
        <v>1.21</v>
      </c>
      <c r="IQ345">
        <v>3</v>
      </c>
      <c r="IX345" s="20"/>
      <c r="JP345">
        <v>1</v>
      </c>
      <c r="JQ345">
        <v>70</v>
      </c>
      <c r="JR345">
        <v>2</v>
      </c>
      <c r="JS345">
        <f>0.75+1.69</f>
        <v>2.44</v>
      </c>
      <c r="JT345">
        <v>2</v>
      </c>
      <c r="LA345" s="16">
        <v>0.84</v>
      </c>
      <c r="LB345" s="16">
        <v>1</v>
      </c>
      <c r="LC345" s="16">
        <v>1</v>
      </c>
      <c r="LD345" s="16"/>
      <c r="LE345" s="16">
        <v>0.6</v>
      </c>
      <c r="LF345" s="16"/>
      <c r="LG345" s="16"/>
      <c r="LH345" s="16"/>
      <c r="LI345" s="16"/>
      <c r="LJ345" s="16"/>
      <c r="LK345" s="16"/>
      <c r="LL345" s="16">
        <v>10.19</v>
      </c>
      <c r="LM345" s="16">
        <v>8.4600000000000009</v>
      </c>
      <c r="LN345" s="16">
        <v>0</v>
      </c>
      <c r="LO345" s="16">
        <v>0</v>
      </c>
      <c r="LP345" s="16">
        <v>0</v>
      </c>
      <c r="LQ345" s="16">
        <v>0</v>
      </c>
      <c r="LR345" s="16">
        <v>0</v>
      </c>
      <c r="LS345">
        <v>0</v>
      </c>
      <c r="LT345" t="s">
        <v>542</v>
      </c>
      <c r="LU345">
        <v>75</v>
      </c>
      <c r="LV345" s="16">
        <v>91.2</v>
      </c>
      <c r="LW345" s="16">
        <v>80.400000000000006</v>
      </c>
      <c r="LX345" s="16">
        <v>61</v>
      </c>
      <c r="LY345">
        <v>53.67</v>
      </c>
      <c r="LZ345" s="17">
        <v>0</v>
      </c>
      <c r="MA345">
        <v>16.760000000000002</v>
      </c>
      <c r="MB345">
        <v>29.58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6.79</v>
      </c>
      <c r="ML345">
        <v>14.97</v>
      </c>
      <c r="MM345">
        <v>18.239999999999998</v>
      </c>
      <c r="MN345">
        <v>0</v>
      </c>
      <c r="MO345">
        <v>0</v>
      </c>
      <c r="MP345">
        <v>0</v>
      </c>
      <c r="NC345">
        <v>9</v>
      </c>
      <c r="ND345">
        <v>1</v>
      </c>
      <c r="NE345">
        <v>68</v>
      </c>
      <c r="NF345">
        <v>1</v>
      </c>
      <c r="NG345">
        <v>0.38</v>
      </c>
      <c r="NH345">
        <v>1</v>
      </c>
      <c r="NI345">
        <v>47</v>
      </c>
      <c r="NJ345">
        <v>1</v>
      </c>
      <c r="NK345">
        <v>1.1299999999999999</v>
      </c>
      <c r="NL345">
        <v>3</v>
      </c>
      <c r="NO345" s="20"/>
      <c r="OG345">
        <v>1</v>
      </c>
      <c r="OH345">
        <v>70</v>
      </c>
      <c r="OI345">
        <v>2</v>
      </c>
      <c r="OJ345">
        <f>1.69+0.75</f>
        <v>2.44</v>
      </c>
      <c r="OK345">
        <v>2</v>
      </c>
      <c r="PR345" s="16">
        <v>1.88</v>
      </c>
      <c r="PS345" s="16">
        <v>1</v>
      </c>
      <c r="PT345" s="16">
        <v>1</v>
      </c>
      <c r="PU345" s="16"/>
      <c r="PV345" s="16">
        <f>1.04+1.04+1.04</f>
        <v>3.12</v>
      </c>
      <c r="PW345" s="16"/>
      <c r="PX345" s="16"/>
      <c r="PY345" s="16"/>
      <c r="PZ345" s="16"/>
      <c r="QA345" s="16"/>
      <c r="QB345" s="16"/>
      <c r="QC345" s="16">
        <v>1.5</v>
      </c>
      <c r="QD345" s="16">
        <v>1.5</v>
      </c>
      <c r="QE345" s="16">
        <v>0</v>
      </c>
      <c r="QF345" s="16">
        <v>0</v>
      </c>
      <c r="QG345" s="16">
        <v>0</v>
      </c>
      <c r="QH345" s="16">
        <v>0</v>
      </c>
      <c r="QI345" s="16">
        <v>0</v>
      </c>
      <c r="QJ345">
        <v>0</v>
      </c>
      <c r="QK345" t="s">
        <v>543</v>
      </c>
      <c r="QL345">
        <v>21</v>
      </c>
      <c r="QM345" s="16">
        <v>77.900000000000006</v>
      </c>
      <c r="QN345" s="16">
        <v>160.80000000000001</v>
      </c>
      <c r="QO345" s="16">
        <v>14.1</v>
      </c>
      <c r="QP345">
        <v>87.99</v>
      </c>
      <c r="QQ345" s="17">
        <v>0</v>
      </c>
      <c r="QR345">
        <v>3.38</v>
      </c>
      <c r="QS345">
        <v>0</v>
      </c>
      <c r="QT345">
        <v>8.6300000000000008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65.599999999999994</v>
      </c>
      <c r="RD345">
        <v>0</v>
      </c>
      <c r="RE345">
        <v>0</v>
      </c>
      <c r="RF345">
        <v>0</v>
      </c>
      <c r="RG345">
        <v>0</v>
      </c>
      <c r="RT345">
        <v>1.4</v>
      </c>
      <c r="RU345">
        <v>1</v>
      </c>
      <c r="RV345">
        <v>35</v>
      </c>
      <c r="RW345">
        <v>3</v>
      </c>
      <c r="RX345">
        <f>0.38</f>
        <v>0.38</v>
      </c>
      <c r="RY345">
        <v>3</v>
      </c>
      <c r="RZ345">
        <v>34</v>
      </c>
      <c r="SA345">
        <v>27</v>
      </c>
      <c r="SB345">
        <f>0.19+0.19+1.13+3.38+0.56+1.5+1.13+0.38</f>
        <v>8.4599999999999991</v>
      </c>
      <c r="SC345">
        <v>1</v>
      </c>
      <c r="SF345" s="20"/>
      <c r="SX345">
        <v>1</v>
      </c>
      <c r="SY345">
        <v>40</v>
      </c>
      <c r="SZ345">
        <v>9</v>
      </c>
      <c r="TA345">
        <f>0.38+1.13+3+1.88+0.75</f>
        <v>7.14</v>
      </c>
      <c r="TB345">
        <v>3</v>
      </c>
      <c r="UI345" s="16">
        <v>0</v>
      </c>
      <c r="UJ345" s="16">
        <v>0</v>
      </c>
      <c r="UK345" s="16"/>
      <c r="UL345" s="16"/>
      <c r="UM345" s="16"/>
      <c r="UN345" s="16"/>
      <c r="UO345" s="16"/>
      <c r="UP345" s="16"/>
      <c r="UQ345" s="16"/>
      <c r="UR345" s="16"/>
      <c r="US345" s="16"/>
      <c r="UT345" s="16">
        <v>5.27</v>
      </c>
      <c r="UU345" s="16">
        <v>1.5</v>
      </c>
      <c r="UV345" s="16">
        <v>0</v>
      </c>
      <c r="UW345" s="16">
        <v>0</v>
      </c>
      <c r="UX345" s="16">
        <v>0</v>
      </c>
      <c r="UY345" s="16">
        <v>0</v>
      </c>
      <c r="UZ345" s="16">
        <v>0</v>
      </c>
      <c r="VA345">
        <v>0</v>
      </c>
      <c r="VE345" s="15"/>
      <c r="VF345" s="15"/>
      <c r="VM345" s="15"/>
      <c r="VN345" s="15"/>
      <c r="VU345" s="15"/>
      <c r="VV345" s="15"/>
      <c r="WC345" s="15"/>
      <c r="WD345" s="15"/>
      <c r="WK345" s="15"/>
      <c r="WL345" s="15"/>
      <c r="WS345" s="15"/>
      <c r="WT345" s="15"/>
      <c r="XA345" s="15"/>
      <c r="XB345" s="15"/>
      <c r="XI345" s="15"/>
      <c r="XJ345" s="15"/>
      <c r="XQ345" s="15"/>
      <c r="XR345" s="15"/>
      <c r="XY345" s="15"/>
      <c r="XZ345" s="15"/>
      <c r="YG345" s="15"/>
      <c r="YH345" s="15"/>
      <c r="YO345" s="15"/>
      <c r="YP345" s="15"/>
      <c r="YW345" s="15"/>
      <c r="YX345" s="15"/>
      <c r="ZE345" s="15"/>
      <c r="ZF345" s="15"/>
      <c r="ZM345" s="15"/>
      <c r="ZN345" s="15"/>
      <c r="ZU345" s="15"/>
      <c r="ZV345" s="15"/>
      <c r="AAC345" s="15"/>
      <c r="AAD345" s="15"/>
      <c r="AAK345" s="15"/>
      <c r="AAL345" s="15"/>
      <c r="AAS345" s="15"/>
      <c r="AAT345" s="15"/>
      <c r="ABA345" s="15"/>
      <c r="ABB345" s="15"/>
      <c r="ABI345" s="15"/>
      <c r="ABJ345" s="15"/>
      <c r="ABQ345" s="15"/>
      <c r="ABR345" s="15"/>
      <c r="ABY345" s="15"/>
      <c r="ABZ345" s="15"/>
      <c r="ACG345" s="15"/>
      <c r="ACH345" s="15"/>
      <c r="ACO345" s="15"/>
      <c r="ACP345" s="15"/>
      <c r="ACW345" s="15"/>
      <c r="ACX345" s="15"/>
      <c r="ADE345" s="15"/>
      <c r="ADF345" s="15"/>
      <c r="ADM345" s="15"/>
      <c r="ADN345" s="15"/>
      <c r="ADU345" s="15"/>
      <c r="ADV345" s="15"/>
      <c r="AEC345" s="15"/>
      <c r="AED345" s="15"/>
      <c r="AEK345" s="15"/>
      <c r="AEL345" s="15"/>
      <c r="AES345" s="15"/>
      <c r="AET345" s="15"/>
      <c r="AFA345" s="15"/>
      <c r="AFB345" s="15"/>
      <c r="AFI345" s="15"/>
      <c r="AFJ345" s="15"/>
      <c r="AFQ345" s="15"/>
      <c r="AFR345" s="15"/>
      <c r="AFY345" s="15"/>
      <c r="AFZ345" s="15"/>
      <c r="AGG345" s="15"/>
      <c r="AGH345" s="15"/>
      <c r="AGO345" s="15"/>
      <c r="AGP345" s="15"/>
      <c r="AGW345" s="15"/>
      <c r="AGX345" s="15"/>
      <c r="AHE345" s="15"/>
      <c r="AHF345" s="15"/>
      <c r="AHM345" s="15"/>
      <c r="AHN345" s="15"/>
      <c r="AHU345" s="15"/>
      <c r="AHV345" s="15"/>
      <c r="AIC345" s="15"/>
      <c r="AID345" s="15"/>
      <c r="AIK345" s="15"/>
      <c r="AIL345" s="15"/>
      <c r="AIS345" s="15"/>
      <c r="AIT345" s="15"/>
      <c r="AJA345" s="15"/>
      <c r="AJB345" s="15"/>
      <c r="AJI345" s="15"/>
      <c r="AJJ345" s="15"/>
      <c r="AJQ345" s="15"/>
      <c r="AJR345" s="15"/>
      <c r="AJY345" s="15"/>
      <c r="AJZ345" s="15"/>
      <c r="AKG345" s="15"/>
      <c r="AKH345" s="15"/>
      <c r="AKO345" s="15"/>
      <c r="AKP345" s="15"/>
      <c r="AKW345" s="15"/>
      <c r="AKX345" s="15"/>
      <c r="ALE345" s="15"/>
      <c r="ALF345" s="15"/>
      <c r="ALM345" s="15"/>
      <c r="ALN345" s="15"/>
      <c r="ALU345" s="15"/>
      <c r="ALV345" s="15"/>
      <c r="AMC345" s="15"/>
      <c r="AMD345" s="15"/>
    </row>
    <row r="346" spans="1:1018" s="24" customFormat="1" x14ac:dyDescent="0.2">
      <c r="A346" s="1" t="s">
        <v>936</v>
      </c>
      <c r="B346" s="12">
        <v>42926</v>
      </c>
      <c r="C346">
        <v>1</v>
      </c>
      <c r="D346" s="13">
        <v>40700</v>
      </c>
      <c r="E346" s="12">
        <v>25905</v>
      </c>
      <c r="F346" s="14">
        <f t="shared" si="120"/>
        <v>46.600958247775495</v>
      </c>
      <c r="G346" s="14">
        <f t="shared" si="121"/>
        <v>6.0944558521560577</v>
      </c>
      <c r="H346" s="19" t="s">
        <v>306</v>
      </c>
      <c r="I346" s="15" t="s">
        <v>777</v>
      </c>
      <c r="J346" s="21" t="s">
        <v>181</v>
      </c>
      <c r="K346" s="21" t="s">
        <v>913</v>
      </c>
      <c r="L346" s="19">
        <v>75</v>
      </c>
      <c r="M346">
        <v>1.71</v>
      </c>
      <c r="N346" s="16">
        <f t="shared" si="122"/>
        <v>25.64891761567662</v>
      </c>
      <c r="O346" s="19">
        <v>0</v>
      </c>
      <c r="P346" s="19">
        <v>0</v>
      </c>
      <c r="Q346" s="19">
        <v>0</v>
      </c>
      <c r="R346" s="26">
        <v>0</v>
      </c>
      <c r="S346" s="26">
        <v>0</v>
      </c>
      <c r="T346" s="26">
        <v>0</v>
      </c>
      <c r="U346" s="19">
        <v>0</v>
      </c>
      <c r="V346" s="19">
        <v>0</v>
      </c>
      <c r="W346" s="19">
        <v>1</v>
      </c>
      <c r="X346" s="19">
        <v>0</v>
      </c>
      <c r="Y346" s="19">
        <v>0</v>
      </c>
      <c r="Z346" s="19">
        <v>0</v>
      </c>
      <c r="AA346" s="19">
        <v>0</v>
      </c>
      <c r="AB346" s="19">
        <v>0</v>
      </c>
      <c r="AC346" s="19">
        <v>0</v>
      </c>
      <c r="AD346" s="19">
        <v>0</v>
      </c>
      <c r="AE346" s="19">
        <v>0</v>
      </c>
      <c r="AF346" s="19">
        <v>0</v>
      </c>
      <c r="AG346" s="19">
        <v>0</v>
      </c>
      <c r="AH346" s="19">
        <v>0</v>
      </c>
      <c r="AI346" s="19">
        <v>1</v>
      </c>
      <c r="AJ346" s="19">
        <v>1</v>
      </c>
      <c r="AK346" s="19">
        <v>1</v>
      </c>
      <c r="AL346" s="19">
        <v>7</v>
      </c>
      <c r="AM346" s="19">
        <v>0</v>
      </c>
      <c r="AN346" s="19">
        <v>1</v>
      </c>
      <c r="AO346" s="19">
        <v>1</v>
      </c>
      <c r="AP346" s="19">
        <v>1</v>
      </c>
      <c r="AQ346" s="19">
        <v>7</v>
      </c>
      <c r="AR346" s="19">
        <v>0</v>
      </c>
      <c r="AS346" s="19">
        <v>1</v>
      </c>
      <c r="AT346" s="19">
        <v>0</v>
      </c>
      <c r="AU346" s="19">
        <v>0</v>
      </c>
      <c r="AV346" s="19">
        <v>0</v>
      </c>
      <c r="AW346" s="19">
        <v>0</v>
      </c>
      <c r="AX346" s="19">
        <v>0</v>
      </c>
      <c r="AY346" s="19">
        <v>0</v>
      </c>
      <c r="AZ346" s="19">
        <v>0</v>
      </c>
      <c r="BA346" s="19">
        <v>0</v>
      </c>
      <c r="BB346" s="19">
        <v>1</v>
      </c>
      <c r="BC346" s="19">
        <v>1</v>
      </c>
      <c r="BD346" s="19">
        <v>0</v>
      </c>
      <c r="BE346" s="19">
        <v>0</v>
      </c>
      <c r="BF346" s="19">
        <v>0</v>
      </c>
      <c r="BG346" s="19">
        <v>0</v>
      </c>
      <c r="BH346" s="19">
        <v>0</v>
      </c>
      <c r="BI346" s="19">
        <v>0</v>
      </c>
      <c r="BJ346" s="19">
        <v>0</v>
      </c>
      <c r="BK346" s="19"/>
      <c r="BL346" s="19"/>
      <c r="BM346" s="19"/>
      <c r="BN346" s="19">
        <v>0</v>
      </c>
      <c r="BO346" s="19">
        <v>0</v>
      </c>
      <c r="BP346" s="19">
        <v>0</v>
      </c>
      <c r="BQ346" s="19">
        <v>0</v>
      </c>
      <c r="BR346" s="19">
        <v>3</v>
      </c>
      <c r="BS346" s="19">
        <v>2</v>
      </c>
      <c r="BT346" s="19">
        <v>5</v>
      </c>
      <c r="BU346" s="19">
        <v>5</v>
      </c>
      <c r="BV346" s="19">
        <v>3</v>
      </c>
      <c r="BW346" s="19">
        <v>4</v>
      </c>
      <c r="BX346" s="19">
        <v>2</v>
      </c>
      <c r="BY346" s="19">
        <v>3</v>
      </c>
      <c r="BZ346" s="19">
        <v>3</v>
      </c>
      <c r="CA346" s="19">
        <v>3</v>
      </c>
      <c r="CB346" s="19">
        <v>4</v>
      </c>
      <c r="CC346" s="19">
        <v>4</v>
      </c>
      <c r="CD346" s="19">
        <v>3</v>
      </c>
      <c r="CE346" s="19">
        <v>4</v>
      </c>
      <c r="CF346" s="19">
        <v>4</v>
      </c>
      <c r="CG346" s="19">
        <v>5</v>
      </c>
      <c r="CH346" s="19">
        <v>3</v>
      </c>
      <c r="CI346" s="19">
        <v>4</v>
      </c>
      <c r="CJ346" s="19">
        <v>3</v>
      </c>
      <c r="CK346" s="19">
        <v>8</v>
      </c>
      <c r="CL346" s="24" t="s">
        <v>779</v>
      </c>
      <c r="CM346" s="24">
        <v>43</v>
      </c>
      <c r="CN346" s="27">
        <v>91.8</v>
      </c>
      <c r="CO346" s="27">
        <v>83.4</v>
      </c>
      <c r="CP346" s="27">
        <v>25.8</v>
      </c>
      <c r="CQ346" s="24">
        <v>68.3</v>
      </c>
      <c r="CR346" s="24">
        <v>0</v>
      </c>
      <c r="CS346" s="24">
        <v>0</v>
      </c>
      <c r="CT346" s="24">
        <v>0</v>
      </c>
      <c r="CU346" s="24">
        <v>31.54</v>
      </c>
      <c r="CV346" s="24">
        <v>0</v>
      </c>
      <c r="CW346" s="24">
        <v>0</v>
      </c>
      <c r="CX346" s="24">
        <v>0</v>
      </c>
      <c r="CY346" s="24">
        <v>0</v>
      </c>
      <c r="CZ346" s="24">
        <v>0</v>
      </c>
      <c r="DA346" s="24">
        <v>0</v>
      </c>
      <c r="DB346" s="24">
        <v>48.27</v>
      </c>
      <c r="DC346" s="24">
        <v>58.3</v>
      </c>
      <c r="DD346" s="24">
        <v>1.34</v>
      </c>
      <c r="DE346" s="24">
        <v>0</v>
      </c>
      <c r="DF346" s="24">
        <v>0.16</v>
      </c>
      <c r="DG346" s="24">
        <v>0</v>
      </c>
      <c r="DH346" s="24">
        <v>0</v>
      </c>
      <c r="DU346" s="24">
        <v>11</v>
      </c>
      <c r="DV346" s="24">
        <v>1</v>
      </c>
      <c r="DW346" s="24">
        <v>30</v>
      </c>
      <c r="DX346" s="24">
        <v>1</v>
      </c>
      <c r="DY346" s="24">
        <v>0.73</v>
      </c>
      <c r="DZ346" s="24">
        <v>1</v>
      </c>
      <c r="EG346" s="28"/>
      <c r="EY346" s="24">
        <v>1</v>
      </c>
      <c r="EZ346" s="24">
        <v>60</v>
      </c>
      <c r="FA346" s="24">
        <v>14</v>
      </c>
      <c r="FB346" s="24">
        <f>1.25+0.05+0.21+0.21+0.31+0.08</f>
        <v>2.11</v>
      </c>
      <c r="FC346" s="24">
        <v>6</v>
      </c>
      <c r="FD346" s="24">
        <v>50</v>
      </c>
      <c r="FE346" s="24">
        <v>8</v>
      </c>
      <c r="FF346" s="24">
        <f t="shared" ref="FF346:FF355" si="126">2.94*2</f>
        <v>5.88</v>
      </c>
      <c r="FG346" s="24">
        <v>4</v>
      </c>
      <c r="GJ346" s="27">
        <v>2.4500000000000002</v>
      </c>
      <c r="GK346" s="27">
        <v>1</v>
      </c>
      <c r="GL346" s="27">
        <v>1</v>
      </c>
      <c r="GM346" s="27"/>
      <c r="GN346" s="27">
        <f>0.03*2+0.16+0.46</f>
        <v>0.68</v>
      </c>
      <c r="GO346" s="27">
        <v>2</v>
      </c>
      <c r="GP346" s="27"/>
      <c r="GQ346" s="27">
        <f>6.12+0.54</f>
        <v>6.66</v>
      </c>
      <c r="GR346" s="27"/>
      <c r="GS346" s="27"/>
      <c r="GT346" s="27"/>
      <c r="GU346" s="27">
        <v>3.68</v>
      </c>
      <c r="GV346" s="27">
        <v>1.63</v>
      </c>
      <c r="GW346" s="27"/>
      <c r="GX346" s="27"/>
      <c r="GY346" s="27">
        <v>0</v>
      </c>
      <c r="GZ346" s="27">
        <v>0</v>
      </c>
      <c r="HA346" s="27">
        <v>0</v>
      </c>
      <c r="HB346" s="24">
        <v>0</v>
      </c>
      <c r="HC346" s="24" t="s">
        <v>780</v>
      </c>
      <c r="HD346" s="24">
        <v>46</v>
      </c>
      <c r="HE346" s="27">
        <v>101.6</v>
      </c>
      <c r="HF346" s="27">
        <v>83.4</v>
      </c>
      <c r="HG346" s="27">
        <v>27.8</v>
      </c>
      <c r="HH346" s="24">
        <v>66.040000000000006</v>
      </c>
      <c r="HI346" s="24">
        <v>0</v>
      </c>
      <c r="HJ346" s="24">
        <v>0</v>
      </c>
      <c r="HK346" s="24">
        <v>0</v>
      </c>
      <c r="HL346" s="24">
        <v>35.15</v>
      </c>
      <c r="HM346" s="24">
        <v>0</v>
      </c>
      <c r="HN346" s="24">
        <v>0</v>
      </c>
      <c r="HO346" s="24">
        <v>0</v>
      </c>
      <c r="HP346" s="24">
        <v>0</v>
      </c>
      <c r="HQ346" s="24">
        <v>0</v>
      </c>
      <c r="HR346" s="24">
        <v>0</v>
      </c>
      <c r="HS346" s="24">
        <v>43.27</v>
      </c>
      <c r="HT346" s="24">
        <v>65.02</v>
      </c>
      <c r="HU346" s="24">
        <v>6.59</v>
      </c>
      <c r="HV346" s="24">
        <v>0.88</v>
      </c>
      <c r="HW346" s="24">
        <v>0.16</v>
      </c>
      <c r="HX346" s="24">
        <v>0</v>
      </c>
      <c r="HY346" s="24">
        <v>0</v>
      </c>
      <c r="IL346" s="24">
        <v>14.9</v>
      </c>
      <c r="IM346" s="24">
        <v>1</v>
      </c>
      <c r="IN346" s="24">
        <v>30</v>
      </c>
      <c r="IO346" s="24">
        <v>1</v>
      </c>
      <c r="IP346" s="24">
        <v>0.73</v>
      </c>
      <c r="IQ346" s="24">
        <v>1</v>
      </c>
      <c r="IR346" s="24">
        <v>47</v>
      </c>
      <c r="IS346" s="24">
        <v>1</v>
      </c>
      <c r="IT346" s="24">
        <v>0.11</v>
      </c>
      <c r="IU346" s="24">
        <v>3</v>
      </c>
      <c r="IX346" s="28"/>
      <c r="JP346" s="24">
        <v>1</v>
      </c>
      <c r="JQ346" s="24">
        <v>60</v>
      </c>
      <c r="JR346" s="24">
        <v>4</v>
      </c>
      <c r="JS346" s="24">
        <v>1.68</v>
      </c>
      <c r="JT346" s="24">
        <v>6</v>
      </c>
      <c r="JU346" s="24">
        <v>50</v>
      </c>
      <c r="JV346" s="24">
        <v>8</v>
      </c>
      <c r="JW346" s="24">
        <f>2.94*2</f>
        <v>5.88</v>
      </c>
      <c r="JX346" s="24">
        <v>4</v>
      </c>
      <c r="JY346" s="24">
        <v>50</v>
      </c>
      <c r="JZ346" s="24">
        <v>4</v>
      </c>
      <c r="KA346" s="24">
        <v>0.76</v>
      </c>
      <c r="KB346" s="24">
        <v>6</v>
      </c>
      <c r="KC346" s="24">
        <v>80</v>
      </c>
      <c r="KD346" s="24">
        <v>8</v>
      </c>
      <c r="KE346" s="24">
        <f>0.31+0.21</f>
        <v>0.52</v>
      </c>
      <c r="KF346" s="24">
        <v>6</v>
      </c>
      <c r="LA346" s="27">
        <v>2.0499999999999998</v>
      </c>
      <c r="LB346" s="27">
        <v>1</v>
      </c>
      <c r="LC346" s="27">
        <v>1</v>
      </c>
      <c r="LD346" s="27"/>
      <c r="LE346" s="27">
        <f>6.12+0.54+0.36</f>
        <v>7.0200000000000005</v>
      </c>
      <c r="LF346" s="27">
        <v>2</v>
      </c>
      <c r="LG346" s="27"/>
      <c r="LH346" s="27">
        <v>6.01</v>
      </c>
      <c r="LI346" s="27"/>
      <c r="LJ346" s="27"/>
      <c r="LK346" s="27"/>
      <c r="LL346" s="27">
        <v>0.86</v>
      </c>
      <c r="LM346" s="27">
        <v>0.85</v>
      </c>
      <c r="LN346" s="27"/>
      <c r="LO346" s="27"/>
      <c r="LP346" s="27">
        <v>0</v>
      </c>
      <c r="LQ346" s="27">
        <v>0</v>
      </c>
      <c r="LR346" s="27">
        <v>0</v>
      </c>
      <c r="LS346" s="24">
        <v>0</v>
      </c>
      <c r="LT346" s="24">
        <v>100</v>
      </c>
      <c r="LU346" s="24">
        <v>29.5</v>
      </c>
      <c r="LV346" s="27">
        <v>94.9</v>
      </c>
      <c r="LW346" s="27">
        <v>83.4</v>
      </c>
      <c r="LX346" s="27">
        <v>17.600000000000001</v>
      </c>
      <c r="LY346" s="24">
        <v>85.6</v>
      </c>
      <c r="LZ346" s="24">
        <v>0</v>
      </c>
      <c r="MA346" s="24">
        <v>0</v>
      </c>
      <c r="MB346" s="24">
        <v>0</v>
      </c>
      <c r="MC346" s="24">
        <v>14.4</v>
      </c>
      <c r="MD346" s="24">
        <v>0</v>
      </c>
      <c r="ME346" s="24">
        <v>0</v>
      </c>
      <c r="MF346" s="24">
        <v>0</v>
      </c>
      <c r="MG346" s="24">
        <v>0</v>
      </c>
      <c r="MH346" s="24">
        <v>0</v>
      </c>
      <c r="MI346" s="24">
        <v>0</v>
      </c>
      <c r="MJ346" s="24">
        <v>1.95</v>
      </c>
      <c r="MK346" s="24">
        <v>9.4499999999999993</v>
      </c>
      <c r="ML346" s="24">
        <v>11.24</v>
      </c>
      <c r="MM346" s="24">
        <v>36.94</v>
      </c>
      <c r="MN346" s="24">
        <v>0</v>
      </c>
      <c r="MO346" s="24">
        <v>11.5</v>
      </c>
      <c r="MP346" s="24">
        <v>1</v>
      </c>
      <c r="MQ346" s="24">
        <v>5</v>
      </c>
      <c r="MS346" s="24">
        <v>4</v>
      </c>
      <c r="NC346" s="24">
        <v>0</v>
      </c>
      <c r="ND346" s="24">
        <v>0</v>
      </c>
      <c r="NO346" s="28"/>
      <c r="OG346" s="24">
        <v>0</v>
      </c>
      <c r="PR346" s="27">
        <v>0.2</v>
      </c>
      <c r="PS346" s="27">
        <v>1</v>
      </c>
      <c r="PT346" s="27">
        <v>1</v>
      </c>
      <c r="PU346" s="27"/>
      <c r="PV346" s="27">
        <f>0.14+0.23+0.07+0.21</f>
        <v>0.65</v>
      </c>
      <c r="PW346" s="27"/>
      <c r="PX346" s="27"/>
      <c r="PY346" s="27"/>
      <c r="PZ346" s="27"/>
      <c r="QA346" s="27"/>
      <c r="QB346" s="27"/>
      <c r="QC346" s="27">
        <v>0.23</v>
      </c>
      <c r="QD346" s="27">
        <v>0.23</v>
      </c>
      <c r="QE346" s="27"/>
      <c r="QF346" s="27"/>
      <c r="QG346" s="27">
        <v>0</v>
      </c>
      <c r="QH346" s="27">
        <v>0</v>
      </c>
      <c r="QI346" s="27">
        <v>0</v>
      </c>
      <c r="QJ346" s="24">
        <v>0</v>
      </c>
      <c r="QK346" s="24" t="s">
        <v>781</v>
      </c>
      <c r="QL346" s="24">
        <v>47.5</v>
      </c>
      <c r="QM346" s="27">
        <v>49.3</v>
      </c>
      <c r="QN346" s="27">
        <v>83.4</v>
      </c>
      <c r="QO346" s="27">
        <v>35.700000000000003</v>
      </c>
      <c r="QP346" s="24">
        <v>66.48</v>
      </c>
      <c r="QQ346" s="24">
        <v>0</v>
      </c>
      <c r="QR346" s="24">
        <v>6.11</v>
      </c>
      <c r="QS346" s="24">
        <v>0</v>
      </c>
      <c r="QT346" s="24">
        <v>9.56</v>
      </c>
      <c r="QU346" s="24">
        <v>0</v>
      </c>
      <c r="QV346" s="24">
        <v>6.1</v>
      </c>
      <c r="QW346" s="24">
        <v>3.05</v>
      </c>
      <c r="QX346" s="24">
        <v>0</v>
      </c>
      <c r="QY346" s="24">
        <v>0</v>
      </c>
      <c r="QZ346" s="24">
        <v>0</v>
      </c>
      <c r="RA346" s="24">
        <v>0</v>
      </c>
      <c r="RB346" s="24">
        <v>17.78</v>
      </c>
      <c r="RC346" s="24">
        <v>9.1300000000000008</v>
      </c>
      <c r="RD346" s="24">
        <v>2.7</v>
      </c>
      <c r="RE346" s="24">
        <v>11.73</v>
      </c>
      <c r="RF346" s="24">
        <v>0</v>
      </c>
      <c r="RG346" s="24">
        <v>0</v>
      </c>
      <c r="RT346" s="24">
        <v>5.7</v>
      </c>
      <c r="RU346" s="24">
        <v>1</v>
      </c>
      <c r="RV346" s="24">
        <v>30</v>
      </c>
      <c r="RW346" s="24">
        <v>10</v>
      </c>
      <c r="RX346" s="24">
        <f>0.15*2+0.16*8</f>
        <v>1.58</v>
      </c>
      <c r="RY346" s="24">
        <v>3</v>
      </c>
      <c r="SF346" s="28"/>
      <c r="SX346" s="24">
        <v>1</v>
      </c>
      <c r="SY346" s="24">
        <v>40</v>
      </c>
      <c r="SZ346" s="24">
        <v>4</v>
      </c>
      <c r="TA346" s="24">
        <v>0.6</v>
      </c>
      <c r="TB346" s="24">
        <v>2</v>
      </c>
      <c r="UI346" s="27">
        <v>0.53</v>
      </c>
      <c r="UJ346" s="27">
        <v>1</v>
      </c>
      <c r="UK346" s="27">
        <v>1</v>
      </c>
      <c r="UL346" s="27"/>
      <c r="UM346" s="27">
        <f>0.64*4+0.08</f>
        <v>2.64</v>
      </c>
      <c r="UN346" s="27"/>
      <c r="UO346" s="27"/>
      <c r="UP346" s="27"/>
      <c r="UQ346" s="27"/>
      <c r="UR346" s="27"/>
      <c r="US346" s="27"/>
      <c r="UT346" s="27">
        <v>5.0599999999999996</v>
      </c>
      <c r="UU346" s="27">
        <v>1.58</v>
      </c>
      <c r="UV346" s="27"/>
      <c r="UW346" s="27"/>
      <c r="UX346" s="27">
        <v>0</v>
      </c>
      <c r="UY346" s="27">
        <v>0</v>
      </c>
      <c r="UZ346" s="27">
        <v>0</v>
      </c>
      <c r="VA346" s="24">
        <v>0</v>
      </c>
      <c r="VB346" s="24" t="s">
        <v>782</v>
      </c>
      <c r="VC346" s="24">
        <v>71</v>
      </c>
      <c r="VD346" s="27">
        <v>92</v>
      </c>
      <c r="VE346" s="27">
        <v>166.8</v>
      </c>
      <c r="VF346" s="27">
        <v>65</v>
      </c>
      <c r="VG346" s="24">
        <v>28.78</v>
      </c>
      <c r="VH346" s="24">
        <v>0</v>
      </c>
      <c r="VI346" s="24">
        <v>0</v>
      </c>
      <c r="VJ346" s="24">
        <v>0</v>
      </c>
      <c r="VK346" s="24">
        <v>2.5</v>
      </c>
      <c r="VL346" s="24">
        <v>0</v>
      </c>
      <c r="VM346" s="24">
        <v>8.5399999999999991</v>
      </c>
      <c r="VN346" s="24">
        <v>0</v>
      </c>
      <c r="VO346" s="24">
        <v>0</v>
      </c>
      <c r="VP346" s="24">
        <v>2.76</v>
      </c>
      <c r="VQ346" s="24">
        <v>0</v>
      </c>
      <c r="VR346" s="24">
        <v>9.52</v>
      </c>
      <c r="VS346" s="24">
        <v>36.909999999999997</v>
      </c>
      <c r="VT346" s="24">
        <v>26.15</v>
      </c>
      <c r="VU346" s="24">
        <v>1.97</v>
      </c>
      <c r="VV346" s="24">
        <v>60.18</v>
      </c>
      <c r="VW346" s="24">
        <v>0</v>
      </c>
      <c r="VX346" s="24">
        <v>0</v>
      </c>
      <c r="WK346" s="24">
        <v>0.1</v>
      </c>
      <c r="WL346" s="24">
        <v>0</v>
      </c>
      <c r="WW346" s="28"/>
      <c r="XO346" s="24">
        <v>1</v>
      </c>
      <c r="XP346" s="24">
        <v>50</v>
      </c>
      <c r="XQ346" s="24">
        <v>4</v>
      </c>
      <c r="XR346" s="24">
        <f>0.37*4</f>
        <v>1.48</v>
      </c>
      <c r="XS346" s="24">
        <v>3</v>
      </c>
      <c r="XT346" s="24">
        <v>40</v>
      </c>
      <c r="XU346" s="24">
        <v>6</v>
      </c>
      <c r="XV346" s="24">
        <v>2.2000000000000002</v>
      </c>
      <c r="XW346" s="24">
        <v>3</v>
      </c>
      <c r="XX346" s="24">
        <v>50</v>
      </c>
      <c r="XY346" s="24">
        <v>1</v>
      </c>
      <c r="XZ346" s="24">
        <v>0.06</v>
      </c>
      <c r="YA346" s="24">
        <v>1</v>
      </c>
      <c r="YB346" s="24">
        <v>60</v>
      </c>
      <c r="YC346" s="24">
        <v>3</v>
      </c>
      <c r="YD346" s="24">
        <v>0.19</v>
      </c>
      <c r="YE346" s="24">
        <v>4</v>
      </c>
      <c r="YZ346" s="27">
        <v>1.1100000000000001</v>
      </c>
      <c r="ZA346" s="27">
        <v>1</v>
      </c>
      <c r="ZB346" s="27">
        <v>1</v>
      </c>
      <c r="ZC346" s="27"/>
      <c r="ZD346" s="27">
        <f>0.51*2+0.09+0.15*2+1.65+0.18+0.72</f>
        <v>3.96</v>
      </c>
      <c r="ZE346" s="27"/>
      <c r="ZF346" s="27"/>
      <c r="ZG346" s="27"/>
      <c r="ZH346" s="27"/>
      <c r="ZI346" s="27"/>
      <c r="ZJ346" s="27"/>
      <c r="ZK346" s="27">
        <v>1.95</v>
      </c>
      <c r="ZL346" s="27">
        <v>1.96</v>
      </c>
      <c r="ZM346" s="27"/>
      <c r="ZN346" s="27"/>
      <c r="ZO346" s="27">
        <v>2.88</v>
      </c>
      <c r="ZP346" s="27">
        <v>0</v>
      </c>
      <c r="ZQ346" s="27">
        <v>0</v>
      </c>
      <c r="ZR346" s="24">
        <v>2</v>
      </c>
      <c r="ZS346" s="24" t="s">
        <v>783</v>
      </c>
      <c r="ZT346" s="24">
        <v>35</v>
      </c>
      <c r="ZU346" s="27">
        <v>89.3</v>
      </c>
      <c r="ZV346" s="27">
        <v>83.4</v>
      </c>
      <c r="ZW346" s="27">
        <v>12.6</v>
      </c>
      <c r="ZX346" s="24">
        <v>87.93</v>
      </c>
      <c r="ZY346" s="24">
        <v>0</v>
      </c>
      <c r="ZZ346" s="24">
        <v>0</v>
      </c>
      <c r="AAA346" s="24">
        <v>1.49</v>
      </c>
      <c r="AAB346" s="24">
        <v>10.58</v>
      </c>
      <c r="AAC346" s="24">
        <v>0</v>
      </c>
      <c r="AAD346" s="24">
        <v>0</v>
      </c>
      <c r="AAE346" s="24">
        <v>0</v>
      </c>
      <c r="AAF346" s="24">
        <v>0</v>
      </c>
      <c r="AAG346" s="24">
        <v>0</v>
      </c>
      <c r="AAH346" s="24">
        <v>0</v>
      </c>
      <c r="AAI346" s="24">
        <v>0.17</v>
      </c>
      <c r="AAJ346" s="24">
        <v>38.78</v>
      </c>
      <c r="AAK346" s="24">
        <v>29.47</v>
      </c>
      <c r="AAL346" s="24">
        <v>0</v>
      </c>
      <c r="AAM346" s="24">
        <v>0</v>
      </c>
      <c r="AAN346" s="24">
        <v>4</v>
      </c>
      <c r="AAO346" s="24">
        <v>1</v>
      </c>
      <c r="AAP346" s="24">
        <v>3</v>
      </c>
      <c r="AAR346" s="24">
        <v>4</v>
      </c>
      <c r="ABB346" s="24">
        <v>9.6999999999999993</v>
      </c>
      <c r="ABC346" s="24">
        <v>1</v>
      </c>
      <c r="ABD346" s="24">
        <v>68</v>
      </c>
      <c r="ABE346" s="24">
        <v>1</v>
      </c>
      <c r="ABF346" s="24">
        <v>0.02</v>
      </c>
      <c r="ABG346" s="24">
        <v>1</v>
      </c>
      <c r="ABH346" s="24">
        <v>35</v>
      </c>
      <c r="ABI346" s="24">
        <v>10</v>
      </c>
      <c r="ABJ346" s="24">
        <f>0.22*2+0.43*2+0.65+0.04+0.02+0.08</f>
        <v>2.0900000000000003</v>
      </c>
      <c r="ABK346" s="24">
        <v>3</v>
      </c>
      <c r="ABN346" s="28"/>
      <c r="ACF346" s="24">
        <v>1</v>
      </c>
      <c r="ACG346" s="24">
        <v>50</v>
      </c>
      <c r="ACH346" s="24">
        <f>4*3+3*4</f>
        <v>24</v>
      </c>
      <c r="ACI346" s="24">
        <f>0.07+0.25+0.11+0.65+1.3+15</f>
        <v>17.38</v>
      </c>
      <c r="ACJ346" s="24">
        <v>1</v>
      </c>
      <c r="ACK346" s="24">
        <v>40</v>
      </c>
      <c r="ACL346" s="24">
        <v>18</v>
      </c>
      <c r="ACM346" s="24">
        <f>0.87+0.17+0.08+0.34+1.73+0.43+0.87+0.07</f>
        <v>4.5600000000000005</v>
      </c>
      <c r="ACN346" s="24">
        <v>1</v>
      </c>
      <c r="ACO346" s="24">
        <v>40</v>
      </c>
      <c r="ACP346" s="24">
        <v>2</v>
      </c>
      <c r="ACQ346" s="24">
        <v>0.12</v>
      </c>
      <c r="ACR346" s="24">
        <v>5</v>
      </c>
      <c r="ACS346" s="24">
        <v>50</v>
      </c>
      <c r="ACT346" s="24">
        <v>1</v>
      </c>
      <c r="ACU346" s="24">
        <v>0.22</v>
      </c>
      <c r="ACV346" s="24">
        <v>6</v>
      </c>
      <c r="ACW346" s="24">
        <v>40</v>
      </c>
      <c r="ACX346" s="24">
        <v>3</v>
      </c>
      <c r="ACY346" s="24">
        <v>0.16</v>
      </c>
      <c r="ACZ346" s="24">
        <v>6</v>
      </c>
      <c r="ADQ346" s="27">
        <v>0.68</v>
      </c>
      <c r="ADR346" s="27">
        <v>1</v>
      </c>
      <c r="ADS346" s="27">
        <v>1</v>
      </c>
      <c r="ADT346" s="27"/>
      <c r="ADU346" s="27">
        <f>0.34+0.91+1.8+0.08+0.3</f>
        <v>3.4299999999999997</v>
      </c>
      <c r="ADV346" s="27"/>
      <c r="ADW346" s="27"/>
      <c r="ADX346" s="27"/>
      <c r="ADY346" s="27"/>
      <c r="ADZ346" s="27"/>
      <c r="AEA346" s="27"/>
      <c r="AEB346" s="27">
        <v>7.83</v>
      </c>
      <c r="AEC346" s="27">
        <v>8.68</v>
      </c>
      <c r="AED346" s="27"/>
      <c r="AEE346" s="27"/>
      <c r="AEF346" s="27">
        <v>0</v>
      </c>
      <c r="AEG346" s="27">
        <v>0</v>
      </c>
      <c r="AEH346" s="27">
        <v>0</v>
      </c>
      <c r="AEI346" s="24">
        <v>0</v>
      </c>
      <c r="AEJ346" s="24" t="s">
        <v>784</v>
      </c>
      <c r="AEK346" s="24">
        <v>38</v>
      </c>
      <c r="AEL346" s="27">
        <v>92.6</v>
      </c>
      <c r="AEM346" s="27">
        <v>83.4</v>
      </c>
      <c r="AEN346" s="27">
        <v>16.5</v>
      </c>
      <c r="AEO346" s="24">
        <v>77.87</v>
      </c>
      <c r="AEP346" s="24">
        <v>0</v>
      </c>
      <c r="AEQ346" s="24">
        <v>0</v>
      </c>
      <c r="AER346" s="24">
        <v>0</v>
      </c>
      <c r="AES346" s="24">
        <v>21.87</v>
      </c>
      <c r="AET346" s="24">
        <v>0</v>
      </c>
      <c r="AEU346" s="24">
        <v>0</v>
      </c>
      <c r="AEV346" s="24">
        <v>0</v>
      </c>
      <c r="AEW346" s="24">
        <v>0</v>
      </c>
      <c r="AEX346" s="24">
        <v>0</v>
      </c>
      <c r="AEY346" s="24">
        <v>0</v>
      </c>
      <c r="AEZ346" s="24">
        <v>0.28999999999999998</v>
      </c>
      <c r="AFA346" s="24">
        <v>38.85</v>
      </c>
      <c r="AFB346" s="24">
        <v>37.36</v>
      </c>
      <c r="AFC346" s="24">
        <v>5.57</v>
      </c>
      <c r="AFD346" s="24">
        <v>0</v>
      </c>
      <c r="AFE346" s="24">
        <v>0</v>
      </c>
      <c r="AFF346" s="24">
        <v>0</v>
      </c>
      <c r="AFS346" s="24">
        <v>17.5</v>
      </c>
      <c r="AFT346" s="24">
        <v>0</v>
      </c>
      <c r="AGE346" s="28"/>
      <c r="AGW346" s="24">
        <v>1</v>
      </c>
      <c r="AGX346" s="24">
        <v>70</v>
      </c>
      <c r="AGY346" s="24">
        <f>8*3+3</f>
        <v>27</v>
      </c>
      <c r="AGZ346" s="24">
        <f>5.87*3+0.58</f>
        <v>18.189999999999998</v>
      </c>
      <c r="AHA346" s="24">
        <v>1</v>
      </c>
      <c r="AIH346" s="27">
        <v>3.74</v>
      </c>
      <c r="AII346" s="27">
        <v>1</v>
      </c>
      <c r="AIJ346" s="27">
        <v>1</v>
      </c>
      <c r="AIK346" s="27"/>
      <c r="AIL346" s="27">
        <f>1.65+2.04*2+0.36*2+0.54</f>
        <v>6.99</v>
      </c>
      <c r="AIM346" s="27">
        <v>2</v>
      </c>
      <c r="AIN346" s="27"/>
      <c r="AIO346" s="27">
        <v>0.91</v>
      </c>
      <c r="AIP346" s="27"/>
      <c r="AIQ346" s="27"/>
      <c r="AIR346" s="27"/>
      <c r="AIS346" s="27">
        <v>0.19</v>
      </c>
      <c r="AIT346" s="27">
        <v>0.19</v>
      </c>
      <c r="AIU346" s="27"/>
      <c r="AIV346" s="27"/>
      <c r="AIW346" s="27">
        <v>0</v>
      </c>
      <c r="AIX346" s="27">
        <v>0</v>
      </c>
      <c r="AIY346" s="27">
        <v>0</v>
      </c>
      <c r="AIZ346" s="24">
        <v>0</v>
      </c>
      <c r="AJA346" s="24" t="s">
        <v>785</v>
      </c>
      <c r="AJB346" s="24">
        <v>37.5</v>
      </c>
      <c r="AJC346" s="27">
        <v>94.9</v>
      </c>
      <c r="AJD346" s="27">
        <v>83.4</v>
      </c>
      <c r="AJE346" s="27">
        <v>16</v>
      </c>
      <c r="AJF346" s="24">
        <v>79.430000000000007</v>
      </c>
      <c r="AJG346" s="24">
        <v>0</v>
      </c>
      <c r="AJH346" s="24">
        <v>0</v>
      </c>
      <c r="AJI346" s="24">
        <v>0</v>
      </c>
      <c r="AJJ346" s="24">
        <v>20.309999999999999</v>
      </c>
      <c r="AJK346" s="24">
        <v>0</v>
      </c>
      <c r="AJL346" s="24">
        <v>0</v>
      </c>
      <c r="AJM346" s="24">
        <v>0</v>
      </c>
      <c r="AJN346" s="24">
        <v>0</v>
      </c>
      <c r="AJO346" s="24">
        <v>0</v>
      </c>
      <c r="AJP346" s="24">
        <v>0</v>
      </c>
      <c r="AJQ346" s="24">
        <v>0.28999999999999998</v>
      </c>
      <c r="AJR346" s="24">
        <v>37.58</v>
      </c>
      <c r="AJS346" s="24">
        <v>37.76</v>
      </c>
      <c r="AJT346" s="24">
        <v>5.57</v>
      </c>
      <c r="AJU346" s="24">
        <v>0</v>
      </c>
      <c r="AJV346" s="24">
        <v>0</v>
      </c>
      <c r="AJW346" s="24">
        <v>0</v>
      </c>
      <c r="AKJ346" s="24">
        <v>17.5</v>
      </c>
      <c r="AKK346" s="24">
        <v>0</v>
      </c>
      <c r="AKV346" s="28"/>
      <c r="ALN346" s="24">
        <v>1</v>
      </c>
      <c r="ALO346" s="24">
        <v>71</v>
      </c>
      <c r="ALP346" s="24">
        <f>8*3+3</f>
        <v>27</v>
      </c>
      <c r="ALQ346" s="24">
        <f>5.87*3+0.58</f>
        <v>18.189999999999998</v>
      </c>
      <c r="ALR346" s="24">
        <v>2</v>
      </c>
    </row>
    <row r="347" spans="1:1018" x14ac:dyDescent="0.2">
      <c r="A347" s="1" t="s">
        <v>937</v>
      </c>
      <c r="B347" s="12">
        <v>42926</v>
      </c>
      <c r="C347">
        <v>2</v>
      </c>
      <c r="D347" s="13">
        <v>42797</v>
      </c>
      <c r="E347" s="12">
        <v>34919</v>
      </c>
      <c r="F347" s="14">
        <f t="shared" si="120"/>
        <v>21.921971252566735</v>
      </c>
      <c r="G347" s="14">
        <f t="shared" si="121"/>
        <v>0.35318275154004108</v>
      </c>
      <c r="H347" s="19" t="s">
        <v>306</v>
      </c>
      <c r="I347" s="15" t="s">
        <v>777</v>
      </c>
      <c r="J347" s="21" t="s">
        <v>181</v>
      </c>
      <c r="K347" s="21" t="s">
        <v>913</v>
      </c>
      <c r="L347" s="19">
        <v>65</v>
      </c>
      <c r="M347">
        <v>1.74</v>
      </c>
      <c r="N347" s="16">
        <f t="shared" si="122"/>
        <v>21.469150482230148</v>
      </c>
      <c r="O347" s="19">
        <v>0</v>
      </c>
      <c r="P347" s="19">
        <v>0</v>
      </c>
      <c r="Q347" s="19">
        <v>0</v>
      </c>
      <c r="R347" s="26">
        <v>0</v>
      </c>
      <c r="S347" s="26">
        <v>0</v>
      </c>
      <c r="T347" s="26">
        <v>0</v>
      </c>
      <c r="U347" s="19">
        <v>1</v>
      </c>
      <c r="V347" s="19">
        <v>9</v>
      </c>
      <c r="W347" s="19">
        <v>0</v>
      </c>
      <c r="X347" s="19">
        <v>0</v>
      </c>
      <c r="Y347" s="19">
        <v>0</v>
      </c>
      <c r="Z347" s="19">
        <v>0</v>
      </c>
      <c r="AA347" s="19">
        <v>0</v>
      </c>
      <c r="AB347" s="19">
        <v>0</v>
      </c>
      <c r="AC347" s="19">
        <v>1</v>
      </c>
      <c r="AD347" s="19">
        <v>10</v>
      </c>
      <c r="AE347" s="19">
        <v>1</v>
      </c>
      <c r="AF347" s="19">
        <v>0</v>
      </c>
      <c r="AG347" s="19">
        <v>0</v>
      </c>
      <c r="AH347" s="19">
        <v>0</v>
      </c>
      <c r="AI347" s="19">
        <v>3</v>
      </c>
      <c r="AJ347" s="19">
        <v>0</v>
      </c>
      <c r="AK347" s="19">
        <v>0</v>
      </c>
      <c r="AL347" s="19">
        <v>0</v>
      </c>
      <c r="AM347" s="19">
        <v>0</v>
      </c>
      <c r="AN347" s="19">
        <v>0</v>
      </c>
      <c r="AO347" s="19">
        <v>0</v>
      </c>
      <c r="AP347" s="19">
        <v>0</v>
      </c>
      <c r="AQ347" s="19">
        <v>0</v>
      </c>
      <c r="AR347" s="19">
        <v>0</v>
      </c>
      <c r="AS347" s="19">
        <v>3</v>
      </c>
      <c r="AT347" s="19">
        <v>0</v>
      </c>
      <c r="AU347" s="19">
        <v>0</v>
      </c>
      <c r="AV347" s="19">
        <v>0</v>
      </c>
      <c r="AW347" s="19">
        <v>0</v>
      </c>
      <c r="AX347" s="19">
        <v>1</v>
      </c>
      <c r="AY347" s="19">
        <v>0</v>
      </c>
      <c r="AZ347" s="19">
        <v>0</v>
      </c>
      <c r="BA347" s="19">
        <v>0</v>
      </c>
      <c r="BB347" s="19">
        <v>0</v>
      </c>
      <c r="BC347" s="19">
        <v>0</v>
      </c>
      <c r="BD347" s="19">
        <v>0</v>
      </c>
      <c r="BE347" s="19">
        <v>0</v>
      </c>
      <c r="BF347" s="19">
        <v>0</v>
      </c>
      <c r="BG347" s="19">
        <v>0</v>
      </c>
      <c r="BH347" s="19">
        <v>0</v>
      </c>
      <c r="BI347" s="19">
        <v>0</v>
      </c>
      <c r="BJ347" s="19">
        <v>1</v>
      </c>
      <c r="BK347" s="19">
        <v>0</v>
      </c>
      <c r="BL347" s="19">
        <v>0</v>
      </c>
      <c r="BM347" s="19">
        <v>0</v>
      </c>
      <c r="BN347" s="19">
        <v>0</v>
      </c>
      <c r="BO347" s="19">
        <v>0</v>
      </c>
      <c r="BP347" s="19">
        <v>0</v>
      </c>
      <c r="BQ347" s="19">
        <v>0</v>
      </c>
      <c r="BR347" s="19">
        <v>2</v>
      </c>
      <c r="BS347" s="19">
        <v>2</v>
      </c>
      <c r="BT347" s="19">
        <v>4</v>
      </c>
      <c r="BU347" s="19">
        <v>5</v>
      </c>
      <c r="BV347" s="19">
        <v>2</v>
      </c>
      <c r="BW347" s="19">
        <v>1</v>
      </c>
      <c r="BX347" s="19">
        <v>4</v>
      </c>
      <c r="BY347" s="19">
        <v>3</v>
      </c>
      <c r="BZ347" s="19">
        <v>5</v>
      </c>
      <c r="CA347" s="19">
        <v>3</v>
      </c>
      <c r="CB347" s="19">
        <v>3</v>
      </c>
      <c r="CC347" s="19">
        <v>5</v>
      </c>
      <c r="CD347" s="19">
        <v>3</v>
      </c>
      <c r="CE347" s="19">
        <v>3</v>
      </c>
      <c r="CF347" s="19">
        <v>4</v>
      </c>
      <c r="CG347" s="19">
        <v>4</v>
      </c>
      <c r="CH347" s="19">
        <v>4</v>
      </c>
      <c r="CI347" s="19">
        <v>4</v>
      </c>
      <c r="CJ347" s="19">
        <v>4</v>
      </c>
      <c r="CK347" s="19">
        <v>8</v>
      </c>
      <c r="CL347" s="24" t="s">
        <v>780</v>
      </c>
      <c r="CM347" s="24">
        <v>46</v>
      </c>
      <c r="CN347" s="27">
        <v>101.6</v>
      </c>
      <c r="CO347" s="27">
        <v>83.4</v>
      </c>
      <c r="CP347" s="27">
        <v>27.8</v>
      </c>
      <c r="CQ347" s="24">
        <v>66.040000000000006</v>
      </c>
      <c r="CR347" s="24">
        <v>0</v>
      </c>
      <c r="CS347" s="24">
        <v>0</v>
      </c>
      <c r="CT347" s="24">
        <v>0</v>
      </c>
      <c r="CU347" s="24">
        <v>35.15</v>
      </c>
      <c r="CV347" s="24">
        <v>0</v>
      </c>
      <c r="CW347" s="24">
        <v>0</v>
      </c>
      <c r="CX347" s="24">
        <v>0</v>
      </c>
      <c r="CY347" s="24">
        <v>0</v>
      </c>
      <c r="CZ347" s="24">
        <v>0</v>
      </c>
      <c r="DA347" s="24">
        <v>0</v>
      </c>
      <c r="DB347" s="24">
        <v>43.27</v>
      </c>
      <c r="DC347" s="24">
        <v>65.02</v>
      </c>
      <c r="DD347" s="24">
        <v>6.59</v>
      </c>
      <c r="DE347" s="24">
        <v>0.88</v>
      </c>
      <c r="DF347" s="24">
        <v>0.16</v>
      </c>
      <c r="DG347" s="24">
        <v>0</v>
      </c>
      <c r="DH347" s="24">
        <v>0</v>
      </c>
      <c r="DI347" s="24"/>
      <c r="DJ347" s="24"/>
      <c r="DK347" s="24"/>
      <c r="DL347" s="24"/>
      <c r="DM347" s="24"/>
      <c r="DN347" s="24"/>
      <c r="DO347" s="24"/>
      <c r="DP347" s="24"/>
      <c r="DQ347" s="24"/>
      <c r="DR347" s="24"/>
      <c r="DS347" s="24"/>
      <c r="DT347" s="24"/>
      <c r="DU347" s="24">
        <v>14.9</v>
      </c>
      <c r="DV347" s="24">
        <v>1</v>
      </c>
      <c r="DW347" s="24">
        <v>30</v>
      </c>
      <c r="DX347" s="24">
        <v>1</v>
      </c>
      <c r="DY347" s="24">
        <v>0.73</v>
      </c>
      <c r="DZ347" s="24">
        <v>1</v>
      </c>
      <c r="EA347" s="24">
        <v>47</v>
      </c>
      <c r="EB347" s="24">
        <v>1</v>
      </c>
      <c r="EC347" s="24">
        <v>0.11</v>
      </c>
      <c r="ED347" s="24">
        <v>3</v>
      </c>
      <c r="EG347" s="28"/>
      <c r="EY347" s="24">
        <v>1</v>
      </c>
      <c r="EZ347" s="24">
        <v>60</v>
      </c>
      <c r="FA347" s="24">
        <v>4</v>
      </c>
      <c r="FB347" s="24">
        <v>1.68</v>
      </c>
      <c r="FC347" s="24">
        <v>6</v>
      </c>
      <c r="FD347" s="24">
        <v>50</v>
      </c>
      <c r="FE347" s="24">
        <v>8</v>
      </c>
      <c r="FF347" s="24">
        <f t="shared" si="126"/>
        <v>5.88</v>
      </c>
      <c r="FG347" s="24">
        <v>4</v>
      </c>
      <c r="FH347" s="24">
        <v>50</v>
      </c>
      <c r="FI347" s="24">
        <v>4</v>
      </c>
      <c r="FJ347" s="24">
        <v>0.76</v>
      </c>
      <c r="FK347" s="24">
        <v>6</v>
      </c>
      <c r="FL347" s="24">
        <v>80</v>
      </c>
      <c r="FM347" s="24">
        <v>8</v>
      </c>
      <c r="FN347" s="24">
        <f>0.31+0.21</f>
        <v>0.52</v>
      </c>
      <c r="FO347" s="24">
        <v>6</v>
      </c>
      <c r="GJ347" s="27">
        <v>2.0499999999999998</v>
      </c>
      <c r="GK347" s="27">
        <v>1</v>
      </c>
      <c r="GL347" s="27">
        <v>1</v>
      </c>
      <c r="GM347" s="27"/>
      <c r="GN347" s="27">
        <f>6.12+0.54+0.36</f>
        <v>7.0200000000000005</v>
      </c>
      <c r="GO347" s="27">
        <v>2</v>
      </c>
      <c r="GP347" s="27"/>
      <c r="GQ347" s="27">
        <v>6.01</v>
      </c>
      <c r="GR347" s="27"/>
      <c r="GS347" s="27"/>
      <c r="GT347" s="27"/>
      <c r="GU347" s="27">
        <v>0.86</v>
      </c>
      <c r="GV347" s="27">
        <v>0.85</v>
      </c>
      <c r="GW347" s="27"/>
      <c r="GX347" s="27"/>
      <c r="GY347" s="27">
        <v>0</v>
      </c>
      <c r="GZ347" s="27">
        <v>0</v>
      </c>
      <c r="HA347" s="27">
        <v>0</v>
      </c>
      <c r="HB347" s="24">
        <v>0</v>
      </c>
      <c r="HC347" s="24">
        <v>100</v>
      </c>
      <c r="HD347" s="24">
        <v>29.5</v>
      </c>
      <c r="HE347" s="27">
        <v>94.9</v>
      </c>
      <c r="HF347" s="27">
        <v>83.4</v>
      </c>
      <c r="HG347" s="27">
        <v>17.600000000000001</v>
      </c>
      <c r="HH347" s="24">
        <v>85.6</v>
      </c>
      <c r="HI347" s="24">
        <v>0</v>
      </c>
      <c r="HJ347" s="24">
        <v>0</v>
      </c>
      <c r="HK347" s="24">
        <v>0</v>
      </c>
      <c r="HL347" s="24">
        <v>14.4</v>
      </c>
      <c r="HM347" s="24">
        <v>0</v>
      </c>
      <c r="HN347" s="24">
        <v>0</v>
      </c>
      <c r="HO347" s="24">
        <v>0</v>
      </c>
      <c r="HP347" s="24">
        <v>0</v>
      </c>
      <c r="HQ347" s="24">
        <v>0</v>
      </c>
      <c r="HR347" s="24">
        <v>0</v>
      </c>
      <c r="HS347" s="24">
        <v>1.95</v>
      </c>
      <c r="HT347" s="24">
        <v>9.4499999999999993</v>
      </c>
      <c r="HU347" s="24">
        <v>11.24</v>
      </c>
      <c r="HV347" s="24">
        <v>36.94</v>
      </c>
      <c r="HW347" s="24">
        <v>0</v>
      </c>
      <c r="HX347" s="24">
        <v>11.5</v>
      </c>
      <c r="HY347" s="24">
        <v>1</v>
      </c>
      <c r="HZ347" s="24">
        <v>5</v>
      </c>
      <c r="IB347" s="24">
        <v>4</v>
      </c>
      <c r="IL347" s="24">
        <v>0</v>
      </c>
      <c r="IM347" s="24">
        <v>0</v>
      </c>
      <c r="IX347" s="28"/>
      <c r="JP347" s="24">
        <v>0</v>
      </c>
      <c r="LA347" s="27">
        <v>0.2</v>
      </c>
      <c r="LB347" s="27">
        <v>1</v>
      </c>
      <c r="LC347" s="27">
        <v>1</v>
      </c>
      <c r="LD347" s="27"/>
      <c r="LE347" s="27">
        <f>0.14+0.23+0.07+0.21</f>
        <v>0.65</v>
      </c>
      <c r="LF347" s="27"/>
      <c r="LG347" s="27"/>
      <c r="LH347" s="27"/>
      <c r="LI347" s="27"/>
      <c r="LJ347" s="27"/>
      <c r="LK347" s="27"/>
      <c r="LL347" s="27">
        <v>0.23</v>
      </c>
      <c r="LM347" s="27">
        <v>0.23</v>
      </c>
      <c r="LN347" s="27"/>
      <c r="LO347" s="27"/>
      <c r="LP347" s="27">
        <v>0</v>
      </c>
      <c r="LQ347" s="27">
        <v>0</v>
      </c>
      <c r="LR347" s="27">
        <v>0</v>
      </c>
      <c r="LS347" s="24">
        <v>0</v>
      </c>
      <c r="LT347" s="24" t="s">
        <v>781</v>
      </c>
      <c r="LU347" s="24">
        <v>47.5</v>
      </c>
      <c r="LV347" s="27">
        <v>49.3</v>
      </c>
      <c r="LW347" s="27">
        <v>83.4</v>
      </c>
      <c r="LX347" s="27">
        <v>35.700000000000003</v>
      </c>
      <c r="LY347" s="24">
        <v>66.48</v>
      </c>
      <c r="LZ347" s="24">
        <v>0</v>
      </c>
      <c r="MA347" s="24">
        <v>6.11</v>
      </c>
      <c r="MB347" s="24">
        <v>0</v>
      </c>
      <c r="MC347" s="24">
        <v>9.56</v>
      </c>
      <c r="MD347" s="24">
        <v>0</v>
      </c>
      <c r="ME347" s="24">
        <v>6.1</v>
      </c>
      <c r="MF347" s="24">
        <v>3.05</v>
      </c>
      <c r="MG347" s="24">
        <v>0</v>
      </c>
      <c r="MH347" s="24">
        <v>0</v>
      </c>
      <c r="MI347" s="24">
        <v>0</v>
      </c>
      <c r="MJ347" s="24">
        <v>0</v>
      </c>
      <c r="MK347" s="24">
        <v>17.78</v>
      </c>
      <c r="ML347" s="24">
        <v>9.1300000000000008</v>
      </c>
      <c r="MM347" s="24">
        <v>2.7</v>
      </c>
      <c r="MN347" s="24">
        <v>11.73</v>
      </c>
      <c r="MO347" s="24">
        <v>0</v>
      </c>
      <c r="MP347" s="24">
        <v>0</v>
      </c>
      <c r="NC347" s="24">
        <v>5.7</v>
      </c>
      <c r="ND347" s="24">
        <v>1</v>
      </c>
      <c r="NE347" s="24">
        <v>30</v>
      </c>
      <c r="NF347" s="24">
        <v>10</v>
      </c>
      <c r="NG347" s="24">
        <f>0.15*2+0.16*8</f>
        <v>1.58</v>
      </c>
      <c r="NH347" s="24">
        <v>3</v>
      </c>
      <c r="NO347" s="28"/>
      <c r="OG347" s="24">
        <v>1</v>
      </c>
      <c r="OH347" s="24">
        <v>40</v>
      </c>
      <c r="OI347" s="24">
        <v>4</v>
      </c>
      <c r="OJ347" s="24">
        <v>0.6</v>
      </c>
      <c r="OK347" s="24">
        <v>2</v>
      </c>
      <c r="PR347" s="27">
        <v>0.53</v>
      </c>
      <c r="PS347" s="27">
        <v>1</v>
      </c>
      <c r="PT347" s="27">
        <v>1</v>
      </c>
      <c r="PU347" s="27"/>
      <c r="PV347" s="27">
        <f>0.64*4+0.08</f>
        <v>2.64</v>
      </c>
      <c r="PW347" s="27"/>
      <c r="PX347" s="27"/>
      <c r="PY347" s="27"/>
      <c r="PZ347" s="27"/>
      <c r="QA347" s="27"/>
      <c r="QB347" s="27"/>
      <c r="QC347" s="27">
        <v>5.0599999999999996</v>
      </c>
      <c r="QD347" s="27">
        <v>1.58</v>
      </c>
      <c r="QE347" s="27"/>
      <c r="QF347" s="27"/>
      <c r="QG347" s="27">
        <v>0</v>
      </c>
      <c r="QH347" s="27">
        <v>0</v>
      </c>
      <c r="QI347" s="27">
        <v>0</v>
      </c>
      <c r="QJ347" s="24">
        <v>0</v>
      </c>
      <c r="QK347" s="24" t="s">
        <v>782</v>
      </c>
      <c r="QL347" s="24">
        <v>71</v>
      </c>
      <c r="QM347" s="27">
        <v>92</v>
      </c>
      <c r="QN347" s="27">
        <v>166.8</v>
      </c>
      <c r="QO347" s="27">
        <v>65</v>
      </c>
      <c r="QP347" s="24">
        <v>28.78</v>
      </c>
      <c r="QQ347" s="24">
        <v>0</v>
      </c>
      <c r="QR347" s="24">
        <v>0</v>
      </c>
      <c r="QS347" s="24">
        <v>0</v>
      </c>
      <c r="QT347" s="24">
        <v>2.5</v>
      </c>
      <c r="QU347" s="24">
        <v>0</v>
      </c>
      <c r="QV347" s="24">
        <v>8.5399999999999991</v>
      </c>
      <c r="QW347" s="24">
        <v>0</v>
      </c>
      <c r="QX347" s="24">
        <v>0</v>
      </c>
      <c r="QY347" s="24">
        <v>2.76</v>
      </c>
      <c r="QZ347" s="24">
        <v>0</v>
      </c>
      <c r="RA347" s="24">
        <v>9.52</v>
      </c>
      <c r="RB347" s="24">
        <v>36.909999999999997</v>
      </c>
      <c r="RC347" s="24">
        <v>26.15</v>
      </c>
      <c r="RD347" s="24">
        <v>1.97</v>
      </c>
      <c r="RE347" s="24">
        <v>60.18</v>
      </c>
      <c r="RF347" s="24">
        <v>0</v>
      </c>
      <c r="RG347" s="24">
        <v>0</v>
      </c>
      <c r="RT347" s="24">
        <v>0.1</v>
      </c>
      <c r="RU347" s="24">
        <v>0</v>
      </c>
      <c r="SF347" s="28"/>
      <c r="SX347" s="24">
        <v>1</v>
      </c>
      <c r="SY347" s="24">
        <v>50</v>
      </c>
      <c r="SZ347" s="24">
        <v>4</v>
      </c>
      <c r="TA347" s="24">
        <f>0.37*4</f>
        <v>1.48</v>
      </c>
      <c r="TB347" s="24">
        <v>3</v>
      </c>
      <c r="TC347" s="24">
        <v>40</v>
      </c>
      <c r="TD347" s="24">
        <v>6</v>
      </c>
      <c r="TE347" s="24">
        <v>2.2000000000000002</v>
      </c>
      <c r="TF347" s="24">
        <v>3</v>
      </c>
      <c r="TG347" s="24">
        <v>50</v>
      </c>
      <c r="TH347" s="24">
        <v>1</v>
      </c>
      <c r="TI347" s="24">
        <v>0.06</v>
      </c>
      <c r="TJ347" s="24">
        <v>1</v>
      </c>
      <c r="TK347" s="24">
        <v>60</v>
      </c>
      <c r="TL347" s="24">
        <v>3</v>
      </c>
      <c r="TM347" s="24">
        <v>0.19</v>
      </c>
      <c r="TN347" s="24">
        <v>4</v>
      </c>
      <c r="UI347" s="27">
        <v>1.1100000000000001</v>
      </c>
      <c r="UJ347" s="27">
        <v>1</v>
      </c>
      <c r="UK347" s="27">
        <v>1</v>
      </c>
      <c r="UL347" s="27"/>
      <c r="UM347" s="27">
        <f>0.51*2+0.09+0.15*2+1.65+0.18+0.72</f>
        <v>3.96</v>
      </c>
      <c r="UN347" s="27"/>
      <c r="UO347" s="27"/>
      <c r="UP347" s="27"/>
      <c r="UQ347" s="27"/>
      <c r="UR347" s="27"/>
      <c r="US347" s="27"/>
      <c r="UT347" s="27">
        <v>1.95</v>
      </c>
      <c r="UU347" s="27">
        <v>1.96</v>
      </c>
      <c r="UV347" s="27"/>
      <c r="UW347" s="27"/>
      <c r="UX347" s="27">
        <v>2.88</v>
      </c>
      <c r="UY347" s="27">
        <v>0</v>
      </c>
      <c r="UZ347" s="27">
        <v>0</v>
      </c>
      <c r="VA347" s="24">
        <v>2</v>
      </c>
      <c r="VB347" s="24" t="s">
        <v>785</v>
      </c>
      <c r="VC347" s="24">
        <v>37.5</v>
      </c>
      <c r="VD347" s="27">
        <v>94.9</v>
      </c>
      <c r="VE347" s="27">
        <v>83.4</v>
      </c>
      <c r="VF347" s="27">
        <v>16</v>
      </c>
      <c r="VG347" s="24">
        <v>79.430000000000007</v>
      </c>
      <c r="VH347" s="24">
        <v>0</v>
      </c>
      <c r="VI347" s="24">
        <v>0</v>
      </c>
      <c r="VJ347" s="24">
        <v>0</v>
      </c>
      <c r="VK347" s="24">
        <v>20.309999999999999</v>
      </c>
      <c r="VL347" s="24">
        <v>0</v>
      </c>
      <c r="VM347" s="24">
        <v>0</v>
      </c>
      <c r="VN347" s="24">
        <v>0</v>
      </c>
      <c r="VO347" s="24">
        <v>0</v>
      </c>
      <c r="VP347" s="24">
        <v>0</v>
      </c>
      <c r="VQ347" s="24">
        <v>0</v>
      </c>
      <c r="VR347" s="24">
        <v>0.28999999999999998</v>
      </c>
      <c r="VS347" s="24">
        <v>37.58</v>
      </c>
      <c r="VT347" s="24">
        <v>37.76</v>
      </c>
      <c r="VU347" s="24">
        <v>5.57</v>
      </c>
      <c r="VV347" s="24">
        <v>0</v>
      </c>
      <c r="VW347" s="24">
        <v>0</v>
      </c>
      <c r="VX347" s="24">
        <v>0</v>
      </c>
      <c r="WK347" s="24">
        <v>17.5</v>
      </c>
      <c r="WL347" s="24">
        <v>0</v>
      </c>
      <c r="WW347" s="28"/>
      <c r="XO347" s="24">
        <v>1</v>
      </c>
      <c r="XP347" s="24">
        <v>71</v>
      </c>
      <c r="XQ347" s="24">
        <f>8*3+3</f>
        <v>27</v>
      </c>
      <c r="XR347" s="24">
        <f>5.87*3+0.58</f>
        <v>18.189999999999998</v>
      </c>
      <c r="XS347" s="24">
        <v>2</v>
      </c>
      <c r="YZ347" s="27">
        <v>3.74</v>
      </c>
      <c r="ZA347" s="27">
        <v>1</v>
      </c>
      <c r="ZB347" s="27">
        <v>1</v>
      </c>
      <c r="ZC347" s="27"/>
      <c r="ZD347" s="27">
        <f>1.65+2.04*2+0.36*2+0.54</f>
        <v>6.99</v>
      </c>
      <c r="ZE347" s="27">
        <v>2</v>
      </c>
      <c r="ZF347" s="27"/>
      <c r="ZG347" s="27">
        <v>0.91</v>
      </c>
      <c r="ZH347" s="27">
        <v>1</v>
      </c>
      <c r="ZI347" s="27">
        <v>1</v>
      </c>
      <c r="ZJ347" s="27"/>
      <c r="ZK347" s="27">
        <v>0.19</v>
      </c>
      <c r="ZL347" s="27">
        <v>0.19</v>
      </c>
      <c r="ZM347" s="27"/>
      <c r="ZN347" s="27"/>
      <c r="ZO347" s="27">
        <v>0</v>
      </c>
      <c r="ZP347" s="27">
        <v>0</v>
      </c>
      <c r="ZQ347" s="27">
        <v>0</v>
      </c>
      <c r="ZR347" s="24">
        <v>0</v>
      </c>
      <c r="ZU347" s="15"/>
      <c r="ZV347" s="15"/>
      <c r="AAC347" s="15"/>
      <c r="AAD347" s="15"/>
      <c r="AAK347" s="15"/>
      <c r="AAL347" s="15"/>
      <c r="AAS347" s="15"/>
      <c r="AAT347" s="15"/>
      <c r="ABA347" s="15"/>
      <c r="ABB347" s="15"/>
      <c r="ABI347" s="15"/>
      <c r="ABJ347" s="15"/>
      <c r="ABQ347" s="15"/>
      <c r="ABR347" s="15"/>
      <c r="ABY347" s="15"/>
      <c r="ABZ347" s="15"/>
      <c r="ACG347" s="15"/>
      <c r="ACH347" s="15"/>
      <c r="ACO347" s="15"/>
      <c r="ACP347" s="15"/>
      <c r="ACW347" s="15"/>
      <c r="ACX347" s="15"/>
      <c r="ADE347" s="15"/>
      <c r="ADF347" s="15"/>
      <c r="ADM347" s="15"/>
      <c r="ADN347" s="15"/>
      <c r="ADU347" s="15"/>
      <c r="ADV347" s="15"/>
      <c r="AEC347" s="15"/>
      <c r="AED347" s="15"/>
      <c r="AEK347" s="15"/>
      <c r="AEL347" s="15"/>
      <c r="AES347" s="15"/>
      <c r="AET347" s="15"/>
      <c r="AFA347" s="15"/>
      <c r="AFB347" s="15"/>
      <c r="AFI347" s="15"/>
      <c r="AFJ347" s="15"/>
      <c r="AFQ347" s="15"/>
      <c r="AFR347" s="15"/>
      <c r="AFY347" s="15"/>
      <c r="AFZ347" s="15"/>
      <c r="AGG347" s="15"/>
      <c r="AGH347" s="15"/>
      <c r="AGO347" s="15"/>
      <c r="AGP347" s="15"/>
      <c r="AGW347" s="15"/>
      <c r="AGX347" s="15"/>
      <c r="AHE347" s="15"/>
      <c r="AHF347" s="15"/>
      <c r="AHM347" s="15"/>
      <c r="AHN347" s="15"/>
      <c r="AHU347" s="15"/>
      <c r="AHV347" s="15"/>
      <c r="AIC347" s="15"/>
      <c r="AID347" s="15"/>
      <c r="AIK347" s="15"/>
      <c r="AIL347" s="15"/>
      <c r="AIS347" s="15"/>
      <c r="AIT347" s="15"/>
      <c r="AJA347" s="15"/>
      <c r="AJB347" s="15"/>
      <c r="AJI347" s="15"/>
      <c r="AJJ347" s="15"/>
      <c r="AJQ347" s="15"/>
      <c r="AJR347" s="15"/>
      <c r="AJY347" s="15"/>
      <c r="AJZ347" s="15"/>
      <c r="AKG347" s="15"/>
      <c r="AKH347" s="15"/>
      <c r="AKO347" s="15"/>
      <c r="AKP347" s="15"/>
      <c r="AKW347" s="15"/>
      <c r="AKX347" s="15"/>
      <c r="ALE347" s="15"/>
      <c r="ALF347" s="15"/>
      <c r="ALM347" s="15"/>
      <c r="ALN347" s="15"/>
      <c r="ALU347" s="15"/>
      <c r="ALV347" s="15"/>
      <c r="AMC347" s="15"/>
      <c r="AMD347" s="15"/>
    </row>
    <row r="348" spans="1:1018" x14ac:dyDescent="0.2">
      <c r="A348" s="1" t="s">
        <v>938</v>
      </c>
      <c r="B348" s="12">
        <v>42927</v>
      </c>
      <c r="C348">
        <v>2</v>
      </c>
      <c r="D348" s="13">
        <v>42814</v>
      </c>
      <c r="E348" s="12">
        <v>32402</v>
      </c>
      <c r="F348" s="14">
        <f t="shared" si="120"/>
        <v>28.815879534565365</v>
      </c>
      <c r="G348" s="14">
        <f t="shared" si="121"/>
        <v>0.30937713894592744</v>
      </c>
      <c r="H348" s="19" t="s">
        <v>306</v>
      </c>
      <c r="I348" s="15" t="s">
        <v>777</v>
      </c>
      <c r="J348" s="21" t="s">
        <v>181</v>
      </c>
      <c r="K348" s="21" t="s">
        <v>913</v>
      </c>
      <c r="L348" s="19">
        <v>72</v>
      </c>
      <c r="M348">
        <v>1.83</v>
      </c>
      <c r="N348" s="16">
        <f t="shared" si="122"/>
        <v>21.49959688255845</v>
      </c>
      <c r="O348" s="19">
        <v>0</v>
      </c>
      <c r="P348" s="19">
        <v>0</v>
      </c>
      <c r="Q348" s="19">
        <v>0</v>
      </c>
      <c r="R348" s="26">
        <v>0</v>
      </c>
      <c r="S348" s="26">
        <v>0</v>
      </c>
      <c r="T348" s="26">
        <v>0</v>
      </c>
      <c r="U348" s="19">
        <v>1</v>
      </c>
      <c r="V348" s="19">
        <v>4</v>
      </c>
      <c r="W348" s="19">
        <v>0</v>
      </c>
      <c r="X348" s="19">
        <v>0</v>
      </c>
      <c r="Y348" s="19">
        <v>0</v>
      </c>
      <c r="Z348" s="19">
        <v>0</v>
      </c>
      <c r="AA348" s="19">
        <v>0</v>
      </c>
      <c r="AB348" s="19">
        <v>0</v>
      </c>
      <c r="AC348" s="19">
        <v>1</v>
      </c>
      <c r="AD348" s="19">
        <v>10</v>
      </c>
      <c r="AE348" s="19">
        <v>0</v>
      </c>
      <c r="AF348" s="19">
        <v>0</v>
      </c>
      <c r="AG348" s="19">
        <v>0</v>
      </c>
      <c r="AH348" s="19">
        <v>0</v>
      </c>
      <c r="AI348" s="19">
        <v>0</v>
      </c>
      <c r="AJ348" s="19">
        <v>0</v>
      </c>
      <c r="AK348" s="19">
        <v>0</v>
      </c>
      <c r="AL348" s="19">
        <v>0</v>
      </c>
      <c r="AM348" s="19">
        <v>0</v>
      </c>
      <c r="AN348" s="19">
        <v>0</v>
      </c>
      <c r="AO348" s="19">
        <v>0</v>
      </c>
      <c r="AP348" s="19">
        <v>0</v>
      </c>
      <c r="AQ348" s="19">
        <v>0</v>
      </c>
      <c r="AR348" s="19">
        <v>0</v>
      </c>
      <c r="AS348" s="19">
        <v>0</v>
      </c>
      <c r="AT348" s="19">
        <v>0</v>
      </c>
      <c r="AU348" s="19">
        <v>0</v>
      </c>
      <c r="AV348" s="19">
        <v>0</v>
      </c>
      <c r="AW348" s="19">
        <v>0</v>
      </c>
      <c r="AX348" s="19">
        <v>0</v>
      </c>
      <c r="AY348" s="19">
        <v>0</v>
      </c>
      <c r="AZ348" s="19">
        <v>0</v>
      </c>
      <c r="BA348" s="19">
        <v>0</v>
      </c>
      <c r="BB348" s="19">
        <v>0</v>
      </c>
      <c r="BC348" s="19">
        <v>0</v>
      </c>
      <c r="BD348" s="19">
        <v>0</v>
      </c>
      <c r="BE348" s="19">
        <v>0</v>
      </c>
      <c r="BF348" s="19">
        <v>0</v>
      </c>
      <c r="BG348" s="19">
        <v>0</v>
      </c>
      <c r="BH348" s="19">
        <v>0</v>
      </c>
      <c r="BI348" s="19">
        <v>0</v>
      </c>
      <c r="BJ348" s="19">
        <v>0</v>
      </c>
      <c r="BK348" s="19">
        <v>0</v>
      </c>
      <c r="BL348" s="19">
        <v>0</v>
      </c>
      <c r="BM348" s="19">
        <v>0</v>
      </c>
      <c r="BN348" s="19">
        <v>0</v>
      </c>
      <c r="BO348" s="19">
        <v>0</v>
      </c>
      <c r="BP348" s="19">
        <v>0</v>
      </c>
      <c r="BQ348" s="19">
        <v>0</v>
      </c>
      <c r="BR348" s="19">
        <v>2</v>
      </c>
      <c r="BS348" s="19">
        <v>2</v>
      </c>
      <c r="BT348" s="19">
        <v>4</v>
      </c>
      <c r="BU348" s="19">
        <v>4</v>
      </c>
      <c r="BV348" s="19">
        <v>2</v>
      </c>
      <c r="BW348" s="19">
        <v>2</v>
      </c>
      <c r="BX348" s="19">
        <v>3</v>
      </c>
      <c r="BY348" s="19">
        <v>3</v>
      </c>
      <c r="BZ348" s="19">
        <v>3</v>
      </c>
      <c r="CA348" s="19">
        <v>3</v>
      </c>
      <c r="CB348" s="19">
        <v>4</v>
      </c>
      <c r="CC348" s="19">
        <v>5</v>
      </c>
      <c r="CD348" s="19">
        <v>3</v>
      </c>
      <c r="CE348" s="19">
        <v>5</v>
      </c>
      <c r="CF348" s="19">
        <v>3</v>
      </c>
      <c r="CG348" s="19">
        <v>5</v>
      </c>
      <c r="CH348" s="19">
        <v>3</v>
      </c>
      <c r="CI348" s="19">
        <v>4</v>
      </c>
      <c r="CJ348" s="19">
        <v>3</v>
      </c>
      <c r="CK348" s="19">
        <v>8</v>
      </c>
      <c r="CL348" s="24" t="s">
        <v>780</v>
      </c>
      <c r="CM348" s="24">
        <v>46</v>
      </c>
      <c r="CN348" s="27">
        <v>101.6</v>
      </c>
      <c r="CO348" s="27">
        <v>83.4</v>
      </c>
      <c r="CP348" s="27">
        <v>27.8</v>
      </c>
      <c r="CQ348" s="24">
        <v>66.040000000000006</v>
      </c>
      <c r="CR348" s="24">
        <v>0</v>
      </c>
      <c r="CS348" s="24">
        <v>0</v>
      </c>
      <c r="CT348" s="24">
        <v>0</v>
      </c>
      <c r="CU348" s="24">
        <v>35.15</v>
      </c>
      <c r="CV348" s="24">
        <v>0</v>
      </c>
      <c r="CW348" s="24">
        <v>0</v>
      </c>
      <c r="CX348" s="24">
        <v>0</v>
      </c>
      <c r="CY348" s="24">
        <v>0</v>
      </c>
      <c r="CZ348" s="24">
        <v>0</v>
      </c>
      <c r="DA348" s="24">
        <v>0</v>
      </c>
      <c r="DB348" s="24">
        <v>43.27</v>
      </c>
      <c r="DC348" s="24">
        <v>65.02</v>
      </c>
      <c r="DD348" s="24">
        <v>6.59</v>
      </c>
      <c r="DE348" s="24">
        <v>0.88</v>
      </c>
      <c r="DF348" s="24">
        <v>0.16</v>
      </c>
      <c r="DG348" s="24">
        <v>0</v>
      </c>
      <c r="DH348" s="24">
        <v>0</v>
      </c>
      <c r="DU348" s="24">
        <v>14.9</v>
      </c>
      <c r="DV348" s="24">
        <v>1</v>
      </c>
      <c r="DW348" s="24">
        <v>30</v>
      </c>
      <c r="DX348" s="24">
        <v>1</v>
      </c>
      <c r="DY348" s="24">
        <v>0.73</v>
      </c>
      <c r="DZ348" s="24">
        <v>1</v>
      </c>
      <c r="EA348" s="24">
        <v>47</v>
      </c>
      <c r="EB348" s="24">
        <v>1</v>
      </c>
      <c r="EC348" s="24">
        <v>0.11</v>
      </c>
      <c r="ED348" s="24">
        <v>3</v>
      </c>
      <c r="EG348" s="28"/>
      <c r="EY348" s="24">
        <v>1</v>
      </c>
      <c r="EZ348" s="24">
        <v>60</v>
      </c>
      <c r="FA348" s="24">
        <v>4</v>
      </c>
      <c r="FB348" s="24">
        <v>1.68</v>
      </c>
      <c r="FC348" s="24">
        <v>6</v>
      </c>
      <c r="FD348" s="24">
        <v>50</v>
      </c>
      <c r="FE348" s="24">
        <v>8</v>
      </c>
      <c r="FF348" s="24">
        <f t="shared" si="126"/>
        <v>5.88</v>
      </c>
      <c r="FG348" s="24">
        <v>4</v>
      </c>
      <c r="FH348" s="24">
        <v>50</v>
      </c>
      <c r="FI348" s="24">
        <v>4</v>
      </c>
      <c r="FJ348" s="24">
        <v>0.76</v>
      </c>
      <c r="FK348" s="24">
        <v>6</v>
      </c>
      <c r="FL348" s="24">
        <v>80</v>
      </c>
      <c r="FM348" s="24">
        <v>8</v>
      </c>
      <c r="FN348" s="24">
        <f>0.31+0.21</f>
        <v>0.52</v>
      </c>
      <c r="FO348" s="24">
        <v>6</v>
      </c>
      <c r="GJ348" s="27">
        <v>2.0499999999999998</v>
      </c>
      <c r="GK348" s="27">
        <v>1</v>
      </c>
      <c r="GL348" s="27">
        <v>1</v>
      </c>
      <c r="GM348" s="27"/>
      <c r="GN348" s="27">
        <f>6.12+0.54+0.36</f>
        <v>7.0200000000000005</v>
      </c>
      <c r="GO348" s="27">
        <v>2</v>
      </c>
      <c r="GP348" s="27"/>
      <c r="GQ348" s="27">
        <v>6.01</v>
      </c>
      <c r="GR348" s="27"/>
      <c r="GS348" s="27"/>
      <c r="GT348" s="27"/>
      <c r="GU348" s="27">
        <v>0.86</v>
      </c>
      <c r="GV348" s="27">
        <v>0.85</v>
      </c>
      <c r="GW348" s="27"/>
      <c r="GX348" s="27"/>
      <c r="GY348" s="27">
        <v>0</v>
      </c>
      <c r="GZ348" s="27">
        <v>0</v>
      </c>
      <c r="HA348" s="27">
        <v>0</v>
      </c>
      <c r="HB348" s="24">
        <v>0</v>
      </c>
      <c r="HC348" s="24">
        <v>100</v>
      </c>
      <c r="HD348" s="24">
        <v>29.5</v>
      </c>
      <c r="HE348" s="27">
        <v>94.9</v>
      </c>
      <c r="HF348" s="27">
        <v>83.4</v>
      </c>
      <c r="HG348" s="27">
        <v>17.600000000000001</v>
      </c>
      <c r="HH348" s="24">
        <v>85.6</v>
      </c>
      <c r="HI348" s="24">
        <v>0</v>
      </c>
      <c r="HJ348" s="24">
        <v>0</v>
      </c>
      <c r="HK348" s="24">
        <v>0</v>
      </c>
      <c r="HL348" s="24">
        <v>14.4</v>
      </c>
      <c r="HM348" s="24">
        <v>0</v>
      </c>
      <c r="HN348" s="24">
        <v>0</v>
      </c>
      <c r="HO348" s="24">
        <v>0</v>
      </c>
      <c r="HP348" s="24">
        <v>0</v>
      </c>
      <c r="HQ348" s="24">
        <v>0</v>
      </c>
      <c r="HR348" s="24">
        <v>0</v>
      </c>
      <c r="HS348" s="24">
        <v>1.95</v>
      </c>
      <c r="HT348" s="24">
        <v>9.4499999999999993</v>
      </c>
      <c r="HU348" s="24">
        <v>11.24</v>
      </c>
      <c r="HV348" s="24">
        <v>36.94</v>
      </c>
      <c r="HW348" s="24">
        <v>0</v>
      </c>
      <c r="HX348" s="24">
        <v>11.5</v>
      </c>
      <c r="HY348" s="24">
        <v>1</v>
      </c>
      <c r="HZ348" s="24">
        <v>5</v>
      </c>
      <c r="IB348" s="24">
        <v>4</v>
      </c>
      <c r="IL348" s="24">
        <v>0</v>
      </c>
      <c r="IM348" s="24">
        <v>0</v>
      </c>
      <c r="IX348" s="28"/>
      <c r="JP348" s="24">
        <v>0</v>
      </c>
      <c r="LA348" s="27">
        <v>0.2</v>
      </c>
      <c r="LB348" s="27">
        <v>1</v>
      </c>
      <c r="LC348" s="27">
        <v>1</v>
      </c>
      <c r="LD348" s="27"/>
      <c r="LE348" s="27">
        <f>0.14+0.23+0.07+0.21</f>
        <v>0.65</v>
      </c>
      <c r="LF348" s="27"/>
      <c r="LG348" s="27"/>
      <c r="LH348" s="27"/>
      <c r="LI348" s="27"/>
      <c r="LJ348" s="27"/>
      <c r="LK348" s="27"/>
      <c r="LL348" s="27">
        <v>0.23</v>
      </c>
      <c r="LM348" s="27">
        <v>0.23</v>
      </c>
      <c r="LN348" s="27"/>
      <c r="LO348" s="27"/>
      <c r="LP348" s="27">
        <v>0</v>
      </c>
      <c r="LQ348" s="27">
        <v>0</v>
      </c>
      <c r="LR348" s="27">
        <v>0</v>
      </c>
      <c r="LS348" s="24">
        <v>0</v>
      </c>
      <c r="LT348" s="24" t="s">
        <v>782</v>
      </c>
      <c r="LU348" s="24">
        <v>71</v>
      </c>
      <c r="LV348" s="27">
        <v>92</v>
      </c>
      <c r="LW348" s="27">
        <v>166.8</v>
      </c>
      <c r="LX348" s="27">
        <v>65</v>
      </c>
      <c r="LY348" s="24">
        <v>28.78</v>
      </c>
      <c r="LZ348" s="24">
        <v>0</v>
      </c>
      <c r="MA348" s="24">
        <v>0</v>
      </c>
      <c r="MB348" s="24">
        <v>0</v>
      </c>
      <c r="MC348" s="24">
        <v>2.5</v>
      </c>
      <c r="MD348" s="24">
        <v>0</v>
      </c>
      <c r="ME348" s="24">
        <v>8.5399999999999991</v>
      </c>
      <c r="MF348" s="24">
        <v>0</v>
      </c>
      <c r="MG348" s="24">
        <v>0</v>
      </c>
      <c r="MH348" s="24">
        <v>2.76</v>
      </c>
      <c r="MI348" s="24">
        <v>0</v>
      </c>
      <c r="MJ348" s="24">
        <v>9.52</v>
      </c>
      <c r="MK348" s="24">
        <v>36.909999999999997</v>
      </c>
      <c r="ML348" s="24">
        <v>26.15</v>
      </c>
      <c r="MM348" s="24">
        <v>1.97</v>
      </c>
      <c r="MN348" s="24">
        <v>60.18</v>
      </c>
      <c r="MO348" s="24">
        <v>0</v>
      </c>
      <c r="MP348" s="24">
        <v>0</v>
      </c>
      <c r="NC348" s="24">
        <v>0.1</v>
      </c>
      <c r="ND348" s="24">
        <v>0</v>
      </c>
      <c r="NO348" s="28"/>
      <c r="OG348" s="24">
        <v>1</v>
      </c>
      <c r="OH348" s="24">
        <v>50</v>
      </c>
      <c r="OI348" s="24">
        <v>4</v>
      </c>
      <c r="OJ348" s="24">
        <f>0.37*4</f>
        <v>1.48</v>
      </c>
      <c r="OK348" s="24">
        <v>3</v>
      </c>
      <c r="OL348" s="24">
        <v>40</v>
      </c>
      <c r="OM348" s="24">
        <v>6</v>
      </c>
      <c r="ON348" s="24">
        <v>2.2000000000000002</v>
      </c>
      <c r="OO348" s="24">
        <v>3</v>
      </c>
      <c r="OP348" s="24">
        <v>50</v>
      </c>
      <c r="OQ348" s="24">
        <v>1</v>
      </c>
      <c r="OR348" s="24">
        <v>0.06</v>
      </c>
      <c r="OS348" s="24">
        <v>1</v>
      </c>
      <c r="OT348" s="24">
        <v>60</v>
      </c>
      <c r="OU348" s="24">
        <v>3</v>
      </c>
      <c r="OV348" s="24">
        <v>0.19</v>
      </c>
      <c r="OW348" s="24">
        <v>4</v>
      </c>
      <c r="PR348" s="27">
        <v>1.1100000000000001</v>
      </c>
      <c r="PS348" s="27">
        <v>1</v>
      </c>
      <c r="PT348" s="27">
        <v>1</v>
      </c>
      <c r="PU348" s="27"/>
      <c r="PV348" s="27">
        <f>0.51*2+0.09+0.15*2+1.65+0.18+0.72</f>
        <v>3.96</v>
      </c>
      <c r="PW348" s="27"/>
      <c r="PX348" s="27"/>
      <c r="PY348" s="27"/>
      <c r="PZ348" s="27"/>
      <c r="QA348" s="27"/>
      <c r="QB348" s="27"/>
      <c r="QC348" s="27">
        <v>1.95</v>
      </c>
      <c r="QD348" s="27">
        <v>1.96</v>
      </c>
      <c r="QE348" s="27"/>
      <c r="QF348" s="27"/>
      <c r="QG348" s="27">
        <v>2.88</v>
      </c>
      <c r="QH348" s="27">
        <v>0</v>
      </c>
      <c r="QI348" s="27">
        <v>0</v>
      </c>
      <c r="QJ348" s="24">
        <v>2</v>
      </c>
      <c r="QK348" s="24" t="s">
        <v>783</v>
      </c>
      <c r="QL348" s="24">
        <v>35</v>
      </c>
      <c r="QM348" s="27">
        <v>89.3</v>
      </c>
      <c r="QN348" s="27">
        <v>83.4</v>
      </c>
      <c r="QO348" s="27">
        <v>12.6</v>
      </c>
      <c r="QP348" s="24">
        <v>87.93</v>
      </c>
      <c r="QQ348" s="24">
        <v>0</v>
      </c>
      <c r="QR348" s="24">
        <v>0</v>
      </c>
      <c r="QS348" s="24">
        <v>1.49</v>
      </c>
      <c r="QT348" s="24">
        <v>10.58</v>
      </c>
      <c r="QU348" s="24">
        <v>0</v>
      </c>
      <c r="QV348" s="24">
        <v>0</v>
      </c>
      <c r="QW348" s="24">
        <v>0</v>
      </c>
      <c r="QX348" s="24">
        <v>0</v>
      </c>
      <c r="QY348" s="24">
        <v>0</v>
      </c>
      <c r="QZ348" s="24">
        <v>0</v>
      </c>
      <c r="RA348" s="24">
        <v>0.17</v>
      </c>
      <c r="RB348" s="24">
        <v>38.78</v>
      </c>
      <c r="RC348" s="24">
        <v>29.47</v>
      </c>
      <c r="RD348" s="24">
        <v>0</v>
      </c>
      <c r="RE348" s="24">
        <v>0</v>
      </c>
      <c r="RF348" s="24">
        <v>4</v>
      </c>
      <c r="RG348" s="24">
        <v>1</v>
      </c>
      <c r="RH348" s="24">
        <v>3</v>
      </c>
      <c r="RJ348" s="24">
        <v>4</v>
      </c>
      <c r="RT348" s="24">
        <v>9.6999999999999993</v>
      </c>
      <c r="RU348" s="24">
        <v>1</v>
      </c>
      <c r="RV348" s="24">
        <v>68</v>
      </c>
      <c r="RW348" s="24">
        <v>1</v>
      </c>
      <c r="RX348" s="24">
        <v>0.02</v>
      </c>
      <c r="RY348" s="24">
        <v>1</v>
      </c>
      <c r="RZ348" s="24">
        <v>35</v>
      </c>
      <c r="SA348" s="24">
        <v>10</v>
      </c>
      <c r="SB348" s="24">
        <f>0.22*2+0.43*2+0.65+0.04+0.02+0.08</f>
        <v>2.0900000000000003</v>
      </c>
      <c r="SC348" s="24">
        <v>3</v>
      </c>
      <c r="SF348" s="28"/>
      <c r="SX348" s="24">
        <v>1</v>
      </c>
      <c r="SY348" s="24">
        <v>50</v>
      </c>
      <c r="SZ348" s="24">
        <f>4*3+3*4</f>
        <v>24</v>
      </c>
      <c r="TA348" s="24">
        <f>0.07+0.25+0.11+0.65+1.3+15</f>
        <v>17.38</v>
      </c>
      <c r="TB348" s="24">
        <v>1</v>
      </c>
      <c r="TC348" s="24">
        <v>40</v>
      </c>
      <c r="TD348" s="24">
        <v>18</v>
      </c>
      <c r="TE348" s="24">
        <f>0.87+0.17+0.08+0.34+1.73+0.43+0.87+0.07</f>
        <v>4.5600000000000005</v>
      </c>
      <c r="TF348" s="24">
        <v>1</v>
      </c>
      <c r="TG348" s="24">
        <v>40</v>
      </c>
      <c r="TH348" s="24">
        <v>2</v>
      </c>
      <c r="TI348" s="24">
        <v>0.12</v>
      </c>
      <c r="TJ348" s="24">
        <v>5</v>
      </c>
      <c r="TK348" s="24">
        <v>50</v>
      </c>
      <c r="TL348" s="24">
        <v>1</v>
      </c>
      <c r="TM348" s="24">
        <v>0.22</v>
      </c>
      <c r="TN348" s="24">
        <v>6</v>
      </c>
      <c r="TO348" s="24">
        <v>40</v>
      </c>
      <c r="TP348" s="24">
        <v>3</v>
      </c>
      <c r="TQ348" s="24">
        <v>0.16</v>
      </c>
      <c r="TR348" s="24">
        <v>6</v>
      </c>
      <c r="UI348" s="27">
        <v>0.68</v>
      </c>
      <c r="UJ348" s="27">
        <v>1</v>
      </c>
      <c r="UK348" s="27">
        <v>1</v>
      </c>
      <c r="UL348" s="27"/>
      <c r="UM348" s="27">
        <f>0.34+0.91+1.8+0.08+0.3</f>
        <v>3.4299999999999997</v>
      </c>
      <c r="UN348" s="27"/>
      <c r="UO348" s="27"/>
      <c r="UP348" s="27"/>
      <c r="UQ348" s="27"/>
      <c r="UR348" s="27"/>
      <c r="US348" s="27"/>
      <c r="UT348" s="27">
        <v>7.83</v>
      </c>
      <c r="UU348" s="27">
        <v>8.68</v>
      </c>
      <c r="UV348" s="27"/>
      <c r="UW348" s="27"/>
      <c r="UX348" s="27">
        <v>0</v>
      </c>
      <c r="UY348" s="27">
        <v>0</v>
      </c>
      <c r="UZ348" s="27">
        <v>0</v>
      </c>
      <c r="VA348" s="24">
        <v>0</v>
      </c>
      <c r="VB348" s="24" t="s">
        <v>784</v>
      </c>
      <c r="VC348" s="24">
        <v>38</v>
      </c>
      <c r="VD348" s="27">
        <v>92.6</v>
      </c>
      <c r="VE348" s="27">
        <v>83.4</v>
      </c>
      <c r="VF348" s="27">
        <v>16.5</v>
      </c>
      <c r="VG348" s="24">
        <v>77.87</v>
      </c>
      <c r="VH348" s="24">
        <v>0</v>
      </c>
      <c r="VI348" s="24">
        <v>0</v>
      </c>
      <c r="VJ348" s="24">
        <v>0</v>
      </c>
      <c r="VK348" s="24">
        <v>21.87</v>
      </c>
      <c r="VL348" s="24">
        <v>0</v>
      </c>
      <c r="VM348" s="24">
        <v>0</v>
      </c>
      <c r="VN348" s="24">
        <v>0</v>
      </c>
      <c r="VO348" s="24">
        <v>0</v>
      </c>
      <c r="VP348" s="24">
        <v>0</v>
      </c>
      <c r="VQ348" s="24">
        <v>0</v>
      </c>
      <c r="VR348" s="24">
        <v>0.28999999999999998</v>
      </c>
      <c r="VS348" s="24">
        <v>38.85</v>
      </c>
      <c r="VT348" s="24">
        <v>37.36</v>
      </c>
      <c r="VU348" s="24">
        <v>5.57</v>
      </c>
      <c r="VV348" s="24">
        <v>0</v>
      </c>
      <c r="VW348" s="24">
        <v>0</v>
      </c>
      <c r="VX348" s="24">
        <v>0</v>
      </c>
      <c r="WK348" s="24">
        <v>17.5</v>
      </c>
      <c r="WL348" s="24">
        <v>0</v>
      </c>
      <c r="WW348" s="28"/>
      <c r="XO348" s="24">
        <v>1</v>
      </c>
      <c r="XP348" s="24">
        <v>70</v>
      </c>
      <c r="XQ348" s="24">
        <f>8*3+3</f>
        <v>27</v>
      </c>
      <c r="XR348" s="24">
        <f>5.87*3+0.58</f>
        <v>18.189999999999998</v>
      </c>
      <c r="XS348" s="24">
        <v>1</v>
      </c>
      <c r="YZ348" s="27">
        <v>3.74</v>
      </c>
      <c r="ZA348" s="27">
        <v>1</v>
      </c>
      <c r="ZB348" s="27">
        <v>1</v>
      </c>
      <c r="ZC348" s="27"/>
      <c r="ZD348" s="27">
        <f>1.65+2.04*2+0.36*2+0.54</f>
        <v>6.99</v>
      </c>
      <c r="ZE348" s="27">
        <v>2</v>
      </c>
      <c r="ZF348" s="27"/>
      <c r="ZG348" s="27">
        <v>0.91</v>
      </c>
      <c r="ZH348" s="27"/>
      <c r="ZI348" s="27"/>
      <c r="ZJ348" s="27"/>
      <c r="ZK348" s="27">
        <v>0.19</v>
      </c>
      <c r="ZL348" s="27">
        <v>0.19</v>
      </c>
      <c r="ZM348" s="27"/>
      <c r="ZN348" s="27"/>
      <c r="ZO348" s="27">
        <v>0</v>
      </c>
      <c r="ZP348" s="27">
        <v>0</v>
      </c>
      <c r="ZQ348" s="27">
        <v>0</v>
      </c>
      <c r="ZR348" s="24">
        <v>0</v>
      </c>
      <c r="ZU348" s="15"/>
      <c r="ZV348" s="15"/>
      <c r="AAC348" s="15"/>
      <c r="AAD348" s="15"/>
      <c r="AAK348" s="15"/>
      <c r="AAL348" s="15"/>
      <c r="AAS348" s="15"/>
      <c r="AAT348" s="15"/>
      <c r="ABA348" s="15"/>
      <c r="ABB348" s="15"/>
      <c r="ABI348" s="15"/>
      <c r="ABJ348" s="15"/>
      <c r="ABQ348" s="15"/>
      <c r="ABR348" s="15"/>
      <c r="ABY348" s="15"/>
      <c r="ABZ348" s="15"/>
      <c r="ACG348" s="15"/>
      <c r="ACH348" s="15"/>
      <c r="ACO348" s="15"/>
      <c r="ACP348" s="15"/>
      <c r="ACW348" s="15"/>
      <c r="ACX348" s="15"/>
      <c r="ADE348" s="15"/>
      <c r="ADF348" s="15"/>
      <c r="ADM348" s="15"/>
      <c r="ADN348" s="15"/>
      <c r="ADU348" s="15"/>
      <c r="ADV348" s="15"/>
      <c r="AEC348" s="15"/>
      <c r="AED348" s="15"/>
      <c r="AEK348" s="15"/>
      <c r="AEL348" s="15"/>
      <c r="AES348" s="15"/>
      <c r="AET348" s="15"/>
      <c r="AFA348" s="15"/>
      <c r="AFB348" s="15"/>
      <c r="AFI348" s="15"/>
      <c r="AFJ348" s="15"/>
      <c r="AFQ348" s="15"/>
      <c r="AFR348" s="15"/>
      <c r="AFY348" s="15"/>
      <c r="AFZ348" s="15"/>
      <c r="AGG348" s="15"/>
      <c r="AGH348" s="15"/>
      <c r="AGO348" s="15"/>
      <c r="AGP348" s="15"/>
      <c r="AGW348" s="15"/>
      <c r="AGX348" s="15"/>
      <c r="AHE348" s="15"/>
      <c r="AHF348" s="15"/>
      <c r="AHM348" s="15"/>
      <c r="AHN348" s="15"/>
      <c r="AHU348" s="15"/>
      <c r="AHV348" s="15"/>
      <c r="AIC348" s="15"/>
      <c r="AID348" s="15"/>
      <c r="AIK348" s="15"/>
      <c r="AIL348" s="15"/>
      <c r="AIS348" s="15"/>
      <c r="AIT348" s="15"/>
      <c r="AJA348" s="15"/>
      <c r="AJB348" s="15"/>
      <c r="AJI348" s="15"/>
      <c r="AJJ348" s="15"/>
      <c r="AJQ348" s="15"/>
      <c r="AJR348" s="15"/>
      <c r="AJY348" s="15"/>
      <c r="AJZ348" s="15"/>
      <c r="AKG348" s="15"/>
      <c r="AKH348" s="15"/>
      <c r="AKO348" s="15"/>
      <c r="AKP348" s="15"/>
      <c r="AKW348" s="15"/>
      <c r="AKX348" s="15"/>
      <c r="ALE348" s="15"/>
      <c r="ALF348" s="15"/>
      <c r="ALM348" s="15"/>
      <c r="ALN348" s="15"/>
      <c r="ALU348" s="15"/>
      <c r="ALV348" s="15"/>
      <c r="AMC348" s="15"/>
      <c r="AMD348" s="15"/>
    </row>
    <row r="349" spans="1:1018" x14ac:dyDescent="0.2">
      <c r="A349" s="1" t="s">
        <v>939</v>
      </c>
      <c r="B349" s="12">
        <v>42926</v>
      </c>
      <c r="C349">
        <v>2</v>
      </c>
      <c r="D349" s="13">
        <v>40700</v>
      </c>
      <c r="E349" s="12">
        <v>24838</v>
      </c>
      <c r="F349" s="14">
        <f t="shared" si="120"/>
        <v>49.522245037645447</v>
      </c>
      <c r="G349" s="14">
        <f t="shared" si="121"/>
        <v>6.0944558521560577</v>
      </c>
      <c r="H349" s="19" t="s">
        <v>306</v>
      </c>
      <c r="I349" s="15" t="s">
        <v>777</v>
      </c>
      <c r="J349" s="21" t="s">
        <v>181</v>
      </c>
      <c r="K349" s="21" t="s">
        <v>913</v>
      </c>
      <c r="L349" s="19">
        <v>74</v>
      </c>
      <c r="M349">
        <v>1.72</v>
      </c>
      <c r="N349" s="16">
        <f t="shared" si="122"/>
        <v>25.013520822065985</v>
      </c>
      <c r="O349" s="19">
        <v>0</v>
      </c>
      <c r="P349" s="19">
        <v>0</v>
      </c>
      <c r="Q349" s="19">
        <v>0</v>
      </c>
      <c r="R349" s="26">
        <v>0</v>
      </c>
      <c r="S349" s="26">
        <v>0</v>
      </c>
      <c r="T349" s="26">
        <v>0</v>
      </c>
      <c r="U349" s="19">
        <v>0</v>
      </c>
      <c r="V349" s="19">
        <v>0</v>
      </c>
      <c r="W349" s="19">
        <v>0</v>
      </c>
      <c r="X349" s="19"/>
      <c r="Y349" s="19"/>
      <c r="Z349" s="19"/>
      <c r="AA349" s="19"/>
      <c r="AB349" s="19"/>
      <c r="AC349" s="19">
        <v>1</v>
      </c>
      <c r="AD349" s="19">
        <v>15</v>
      </c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  <c r="BJ349" s="19"/>
      <c r="BK349" s="19"/>
      <c r="BL349" s="19"/>
      <c r="BM349" s="19"/>
      <c r="BN349" s="19"/>
      <c r="BO349" s="19"/>
      <c r="BP349" s="19"/>
      <c r="BQ349" s="19"/>
      <c r="BR349" s="19">
        <v>3</v>
      </c>
      <c r="BS349" s="19">
        <v>3</v>
      </c>
      <c r="BT349" s="19">
        <v>4</v>
      </c>
      <c r="BU349" s="19">
        <v>5</v>
      </c>
      <c r="BV349" s="19">
        <v>3</v>
      </c>
      <c r="BW349" s="19">
        <v>5</v>
      </c>
      <c r="BX349" s="19">
        <v>4</v>
      </c>
      <c r="BY349" s="19">
        <v>5</v>
      </c>
      <c r="BZ349" s="19">
        <v>5</v>
      </c>
      <c r="CA349" s="19">
        <v>4</v>
      </c>
      <c r="CB349" s="19">
        <v>3</v>
      </c>
      <c r="CC349" s="19">
        <v>5</v>
      </c>
      <c r="CD349" s="19">
        <v>5</v>
      </c>
      <c r="CE349" s="19">
        <v>5</v>
      </c>
      <c r="CF349" s="19">
        <v>5</v>
      </c>
      <c r="CG349" s="19">
        <v>5</v>
      </c>
      <c r="CH349" s="19">
        <v>5</v>
      </c>
      <c r="CI349" s="19">
        <v>4</v>
      </c>
      <c r="CJ349" s="19">
        <v>5</v>
      </c>
      <c r="CK349" s="19">
        <v>10</v>
      </c>
      <c r="CL349" s="24" t="s">
        <v>779</v>
      </c>
      <c r="CM349" s="24">
        <v>43</v>
      </c>
      <c r="CN349" s="27">
        <v>91.8</v>
      </c>
      <c r="CO349" s="27">
        <v>83.4</v>
      </c>
      <c r="CP349" s="27">
        <v>25.8</v>
      </c>
      <c r="CQ349" s="24">
        <v>68.3</v>
      </c>
      <c r="CR349" s="24">
        <v>0</v>
      </c>
      <c r="CS349" s="24">
        <v>0</v>
      </c>
      <c r="CT349" s="24">
        <v>0</v>
      </c>
      <c r="CU349" s="24">
        <v>31.54</v>
      </c>
      <c r="CV349" s="24">
        <v>0</v>
      </c>
      <c r="CW349" s="24">
        <v>0</v>
      </c>
      <c r="CX349" s="24">
        <v>0</v>
      </c>
      <c r="CY349" s="24">
        <v>0</v>
      </c>
      <c r="CZ349" s="24">
        <v>0</v>
      </c>
      <c r="DA349" s="24">
        <v>0</v>
      </c>
      <c r="DB349" s="24">
        <v>48.27</v>
      </c>
      <c r="DC349" s="24">
        <v>58.3</v>
      </c>
      <c r="DD349" s="24">
        <v>1.34</v>
      </c>
      <c r="DE349" s="24">
        <v>0</v>
      </c>
      <c r="DF349" s="24">
        <v>0.16</v>
      </c>
      <c r="DG349" s="24">
        <v>0</v>
      </c>
      <c r="DH349" s="24">
        <v>0</v>
      </c>
      <c r="DU349" s="24">
        <v>11</v>
      </c>
      <c r="DV349" s="24">
        <v>1</v>
      </c>
      <c r="DW349" s="24">
        <v>30</v>
      </c>
      <c r="DX349" s="24">
        <v>1</v>
      </c>
      <c r="DY349" s="24">
        <v>0.73</v>
      </c>
      <c r="DZ349" s="24">
        <v>1</v>
      </c>
      <c r="EG349" s="28"/>
      <c r="EY349" s="24">
        <v>1</v>
      </c>
      <c r="EZ349" s="24">
        <v>60</v>
      </c>
      <c r="FA349" s="24">
        <v>14</v>
      </c>
      <c r="FB349" s="24">
        <f t="shared" ref="FB349:FB355" si="127">1.25+0.05+0.21+0.21+0.31+0.08</f>
        <v>2.11</v>
      </c>
      <c r="FC349" s="24">
        <v>6</v>
      </c>
      <c r="FD349" s="24">
        <v>50</v>
      </c>
      <c r="FE349" s="24">
        <v>8</v>
      </c>
      <c r="FF349" s="24">
        <f t="shared" si="126"/>
        <v>5.88</v>
      </c>
      <c r="FG349" s="24">
        <v>4</v>
      </c>
      <c r="GJ349" s="27">
        <v>2.4500000000000002</v>
      </c>
      <c r="GK349" s="27">
        <v>1</v>
      </c>
      <c r="GL349" s="27">
        <v>1</v>
      </c>
      <c r="GM349" s="27"/>
      <c r="GN349" s="27">
        <f t="shared" ref="GN349:GN355" si="128">0.03*2+0.16+0.46</f>
        <v>0.68</v>
      </c>
      <c r="GO349" s="27">
        <v>2</v>
      </c>
      <c r="GP349" s="27"/>
      <c r="GQ349" s="27">
        <f t="shared" ref="GQ349:GQ355" si="129">6.12+0.54</f>
        <v>6.66</v>
      </c>
      <c r="GR349" s="27"/>
      <c r="GS349" s="27"/>
      <c r="GT349" s="27"/>
      <c r="GU349" s="27">
        <v>3.68</v>
      </c>
      <c r="GV349" s="27">
        <v>1.63</v>
      </c>
      <c r="GW349" s="27"/>
      <c r="GX349" s="27"/>
      <c r="GY349" s="27">
        <v>0</v>
      </c>
      <c r="GZ349" s="27">
        <v>0</v>
      </c>
      <c r="HA349" s="27">
        <v>0</v>
      </c>
      <c r="HB349" s="24">
        <v>0</v>
      </c>
      <c r="HC349" s="24" t="s">
        <v>781</v>
      </c>
      <c r="HD349" s="24">
        <v>47.5</v>
      </c>
      <c r="HE349" s="27">
        <v>49.3</v>
      </c>
      <c r="HF349" s="27">
        <v>83.4</v>
      </c>
      <c r="HG349" s="27">
        <v>35.700000000000003</v>
      </c>
      <c r="HH349" s="24">
        <v>66.48</v>
      </c>
      <c r="HI349" s="24">
        <v>0</v>
      </c>
      <c r="HJ349" s="24">
        <v>6.11</v>
      </c>
      <c r="HK349" s="24">
        <v>0</v>
      </c>
      <c r="HL349" s="24">
        <v>9.56</v>
      </c>
      <c r="HM349" s="24">
        <v>0</v>
      </c>
      <c r="HN349" s="24">
        <v>6.1</v>
      </c>
      <c r="HO349" s="24">
        <v>3.05</v>
      </c>
      <c r="HP349" s="24">
        <v>0</v>
      </c>
      <c r="HQ349" s="24">
        <v>0</v>
      </c>
      <c r="HR349" s="24">
        <v>0</v>
      </c>
      <c r="HS349" s="24">
        <v>0</v>
      </c>
      <c r="HT349" s="24">
        <v>17.78</v>
      </c>
      <c r="HU349" s="24">
        <v>9.1300000000000008</v>
      </c>
      <c r="HV349" s="24">
        <v>2.7</v>
      </c>
      <c r="HW349" s="24">
        <v>11.73</v>
      </c>
      <c r="HX349" s="24">
        <v>0</v>
      </c>
      <c r="HY349" s="24">
        <v>0</v>
      </c>
      <c r="IL349" s="24">
        <v>5.7</v>
      </c>
      <c r="IM349" s="24">
        <v>1</v>
      </c>
      <c r="IN349" s="24">
        <v>30</v>
      </c>
      <c r="IO349" s="24">
        <v>10</v>
      </c>
      <c r="IP349" s="24">
        <f>0.15*2+0.16*8</f>
        <v>1.58</v>
      </c>
      <c r="IQ349" s="24">
        <v>3</v>
      </c>
      <c r="IX349" s="28"/>
      <c r="JP349" s="24">
        <v>1</v>
      </c>
      <c r="JQ349" s="24">
        <v>40</v>
      </c>
      <c r="JR349" s="24">
        <v>4</v>
      </c>
      <c r="JS349" s="24">
        <v>0.6</v>
      </c>
      <c r="JT349" s="24">
        <v>2</v>
      </c>
      <c r="LA349" s="27">
        <v>0.53</v>
      </c>
      <c r="LB349" s="27">
        <v>1</v>
      </c>
      <c r="LC349" s="27">
        <v>1</v>
      </c>
      <c r="LD349" s="27"/>
      <c r="LE349" s="27">
        <f>0.64*4+0.08</f>
        <v>2.64</v>
      </c>
      <c r="LF349" s="27"/>
      <c r="LG349" s="27"/>
      <c r="LH349" s="27"/>
      <c r="LI349" s="27"/>
      <c r="LJ349" s="27"/>
      <c r="LK349" s="27"/>
      <c r="LL349" s="27">
        <v>5.0599999999999996</v>
      </c>
      <c r="LM349" s="27">
        <v>1.58</v>
      </c>
      <c r="LN349" s="27"/>
      <c r="LO349" s="27"/>
      <c r="LP349" s="27">
        <v>0</v>
      </c>
      <c r="LQ349" s="27">
        <v>0</v>
      </c>
      <c r="LR349" s="27">
        <v>0</v>
      </c>
      <c r="LS349" s="24">
        <v>0</v>
      </c>
      <c r="LT349" s="24" t="s">
        <v>782</v>
      </c>
      <c r="LU349" s="24">
        <v>71</v>
      </c>
      <c r="LV349" s="27">
        <v>92</v>
      </c>
      <c r="LW349" s="27">
        <v>166.8</v>
      </c>
      <c r="LX349" s="27">
        <v>65</v>
      </c>
      <c r="LY349" s="24">
        <v>28.78</v>
      </c>
      <c r="LZ349" s="24">
        <v>0</v>
      </c>
      <c r="MA349" s="24">
        <v>0</v>
      </c>
      <c r="MB349" s="24">
        <v>0</v>
      </c>
      <c r="MC349" s="24">
        <v>2.5</v>
      </c>
      <c r="MD349" s="24">
        <v>0</v>
      </c>
      <c r="ME349" s="24">
        <v>8.5399999999999991</v>
      </c>
      <c r="MF349" s="24">
        <v>0</v>
      </c>
      <c r="MG349" s="24">
        <v>0</v>
      </c>
      <c r="MH349" s="24">
        <v>2.76</v>
      </c>
      <c r="MI349" s="24">
        <v>0</v>
      </c>
      <c r="MJ349" s="24">
        <v>9.52</v>
      </c>
      <c r="MK349" s="24">
        <v>36.909999999999997</v>
      </c>
      <c r="ML349" s="24">
        <v>26.15</v>
      </c>
      <c r="MM349" s="24">
        <v>1.97</v>
      </c>
      <c r="MN349" s="24">
        <v>60.18</v>
      </c>
      <c r="MO349" s="24">
        <v>0</v>
      </c>
      <c r="MP349" s="24">
        <v>0</v>
      </c>
      <c r="NC349" s="24">
        <v>0.1</v>
      </c>
      <c r="ND349" s="24">
        <v>0</v>
      </c>
      <c r="NO349" s="28"/>
      <c r="OG349" s="24">
        <v>1</v>
      </c>
      <c r="OH349" s="24">
        <v>50</v>
      </c>
      <c r="OI349" s="24">
        <v>4</v>
      </c>
      <c r="OJ349" s="24">
        <f>0.37*4</f>
        <v>1.48</v>
      </c>
      <c r="OK349" s="24">
        <v>3</v>
      </c>
      <c r="OL349" s="24">
        <v>40</v>
      </c>
      <c r="OM349" s="24">
        <v>6</v>
      </c>
      <c r="ON349" s="24">
        <v>2.2000000000000002</v>
      </c>
      <c r="OO349" s="24">
        <v>3</v>
      </c>
      <c r="OP349" s="24">
        <v>50</v>
      </c>
      <c r="OQ349" s="24">
        <v>1</v>
      </c>
      <c r="OR349" s="24">
        <v>0.06</v>
      </c>
      <c r="OS349" s="24">
        <v>1</v>
      </c>
      <c r="OT349" s="24">
        <v>60</v>
      </c>
      <c r="OU349" s="24">
        <v>3</v>
      </c>
      <c r="OV349" s="24">
        <v>0.19</v>
      </c>
      <c r="OW349" s="24">
        <v>4</v>
      </c>
      <c r="PR349" s="27">
        <v>1.1100000000000001</v>
      </c>
      <c r="PS349" s="27">
        <v>1</v>
      </c>
      <c r="PT349" s="27">
        <v>1</v>
      </c>
      <c r="PU349" s="27"/>
      <c r="PV349" s="27">
        <f>0.51*2+0.09+0.15*2+1.65+0.18+0.72</f>
        <v>3.96</v>
      </c>
      <c r="PW349" s="27"/>
      <c r="PX349" s="27"/>
      <c r="PY349" s="27"/>
      <c r="PZ349" s="27"/>
      <c r="QA349" s="27"/>
      <c r="QB349" s="27"/>
      <c r="QC349" s="27">
        <v>1.95</v>
      </c>
      <c r="QD349" s="27">
        <v>1.96</v>
      </c>
      <c r="QE349" s="27"/>
      <c r="QF349" s="27"/>
      <c r="QG349" s="27">
        <v>2.88</v>
      </c>
      <c r="QH349" s="27">
        <v>0</v>
      </c>
      <c r="QI349" s="27">
        <v>0</v>
      </c>
      <c r="QJ349" s="24">
        <v>2</v>
      </c>
      <c r="QK349" s="24" t="s">
        <v>783</v>
      </c>
      <c r="QL349" s="24">
        <v>35</v>
      </c>
      <c r="QM349" s="27">
        <v>89.3</v>
      </c>
      <c r="QN349" s="27">
        <v>83.4</v>
      </c>
      <c r="QO349" s="27">
        <v>12.6</v>
      </c>
      <c r="QP349" s="24">
        <v>87.93</v>
      </c>
      <c r="QQ349" s="24">
        <v>0</v>
      </c>
      <c r="QR349" s="24">
        <v>0</v>
      </c>
      <c r="QS349" s="24">
        <v>1.49</v>
      </c>
      <c r="QT349" s="24">
        <v>10.58</v>
      </c>
      <c r="QU349" s="24">
        <v>0</v>
      </c>
      <c r="QV349" s="24">
        <v>0</v>
      </c>
      <c r="QW349" s="24">
        <v>0</v>
      </c>
      <c r="QX349" s="24">
        <v>0</v>
      </c>
      <c r="QY349" s="24">
        <v>0</v>
      </c>
      <c r="QZ349" s="24">
        <v>0</v>
      </c>
      <c r="RA349" s="24">
        <v>0.17</v>
      </c>
      <c r="RB349" s="24">
        <v>38.78</v>
      </c>
      <c r="RC349" s="24">
        <v>29.47</v>
      </c>
      <c r="RD349" s="24">
        <v>0</v>
      </c>
      <c r="RE349" s="24">
        <v>0</v>
      </c>
      <c r="RF349" s="24">
        <v>4</v>
      </c>
      <c r="RG349" s="24">
        <v>1</v>
      </c>
      <c r="RH349" s="24">
        <v>3</v>
      </c>
      <c r="RJ349" s="24">
        <v>4</v>
      </c>
      <c r="RT349" s="24">
        <v>9.6999999999999993</v>
      </c>
      <c r="RU349" s="24">
        <v>1</v>
      </c>
      <c r="RV349" s="24">
        <v>68</v>
      </c>
      <c r="RW349" s="24">
        <v>1</v>
      </c>
      <c r="RX349" s="24">
        <v>0.02</v>
      </c>
      <c r="RY349" s="24">
        <v>1</v>
      </c>
      <c r="RZ349" s="24">
        <v>35</v>
      </c>
      <c r="SA349" s="24">
        <v>10</v>
      </c>
      <c r="SB349" s="24">
        <f>0.22*2+0.43*2+0.65+0.04+0.02+0.08</f>
        <v>2.0900000000000003</v>
      </c>
      <c r="SC349" s="24">
        <v>3</v>
      </c>
      <c r="SF349" s="28"/>
      <c r="SX349" s="24">
        <v>1</v>
      </c>
      <c r="SY349" s="24">
        <v>50</v>
      </c>
      <c r="SZ349" s="24">
        <f>4*3+3*4</f>
        <v>24</v>
      </c>
      <c r="TA349" s="24">
        <f>0.07+0.25+0.11+0.65+1.3+15</f>
        <v>17.38</v>
      </c>
      <c r="TB349" s="24">
        <v>1</v>
      </c>
      <c r="TC349" s="24">
        <v>40</v>
      </c>
      <c r="TD349" s="24">
        <v>18</v>
      </c>
      <c r="TE349" s="24">
        <f>0.87+0.17+0.08+0.34+1.73+0.43+0.87+0.07</f>
        <v>4.5600000000000005</v>
      </c>
      <c r="TF349" s="24">
        <v>1</v>
      </c>
      <c r="TG349" s="24">
        <v>40</v>
      </c>
      <c r="TH349" s="24">
        <v>2</v>
      </c>
      <c r="TI349" s="24">
        <v>0.12</v>
      </c>
      <c r="TJ349" s="24">
        <v>5</v>
      </c>
      <c r="TK349" s="24">
        <v>50</v>
      </c>
      <c r="TL349" s="24">
        <v>1</v>
      </c>
      <c r="TM349" s="24">
        <v>0.22</v>
      </c>
      <c r="TN349" s="24">
        <v>6</v>
      </c>
      <c r="TO349" s="24">
        <v>40</v>
      </c>
      <c r="TP349" s="24">
        <v>3</v>
      </c>
      <c r="TQ349" s="24">
        <v>0.16</v>
      </c>
      <c r="TR349" s="24">
        <v>6</v>
      </c>
      <c r="UI349" s="27">
        <v>0.68</v>
      </c>
      <c r="UJ349" s="27">
        <v>1</v>
      </c>
      <c r="UK349" s="27">
        <v>1</v>
      </c>
      <c r="UL349" s="27"/>
      <c r="UM349" s="27">
        <f>0.34+0.91+1.8+0.08+0.3</f>
        <v>3.4299999999999997</v>
      </c>
      <c r="UN349" s="27"/>
      <c r="UO349" s="27"/>
      <c r="UP349" s="27"/>
      <c r="UQ349" s="27"/>
      <c r="UR349" s="27"/>
      <c r="US349" s="27"/>
      <c r="UT349" s="27">
        <v>7.83</v>
      </c>
      <c r="UU349" s="27">
        <v>8.68</v>
      </c>
      <c r="UV349" s="27"/>
      <c r="UW349" s="27"/>
      <c r="UX349" s="27">
        <v>0</v>
      </c>
      <c r="UY349" s="27">
        <v>0</v>
      </c>
      <c r="UZ349" s="27">
        <v>0</v>
      </c>
      <c r="VA349" s="24">
        <v>0</v>
      </c>
      <c r="VB349" s="24" t="s">
        <v>784</v>
      </c>
      <c r="VC349" s="24">
        <v>38</v>
      </c>
      <c r="VD349" s="27">
        <v>92.6</v>
      </c>
      <c r="VE349" s="27">
        <v>83.4</v>
      </c>
      <c r="VF349" s="27">
        <v>16.5</v>
      </c>
      <c r="VG349" s="24">
        <v>77.87</v>
      </c>
      <c r="VH349" s="24">
        <v>0</v>
      </c>
      <c r="VI349" s="24">
        <v>0</v>
      </c>
      <c r="VJ349" s="24">
        <v>0</v>
      </c>
      <c r="VK349" s="24">
        <v>21.87</v>
      </c>
      <c r="VL349" s="24">
        <v>0</v>
      </c>
      <c r="VM349" s="24">
        <v>0</v>
      </c>
      <c r="VN349" s="24">
        <v>0</v>
      </c>
      <c r="VO349" s="24">
        <v>0</v>
      </c>
      <c r="VP349" s="24">
        <v>0</v>
      </c>
      <c r="VQ349" s="24">
        <v>0</v>
      </c>
      <c r="VR349" s="24">
        <v>0.28999999999999998</v>
      </c>
      <c r="VS349" s="24">
        <v>38.85</v>
      </c>
      <c r="VT349" s="24">
        <v>37.36</v>
      </c>
      <c r="VU349" s="24">
        <v>5.57</v>
      </c>
      <c r="VV349" s="24">
        <v>0</v>
      </c>
      <c r="VW349" s="24">
        <v>0</v>
      </c>
      <c r="VX349" s="24">
        <v>0</v>
      </c>
      <c r="WK349" s="24">
        <v>17.5</v>
      </c>
      <c r="WL349" s="24">
        <v>0</v>
      </c>
      <c r="WW349" s="28"/>
      <c r="XO349" s="24">
        <v>1</v>
      </c>
      <c r="XP349" s="24">
        <v>70</v>
      </c>
      <c r="XQ349" s="24">
        <f>8*3+3</f>
        <v>27</v>
      </c>
      <c r="XR349" s="24">
        <f>5.87*3+0.58</f>
        <v>18.189999999999998</v>
      </c>
      <c r="XS349" s="24">
        <v>1</v>
      </c>
      <c r="YZ349" s="27">
        <v>3.74</v>
      </c>
      <c r="ZA349" s="27">
        <v>1</v>
      </c>
      <c r="ZB349" s="27">
        <v>1</v>
      </c>
      <c r="ZC349" s="27"/>
      <c r="ZD349" s="27">
        <f>1.65+2.04*2+0.36*2+0.54</f>
        <v>6.99</v>
      </c>
      <c r="ZE349" s="27">
        <v>2</v>
      </c>
      <c r="ZF349" s="27"/>
      <c r="ZG349" s="27">
        <v>0.91</v>
      </c>
      <c r="ZH349" s="27"/>
      <c r="ZI349" s="27"/>
      <c r="ZJ349" s="27"/>
      <c r="ZK349" s="27">
        <v>0.19</v>
      </c>
      <c r="ZL349" s="27">
        <v>0.19</v>
      </c>
      <c r="ZM349" s="27"/>
      <c r="ZN349" s="27"/>
      <c r="ZO349" s="27">
        <v>0</v>
      </c>
      <c r="ZP349" s="27">
        <v>0</v>
      </c>
      <c r="ZQ349" s="27">
        <v>0</v>
      </c>
      <c r="ZR349" s="24">
        <v>0</v>
      </c>
      <c r="ZS349" s="24" t="s">
        <v>785</v>
      </c>
      <c r="ZT349" s="24">
        <v>37.5</v>
      </c>
      <c r="ZU349" s="27">
        <v>94.9</v>
      </c>
      <c r="ZV349" s="27">
        <v>83.4</v>
      </c>
      <c r="ZW349" s="27">
        <v>16</v>
      </c>
      <c r="ZX349" s="24">
        <v>79.430000000000007</v>
      </c>
      <c r="ZY349" s="24">
        <v>0</v>
      </c>
      <c r="ZZ349" s="24">
        <v>0</v>
      </c>
      <c r="AAA349" s="24">
        <v>0</v>
      </c>
      <c r="AAB349" s="24">
        <v>20.309999999999999</v>
      </c>
      <c r="AAC349" s="24">
        <v>0</v>
      </c>
      <c r="AAD349" s="24">
        <v>0</v>
      </c>
      <c r="AAE349" s="24">
        <v>0</v>
      </c>
      <c r="AAF349" s="24">
        <v>0</v>
      </c>
      <c r="AAG349" s="24">
        <v>0</v>
      </c>
      <c r="AAH349" s="24">
        <v>0</v>
      </c>
      <c r="AAI349" s="24">
        <v>0.28999999999999998</v>
      </c>
      <c r="AAJ349" s="24">
        <v>37.58</v>
      </c>
      <c r="AAK349" s="24">
        <v>37.76</v>
      </c>
      <c r="AAL349" s="24">
        <v>5.57</v>
      </c>
      <c r="AAM349" s="24">
        <v>0</v>
      </c>
      <c r="AAN349" s="24">
        <v>0</v>
      </c>
      <c r="AAO349" s="24">
        <v>0</v>
      </c>
      <c r="ABB349" s="24">
        <v>17.5</v>
      </c>
      <c r="ABC349" s="24">
        <v>0</v>
      </c>
      <c r="ABN349" s="28"/>
      <c r="ACF349" s="24">
        <v>1</v>
      </c>
      <c r="ACG349" s="24">
        <v>71</v>
      </c>
      <c r="ACH349" s="24">
        <f>8*3+3</f>
        <v>27</v>
      </c>
      <c r="ACI349" s="24">
        <f>5.87*3+0.58</f>
        <v>18.189999999999998</v>
      </c>
      <c r="ACJ349" s="24">
        <v>2</v>
      </c>
      <c r="ADQ349" s="27">
        <v>3.74</v>
      </c>
      <c r="ADR349" s="27">
        <v>1</v>
      </c>
      <c r="ADS349" s="27">
        <v>1</v>
      </c>
      <c r="ADT349" s="27"/>
      <c r="ADU349" s="27">
        <f>1.65+2.04*2+0.36*2+0.54</f>
        <v>6.99</v>
      </c>
      <c r="ADV349" s="27">
        <v>2</v>
      </c>
      <c r="ADW349" s="27"/>
      <c r="ADX349" s="27">
        <v>0.91</v>
      </c>
      <c r="ADY349" s="27">
        <v>1</v>
      </c>
      <c r="ADZ349" s="27">
        <v>1</v>
      </c>
      <c r="AEA349" s="27"/>
      <c r="AEB349" s="27">
        <v>0.19</v>
      </c>
      <c r="AEC349" s="27">
        <v>0.19</v>
      </c>
      <c r="AED349" s="27"/>
      <c r="AEE349" s="27"/>
      <c r="AEF349" s="27">
        <v>0</v>
      </c>
      <c r="AEG349" s="27">
        <v>0</v>
      </c>
      <c r="AEH349" s="27">
        <v>0</v>
      </c>
      <c r="AEI349" s="24">
        <v>0</v>
      </c>
      <c r="AEK349" s="15"/>
      <c r="AEL349" s="15"/>
      <c r="AES349" s="15"/>
      <c r="AET349" s="15"/>
      <c r="AFA349" s="15"/>
      <c r="AFB349" s="15"/>
      <c r="AFI349" s="15"/>
      <c r="AFJ349" s="15"/>
      <c r="AFQ349" s="15"/>
      <c r="AFR349" s="15"/>
      <c r="AFY349" s="15"/>
      <c r="AFZ349" s="15"/>
      <c r="AGG349" s="15"/>
      <c r="AGH349" s="15"/>
      <c r="AGO349" s="15"/>
      <c r="AGP349" s="15"/>
      <c r="AGW349" s="15"/>
      <c r="AGX349" s="15"/>
      <c r="AHE349" s="15"/>
      <c r="AHF349" s="15"/>
      <c r="AHM349" s="15"/>
      <c r="AHN349" s="15"/>
      <c r="AHU349" s="15"/>
      <c r="AHV349" s="15"/>
      <c r="AIC349" s="15"/>
      <c r="AID349" s="15"/>
      <c r="AIK349" s="15"/>
      <c r="AIL349" s="15"/>
      <c r="AIS349" s="15"/>
      <c r="AIT349" s="15"/>
      <c r="AJA349" s="15"/>
      <c r="AJB349" s="15"/>
      <c r="AJI349" s="15"/>
      <c r="AJJ349" s="15"/>
      <c r="AJQ349" s="15"/>
      <c r="AJR349" s="15"/>
      <c r="AJY349" s="15"/>
      <c r="AJZ349" s="15"/>
      <c r="AKG349" s="15"/>
      <c r="AKH349" s="15"/>
      <c r="AKO349" s="15"/>
      <c r="AKP349" s="15"/>
      <c r="AKW349" s="15"/>
      <c r="AKX349" s="15"/>
      <c r="ALE349" s="15"/>
      <c r="ALF349" s="15"/>
      <c r="ALM349" s="15"/>
      <c r="ALN349" s="15"/>
      <c r="ALU349" s="15"/>
      <c r="ALV349" s="15"/>
      <c r="AMC349" s="15"/>
      <c r="AMD349" s="15"/>
    </row>
    <row r="350" spans="1:1018" x14ac:dyDescent="0.2">
      <c r="A350" s="1" t="s">
        <v>940</v>
      </c>
      <c r="B350" s="12">
        <v>42926</v>
      </c>
      <c r="C350">
        <v>2</v>
      </c>
      <c r="D350" s="13">
        <v>42801</v>
      </c>
      <c r="E350" s="12">
        <v>35048</v>
      </c>
      <c r="F350" s="14">
        <f t="shared" si="120"/>
        <v>21.568788501026695</v>
      </c>
      <c r="G350" s="14">
        <f t="shared" si="121"/>
        <v>0.34223134839151265</v>
      </c>
      <c r="H350" s="19" t="s">
        <v>306</v>
      </c>
      <c r="I350" s="15" t="s">
        <v>777</v>
      </c>
      <c r="J350" s="21" t="s">
        <v>181</v>
      </c>
      <c r="K350" s="21" t="s">
        <v>913</v>
      </c>
      <c r="L350" s="19">
        <v>75</v>
      </c>
      <c r="M350">
        <v>1.82</v>
      </c>
      <c r="N350" s="16">
        <f t="shared" si="122"/>
        <v>22.642192971863299</v>
      </c>
      <c r="O350" s="19">
        <v>0</v>
      </c>
      <c r="P350" s="19">
        <v>0</v>
      </c>
      <c r="Q350" s="19">
        <v>0</v>
      </c>
      <c r="R350" s="26">
        <v>0</v>
      </c>
      <c r="S350" s="26">
        <v>0</v>
      </c>
      <c r="T350" s="26">
        <v>0</v>
      </c>
      <c r="U350" s="19">
        <v>0</v>
      </c>
      <c r="V350" s="19">
        <v>0</v>
      </c>
      <c r="W350" s="19">
        <v>0</v>
      </c>
      <c r="X350" s="19">
        <v>0</v>
      </c>
      <c r="Y350" s="19">
        <v>1</v>
      </c>
      <c r="Z350" s="19">
        <v>3</v>
      </c>
      <c r="AA350" s="19">
        <v>60</v>
      </c>
      <c r="AB350" s="19" t="s">
        <v>308</v>
      </c>
      <c r="AC350" s="19">
        <v>1</v>
      </c>
      <c r="AD350" s="19">
        <v>5</v>
      </c>
      <c r="AE350" s="19">
        <v>0</v>
      </c>
      <c r="AF350" s="19">
        <v>0</v>
      </c>
      <c r="AG350" s="19">
        <v>0</v>
      </c>
      <c r="AH350" s="19">
        <v>0</v>
      </c>
      <c r="AI350" s="19">
        <v>0</v>
      </c>
      <c r="AJ350" s="19">
        <v>0</v>
      </c>
      <c r="AK350" s="19">
        <v>0</v>
      </c>
      <c r="AL350" s="19">
        <v>0</v>
      </c>
      <c r="AM350" s="19">
        <v>0</v>
      </c>
      <c r="AN350" s="19">
        <v>0</v>
      </c>
      <c r="AO350" s="19">
        <v>0</v>
      </c>
      <c r="AP350" s="19">
        <v>0</v>
      </c>
      <c r="AQ350" s="19">
        <v>0</v>
      </c>
      <c r="AR350" s="19">
        <v>0</v>
      </c>
      <c r="AS350" s="19">
        <v>0</v>
      </c>
      <c r="AT350" s="19">
        <v>0</v>
      </c>
      <c r="AU350" s="19">
        <v>0</v>
      </c>
      <c r="AV350" s="19">
        <v>0</v>
      </c>
      <c r="AW350" s="19">
        <v>0</v>
      </c>
      <c r="AX350" s="19">
        <v>0</v>
      </c>
      <c r="AY350" s="19">
        <v>0</v>
      </c>
      <c r="AZ350" s="19">
        <v>0</v>
      </c>
      <c r="BA350" s="19">
        <v>0</v>
      </c>
      <c r="BB350" s="19">
        <v>0</v>
      </c>
      <c r="BC350" s="19">
        <v>0</v>
      </c>
      <c r="BD350" s="19">
        <v>0</v>
      </c>
      <c r="BE350" s="19">
        <v>0</v>
      </c>
      <c r="BF350" s="19">
        <v>0</v>
      </c>
      <c r="BG350" s="19">
        <v>0</v>
      </c>
      <c r="BH350" s="19">
        <v>0</v>
      </c>
      <c r="BI350" s="19">
        <v>0</v>
      </c>
      <c r="BJ350" s="19">
        <v>0</v>
      </c>
      <c r="BK350" s="19">
        <v>0</v>
      </c>
      <c r="BL350" s="19">
        <v>0</v>
      </c>
      <c r="BM350" s="19">
        <v>0</v>
      </c>
      <c r="BN350" s="19">
        <v>0</v>
      </c>
      <c r="BO350" s="19">
        <v>0</v>
      </c>
      <c r="BP350" s="19">
        <v>0</v>
      </c>
      <c r="BQ350" s="19">
        <v>0</v>
      </c>
      <c r="BR350" s="19">
        <v>1</v>
      </c>
      <c r="BS350" s="19">
        <v>2</v>
      </c>
      <c r="BT350" s="19">
        <v>3</v>
      </c>
      <c r="BU350" s="19">
        <v>5</v>
      </c>
      <c r="BV350" s="19">
        <v>1</v>
      </c>
      <c r="BW350" s="19">
        <v>1</v>
      </c>
      <c r="BX350" s="19">
        <v>2</v>
      </c>
      <c r="BY350" s="19">
        <v>4</v>
      </c>
      <c r="BZ350" s="19">
        <v>2</v>
      </c>
      <c r="CA350" s="19">
        <v>5</v>
      </c>
      <c r="CB350" s="19">
        <v>5</v>
      </c>
      <c r="CC350" s="19">
        <v>5</v>
      </c>
      <c r="CD350" s="19">
        <v>4</v>
      </c>
      <c r="CE350" s="19">
        <v>5</v>
      </c>
      <c r="CF350" s="19">
        <v>5</v>
      </c>
      <c r="CG350" s="19">
        <v>5</v>
      </c>
      <c r="CH350" s="19">
        <v>5</v>
      </c>
      <c r="CI350" s="19">
        <v>5</v>
      </c>
      <c r="CJ350" s="19">
        <v>5</v>
      </c>
      <c r="CK350" s="19">
        <v>8</v>
      </c>
      <c r="CL350" s="24" t="s">
        <v>779</v>
      </c>
      <c r="CM350" s="24">
        <v>43</v>
      </c>
      <c r="CN350" s="27">
        <v>91.8</v>
      </c>
      <c r="CO350" s="27">
        <v>83.4</v>
      </c>
      <c r="CP350" s="27">
        <v>25.8</v>
      </c>
      <c r="CQ350" s="24">
        <v>68.3</v>
      </c>
      <c r="CR350" s="24">
        <v>0</v>
      </c>
      <c r="CS350" s="24">
        <v>0</v>
      </c>
      <c r="CT350" s="24">
        <v>0</v>
      </c>
      <c r="CU350" s="24">
        <v>31.54</v>
      </c>
      <c r="CV350" s="24">
        <v>0</v>
      </c>
      <c r="CW350" s="24">
        <v>0</v>
      </c>
      <c r="CX350" s="24">
        <v>0</v>
      </c>
      <c r="CY350" s="24">
        <v>0</v>
      </c>
      <c r="CZ350" s="24">
        <v>0</v>
      </c>
      <c r="DA350" s="24">
        <v>0</v>
      </c>
      <c r="DB350" s="24">
        <v>48.27</v>
      </c>
      <c r="DC350" s="24">
        <v>58.3</v>
      </c>
      <c r="DD350" s="24">
        <v>1.34</v>
      </c>
      <c r="DE350" s="24">
        <v>0</v>
      </c>
      <c r="DF350" s="24">
        <v>0.16</v>
      </c>
      <c r="DG350" s="24">
        <v>0</v>
      </c>
      <c r="DH350" s="24">
        <v>0</v>
      </c>
      <c r="DU350" s="24">
        <v>11</v>
      </c>
      <c r="DV350" s="24">
        <v>1</v>
      </c>
      <c r="DW350" s="24">
        <v>30</v>
      </c>
      <c r="DX350" s="24">
        <v>1</v>
      </c>
      <c r="DY350" s="24">
        <v>0.73</v>
      </c>
      <c r="DZ350" s="24">
        <v>1</v>
      </c>
      <c r="EG350" s="28"/>
      <c r="EY350" s="24">
        <v>1</v>
      </c>
      <c r="EZ350" s="24">
        <v>60</v>
      </c>
      <c r="FA350" s="24">
        <v>14</v>
      </c>
      <c r="FB350" s="24">
        <f t="shared" si="127"/>
        <v>2.11</v>
      </c>
      <c r="FC350" s="24">
        <v>6</v>
      </c>
      <c r="FD350" s="24">
        <v>50</v>
      </c>
      <c r="FE350" s="24">
        <v>8</v>
      </c>
      <c r="FF350" s="24">
        <f t="shared" si="126"/>
        <v>5.88</v>
      </c>
      <c r="FG350" s="24">
        <v>4</v>
      </c>
      <c r="GJ350" s="27">
        <v>2.4500000000000002</v>
      </c>
      <c r="GK350" s="27">
        <v>1</v>
      </c>
      <c r="GL350" s="27">
        <v>1</v>
      </c>
      <c r="GM350" s="27"/>
      <c r="GN350" s="27">
        <f t="shared" si="128"/>
        <v>0.68</v>
      </c>
      <c r="GO350" s="27">
        <v>2</v>
      </c>
      <c r="GP350" s="27"/>
      <c r="GQ350" s="27">
        <f t="shared" si="129"/>
        <v>6.66</v>
      </c>
      <c r="GR350" s="27"/>
      <c r="GS350" s="27"/>
      <c r="GT350" s="27"/>
      <c r="GU350" s="27">
        <v>3.68</v>
      </c>
      <c r="GV350" s="27">
        <v>1.63</v>
      </c>
      <c r="GW350" s="27"/>
      <c r="GX350" s="27"/>
      <c r="GY350" s="27">
        <v>0</v>
      </c>
      <c r="GZ350" s="27">
        <v>0</v>
      </c>
      <c r="HA350" s="27">
        <v>0</v>
      </c>
      <c r="HB350" s="24">
        <v>0</v>
      </c>
      <c r="HC350" s="24" t="s">
        <v>780</v>
      </c>
      <c r="HD350" s="24">
        <v>46</v>
      </c>
      <c r="HE350" s="27">
        <v>101.6</v>
      </c>
      <c r="HF350" s="27">
        <v>83.4</v>
      </c>
      <c r="HG350" s="27">
        <v>27.8</v>
      </c>
      <c r="HH350" s="24">
        <v>66.040000000000006</v>
      </c>
      <c r="HI350" s="24">
        <v>0</v>
      </c>
      <c r="HJ350" s="24">
        <v>0</v>
      </c>
      <c r="HK350" s="24">
        <v>0</v>
      </c>
      <c r="HL350" s="24">
        <v>35.15</v>
      </c>
      <c r="HM350" s="24">
        <v>0</v>
      </c>
      <c r="HN350" s="24">
        <v>0</v>
      </c>
      <c r="HO350" s="24">
        <v>0</v>
      </c>
      <c r="HP350" s="24">
        <v>0</v>
      </c>
      <c r="HQ350" s="24">
        <v>0</v>
      </c>
      <c r="HR350" s="24">
        <v>0</v>
      </c>
      <c r="HS350" s="24">
        <v>43.27</v>
      </c>
      <c r="HT350" s="24">
        <v>65.02</v>
      </c>
      <c r="HU350" s="24">
        <v>6.59</v>
      </c>
      <c r="HV350" s="24">
        <v>0.88</v>
      </c>
      <c r="HW350" s="24">
        <v>0.16</v>
      </c>
      <c r="HX350" s="24">
        <v>0</v>
      </c>
      <c r="HY350" s="24">
        <v>0</v>
      </c>
      <c r="IL350" s="24">
        <v>14.9</v>
      </c>
      <c r="IM350" s="24">
        <v>1</v>
      </c>
      <c r="IN350" s="24">
        <v>30</v>
      </c>
      <c r="IO350" s="24">
        <v>1</v>
      </c>
      <c r="IP350" s="24">
        <v>0.73</v>
      </c>
      <c r="IQ350" s="24">
        <v>1</v>
      </c>
      <c r="IR350" s="24">
        <v>47</v>
      </c>
      <c r="IS350" s="24">
        <v>1</v>
      </c>
      <c r="IT350" s="24">
        <v>0.11</v>
      </c>
      <c r="IU350" s="24">
        <v>3</v>
      </c>
      <c r="IX350" s="28"/>
      <c r="JP350" s="24">
        <v>1</v>
      </c>
      <c r="JQ350" s="24">
        <v>60</v>
      </c>
      <c r="JR350" s="24">
        <v>4</v>
      </c>
      <c r="JS350" s="24">
        <v>1.68</v>
      </c>
      <c r="JT350" s="24">
        <v>6</v>
      </c>
      <c r="JU350" s="24">
        <v>50</v>
      </c>
      <c r="JV350" s="24">
        <v>8</v>
      </c>
      <c r="JW350" s="24">
        <f>2.94*2</f>
        <v>5.88</v>
      </c>
      <c r="JX350" s="24">
        <v>4</v>
      </c>
      <c r="JY350" s="24">
        <v>50</v>
      </c>
      <c r="JZ350" s="24">
        <v>4</v>
      </c>
      <c r="KA350" s="24">
        <v>0.76</v>
      </c>
      <c r="KB350" s="24">
        <v>6</v>
      </c>
      <c r="KC350" s="24">
        <v>80</v>
      </c>
      <c r="KD350" s="24">
        <v>8</v>
      </c>
      <c r="KE350" s="24">
        <f>0.31+0.21</f>
        <v>0.52</v>
      </c>
      <c r="KF350" s="24">
        <v>6</v>
      </c>
      <c r="LA350" s="27">
        <v>2.0499999999999998</v>
      </c>
      <c r="LB350" s="27">
        <v>1</v>
      </c>
      <c r="LC350" s="27">
        <v>1</v>
      </c>
      <c r="LD350" s="27"/>
      <c r="LE350" s="27">
        <f>6.12+0.54+0.36</f>
        <v>7.0200000000000005</v>
      </c>
      <c r="LF350" s="27">
        <v>2</v>
      </c>
      <c r="LG350" s="27"/>
      <c r="LH350" s="27">
        <v>6.01</v>
      </c>
      <c r="LI350" s="27"/>
      <c r="LJ350" s="27"/>
      <c r="LK350" s="27"/>
      <c r="LL350" s="27">
        <v>0.86</v>
      </c>
      <c r="LM350" s="27">
        <v>0.85</v>
      </c>
      <c r="LN350" s="27"/>
      <c r="LO350" s="27"/>
      <c r="LP350" s="27">
        <v>0</v>
      </c>
      <c r="LQ350" s="27">
        <v>0</v>
      </c>
      <c r="LR350" s="27">
        <v>0</v>
      </c>
      <c r="LS350" s="24">
        <v>0</v>
      </c>
      <c r="LT350" s="24">
        <v>100</v>
      </c>
      <c r="LU350" s="24">
        <v>29.5</v>
      </c>
      <c r="LV350" s="27">
        <v>94.9</v>
      </c>
      <c r="LW350" s="27">
        <v>83.4</v>
      </c>
      <c r="LX350" s="27">
        <v>17.600000000000001</v>
      </c>
      <c r="LY350" s="24">
        <v>85.6</v>
      </c>
      <c r="LZ350" s="24">
        <v>0</v>
      </c>
      <c r="MA350" s="24">
        <v>0</v>
      </c>
      <c r="MB350" s="24">
        <v>0</v>
      </c>
      <c r="MC350" s="24">
        <v>14.4</v>
      </c>
      <c r="MD350" s="24">
        <v>0</v>
      </c>
      <c r="ME350" s="24">
        <v>0</v>
      </c>
      <c r="MF350" s="24">
        <v>0</v>
      </c>
      <c r="MG350" s="24">
        <v>0</v>
      </c>
      <c r="MH350" s="24">
        <v>0</v>
      </c>
      <c r="MI350" s="24">
        <v>0</v>
      </c>
      <c r="MJ350" s="24">
        <v>1.95</v>
      </c>
      <c r="MK350" s="24">
        <v>9.4499999999999993</v>
      </c>
      <c r="ML350" s="24">
        <v>11.24</v>
      </c>
      <c r="MM350" s="24">
        <v>36.94</v>
      </c>
      <c r="MN350" s="24">
        <v>0</v>
      </c>
      <c r="MO350" s="24">
        <v>11.5</v>
      </c>
      <c r="MP350" s="24">
        <v>1</v>
      </c>
      <c r="MQ350" s="24">
        <v>5</v>
      </c>
      <c r="MS350" s="24">
        <v>4</v>
      </c>
      <c r="NC350" s="24">
        <v>0</v>
      </c>
      <c r="ND350" s="24">
        <v>0</v>
      </c>
      <c r="NO350" s="28"/>
      <c r="OG350" s="24">
        <v>0</v>
      </c>
      <c r="PR350" s="27">
        <v>0.2</v>
      </c>
      <c r="PS350" s="27">
        <v>1</v>
      </c>
      <c r="PT350" s="27">
        <v>1</v>
      </c>
      <c r="PU350" s="27"/>
      <c r="PV350" s="27">
        <f>0.14+0.23+0.07+0.21</f>
        <v>0.65</v>
      </c>
      <c r="PW350" s="27"/>
      <c r="PX350" s="27"/>
      <c r="PY350" s="27"/>
      <c r="PZ350" s="27"/>
      <c r="QA350" s="27"/>
      <c r="QB350" s="27"/>
      <c r="QC350" s="27">
        <v>0.23</v>
      </c>
      <c r="QD350" s="27">
        <v>0.23</v>
      </c>
      <c r="QE350" s="27"/>
      <c r="QF350" s="27"/>
      <c r="QG350" s="27">
        <v>0</v>
      </c>
      <c r="QH350" s="27">
        <v>0</v>
      </c>
      <c r="QI350" s="27">
        <v>0</v>
      </c>
      <c r="QJ350" s="24">
        <v>0</v>
      </c>
      <c r="QK350" s="24" t="s">
        <v>781</v>
      </c>
      <c r="QL350" s="24">
        <v>47.5</v>
      </c>
      <c r="QM350" s="27">
        <v>49.3</v>
      </c>
      <c r="QN350" s="27">
        <v>83.4</v>
      </c>
      <c r="QO350" s="27">
        <v>35.700000000000003</v>
      </c>
      <c r="QP350" s="24">
        <v>66.48</v>
      </c>
      <c r="QQ350" s="24">
        <v>0</v>
      </c>
      <c r="QR350" s="24">
        <v>6.11</v>
      </c>
      <c r="QS350" s="24">
        <v>0</v>
      </c>
      <c r="QT350" s="24">
        <v>9.56</v>
      </c>
      <c r="QU350" s="24">
        <v>0</v>
      </c>
      <c r="QV350" s="24">
        <v>6.1</v>
      </c>
      <c r="QW350" s="24">
        <v>3.05</v>
      </c>
      <c r="QX350" s="24">
        <v>0</v>
      </c>
      <c r="QY350" s="24">
        <v>0</v>
      </c>
      <c r="QZ350" s="24">
        <v>0</v>
      </c>
      <c r="RA350" s="24">
        <v>0</v>
      </c>
      <c r="RB350" s="24">
        <v>17.78</v>
      </c>
      <c r="RC350" s="24">
        <v>9.1300000000000008</v>
      </c>
      <c r="RD350" s="24">
        <v>2.7</v>
      </c>
      <c r="RE350" s="24">
        <v>11.73</v>
      </c>
      <c r="RF350" s="24">
        <v>0</v>
      </c>
      <c r="RG350" s="24">
        <v>0</v>
      </c>
      <c r="RT350" s="24">
        <v>5.7</v>
      </c>
      <c r="RU350" s="24">
        <v>1</v>
      </c>
      <c r="RV350" s="24">
        <v>30</v>
      </c>
      <c r="RW350" s="24">
        <v>10</v>
      </c>
      <c r="RX350" s="24">
        <f>0.15*2+0.16*8</f>
        <v>1.58</v>
      </c>
      <c r="RY350" s="24">
        <v>3</v>
      </c>
      <c r="SF350" s="28"/>
      <c r="SX350" s="24">
        <v>1</v>
      </c>
      <c r="SY350" s="24">
        <v>40</v>
      </c>
      <c r="SZ350" s="24">
        <v>4</v>
      </c>
      <c r="TA350" s="24">
        <v>0.6</v>
      </c>
      <c r="TB350" s="24">
        <v>2</v>
      </c>
      <c r="UI350" s="27">
        <v>0.53</v>
      </c>
      <c r="UJ350" s="27">
        <v>1</v>
      </c>
      <c r="UK350" s="27">
        <v>1</v>
      </c>
      <c r="UL350" s="27"/>
      <c r="UM350" s="27">
        <f>0.64*4+0.08</f>
        <v>2.64</v>
      </c>
      <c r="UN350" s="27"/>
      <c r="UO350" s="27"/>
      <c r="UP350" s="27"/>
      <c r="UQ350" s="27"/>
      <c r="UR350" s="27"/>
      <c r="US350" s="27"/>
      <c r="UT350" s="27">
        <v>5.0599999999999996</v>
      </c>
      <c r="UU350" s="27">
        <v>1.58</v>
      </c>
      <c r="UV350" s="27"/>
      <c r="UW350" s="27"/>
      <c r="UX350" s="27">
        <v>0</v>
      </c>
      <c r="UY350" s="27">
        <v>0</v>
      </c>
      <c r="UZ350" s="27">
        <v>0</v>
      </c>
      <c r="VA350" s="24">
        <v>0</v>
      </c>
      <c r="VB350" s="24" t="s">
        <v>782</v>
      </c>
      <c r="VC350" s="24">
        <v>71</v>
      </c>
      <c r="VD350" s="27">
        <v>92</v>
      </c>
      <c r="VE350" s="27">
        <v>166.8</v>
      </c>
      <c r="VF350" s="27">
        <v>65</v>
      </c>
      <c r="VG350" s="24">
        <v>28.78</v>
      </c>
      <c r="VH350" s="24">
        <v>0</v>
      </c>
      <c r="VI350" s="24">
        <v>0</v>
      </c>
      <c r="VJ350" s="24">
        <v>0</v>
      </c>
      <c r="VK350" s="24">
        <v>2.5</v>
      </c>
      <c r="VL350" s="24">
        <v>0</v>
      </c>
      <c r="VM350" s="24">
        <v>8.5399999999999991</v>
      </c>
      <c r="VN350" s="24">
        <v>0</v>
      </c>
      <c r="VO350" s="24">
        <v>0</v>
      </c>
      <c r="VP350" s="24">
        <v>2.76</v>
      </c>
      <c r="VQ350" s="24">
        <v>0</v>
      </c>
      <c r="VR350" s="24">
        <v>9.52</v>
      </c>
      <c r="VS350" s="24">
        <v>36.909999999999997</v>
      </c>
      <c r="VT350" s="24">
        <v>26.15</v>
      </c>
      <c r="VU350" s="24">
        <v>1.97</v>
      </c>
      <c r="VV350" s="24">
        <v>60.18</v>
      </c>
      <c r="VW350" s="24">
        <v>0</v>
      </c>
      <c r="VX350" s="24">
        <v>0</v>
      </c>
      <c r="WK350" s="24">
        <v>0.1</v>
      </c>
      <c r="WL350" s="24">
        <v>0</v>
      </c>
      <c r="WW350" s="28"/>
      <c r="XO350" s="24">
        <v>1</v>
      </c>
      <c r="XP350" s="24">
        <v>50</v>
      </c>
      <c r="XQ350" s="24">
        <v>4</v>
      </c>
      <c r="XR350" s="24">
        <f>0.37*4</f>
        <v>1.48</v>
      </c>
      <c r="XS350" s="24">
        <v>3</v>
      </c>
      <c r="XT350" s="24">
        <v>40</v>
      </c>
      <c r="XU350" s="24">
        <v>6</v>
      </c>
      <c r="XV350" s="24">
        <v>2.2000000000000002</v>
      </c>
      <c r="XW350" s="24">
        <v>3</v>
      </c>
      <c r="XX350" s="24">
        <v>50</v>
      </c>
      <c r="XY350" s="24">
        <v>1</v>
      </c>
      <c r="XZ350" s="24">
        <v>0.06</v>
      </c>
      <c r="YA350" s="24">
        <v>1</v>
      </c>
      <c r="YB350" s="24">
        <v>60</v>
      </c>
      <c r="YC350" s="24">
        <v>3</v>
      </c>
      <c r="YD350" s="24">
        <v>0.19</v>
      </c>
      <c r="YE350" s="24">
        <v>4</v>
      </c>
      <c r="YZ350" s="27">
        <v>1.1100000000000001</v>
      </c>
      <c r="ZA350" s="27">
        <v>1</v>
      </c>
      <c r="ZB350" s="27">
        <v>1</v>
      </c>
      <c r="ZC350" s="27"/>
      <c r="ZD350" s="27">
        <f>0.51*2+0.09+0.15*2+1.65+0.18+0.72</f>
        <v>3.96</v>
      </c>
      <c r="ZE350" s="27"/>
      <c r="ZF350" s="27"/>
      <c r="ZG350" s="27"/>
      <c r="ZH350" s="27"/>
      <c r="ZI350" s="27"/>
      <c r="ZJ350" s="27"/>
      <c r="ZK350" s="27">
        <v>1.95</v>
      </c>
      <c r="ZL350" s="27">
        <v>1.96</v>
      </c>
      <c r="ZM350" s="27"/>
      <c r="ZN350" s="27"/>
      <c r="ZO350" s="27">
        <v>2.88</v>
      </c>
      <c r="ZP350" s="27">
        <v>0</v>
      </c>
      <c r="ZQ350" s="27">
        <v>0</v>
      </c>
      <c r="ZR350" s="24">
        <v>2</v>
      </c>
      <c r="ZS350" s="24" t="s">
        <v>783</v>
      </c>
      <c r="ZT350" s="24">
        <v>35</v>
      </c>
      <c r="ZU350" s="27">
        <v>89.3</v>
      </c>
      <c r="ZV350" s="27">
        <v>83.4</v>
      </c>
      <c r="ZW350" s="27">
        <v>12.6</v>
      </c>
      <c r="ZX350" s="24">
        <v>87.93</v>
      </c>
      <c r="ZY350" s="24">
        <v>0</v>
      </c>
      <c r="ZZ350" s="24">
        <v>0</v>
      </c>
      <c r="AAA350" s="24">
        <v>1.49</v>
      </c>
      <c r="AAB350" s="24">
        <v>10.58</v>
      </c>
      <c r="AAC350" s="24">
        <v>0</v>
      </c>
      <c r="AAD350" s="24">
        <v>0</v>
      </c>
      <c r="AAE350" s="24">
        <v>0</v>
      </c>
      <c r="AAF350" s="24">
        <v>0</v>
      </c>
      <c r="AAG350" s="24">
        <v>0</v>
      </c>
      <c r="AAH350" s="24">
        <v>0</v>
      </c>
      <c r="AAI350" s="24">
        <v>0.17</v>
      </c>
      <c r="AAJ350" s="24">
        <v>38.78</v>
      </c>
      <c r="AAK350" s="24">
        <v>29.47</v>
      </c>
      <c r="AAL350" s="24">
        <v>0</v>
      </c>
      <c r="AAM350" s="24">
        <v>0</v>
      </c>
      <c r="AAN350" s="24">
        <v>4</v>
      </c>
      <c r="AAO350" s="24">
        <v>1</v>
      </c>
      <c r="AAP350" s="24">
        <v>3</v>
      </c>
      <c r="AAR350" s="24">
        <v>4</v>
      </c>
      <c r="ABB350" s="24">
        <v>9.6999999999999993</v>
      </c>
      <c r="ABC350" s="24">
        <v>1</v>
      </c>
      <c r="ABD350" s="24">
        <v>68</v>
      </c>
      <c r="ABE350" s="24">
        <v>1</v>
      </c>
      <c r="ABF350" s="24">
        <v>0.02</v>
      </c>
      <c r="ABG350" s="24">
        <v>1</v>
      </c>
      <c r="ABH350" s="24">
        <v>35</v>
      </c>
      <c r="ABI350" s="24">
        <v>10</v>
      </c>
      <c r="ABJ350" s="24">
        <f>0.22*2+0.43*2+0.65+0.04+0.02+0.08</f>
        <v>2.0900000000000003</v>
      </c>
      <c r="ABK350" s="24">
        <v>3</v>
      </c>
      <c r="ABN350" s="28"/>
      <c r="ACF350" s="24">
        <v>1</v>
      </c>
      <c r="ACG350" s="24">
        <v>50</v>
      </c>
      <c r="ACH350" s="24">
        <f>4*3+3*4</f>
        <v>24</v>
      </c>
      <c r="ACI350" s="24">
        <f>0.07+0.25+0.11+0.65+1.3+15</f>
        <v>17.38</v>
      </c>
      <c r="ACJ350" s="24">
        <v>1</v>
      </c>
      <c r="ACK350" s="24">
        <v>40</v>
      </c>
      <c r="ACL350" s="24">
        <v>18</v>
      </c>
      <c r="ACM350" s="24">
        <f>0.87+0.17+0.08+0.34+1.73+0.43+0.87+0.07</f>
        <v>4.5600000000000005</v>
      </c>
      <c r="ACN350" s="24">
        <v>1</v>
      </c>
      <c r="ACO350" s="24">
        <v>40</v>
      </c>
      <c r="ACP350" s="24">
        <v>2</v>
      </c>
      <c r="ACQ350" s="24">
        <v>0.12</v>
      </c>
      <c r="ACR350" s="24">
        <v>5</v>
      </c>
      <c r="ACS350" s="24">
        <v>50</v>
      </c>
      <c r="ACT350" s="24">
        <v>1</v>
      </c>
      <c r="ACU350" s="24">
        <v>0.22</v>
      </c>
      <c r="ACV350" s="24">
        <v>6</v>
      </c>
      <c r="ACW350" s="24">
        <v>40</v>
      </c>
      <c r="ACX350" s="24">
        <v>3</v>
      </c>
      <c r="ACY350" s="24">
        <v>0.16</v>
      </c>
      <c r="ACZ350" s="24">
        <v>6</v>
      </c>
      <c r="ADQ350" s="27">
        <v>0.68</v>
      </c>
      <c r="ADR350" s="27">
        <v>1</v>
      </c>
      <c r="ADS350" s="27">
        <v>1</v>
      </c>
      <c r="ADT350" s="27"/>
      <c r="ADU350" s="27">
        <f>0.34+0.91+1.8+0.08+0.3</f>
        <v>3.4299999999999997</v>
      </c>
      <c r="ADV350" s="27"/>
      <c r="ADW350" s="27"/>
      <c r="ADX350" s="27"/>
      <c r="ADY350" s="27"/>
      <c r="ADZ350" s="27"/>
      <c r="AEA350" s="27"/>
      <c r="AEB350" s="27">
        <v>7.83</v>
      </c>
      <c r="AEC350" s="27">
        <v>8.68</v>
      </c>
      <c r="AED350" s="27"/>
      <c r="AEE350" s="27"/>
      <c r="AEF350" s="27">
        <v>0</v>
      </c>
      <c r="AEG350" s="27">
        <v>0</v>
      </c>
      <c r="AEH350" s="27">
        <v>0</v>
      </c>
      <c r="AEI350" s="24">
        <v>0</v>
      </c>
      <c r="AEJ350" s="24" t="s">
        <v>784</v>
      </c>
      <c r="AEK350" s="24">
        <v>38</v>
      </c>
      <c r="AEL350" s="27">
        <v>92.6</v>
      </c>
      <c r="AEM350" s="27">
        <v>83.4</v>
      </c>
      <c r="AEN350" s="27">
        <v>16.5</v>
      </c>
      <c r="AEO350" s="24">
        <v>77.87</v>
      </c>
      <c r="AEP350" s="24">
        <v>0</v>
      </c>
      <c r="AEQ350" s="24">
        <v>0</v>
      </c>
      <c r="AER350" s="24">
        <v>0</v>
      </c>
      <c r="AES350" s="24">
        <v>21.87</v>
      </c>
      <c r="AET350" s="24">
        <v>0</v>
      </c>
      <c r="AEU350" s="24">
        <v>0</v>
      </c>
      <c r="AEV350" s="24">
        <v>0</v>
      </c>
      <c r="AEW350" s="24">
        <v>0</v>
      </c>
      <c r="AEX350" s="24">
        <v>0</v>
      </c>
      <c r="AEY350" s="24">
        <v>0</v>
      </c>
      <c r="AEZ350" s="24">
        <v>0.28999999999999998</v>
      </c>
      <c r="AFA350" s="24">
        <v>38.85</v>
      </c>
      <c r="AFB350" s="24">
        <v>37.36</v>
      </c>
      <c r="AFC350" s="24">
        <v>5.57</v>
      </c>
      <c r="AFD350" s="24">
        <v>0</v>
      </c>
      <c r="AFE350" s="24">
        <v>0</v>
      </c>
      <c r="AFF350" s="24">
        <v>0</v>
      </c>
      <c r="AFS350" s="24">
        <v>17.5</v>
      </c>
      <c r="AFT350" s="24">
        <v>0</v>
      </c>
      <c r="AGE350" s="28"/>
      <c r="AGW350" s="24">
        <v>1</v>
      </c>
      <c r="AGX350" s="24">
        <v>70</v>
      </c>
      <c r="AGY350" s="24">
        <f>8*3+3</f>
        <v>27</v>
      </c>
      <c r="AGZ350" s="24">
        <f>5.87*3+0.58</f>
        <v>18.189999999999998</v>
      </c>
      <c r="AHA350" s="24">
        <v>1</v>
      </c>
      <c r="AIH350" s="27">
        <v>3.74</v>
      </c>
      <c r="AII350" s="27">
        <v>1</v>
      </c>
      <c r="AIJ350" s="27">
        <v>1</v>
      </c>
      <c r="AIK350" s="27"/>
      <c r="AIL350" s="27">
        <f>1.65+2.04*2+0.36*2+0.54</f>
        <v>6.99</v>
      </c>
      <c r="AIM350" s="27">
        <v>2</v>
      </c>
      <c r="AIN350" s="27"/>
      <c r="AIO350" s="27">
        <v>0.91</v>
      </c>
      <c r="AIP350" s="27"/>
      <c r="AIQ350" s="27"/>
      <c r="AIR350" s="27"/>
      <c r="AIS350" s="27">
        <v>0.19</v>
      </c>
      <c r="AIT350" s="27">
        <v>0.19</v>
      </c>
      <c r="AIU350" s="27"/>
      <c r="AIV350" s="27"/>
      <c r="AIW350" s="27">
        <v>0</v>
      </c>
      <c r="AIX350" s="27">
        <v>0</v>
      </c>
      <c r="AIY350" s="27">
        <v>0</v>
      </c>
      <c r="AIZ350" s="24">
        <v>0</v>
      </c>
      <c r="AJA350" s="24" t="s">
        <v>785</v>
      </c>
      <c r="AJB350" s="24">
        <v>37.5</v>
      </c>
      <c r="AJC350" s="27">
        <v>94.9</v>
      </c>
      <c r="AJD350" s="27">
        <v>83.4</v>
      </c>
      <c r="AJE350" s="27">
        <v>16</v>
      </c>
      <c r="AJF350" s="24">
        <v>79.430000000000007</v>
      </c>
      <c r="AJG350" s="24">
        <v>0</v>
      </c>
      <c r="AJH350" s="24">
        <v>0</v>
      </c>
      <c r="AJI350" s="24">
        <v>0</v>
      </c>
      <c r="AJJ350" s="24">
        <v>20.309999999999999</v>
      </c>
      <c r="AJK350" s="24">
        <v>0</v>
      </c>
      <c r="AJL350" s="24">
        <v>0</v>
      </c>
      <c r="AJM350" s="24">
        <v>0</v>
      </c>
      <c r="AJN350" s="24">
        <v>0</v>
      </c>
      <c r="AJO350" s="24">
        <v>0</v>
      </c>
      <c r="AJP350" s="24">
        <v>0</v>
      </c>
      <c r="AJQ350" s="24">
        <v>0.28999999999999998</v>
      </c>
      <c r="AJR350" s="24">
        <v>37.58</v>
      </c>
      <c r="AJS350" s="24">
        <v>37.76</v>
      </c>
      <c r="AJT350" s="24">
        <v>5.57</v>
      </c>
      <c r="AJU350" s="24">
        <v>0</v>
      </c>
      <c r="AJV350" s="24">
        <v>0</v>
      </c>
      <c r="AJW350" s="24">
        <v>0</v>
      </c>
      <c r="AKJ350" s="24">
        <v>17.5</v>
      </c>
      <c r="AKK350" s="24">
        <v>0</v>
      </c>
      <c r="AKV350" s="28"/>
      <c r="ALN350" s="24">
        <v>1</v>
      </c>
      <c r="ALO350" s="24">
        <v>71</v>
      </c>
      <c r="ALP350" s="24">
        <f>8*3+3</f>
        <v>27</v>
      </c>
      <c r="ALQ350" s="24">
        <f>5.87*3+0.58</f>
        <v>18.189999999999998</v>
      </c>
      <c r="ALR350" s="24">
        <v>2</v>
      </c>
    </row>
    <row r="351" spans="1:1018" x14ac:dyDescent="0.2">
      <c r="A351" s="1" t="s">
        <v>941</v>
      </c>
      <c r="B351" s="12">
        <v>42926</v>
      </c>
      <c r="C351">
        <v>2</v>
      </c>
      <c r="D351" s="13">
        <v>42797</v>
      </c>
      <c r="E351" s="12">
        <v>33683</v>
      </c>
      <c r="F351" s="14">
        <f t="shared" si="120"/>
        <v>25.305954825462013</v>
      </c>
      <c r="G351" s="14">
        <f t="shared" si="121"/>
        <v>0.35318275154004108</v>
      </c>
      <c r="H351" s="19" t="s">
        <v>306</v>
      </c>
      <c r="I351" s="15" t="s">
        <v>777</v>
      </c>
      <c r="J351" s="21" t="s">
        <v>181</v>
      </c>
      <c r="K351" s="21" t="s">
        <v>913</v>
      </c>
      <c r="L351" s="19">
        <v>70</v>
      </c>
      <c r="M351">
        <v>1.71</v>
      </c>
      <c r="N351" s="16">
        <f t="shared" si="122"/>
        <v>23.938989774631512</v>
      </c>
      <c r="O351" s="19">
        <v>0</v>
      </c>
      <c r="P351" s="19">
        <v>0</v>
      </c>
      <c r="Q351" s="19">
        <v>0</v>
      </c>
      <c r="R351" s="26">
        <v>0</v>
      </c>
      <c r="S351" s="26">
        <v>0</v>
      </c>
      <c r="T351" s="26">
        <v>0</v>
      </c>
      <c r="U351" s="19">
        <v>1</v>
      </c>
      <c r="V351" s="19">
        <v>5</v>
      </c>
      <c r="W351" s="19">
        <v>1</v>
      </c>
      <c r="X351" s="19">
        <v>0</v>
      </c>
      <c r="Y351" s="19">
        <v>1</v>
      </c>
      <c r="Z351" s="19">
        <v>3</v>
      </c>
      <c r="AA351" s="19">
        <v>120</v>
      </c>
      <c r="AB351" s="19" t="s">
        <v>308</v>
      </c>
      <c r="AC351" s="19">
        <v>1</v>
      </c>
      <c r="AD351" s="19">
        <v>5</v>
      </c>
      <c r="AE351" s="19">
        <v>1</v>
      </c>
      <c r="AF351" s="19">
        <v>0</v>
      </c>
      <c r="AG351" s="19">
        <v>0</v>
      </c>
      <c r="AH351" s="19">
        <v>0</v>
      </c>
      <c r="AI351" s="19">
        <v>1</v>
      </c>
      <c r="AJ351" s="19">
        <v>0</v>
      </c>
      <c r="AK351" s="19">
        <v>0</v>
      </c>
      <c r="AL351" s="19">
        <v>0</v>
      </c>
      <c r="AM351" s="19">
        <v>0</v>
      </c>
      <c r="AN351" s="19">
        <v>0</v>
      </c>
      <c r="AO351" s="19">
        <v>0</v>
      </c>
      <c r="AP351" s="19">
        <v>0</v>
      </c>
      <c r="AQ351" s="19">
        <v>0</v>
      </c>
      <c r="AR351" s="19">
        <v>0</v>
      </c>
      <c r="AS351" s="19">
        <v>0</v>
      </c>
      <c r="AT351" s="19">
        <v>0</v>
      </c>
      <c r="AU351" s="19">
        <v>0</v>
      </c>
      <c r="AV351" s="19">
        <v>0</v>
      </c>
      <c r="AW351" s="19">
        <v>0</v>
      </c>
      <c r="AX351" s="19">
        <v>1</v>
      </c>
      <c r="AY351" s="19">
        <v>1</v>
      </c>
      <c r="AZ351" s="19">
        <v>1</v>
      </c>
      <c r="BA351" s="19">
        <v>5</v>
      </c>
      <c r="BB351" s="19">
        <v>1</v>
      </c>
      <c r="BC351" s="19">
        <v>1</v>
      </c>
      <c r="BD351" s="19">
        <v>1</v>
      </c>
      <c r="BE351" s="19">
        <v>9</v>
      </c>
      <c r="BF351" s="19">
        <v>0</v>
      </c>
      <c r="BG351" s="19">
        <v>0</v>
      </c>
      <c r="BH351" s="19">
        <v>0</v>
      </c>
      <c r="BI351" s="19">
        <v>0</v>
      </c>
      <c r="BJ351" s="19">
        <v>0</v>
      </c>
      <c r="BK351" s="19">
        <v>0</v>
      </c>
      <c r="BL351" s="19">
        <v>0</v>
      </c>
      <c r="BM351" s="19">
        <v>0</v>
      </c>
      <c r="BN351" s="19">
        <v>0</v>
      </c>
      <c r="BO351" s="19">
        <v>0</v>
      </c>
      <c r="BP351" s="19">
        <v>0</v>
      </c>
      <c r="BQ351" s="19">
        <v>0</v>
      </c>
      <c r="BR351" s="19">
        <v>3</v>
      </c>
      <c r="BS351" s="19">
        <v>2</v>
      </c>
      <c r="BT351" s="19">
        <v>4</v>
      </c>
      <c r="BU351" s="19">
        <v>4</v>
      </c>
      <c r="BV351" s="19">
        <v>3</v>
      </c>
      <c r="BW351" s="19">
        <v>4</v>
      </c>
      <c r="BX351" s="19">
        <v>4</v>
      </c>
      <c r="BY351" s="19">
        <v>3</v>
      </c>
      <c r="BZ351" s="19">
        <v>1</v>
      </c>
      <c r="CA351" s="19">
        <v>3</v>
      </c>
      <c r="CB351" s="19">
        <v>3</v>
      </c>
      <c r="CC351" s="19">
        <v>4</v>
      </c>
      <c r="CD351" s="19">
        <v>4</v>
      </c>
      <c r="CE351" s="19">
        <v>3</v>
      </c>
      <c r="CF351" s="19">
        <v>4</v>
      </c>
      <c r="CG351" s="19">
        <v>5</v>
      </c>
      <c r="CH351" s="19">
        <v>4</v>
      </c>
      <c r="CI351" s="19">
        <v>4</v>
      </c>
      <c r="CJ351" s="19">
        <v>2</v>
      </c>
      <c r="CK351" s="19">
        <v>7</v>
      </c>
      <c r="CL351" s="24" t="s">
        <v>779</v>
      </c>
      <c r="CM351" s="24">
        <v>43</v>
      </c>
      <c r="CN351" s="27">
        <v>91.8</v>
      </c>
      <c r="CO351" s="27">
        <v>83.4</v>
      </c>
      <c r="CP351" s="27">
        <v>25.8</v>
      </c>
      <c r="CQ351" s="24">
        <v>68.3</v>
      </c>
      <c r="CR351" s="24">
        <v>0</v>
      </c>
      <c r="CS351" s="24">
        <v>0</v>
      </c>
      <c r="CT351" s="24">
        <v>0</v>
      </c>
      <c r="CU351" s="24">
        <v>31.54</v>
      </c>
      <c r="CV351" s="24">
        <v>0</v>
      </c>
      <c r="CW351" s="24">
        <v>0</v>
      </c>
      <c r="CX351" s="24">
        <v>0</v>
      </c>
      <c r="CY351" s="24">
        <v>0</v>
      </c>
      <c r="CZ351" s="24">
        <v>0</v>
      </c>
      <c r="DA351" s="24">
        <v>0</v>
      </c>
      <c r="DB351" s="24">
        <v>48.27</v>
      </c>
      <c r="DC351" s="24">
        <v>58.3</v>
      </c>
      <c r="DD351" s="24">
        <v>1.34</v>
      </c>
      <c r="DE351" s="24">
        <v>0</v>
      </c>
      <c r="DF351" s="24">
        <v>0.16</v>
      </c>
      <c r="DG351" s="24">
        <v>0</v>
      </c>
      <c r="DH351" s="24">
        <v>0</v>
      </c>
      <c r="DU351" s="24">
        <v>11</v>
      </c>
      <c r="DV351" s="24">
        <v>1</v>
      </c>
      <c r="DW351" s="24">
        <v>30</v>
      </c>
      <c r="DX351" s="24">
        <v>1</v>
      </c>
      <c r="DY351" s="24">
        <v>0.73</v>
      </c>
      <c r="DZ351" s="24">
        <v>1</v>
      </c>
      <c r="EG351" s="28"/>
      <c r="EY351" s="24">
        <v>1</v>
      </c>
      <c r="EZ351" s="24">
        <v>60</v>
      </c>
      <c r="FA351" s="24">
        <v>14</v>
      </c>
      <c r="FB351" s="24">
        <f t="shared" si="127"/>
        <v>2.11</v>
      </c>
      <c r="FC351" s="24">
        <v>6</v>
      </c>
      <c r="FD351" s="24">
        <v>50</v>
      </c>
      <c r="FE351" s="24">
        <v>8</v>
      </c>
      <c r="FF351" s="24">
        <f t="shared" si="126"/>
        <v>5.88</v>
      </c>
      <c r="FG351" s="24">
        <v>4</v>
      </c>
      <c r="GJ351" s="27">
        <v>2.4500000000000002</v>
      </c>
      <c r="GK351" s="27">
        <v>1</v>
      </c>
      <c r="GL351" s="27">
        <v>1</v>
      </c>
      <c r="GM351" s="27"/>
      <c r="GN351" s="27">
        <f t="shared" si="128"/>
        <v>0.68</v>
      </c>
      <c r="GO351" s="27">
        <v>2</v>
      </c>
      <c r="GP351" s="27"/>
      <c r="GQ351" s="27">
        <f t="shared" si="129"/>
        <v>6.66</v>
      </c>
      <c r="GR351" s="27"/>
      <c r="GS351" s="27"/>
      <c r="GT351" s="27"/>
      <c r="GU351" s="27">
        <v>3.68</v>
      </c>
      <c r="GV351" s="27">
        <v>1.63</v>
      </c>
      <c r="GW351" s="27"/>
      <c r="GX351" s="27"/>
      <c r="GY351" s="27">
        <v>0</v>
      </c>
      <c r="GZ351" s="27">
        <v>0</v>
      </c>
      <c r="HA351" s="27">
        <v>0</v>
      </c>
      <c r="HB351" s="24">
        <v>0</v>
      </c>
      <c r="HC351" s="24" t="s">
        <v>780</v>
      </c>
      <c r="HD351" s="24">
        <v>46</v>
      </c>
      <c r="HE351" s="27">
        <v>101.6</v>
      </c>
      <c r="HF351" s="27">
        <v>83.4</v>
      </c>
      <c r="HG351" s="27">
        <v>27.8</v>
      </c>
      <c r="HH351" s="24">
        <v>66.040000000000006</v>
      </c>
      <c r="HI351" s="24">
        <v>0</v>
      </c>
      <c r="HJ351" s="24">
        <v>0</v>
      </c>
      <c r="HK351" s="24">
        <v>0</v>
      </c>
      <c r="HL351" s="24">
        <v>35.15</v>
      </c>
      <c r="HM351" s="24">
        <v>0</v>
      </c>
      <c r="HN351" s="24">
        <v>0</v>
      </c>
      <c r="HO351" s="24">
        <v>0</v>
      </c>
      <c r="HP351" s="24">
        <v>0</v>
      </c>
      <c r="HQ351" s="24">
        <v>0</v>
      </c>
      <c r="HR351" s="24">
        <v>0</v>
      </c>
      <c r="HS351" s="24">
        <v>43.27</v>
      </c>
      <c r="HT351" s="24">
        <v>65.02</v>
      </c>
      <c r="HU351" s="24">
        <v>6.59</v>
      </c>
      <c r="HV351" s="24">
        <v>0.88</v>
      </c>
      <c r="HW351" s="24">
        <v>0.16</v>
      </c>
      <c r="HX351" s="24">
        <v>0</v>
      </c>
      <c r="HY351" s="24">
        <v>0</v>
      </c>
      <c r="IL351" s="24">
        <v>14.9</v>
      </c>
      <c r="IM351" s="24">
        <v>1</v>
      </c>
      <c r="IN351" s="24">
        <v>30</v>
      </c>
      <c r="IO351" s="24">
        <v>1</v>
      </c>
      <c r="IP351" s="24">
        <v>0.73</v>
      </c>
      <c r="IQ351" s="24">
        <v>1</v>
      </c>
      <c r="IR351" s="24">
        <v>47</v>
      </c>
      <c r="IS351" s="24">
        <v>1</v>
      </c>
      <c r="IT351" s="24">
        <v>0.11</v>
      </c>
      <c r="IU351" s="24">
        <v>3</v>
      </c>
      <c r="IX351" s="28"/>
      <c r="JP351" s="24">
        <v>1</v>
      </c>
      <c r="JQ351" s="24">
        <v>60</v>
      </c>
      <c r="JR351" s="24">
        <v>4</v>
      </c>
      <c r="JS351" s="24">
        <v>1.68</v>
      </c>
      <c r="JT351" s="24">
        <v>6</v>
      </c>
      <c r="JU351" s="24">
        <v>50</v>
      </c>
      <c r="JV351" s="24">
        <v>8</v>
      </c>
      <c r="JW351" s="24">
        <f>2.94*2</f>
        <v>5.88</v>
      </c>
      <c r="JX351" s="24">
        <v>4</v>
      </c>
      <c r="JY351" s="24">
        <v>50</v>
      </c>
      <c r="JZ351" s="24">
        <v>4</v>
      </c>
      <c r="KA351" s="24">
        <v>0.76</v>
      </c>
      <c r="KB351" s="24">
        <v>6</v>
      </c>
      <c r="KC351" s="24">
        <v>80</v>
      </c>
      <c r="KD351" s="24">
        <v>8</v>
      </c>
      <c r="KE351" s="24">
        <f>0.31+0.21</f>
        <v>0.52</v>
      </c>
      <c r="KF351" s="24">
        <v>6</v>
      </c>
      <c r="LA351" s="27">
        <v>2.0499999999999998</v>
      </c>
      <c r="LB351" s="27">
        <v>1</v>
      </c>
      <c r="LC351" s="27">
        <v>1</v>
      </c>
      <c r="LD351" s="27"/>
      <c r="LE351" s="27">
        <f>6.12+0.54+0.36</f>
        <v>7.0200000000000005</v>
      </c>
      <c r="LF351" s="27">
        <v>2</v>
      </c>
      <c r="LG351" s="27"/>
      <c r="LH351" s="27">
        <v>6.01</v>
      </c>
      <c r="LI351" s="27"/>
      <c r="LJ351" s="27"/>
      <c r="LK351" s="27"/>
      <c r="LL351" s="27">
        <v>0.86</v>
      </c>
      <c r="LM351" s="27">
        <v>0.85</v>
      </c>
      <c r="LN351" s="27"/>
      <c r="LO351" s="27"/>
      <c r="LP351" s="27">
        <v>0</v>
      </c>
      <c r="LQ351" s="27">
        <v>0</v>
      </c>
      <c r="LR351" s="27">
        <v>0</v>
      </c>
      <c r="LS351" s="24">
        <v>0</v>
      </c>
      <c r="LT351" s="24">
        <v>100</v>
      </c>
      <c r="LU351" s="24">
        <v>29.5</v>
      </c>
      <c r="LV351" s="27">
        <v>94.9</v>
      </c>
      <c r="LW351" s="27">
        <v>83.4</v>
      </c>
      <c r="LX351" s="27">
        <v>17.600000000000001</v>
      </c>
      <c r="LY351" s="24">
        <v>85.6</v>
      </c>
      <c r="LZ351" s="24">
        <v>0</v>
      </c>
      <c r="MA351" s="24">
        <v>0</v>
      </c>
      <c r="MB351" s="24">
        <v>0</v>
      </c>
      <c r="MC351" s="24">
        <v>14.4</v>
      </c>
      <c r="MD351" s="24">
        <v>0</v>
      </c>
      <c r="ME351" s="24">
        <v>0</v>
      </c>
      <c r="MF351" s="24">
        <v>0</v>
      </c>
      <c r="MG351" s="24">
        <v>0</v>
      </c>
      <c r="MH351" s="24">
        <v>0</v>
      </c>
      <c r="MI351" s="24">
        <v>0</v>
      </c>
      <c r="MJ351" s="24">
        <v>1.95</v>
      </c>
      <c r="MK351" s="24">
        <v>9.4499999999999993</v>
      </c>
      <c r="ML351" s="24">
        <v>11.24</v>
      </c>
      <c r="MM351" s="24">
        <v>36.94</v>
      </c>
      <c r="MN351" s="24">
        <v>0</v>
      </c>
      <c r="MO351" s="24">
        <v>11.5</v>
      </c>
      <c r="MP351" s="24">
        <v>1</v>
      </c>
      <c r="MQ351" s="24">
        <v>5</v>
      </c>
      <c r="MS351" s="24">
        <v>4</v>
      </c>
      <c r="NC351" s="24">
        <v>0</v>
      </c>
      <c r="ND351" s="24">
        <v>0</v>
      </c>
      <c r="NO351" s="28"/>
      <c r="OG351" s="24">
        <v>0</v>
      </c>
      <c r="PR351" s="27">
        <v>0.2</v>
      </c>
      <c r="PS351" s="27">
        <v>1</v>
      </c>
      <c r="PT351" s="27">
        <v>1</v>
      </c>
      <c r="PU351" s="27"/>
      <c r="PV351" s="27">
        <f>0.14+0.23+0.07+0.21</f>
        <v>0.65</v>
      </c>
      <c r="PW351" s="27"/>
      <c r="PX351" s="27"/>
      <c r="PY351" s="27"/>
      <c r="PZ351" s="27"/>
      <c r="QA351" s="27"/>
      <c r="QB351" s="27"/>
      <c r="QC351" s="27">
        <v>0.23</v>
      </c>
      <c r="QD351" s="27">
        <v>0.23</v>
      </c>
      <c r="QE351" s="27"/>
      <c r="QF351" s="27"/>
      <c r="QG351" s="27">
        <v>0</v>
      </c>
      <c r="QH351" s="27">
        <v>0</v>
      </c>
      <c r="QI351" s="27">
        <v>0</v>
      </c>
      <c r="QJ351" s="24">
        <v>0</v>
      </c>
      <c r="QK351" s="24" t="s">
        <v>781</v>
      </c>
      <c r="QL351" s="24">
        <v>47.5</v>
      </c>
      <c r="QM351" s="27">
        <v>49.3</v>
      </c>
      <c r="QN351" s="27">
        <v>83.4</v>
      </c>
      <c r="QO351" s="27">
        <v>35.700000000000003</v>
      </c>
      <c r="QP351" s="24">
        <v>66.48</v>
      </c>
      <c r="QQ351" s="24">
        <v>0</v>
      </c>
      <c r="QR351" s="24">
        <v>6.11</v>
      </c>
      <c r="QS351" s="24">
        <v>0</v>
      </c>
      <c r="QT351" s="24">
        <v>9.56</v>
      </c>
      <c r="QU351" s="24">
        <v>0</v>
      </c>
      <c r="QV351" s="24">
        <v>6.1</v>
      </c>
      <c r="QW351" s="24">
        <v>3.05</v>
      </c>
      <c r="QX351" s="24">
        <v>0</v>
      </c>
      <c r="QY351" s="24">
        <v>0</v>
      </c>
      <c r="QZ351" s="24">
        <v>0</v>
      </c>
      <c r="RA351" s="24">
        <v>0</v>
      </c>
      <c r="RB351" s="24">
        <v>17.78</v>
      </c>
      <c r="RC351" s="24">
        <v>9.1300000000000008</v>
      </c>
      <c r="RD351" s="24">
        <v>2.7</v>
      </c>
      <c r="RE351" s="24">
        <v>11.73</v>
      </c>
      <c r="RF351" s="24">
        <v>0</v>
      </c>
      <c r="RG351" s="24">
        <v>0</v>
      </c>
      <c r="RT351" s="24">
        <v>5.7</v>
      </c>
      <c r="RU351" s="24">
        <v>1</v>
      </c>
      <c r="RV351" s="24">
        <v>30</v>
      </c>
      <c r="RW351" s="24">
        <v>10</v>
      </c>
      <c r="RX351" s="24">
        <f>0.15*2+0.16*8</f>
        <v>1.58</v>
      </c>
      <c r="RY351" s="24">
        <v>3</v>
      </c>
      <c r="SF351" s="28"/>
      <c r="SX351" s="24">
        <v>1</v>
      </c>
      <c r="SY351" s="24">
        <v>40</v>
      </c>
      <c r="SZ351" s="24">
        <v>4</v>
      </c>
      <c r="TA351" s="24">
        <v>0.6</v>
      </c>
      <c r="TB351" s="24">
        <v>2</v>
      </c>
      <c r="UI351" s="27">
        <v>0.53</v>
      </c>
      <c r="UJ351" s="27">
        <v>1</v>
      </c>
      <c r="UK351" s="27">
        <v>1</v>
      </c>
      <c r="UL351" s="27"/>
      <c r="UM351" s="27">
        <f>0.64*4+0.08</f>
        <v>2.64</v>
      </c>
      <c r="UN351" s="27"/>
      <c r="UO351" s="27"/>
      <c r="UP351" s="27"/>
      <c r="UQ351" s="27"/>
      <c r="UR351" s="27"/>
      <c r="US351" s="27"/>
      <c r="UT351" s="27">
        <v>5.0599999999999996</v>
      </c>
      <c r="UU351" s="27">
        <v>1.58</v>
      </c>
      <c r="UV351" s="27"/>
      <c r="UW351" s="27"/>
      <c r="UX351" s="27">
        <v>0</v>
      </c>
      <c r="UY351" s="27">
        <v>0</v>
      </c>
      <c r="UZ351" s="27">
        <v>0</v>
      </c>
      <c r="VA351" s="24">
        <v>0</v>
      </c>
      <c r="VB351" s="24" t="s">
        <v>782</v>
      </c>
      <c r="VC351" s="24">
        <v>71</v>
      </c>
      <c r="VD351" s="27">
        <v>92</v>
      </c>
      <c r="VE351" s="27">
        <v>166.8</v>
      </c>
      <c r="VF351" s="27">
        <v>65</v>
      </c>
      <c r="VG351" s="24">
        <v>28.78</v>
      </c>
      <c r="VH351" s="24">
        <v>0</v>
      </c>
      <c r="VI351" s="24">
        <v>0</v>
      </c>
      <c r="VJ351" s="24">
        <v>0</v>
      </c>
      <c r="VK351" s="24">
        <v>2.5</v>
      </c>
      <c r="VL351" s="24">
        <v>0</v>
      </c>
      <c r="VM351" s="24">
        <v>8.5399999999999991</v>
      </c>
      <c r="VN351" s="24">
        <v>0</v>
      </c>
      <c r="VO351" s="24">
        <v>0</v>
      </c>
      <c r="VP351" s="24">
        <v>2.76</v>
      </c>
      <c r="VQ351" s="24">
        <v>0</v>
      </c>
      <c r="VR351" s="24">
        <v>9.52</v>
      </c>
      <c r="VS351" s="24">
        <v>36.909999999999997</v>
      </c>
      <c r="VT351" s="24">
        <v>26.15</v>
      </c>
      <c r="VU351" s="24">
        <v>1.97</v>
      </c>
      <c r="VV351" s="24">
        <v>60.18</v>
      </c>
      <c r="VW351" s="24">
        <v>0</v>
      </c>
      <c r="VX351" s="24">
        <v>0</v>
      </c>
      <c r="WK351" s="24">
        <v>0.1</v>
      </c>
      <c r="WL351" s="24">
        <v>0</v>
      </c>
      <c r="WW351" s="28"/>
      <c r="XO351" s="24">
        <v>1</v>
      </c>
      <c r="XP351" s="24">
        <v>50</v>
      </c>
      <c r="XQ351" s="24">
        <v>4</v>
      </c>
      <c r="XR351" s="24">
        <f>0.37*4</f>
        <v>1.48</v>
      </c>
      <c r="XS351" s="24">
        <v>3</v>
      </c>
      <c r="XT351" s="24">
        <v>40</v>
      </c>
      <c r="XU351" s="24">
        <v>6</v>
      </c>
      <c r="XV351" s="24">
        <v>2.2000000000000002</v>
      </c>
      <c r="XW351" s="24">
        <v>3</v>
      </c>
      <c r="XX351" s="24">
        <v>50</v>
      </c>
      <c r="XY351" s="24">
        <v>1</v>
      </c>
      <c r="XZ351" s="24">
        <v>0.06</v>
      </c>
      <c r="YA351" s="24">
        <v>1</v>
      </c>
      <c r="YB351" s="24">
        <v>60</v>
      </c>
      <c r="YC351" s="24">
        <v>3</v>
      </c>
      <c r="YD351" s="24">
        <v>0.19</v>
      </c>
      <c r="YE351" s="24">
        <v>4</v>
      </c>
      <c r="YZ351" s="27">
        <v>1.1100000000000001</v>
      </c>
      <c r="ZA351" s="27">
        <v>1</v>
      </c>
      <c r="ZB351" s="27">
        <v>1</v>
      </c>
      <c r="ZC351" s="27"/>
      <c r="ZD351" s="27">
        <f>0.51*2+0.09+0.15*2+1.65+0.18+0.72</f>
        <v>3.96</v>
      </c>
      <c r="ZE351" s="27"/>
      <c r="ZF351" s="27"/>
      <c r="ZG351" s="27"/>
      <c r="ZH351" s="27"/>
      <c r="ZI351" s="27"/>
      <c r="ZJ351" s="27"/>
      <c r="ZK351" s="27">
        <v>1.95</v>
      </c>
      <c r="ZL351" s="27">
        <v>1.96</v>
      </c>
      <c r="ZM351" s="27"/>
      <c r="ZN351" s="27"/>
      <c r="ZO351" s="27">
        <v>2.88</v>
      </c>
      <c r="ZP351" s="27">
        <v>0</v>
      </c>
      <c r="ZQ351" s="27">
        <v>0</v>
      </c>
      <c r="ZR351" s="24">
        <v>2</v>
      </c>
      <c r="ZS351" s="24" t="s">
        <v>783</v>
      </c>
      <c r="ZT351" s="24">
        <v>35</v>
      </c>
      <c r="ZU351" s="27">
        <v>89.3</v>
      </c>
      <c r="ZV351" s="27">
        <v>83.4</v>
      </c>
      <c r="ZW351" s="27">
        <v>12.6</v>
      </c>
      <c r="ZX351" s="24">
        <v>87.93</v>
      </c>
      <c r="ZY351" s="24">
        <v>0</v>
      </c>
      <c r="ZZ351" s="24">
        <v>0</v>
      </c>
      <c r="AAA351" s="24">
        <v>1.49</v>
      </c>
      <c r="AAB351" s="24">
        <v>10.58</v>
      </c>
      <c r="AAC351" s="24">
        <v>0</v>
      </c>
      <c r="AAD351" s="24">
        <v>0</v>
      </c>
      <c r="AAE351" s="24">
        <v>0</v>
      </c>
      <c r="AAF351" s="24">
        <v>0</v>
      </c>
      <c r="AAG351" s="24">
        <v>0</v>
      </c>
      <c r="AAH351" s="24">
        <v>0</v>
      </c>
      <c r="AAI351" s="24">
        <v>0.17</v>
      </c>
      <c r="AAJ351" s="24">
        <v>38.78</v>
      </c>
      <c r="AAK351" s="24">
        <v>29.47</v>
      </c>
      <c r="AAL351" s="24">
        <v>0</v>
      </c>
      <c r="AAM351" s="24">
        <v>0</v>
      </c>
      <c r="AAN351" s="24">
        <v>4</v>
      </c>
      <c r="AAO351" s="24">
        <v>1</v>
      </c>
      <c r="AAP351" s="24">
        <v>3</v>
      </c>
      <c r="AAR351" s="24">
        <v>4</v>
      </c>
      <c r="ABB351" s="24">
        <v>9.6999999999999993</v>
      </c>
      <c r="ABC351" s="24">
        <v>1</v>
      </c>
      <c r="ABD351" s="24">
        <v>68</v>
      </c>
      <c r="ABE351" s="24">
        <v>1</v>
      </c>
      <c r="ABF351" s="24">
        <v>0.02</v>
      </c>
      <c r="ABG351" s="24">
        <v>1</v>
      </c>
      <c r="ABH351" s="24">
        <v>35</v>
      </c>
      <c r="ABI351" s="24">
        <v>10</v>
      </c>
      <c r="ABJ351" s="24">
        <f>0.22*2+0.43*2+0.65+0.04+0.02+0.08</f>
        <v>2.0900000000000003</v>
      </c>
      <c r="ABK351" s="24">
        <v>3</v>
      </c>
      <c r="ABN351" s="28"/>
      <c r="ACF351" s="24">
        <v>1</v>
      </c>
      <c r="ACG351" s="24">
        <v>50</v>
      </c>
      <c r="ACH351" s="24">
        <f>4*3+3*4</f>
        <v>24</v>
      </c>
      <c r="ACI351" s="24">
        <f>0.07+0.25+0.11+0.65+1.3+15</f>
        <v>17.38</v>
      </c>
      <c r="ACJ351" s="24">
        <v>1</v>
      </c>
      <c r="ACK351" s="24">
        <v>40</v>
      </c>
      <c r="ACL351" s="24">
        <v>18</v>
      </c>
      <c r="ACM351" s="24">
        <f>0.87+0.17+0.08+0.34+1.73+0.43+0.87+0.07</f>
        <v>4.5600000000000005</v>
      </c>
      <c r="ACN351" s="24">
        <v>1</v>
      </c>
      <c r="ACO351" s="24">
        <v>40</v>
      </c>
      <c r="ACP351" s="24">
        <v>2</v>
      </c>
      <c r="ACQ351" s="24">
        <v>0.12</v>
      </c>
      <c r="ACR351" s="24">
        <v>5</v>
      </c>
      <c r="ACS351" s="24">
        <v>50</v>
      </c>
      <c r="ACT351" s="24">
        <v>1</v>
      </c>
      <c r="ACU351" s="24">
        <v>0.22</v>
      </c>
      <c r="ACV351" s="24">
        <v>6</v>
      </c>
      <c r="ACW351" s="24">
        <v>40</v>
      </c>
      <c r="ACX351" s="24">
        <v>3</v>
      </c>
      <c r="ACY351" s="24">
        <v>0.16</v>
      </c>
      <c r="ACZ351" s="24">
        <v>6</v>
      </c>
      <c r="ADQ351" s="27">
        <v>0.68</v>
      </c>
      <c r="ADR351" s="27">
        <v>1</v>
      </c>
      <c r="ADS351" s="27">
        <v>1</v>
      </c>
      <c r="ADT351" s="27"/>
      <c r="ADU351" s="27">
        <f>0.34+0.91+1.8+0.08+0.3</f>
        <v>3.4299999999999997</v>
      </c>
      <c r="ADV351" s="27"/>
      <c r="ADW351" s="27"/>
      <c r="ADX351" s="27"/>
      <c r="ADY351" s="27"/>
      <c r="ADZ351" s="27"/>
      <c r="AEA351" s="27"/>
      <c r="AEB351" s="27">
        <v>7.83</v>
      </c>
      <c r="AEC351" s="27">
        <v>8.68</v>
      </c>
      <c r="AED351" s="27"/>
      <c r="AEE351" s="27"/>
      <c r="AEF351" s="27">
        <v>0</v>
      </c>
      <c r="AEG351" s="27">
        <v>0</v>
      </c>
      <c r="AEH351" s="27">
        <v>0</v>
      </c>
      <c r="AEI351" s="24">
        <v>0</v>
      </c>
      <c r="AEJ351" s="24" t="s">
        <v>784</v>
      </c>
      <c r="AEK351" s="24">
        <v>38</v>
      </c>
      <c r="AEL351" s="27">
        <v>92.6</v>
      </c>
      <c r="AEM351" s="27">
        <v>83.4</v>
      </c>
      <c r="AEN351" s="27">
        <v>16.5</v>
      </c>
      <c r="AEO351" s="24">
        <v>77.87</v>
      </c>
      <c r="AEP351" s="24">
        <v>0</v>
      </c>
      <c r="AEQ351" s="24">
        <v>0</v>
      </c>
      <c r="AER351" s="24">
        <v>0</v>
      </c>
      <c r="AES351" s="24">
        <v>21.87</v>
      </c>
      <c r="AET351" s="24">
        <v>0</v>
      </c>
      <c r="AEU351" s="24">
        <v>0</v>
      </c>
      <c r="AEV351" s="24">
        <v>0</v>
      </c>
      <c r="AEW351" s="24">
        <v>0</v>
      </c>
      <c r="AEX351" s="24">
        <v>0</v>
      </c>
      <c r="AEY351" s="24">
        <v>0</v>
      </c>
      <c r="AEZ351" s="24">
        <v>0.28999999999999998</v>
      </c>
      <c r="AFA351" s="24">
        <v>38.85</v>
      </c>
      <c r="AFB351" s="24">
        <v>37.36</v>
      </c>
      <c r="AFC351" s="24">
        <v>5.57</v>
      </c>
      <c r="AFD351" s="24">
        <v>0</v>
      </c>
      <c r="AFE351" s="24">
        <v>0</v>
      </c>
      <c r="AFF351" s="24">
        <v>0</v>
      </c>
      <c r="AFS351" s="24">
        <v>17.5</v>
      </c>
      <c r="AFT351" s="24">
        <v>0</v>
      </c>
      <c r="AGE351" s="28"/>
      <c r="AGW351" s="24">
        <v>1</v>
      </c>
      <c r="AGX351" s="24">
        <v>70</v>
      </c>
      <c r="AGY351" s="24">
        <f>8*3+3</f>
        <v>27</v>
      </c>
      <c r="AGZ351" s="24">
        <f>5.87*3+0.58</f>
        <v>18.189999999999998</v>
      </c>
      <c r="AHA351" s="24">
        <v>1</v>
      </c>
      <c r="AIH351" s="27">
        <v>3.74</v>
      </c>
      <c r="AII351" s="27">
        <v>1</v>
      </c>
      <c r="AIJ351" s="27">
        <v>1</v>
      </c>
      <c r="AIK351" s="27"/>
      <c r="AIL351" s="27">
        <f>1.65+2.04*2+0.36*2+0.54</f>
        <v>6.99</v>
      </c>
      <c r="AIM351" s="27">
        <v>2</v>
      </c>
      <c r="AIN351" s="27"/>
      <c r="AIO351" s="27">
        <v>0.91</v>
      </c>
      <c r="AIP351" s="27"/>
      <c r="AIQ351" s="27"/>
      <c r="AIR351" s="27"/>
      <c r="AIS351" s="27">
        <v>0.19</v>
      </c>
      <c r="AIT351" s="27">
        <v>0.19</v>
      </c>
      <c r="AIU351" s="27"/>
      <c r="AIV351" s="27"/>
      <c r="AIW351" s="27">
        <v>0</v>
      </c>
      <c r="AIX351" s="27">
        <v>0</v>
      </c>
      <c r="AIY351" s="27">
        <v>0</v>
      </c>
      <c r="AIZ351" s="24">
        <v>0</v>
      </c>
      <c r="AJA351" s="24" t="s">
        <v>785</v>
      </c>
      <c r="AJB351" s="24">
        <v>37.5</v>
      </c>
      <c r="AJC351" s="27">
        <v>94.9</v>
      </c>
      <c r="AJD351" s="27">
        <v>83.4</v>
      </c>
      <c r="AJE351" s="27">
        <v>16</v>
      </c>
      <c r="AJF351" s="24">
        <v>79.430000000000007</v>
      </c>
      <c r="AJG351" s="24">
        <v>0</v>
      </c>
      <c r="AJH351" s="24">
        <v>0</v>
      </c>
      <c r="AJI351" s="24">
        <v>0</v>
      </c>
      <c r="AJJ351" s="24">
        <v>20.309999999999999</v>
      </c>
      <c r="AJK351" s="24">
        <v>0</v>
      </c>
      <c r="AJL351" s="24">
        <v>0</v>
      </c>
      <c r="AJM351" s="24">
        <v>0</v>
      </c>
      <c r="AJN351" s="24">
        <v>0</v>
      </c>
      <c r="AJO351" s="24">
        <v>0</v>
      </c>
      <c r="AJP351" s="24">
        <v>0</v>
      </c>
      <c r="AJQ351" s="24">
        <v>0.28999999999999998</v>
      </c>
      <c r="AJR351" s="24">
        <v>37.58</v>
      </c>
      <c r="AJS351" s="24">
        <v>37.76</v>
      </c>
      <c r="AJT351" s="24">
        <v>5.57</v>
      </c>
      <c r="AJU351" s="24">
        <v>0</v>
      </c>
      <c r="AJV351" s="24">
        <v>0</v>
      </c>
      <c r="AJW351" s="24">
        <v>0</v>
      </c>
      <c r="AKJ351" s="24">
        <v>17.5</v>
      </c>
      <c r="AKK351" s="24">
        <v>0</v>
      </c>
      <c r="AKV351" s="28"/>
      <c r="ALN351" s="24">
        <v>1</v>
      </c>
      <c r="ALO351" s="24">
        <v>71</v>
      </c>
      <c r="ALP351" s="24">
        <f>8*3+3</f>
        <v>27</v>
      </c>
      <c r="ALQ351" s="24">
        <f>5.87*3+0.58</f>
        <v>18.189999999999998</v>
      </c>
      <c r="ALR351" s="24">
        <v>2</v>
      </c>
    </row>
    <row r="352" spans="1:1018" x14ac:dyDescent="0.2">
      <c r="A352" s="1" t="s">
        <v>942</v>
      </c>
      <c r="B352" s="12">
        <v>42926</v>
      </c>
      <c r="C352">
        <v>2</v>
      </c>
      <c r="D352" s="13">
        <v>42797</v>
      </c>
      <c r="E352" s="12">
        <v>34511</v>
      </c>
      <c r="F352" s="14">
        <f t="shared" si="120"/>
        <v>23.039014373716633</v>
      </c>
      <c r="G352" s="14">
        <f t="shared" si="121"/>
        <v>0.35318275154004108</v>
      </c>
      <c r="H352" s="19" t="s">
        <v>306</v>
      </c>
      <c r="I352" s="15" t="s">
        <v>777</v>
      </c>
      <c r="J352" s="21" t="s">
        <v>181</v>
      </c>
      <c r="K352" s="21" t="s">
        <v>913</v>
      </c>
      <c r="L352" s="19">
        <v>78</v>
      </c>
      <c r="M352">
        <v>1.79</v>
      </c>
      <c r="N352" s="16">
        <f t="shared" si="122"/>
        <v>24.343809494085704</v>
      </c>
      <c r="O352" s="19">
        <v>0</v>
      </c>
      <c r="P352" s="19">
        <v>0</v>
      </c>
      <c r="Q352" s="19">
        <v>0</v>
      </c>
      <c r="R352" s="26">
        <v>0</v>
      </c>
      <c r="S352" s="26">
        <v>0</v>
      </c>
      <c r="T352" s="26">
        <v>0</v>
      </c>
      <c r="U352" s="19">
        <v>0</v>
      </c>
      <c r="V352" s="19">
        <v>0</v>
      </c>
      <c r="W352" s="19">
        <v>0</v>
      </c>
      <c r="X352" s="19">
        <v>0</v>
      </c>
      <c r="Y352" s="19"/>
      <c r="Z352" s="19"/>
      <c r="AA352" s="19"/>
      <c r="AB352" s="19"/>
      <c r="AC352" s="19">
        <v>1</v>
      </c>
      <c r="AD352" s="19">
        <v>5</v>
      </c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  <c r="BK352" s="19"/>
      <c r="BL352" s="19"/>
      <c r="BM352" s="19"/>
      <c r="BN352" s="19"/>
      <c r="BO352" s="19"/>
      <c r="BP352" s="19"/>
      <c r="BQ352" s="19"/>
      <c r="BR352" s="19">
        <v>1</v>
      </c>
      <c r="BS352" s="19">
        <v>2</v>
      </c>
      <c r="BT352" s="19">
        <v>3</v>
      </c>
      <c r="BU352" s="19">
        <v>5</v>
      </c>
      <c r="BV352" s="19">
        <v>3</v>
      </c>
      <c r="BW352" s="19">
        <v>3</v>
      </c>
      <c r="BX352" s="19">
        <v>3</v>
      </c>
      <c r="BY352" s="19">
        <v>3</v>
      </c>
      <c r="BZ352" s="19">
        <v>5</v>
      </c>
      <c r="CA352" s="19">
        <v>3</v>
      </c>
      <c r="CB352" s="19">
        <v>5</v>
      </c>
      <c r="CC352" s="19">
        <v>3</v>
      </c>
      <c r="CD352" s="19">
        <v>3</v>
      </c>
      <c r="CE352" s="19">
        <v>3</v>
      </c>
      <c r="CF352" s="19">
        <v>3</v>
      </c>
      <c r="CG352" s="19">
        <v>3</v>
      </c>
      <c r="CH352" s="19">
        <v>3</v>
      </c>
      <c r="CI352" s="19">
        <v>3</v>
      </c>
      <c r="CJ352" s="19">
        <v>3</v>
      </c>
      <c r="CK352" s="19">
        <v>8</v>
      </c>
      <c r="CL352" s="24" t="s">
        <v>779</v>
      </c>
      <c r="CM352" s="24">
        <v>43</v>
      </c>
      <c r="CN352" s="27">
        <v>91.8</v>
      </c>
      <c r="CO352" s="27">
        <v>83.4</v>
      </c>
      <c r="CP352" s="27">
        <v>25.8</v>
      </c>
      <c r="CQ352" s="24">
        <v>68.3</v>
      </c>
      <c r="CR352" s="24">
        <v>0</v>
      </c>
      <c r="CS352" s="24">
        <v>0</v>
      </c>
      <c r="CT352" s="24">
        <v>0</v>
      </c>
      <c r="CU352" s="24">
        <v>31.54</v>
      </c>
      <c r="CV352" s="24">
        <v>0</v>
      </c>
      <c r="CW352" s="24">
        <v>0</v>
      </c>
      <c r="CX352" s="24">
        <v>0</v>
      </c>
      <c r="CY352" s="24">
        <v>0</v>
      </c>
      <c r="CZ352" s="24">
        <v>0</v>
      </c>
      <c r="DA352" s="24">
        <v>0</v>
      </c>
      <c r="DB352" s="24">
        <v>48.27</v>
      </c>
      <c r="DC352" s="24">
        <v>58.3</v>
      </c>
      <c r="DD352" s="24">
        <v>1.34</v>
      </c>
      <c r="DE352" s="24">
        <v>0</v>
      </c>
      <c r="DF352" s="24">
        <v>0.16</v>
      </c>
      <c r="DG352" s="24">
        <v>0</v>
      </c>
      <c r="DH352" s="24">
        <v>0</v>
      </c>
      <c r="DU352" s="24">
        <v>11</v>
      </c>
      <c r="DV352" s="24">
        <v>1</v>
      </c>
      <c r="DW352" s="24">
        <v>30</v>
      </c>
      <c r="DX352" s="24">
        <v>1</v>
      </c>
      <c r="DY352" s="24">
        <v>0.73</v>
      </c>
      <c r="DZ352" s="24">
        <v>1</v>
      </c>
      <c r="EG352" s="28"/>
      <c r="EY352" s="24">
        <v>1</v>
      </c>
      <c r="EZ352" s="24">
        <v>60</v>
      </c>
      <c r="FA352" s="24">
        <v>14</v>
      </c>
      <c r="FB352" s="24">
        <f t="shared" si="127"/>
        <v>2.11</v>
      </c>
      <c r="FC352" s="24">
        <v>6</v>
      </c>
      <c r="FD352" s="24">
        <v>50</v>
      </c>
      <c r="FE352" s="24">
        <v>8</v>
      </c>
      <c r="FF352" s="24">
        <f t="shared" si="126"/>
        <v>5.88</v>
      </c>
      <c r="FG352" s="24">
        <v>4</v>
      </c>
      <c r="GJ352" s="27">
        <v>2.4500000000000002</v>
      </c>
      <c r="GK352" s="27">
        <v>1</v>
      </c>
      <c r="GL352" s="27">
        <v>1</v>
      </c>
      <c r="GM352" s="27"/>
      <c r="GN352" s="27">
        <f t="shared" si="128"/>
        <v>0.68</v>
      </c>
      <c r="GO352" s="27">
        <v>2</v>
      </c>
      <c r="GP352" s="27"/>
      <c r="GQ352" s="27">
        <f t="shared" si="129"/>
        <v>6.66</v>
      </c>
      <c r="GR352" s="27"/>
      <c r="GS352" s="27"/>
      <c r="GT352" s="27"/>
      <c r="GU352" s="27">
        <v>3.68</v>
      </c>
      <c r="GV352" s="27">
        <v>1.63</v>
      </c>
      <c r="GW352" s="27"/>
      <c r="GX352" s="27"/>
      <c r="GY352" s="27">
        <v>0</v>
      </c>
      <c r="GZ352" s="27">
        <v>0</v>
      </c>
      <c r="HA352" s="27">
        <v>0</v>
      </c>
      <c r="HB352" s="24">
        <v>0</v>
      </c>
      <c r="HC352" s="24" t="s">
        <v>780</v>
      </c>
      <c r="HD352" s="24">
        <v>46</v>
      </c>
      <c r="HE352" s="27">
        <v>101.6</v>
      </c>
      <c r="HF352" s="27">
        <v>83.4</v>
      </c>
      <c r="HG352" s="27">
        <v>27.8</v>
      </c>
      <c r="HH352" s="24">
        <v>66.040000000000006</v>
      </c>
      <c r="HI352" s="24">
        <v>0</v>
      </c>
      <c r="HJ352" s="24">
        <v>0</v>
      </c>
      <c r="HK352" s="24">
        <v>0</v>
      </c>
      <c r="HL352" s="24">
        <v>35.15</v>
      </c>
      <c r="HM352" s="24">
        <v>0</v>
      </c>
      <c r="HN352" s="24">
        <v>0</v>
      </c>
      <c r="HO352" s="24">
        <v>0</v>
      </c>
      <c r="HP352" s="24">
        <v>0</v>
      </c>
      <c r="HQ352" s="24">
        <v>0</v>
      </c>
      <c r="HR352" s="24">
        <v>0</v>
      </c>
      <c r="HS352" s="24">
        <v>43.27</v>
      </c>
      <c r="HT352" s="24">
        <v>65.02</v>
      </c>
      <c r="HU352" s="24">
        <v>6.59</v>
      </c>
      <c r="HV352" s="24">
        <v>0.88</v>
      </c>
      <c r="HW352" s="24">
        <v>0.16</v>
      </c>
      <c r="HX352" s="24">
        <v>0</v>
      </c>
      <c r="HY352" s="24">
        <v>0</v>
      </c>
      <c r="IL352" s="24">
        <v>14.9</v>
      </c>
      <c r="IM352" s="24">
        <v>1</v>
      </c>
      <c r="IN352" s="24">
        <v>30</v>
      </c>
      <c r="IO352" s="24">
        <v>1</v>
      </c>
      <c r="IP352" s="24">
        <v>0.73</v>
      </c>
      <c r="IQ352" s="24">
        <v>1</v>
      </c>
      <c r="IR352" s="24">
        <v>47</v>
      </c>
      <c r="IS352" s="24">
        <v>1</v>
      </c>
      <c r="IT352" s="24">
        <v>0.11</v>
      </c>
      <c r="IU352" s="24">
        <v>3</v>
      </c>
      <c r="IX352" s="28"/>
      <c r="JP352" s="24">
        <v>1</v>
      </c>
      <c r="JQ352" s="24">
        <v>60</v>
      </c>
      <c r="JR352" s="24">
        <v>4</v>
      </c>
      <c r="JS352" s="24">
        <v>1.68</v>
      </c>
      <c r="JT352" s="24">
        <v>6</v>
      </c>
      <c r="JU352" s="24">
        <v>50</v>
      </c>
      <c r="JV352" s="24">
        <v>8</v>
      </c>
      <c r="JW352" s="24">
        <f>2.94*2</f>
        <v>5.88</v>
      </c>
      <c r="JX352" s="24">
        <v>4</v>
      </c>
      <c r="JY352" s="24">
        <v>50</v>
      </c>
      <c r="JZ352" s="24">
        <v>4</v>
      </c>
      <c r="KA352" s="24">
        <v>0.76</v>
      </c>
      <c r="KB352" s="24">
        <v>6</v>
      </c>
      <c r="KC352" s="24">
        <v>80</v>
      </c>
      <c r="KD352" s="24">
        <v>8</v>
      </c>
      <c r="KE352" s="24">
        <f>0.31+0.21</f>
        <v>0.52</v>
      </c>
      <c r="KF352" s="24">
        <v>6</v>
      </c>
      <c r="LA352" s="27">
        <v>2.0499999999999998</v>
      </c>
      <c r="LB352" s="27">
        <v>1</v>
      </c>
      <c r="LC352" s="27">
        <v>1</v>
      </c>
      <c r="LD352" s="27"/>
      <c r="LE352" s="27">
        <f>6.12+0.54+0.36</f>
        <v>7.0200000000000005</v>
      </c>
      <c r="LF352" s="27">
        <v>2</v>
      </c>
      <c r="LG352" s="27"/>
      <c r="LH352" s="27">
        <v>6.01</v>
      </c>
      <c r="LI352" s="27"/>
      <c r="LJ352" s="27"/>
      <c r="LK352" s="27"/>
      <c r="LL352" s="27">
        <v>0.86</v>
      </c>
      <c r="LM352" s="27">
        <v>0.85</v>
      </c>
      <c r="LN352" s="27"/>
      <c r="LO352" s="27"/>
      <c r="LP352" s="27">
        <v>0</v>
      </c>
      <c r="LQ352" s="27">
        <v>0</v>
      </c>
      <c r="LR352" s="27">
        <v>0</v>
      </c>
      <c r="LS352" s="24">
        <v>0</v>
      </c>
      <c r="LT352" s="24">
        <v>100</v>
      </c>
      <c r="LU352" s="24">
        <v>29.5</v>
      </c>
      <c r="LV352" s="27">
        <v>94.9</v>
      </c>
      <c r="LW352" s="27">
        <v>83.4</v>
      </c>
      <c r="LX352" s="27">
        <v>17.600000000000001</v>
      </c>
      <c r="LY352" s="24">
        <v>85.6</v>
      </c>
      <c r="LZ352" s="24">
        <v>0</v>
      </c>
      <c r="MA352" s="24">
        <v>0</v>
      </c>
      <c r="MB352" s="24">
        <v>0</v>
      </c>
      <c r="MC352" s="24">
        <v>14.4</v>
      </c>
      <c r="MD352" s="24">
        <v>0</v>
      </c>
      <c r="ME352" s="24">
        <v>0</v>
      </c>
      <c r="MF352" s="24">
        <v>0</v>
      </c>
      <c r="MG352" s="24">
        <v>0</v>
      </c>
      <c r="MH352" s="24">
        <v>0</v>
      </c>
      <c r="MI352" s="24">
        <v>0</v>
      </c>
      <c r="MJ352" s="24">
        <v>1.95</v>
      </c>
      <c r="MK352" s="24">
        <v>9.4499999999999993</v>
      </c>
      <c r="ML352" s="24">
        <v>11.24</v>
      </c>
      <c r="MM352" s="24">
        <v>36.94</v>
      </c>
      <c r="MN352" s="24">
        <v>0</v>
      </c>
      <c r="MO352" s="24">
        <v>11.5</v>
      </c>
      <c r="MP352" s="24">
        <v>1</v>
      </c>
      <c r="MQ352" s="24">
        <v>5</v>
      </c>
      <c r="MS352" s="24">
        <v>4</v>
      </c>
      <c r="NC352" s="24">
        <v>0</v>
      </c>
      <c r="ND352" s="24">
        <v>0</v>
      </c>
      <c r="NO352" s="28"/>
      <c r="OG352" s="24">
        <v>0</v>
      </c>
      <c r="PR352" s="27">
        <v>0.2</v>
      </c>
      <c r="PS352" s="27">
        <v>1</v>
      </c>
      <c r="PT352" s="27">
        <v>1</v>
      </c>
      <c r="PU352" s="27"/>
      <c r="PV352" s="27">
        <f>0.14+0.23+0.07+0.21</f>
        <v>0.65</v>
      </c>
      <c r="PW352" s="27"/>
      <c r="PX352" s="27"/>
      <c r="PY352" s="27"/>
      <c r="PZ352" s="27"/>
      <c r="QA352" s="27"/>
      <c r="QB352" s="27"/>
      <c r="QC352" s="27">
        <v>0.23</v>
      </c>
      <c r="QD352" s="27">
        <v>0.23</v>
      </c>
      <c r="QE352" s="27"/>
      <c r="QF352" s="27"/>
      <c r="QG352" s="27">
        <v>0</v>
      </c>
      <c r="QH352" s="27">
        <v>0</v>
      </c>
      <c r="QI352" s="27">
        <v>0</v>
      </c>
      <c r="QJ352" s="24">
        <v>0</v>
      </c>
      <c r="QK352" s="24" t="s">
        <v>781</v>
      </c>
      <c r="QL352" s="24">
        <v>47.5</v>
      </c>
      <c r="QM352" s="27">
        <v>49.3</v>
      </c>
      <c r="QN352" s="27">
        <v>83.4</v>
      </c>
      <c r="QO352" s="27">
        <v>35.700000000000003</v>
      </c>
      <c r="QP352" s="24">
        <v>66.48</v>
      </c>
      <c r="QQ352" s="24">
        <v>0</v>
      </c>
      <c r="QR352" s="24">
        <v>6.11</v>
      </c>
      <c r="QS352" s="24">
        <v>0</v>
      </c>
      <c r="QT352" s="24">
        <v>9.56</v>
      </c>
      <c r="QU352" s="24">
        <v>0</v>
      </c>
      <c r="QV352" s="24">
        <v>6.1</v>
      </c>
      <c r="QW352" s="24">
        <v>3.05</v>
      </c>
      <c r="QX352" s="24">
        <v>0</v>
      </c>
      <c r="QY352" s="24">
        <v>0</v>
      </c>
      <c r="QZ352" s="24">
        <v>0</v>
      </c>
      <c r="RA352" s="24">
        <v>0</v>
      </c>
      <c r="RB352" s="24">
        <v>17.78</v>
      </c>
      <c r="RC352" s="24">
        <v>9.1300000000000008</v>
      </c>
      <c r="RD352" s="24">
        <v>2.7</v>
      </c>
      <c r="RE352" s="24">
        <v>11.73</v>
      </c>
      <c r="RF352" s="24">
        <v>0</v>
      </c>
      <c r="RG352" s="24">
        <v>0</v>
      </c>
      <c r="RT352" s="24">
        <v>5.7</v>
      </c>
      <c r="RU352" s="24">
        <v>1</v>
      </c>
      <c r="RV352" s="24">
        <v>30</v>
      </c>
      <c r="RW352" s="24">
        <v>10</v>
      </c>
      <c r="RX352" s="24">
        <f>0.15*2+0.16*8</f>
        <v>1.58</v>
      </c>
      <c r="RY352" s="24">
        <v>3</v>
      </c>
      <c r="SF352" s="28"/>
      <c r="SX352" s="24">
        <v>1</v>
      </c>
      <c r="SY352" s="24">
        <v>40</v>
      </c>
      <c r="SZ352" s="24">
        <v>4</v>
      </c>
      <c r="TA352" s="24">
        <v>0.6</v>
      </c>
      <c r="TB352" s="24">
        <v>2</v>
      </c>
      <c r="UI352" s="27">
        <v>0.53</v>
      </c>
      <c r="UJ352" s="27">
        <v>1</v>
      </c>
      <c r="UK352" s="27">
        <v>1</v>
      </c>
      <c r="UL352" s="27"/>
      <c r="UM352" s="27">
        <f>0.64*4+0.08</f>
        <v>2.64</v>
      </c>
      <c r="UN352" s="27"/>
      <c r="UO352" s="27"/>
      <c r="UP352" s="27"/>
      <c r="UQ352" s="27"/>
      <c r="UR352" s="27"/>
      <c r="US352" s="27"/>
      <c r="UT352" s="27">
        <v>5.0599999999999996</v>
      </c>
      <c r="UU352" s="27">
        <v>1.58</v>
      </c>
      <c r="UV352" s="27"/>
      <c r="UW352" s="27"/>
      <c r="UX352" s="27">
        <v>0</v>
      </c>
      <c r="UY352" s="27">
        <v>0</v>
      </c>
      <c r="UZ352" s="27">
        <v>0</v>
      </c>
      <c r="VA352" s="24">
        <v>0</v>
      </c>
      <c r="VB352" s="24" t="s">
        <v>782</v>
      </c>
      <c r="VC352" s="24">
        <v>71</v>
      </c>
      <c r="VD352" s="27">
        <v>92</v>
      </c>
      <c r="VE352" s="27">
        <v>166.8</v>
      </c>
      <c r="VF352" s="27">
        <v>65</v>
      </c>
      <c r="VG352" s="24">
        <v>28.78</v>
      </c>
      <c r="VH352" s="24">
        <v>0</v>
      </c>
      <c r="VI352" s="24">
        <v>0</v>
      </c>
      <c r="VJ352" s="24">
        <v>0</v>
      </c>
      <c r="VK352" s="24">
        <v>2.5</v>
      </c>
      <c r="VL352" s="24">
        <v>0</v>
      </c>
      <c r="VM352" s="24">
        <v>8.5399999999999991</v>
      </c>
      <c r="VN352" s="24">
        <v>0</v>
      </c>
      <c r="VO352" s="24">
        <v>0</v>
      </c>
      <c r="VP352" s="24">
        <v>2.76</v>
      </c>
      <c r="VQ352" s="24">
        <v>0</v>
      </c>
      <c r="VR352" s="24">
        <v>9.52</v>
      </c>
      <c r="VS352" s="24">
        <v>36.909999999999997</v>
      </c>
      <c r="VT352" s="24">
        <v>26.15</v>
      </c>
      <c r="VU352" s="24">
        <v>1.97</v>
      </c>
      <c r="VV352" s="24">
        <v>60.18</v>
      </c>
      <c r="VW352" s="24">
        <v>0</v>
      </c>
      <c r="VX352" s="24">
        <v>0</v>
      </c>
      <c r="WK352" s="24">
        <v>0.1</v>
      </c>
      <c r="WL352" s="24">
        <v>0</v>
      </c>
      <c r="WW352" s="28"/>
      <c r="XO352" s="24">
        <v>1</v>
      </c>
      <c r="XP352" s="24">
        <v>50</v>
      </c>
      <c r="XQ352" s="24">
        <v>4</v>
      </c>
      <c r="XR352" s="24">
        <f>0.37*4</f>
        <v>1.48</v>
      </c>
      <c r="XS352" s="24">
        <v>3</v>
      </c>
      <c r="XT352" s="24">
        <v>40</v>
      </c>
      <c r="XU352" s="24">
        <v>6</v>
      </c>
      <c r="XV352" s="24">
        <v>2.2000000000000002</v>
      </c>
      <c r="XW352" s="24">
        <v>3</v>
      </c>
      <c r="XX352" s="24">
        <v>50</v>
      </c>
      <c r="XY352" s="24">
        <v>1</v>
      </c>
      <c r="XZ352" s="24">
        <v>0.06</v>
      </c>
      <c r="YA352" s="24">
        <v>1</v>
      </c>
      <c r="YB352" s="24">
        <v>60</v>
      </c>
      <c r="YC352" s="24">
        <v>3</v>
      </c>
      <c r="YD352" s="24">
        <v>0.19</v>
      </c>
      <c r="YE352" s="24">
        <v>4</v>
      </c>
      <c r="YZ352" s="27">
        <v>1.1100000000000001</v>
      </c>
      <c r="ZA352" s="27">
        <v>1</v>
      </c>
      <c r="ZB352" s="27">
        <v>1</v>
      </c>
      <c r="ZC352" s="27"/>
      <c r="ZD352" s="27">
        <f>0.51*2+0.09+0.15*2+1.65+0.18+0.72</f>
        <v>3.96</v>
      </c>
      <c r="ZE352" s="27"/>
      <c r="ZF352" s="27"/>
      <c r="ZG352" s="27"/>
      <c r="ZH352" s="27"/>
      <c r="ZI352" s="27"/>
      <c r="ZJ352" s="27"/>
      <c r="ZK352" s="27">
        <v>1.95</v>
      </c>
      <c r="ZL352" s="27">
        <v>1.96</v>
      </c>
      <c r="ZM352" s="27"/>
      <c r="ZN352" s="27"/>
      <c r="ZO352" s="27">
        <v>2.88</v>
      </c>
      <c r="ZP352" s="27">
        <v>0</v>
      </c>
      <c r="ZQ352" s="27">
        <v>0</v>
      </c>
      <c r="ZR352" s="24">
        <v>2</v>
      </c>
      <c r="ZS352" s="24" t="s">
        <v>783</v>
      </c>
      <c r="ZT352" s="24">
        <v>35</v>
      </c>
      <c r="ZU352" s="27">
        <v>89.3</v>
      </c>
      <c r="ZV352" s="27">
        <v>83.4</v>
      </c>
      <c r="ZW352" s="27">
        <v>12.6</v>
      </c>
      <c r="ZX352" s="24">
        <v>87.93</v>
      </c>
      <c r="ZY352" s="24">
        <v>0</v>
      </c>
      <c r="ZZ352" s="24">
        <v>0</v>
      </c>
      <c r="AAA352" s="24">
        <v>1.49</v>
      </c>
      <c r="AAB352" s="24">
        <v>10.58</v>
      </c>
      <c r="AAC352" s="24">
        <v>0</v>
      </c>
      <c r="AAD352" s="24">
        <v>0</v>
      </c>
      <c r="AAE352" s="24">
        <v>0</v>
      </c>
      <c r="AAF352" s="24">
        <v>0</v>
      </c>
      <c r="AAG352" s="24">
        <v>0</v>
      </c>
      <c r="AAH352" s="24">
        <v>0</v>
      </c>
      <c r="AAI352" s="24">
        <v>0.17</v>
      </c>
      <c r="AAJ352" s="24">
        <v>38.78</v>
      </c>
      <c r="AAK352" s="24">
        <v>29.47</v>
      </c>
      <c r="AAL352" s="24">
        <v>0</v>
      </c>
      <c r="AAM352" s="24">
        <v>0</v>
      </c>
      <c r="AAN352" s="24">
        <v>4</v>
      </c>
      <c r="AAO352" s="24">
        <v>1</v>
      </c>
      <c r="AAP352" s="24">
        <v>3</v>
      </c>
      <c r="AAR352" s="24">
        <v>4</v>
      </c>
      <c r="ABB352" s="24">
        <v>9.6999999999999993</v>
      </c>
      <c r="ABC352" s="24">
        <v>1</v>
      </c>
      <c r="ABD352" s="24">
        <v>68</v>
      </c>
      <c r="ABE352" s="24">
        <v>1</v>
      </c>
      <c r="ABF352" s="24">
        <v>0.02</v>
      </c>
      <c r="ABG352" s="24">
        <v>1</v>
      </c>
      <c r="ABH352" s="24">
        <v>35</v>
      </c>
      <c r="ABI352" s="24">
        <v>10</v>
      </c>
      <c r="ABJ352" s="24">
        <f>0.22*2+0.43*2+0.65+0.04+0.02+0.08</f>
        <v>2.0900000000000003</v>
      </c>
      <c r="ABK352" s="24">
        <v>3</v>
      </c>
      <c r="ABN352" s="28"/>
      <c r="ACF352" s="24">
        <v>1</v>
      </c>
      <c r="ACG352" s="24">
        <v>50</v>
      </c>
      <c r="ACH352" s="24">
        <f>4*3+3*4</f>
        <v>24</v>
      </c>
      <c r="ACI352" s="24">
        <f>0.07+0.25+0.11+0.65+1.3+15</f>
        <v>17.38</v>
      </c>
      <c r="ACJ352" s="24">
        <v>1</v>
      </c>
      <c r="ACK352" s="24">
        <v>40</v>
      </c>
      <c r="ACL352" s="24">
        <v>18</v>
      </c>
      <c r="ACM352" s="24">
        <f>0.87+0.17+0.08+0.34+1.73+0.43+0.87+0.07</f>
        <v>4.5600000000000005</v>
      </c>
      <c r="ACN352" s="24">
        <v>1</v>
      </c>
      <c r="ACO352" s="24">
        <v>40</v>
      </c>
      <c r="ACP352" s="24">
        <v>2</v>
      </c>
      <c r="ACQ352" s="24">
        <v>0.12</v>
      </c>
      <c r="ACR352" s="24">
        <v>5</v>
      </c>
      <c r="ACS352" s="24">
        <v>50</v>
      </c>
      <c r="ACT352" s="24">
        <v>1</v>
      </c>
      <c r="ACU352" s="24">
        <v>0.22</v>
      </c>
      <c r="ACV352" s="24">
        <v>6</v>
      </c>
      <c r="ACW352" s="24">
        <v>40</v>
      </c>
      <c r="ACX352" s="24">
        <v>3</v>
      </c>
      <c r="ACY352" s="24">
        <v>0.16</v>
      </c>
      <c r="ACZ352" s="24">
        <v>6</v>
      </c>
      <c r="ADQ352" s="27">
        <v>0.68</v>
      </c>
      <c r="ADR352" s="27">
        <v>1</v>
      </c>
      <c r="ADS352" s="27">
        <v>1</v>
      </c>
      <c r="ADT352" s="27"/>
      <c r="ADU352" s="27">
        <f>0.34+0.91+1.8+0.08+0.3</f>
        <v>3.4299999999999997</v>
      </c>
      <c r="ADV352" s="27"/>
      <c r="ADW352" s="27"/>
      <c r="ADX352" s="27"/>
      <c r="ADY352" s="27"/>
      <c r="ADZ352" s="27"/>
      <c r="AEA352" s="27"/>
      <c r="AEB352" s="27">
        <v>7.83</v>
      </c>
      <c r="AEC352" s="27">
        <v>8.68</v>
      </c>
      <c r="AED352" s="27"/>
      <c r="AEE352" s="27"/>
      <c r="AEF352" s="27">
        <v>0</v>
      </c>
      <c r="AEG352" s="27">
        <v>0</v>
      </c>
      <c r="AEH352" s="27">
        <v>0</v>
      </c>
      <c r="AEI352" s="24">
        <v>0</v>
      </c>
      <c r="AEJ352" s="24" t="s">
        <v>784</v>
      </c>
      <c r="AEK352" s="24">
        <v>38</v>
      </c>
      <c r="AEL352" s="27">
        <v>92.6</v>
      </c>
      <c r="AEM352" s="27">
        <v>83.4</v>
      </c>
      <c r="AEN352" s="27">
        <v>16.5</v>
      </c>
      <c r="AEO352" s="24">
        <v>77.87</v>
      </c>
      <c r="AEP352" s="24">
        <v>0</v>
      </c>
      <c r="AEQ352" s="24">
        <v>0</v>
      </c>
      <c r="AER352" s="24">
        <v>0</v>
      </c>
      <c r="AES352" s="24">
        <v>21.87</v>
      </c>
      <c r="AET352" s="24">
        <v>0</v>
      </c>
      <c r="AEU352" s="24">
        <v>0</v>
      </c>
      <c r="AEV352" s="24">
        <v>0</v>
      </c>
      <c r="AEW352" s="24">
        <v>0</v>
      </c>
      <c r="AEX352" s="24">
        <v>0</v>
      </c>
      <c r="AEY352" s="24">
        <v>0</v>
      </c>
      <c r="AEZ352" s="24">
        <v>0.28999999999999998</v>
      </c>
      <c r="AFA352" s="24">
        <v>38.85</v>
      </c>
      <c r="AFB352" s="24">
        <v>37.36</v>
      </c>
      <c r="AFC352" s="24">
        <v>5.57</v>
      </c>
      <c r="AFD352" s="24">
        <v>0</v>
      </c>
      <c r="AFE352" s="24">
        <v>0</v>
      </c>
      <c r="AFF352" s="24">
        <v>0</v>
      </c>
      <c r="AFS352" s="24">
        <v>17.5</v>
      </c>
      <c r="AFT352" s="24">
        <v>0</v>
      </c>
      <c r="AGE352" s="28"/>
      <c r="AGW352" s="24">
        <v>1</v>
      </c>
      <c r="AGX352" s="24">
        <v>70</v>
      </c>
      <c r="AGY352" s="24">
        <f>8*3+3</f>
        <v>27</v>
      </c>
      <c r="AGZ352" s="24">
        <f>5.87*3+0.58</f>
        <v>18.189999999999998</v>
      </c>
      <c r="AHA352" s="24">
        <v>1</v>
      </c>
      <c r="AIH352" s="27">
        <v>3.74</v>
      </c>
      <c r="AII352" s="27">
        <v>1</v>
      </c>
      <c r="AIJ352" s="27">
        <v>1</v>
      </c>
      <c r="AIK352" s="27"/>
      <c r="AIL352" s="27">
        <f>1.65+2.04*2+0.36*2+0.54</f>
        <v>6.99</v>
      </c>
      <c r="AIM352" s="27">
        <v>2</v>
      </c>
      <c r="AIN352" s="27"/>
      <c r="AIO352" s="27">
        <v>0.91</v>
      </c>
      <c r="AIP352" s="27"/>
      <c r="AIQ352" s="27"/>
      <c r="AIR352" s="27"/>
      <c r="AIS352" s="27">
        <v>0.19</v>
      </c>
      <c r="AIT352" s="27">
        <v>0.19</v>
      </c>
      <c r="AIU352" s="27"/>
      <c r="AIV352" s="27"/>
      <c r="AIW352" s="27">
        <v>0</v>
      </c>
      <c r="AIX352" s="27">
        <v>0</v>
      </c>
      <c r="AIY352" s="27">
        <v>0</v>
      </c>
      <c r="AIZ352" s="24">
        <v>0</v>
      </c>
      <c r="AJA352" s="24" t="s">
        <v>785</v>
      </c>
      <c r="AJB352" s="24">
        <v>37.5</v>
      </c>
      <c r="AJC352" s="27">
        <v>94.9</v>
      </c>
      <c r="AJD352" s="27">
        <v>83.4</v>
      </c>
      <c r="AJE352" s="27">
        <v>16</v>
      </c>
      <c r="AJF352" s="24">
        <v>79.430000000000007</v>
      </c>
      <c r="AJG352" s="24">
        <v>0</v>
      </c>
      <c r="AJH352" s="24">
        <v>0</v>
      </c>
      <c r="AJI352" s="24">
        <v>0</v>
      </c>
      <c r="AJJ352" s="24">
        <v>20.309999999999999</v>
      </c>
      <c r="AJK352" s="24">
        <v>0</v>
      </c>
      <c r="AJL352" s="24">
        <v>0</v>
      </c>
      <c r="AJM352" s="24">
        <v>0</v>
      </c>
      <c r="AJN352" s="24">
        <v>0</v>
      </c>
      <c r="AJO352" s="24">
        <v>0</v>
      </c>
      <c r="AJP352" s="24">
        <v>0</v>
      </c>
      <c r="AJQ352" s="24">
        <v>0.28999999999999998</v>
      </c>
      <c r="AJR352" s="24">
        <v>37.58</v>
      </c>
      <c r="AJS352" s="24">
        <v>37.76</v>
      </c>
      <c r="AJT352" s="24">
        <v>5.57</v>
      </c>
      <c r="AJU352" s="24">
        <v>0</v>
      </c>
      <c r="AJV352" s="24">
        <v>0</v>
      </c>
      <c r="AJW352" s="24">
        <v>0</v>
      </c>
      <c r="AKJ352" s="24">
        <v>17.5</v>
      </c>
      <c r="AKK352" s="24">
        <v>0</v>
      </c>
      <c r="AKV352" s="28"/>
      <c r="ALN352" s="24">
        <v>1</v>
      </c>
      <c r="ALO352" s="24">
        <v>71</v>
      </c>
      <c r="ALP352" s="24">
        <f>8*3+3</f>
        <v>27</v>
      </c>
      <c r="ALQ352" s="24">
        <f>5.87*3+0.58</f>
        <v>18.189999999999998</v>
      </c>
      <c r="ALR352" s="24">
        <v>2</v>
      </c>
    </row>
    <row r="353" spans="1:1024" x14ac:dyDescent="0.2">
      <c r="A353" s="1" t="s">
        <v>943</v>
      </c>
      <c r="B353" s="12">
        <v>42926</v>
      </c>
      <c r="C353">
        <v>2</v>
      </c>
      <c r="D353" s="13">
        <v>34785</v>
      </c>
      <c r="E353" s="12">
        <v>26489</v>
      </c>
      <c r="F353" s="14">
        <f t="shared" si="120"/>
        <v>45.002053388090346</v>
      </c>
      <c r="G353" s="14">
        <f t="shared" si="121"/>
        <v>22.288843258042437</v>
      </c>
      <c r="H353" s="19" t="s">
        <v>306</v>
      </c>
      <c r="I353" s="15" t="s">
        <v>777</v>
      </c>
      <c r="J353" s="21" t="s">
        <v>181</v>
      </c>
      <c r="K353" s="21" t="s">
        <v>913</v>
      </c>
      <c r="L353" s="19">
        <v>69</v>
      </c>
      <c r="M353">
        <v>1.79</v>
      </c>
      <c r="N353" s="16">
        <f t="shared" si="122"/>
        <v>21.534908398614277</v>
      </c>
      <c r="O353" s="19">
        <v>0</v>
      </c>
      <c r="P353" s="19">
        <v>0</v>
      </c>
      <c r="Q353" s="19">
        <v>0</v>
      </c>
      <c r="R353" s="26">
        <v>0</v>
      </c>
      <c r="S353" s="26">
        <v>0</v>
      </c>
      <c r="T353" s="26">
        <v>0</v>
      </c>
      <c r="U353" s="19">
        <v>0</v>
      </c>
      <c r="V353" s="19">
        <v>0</v>
      </c>
      <c r="W353" s="19">
        <v>0</v>
      </c>
      <c r="X353" s="19">
        <v>0</v>
      </c>
      <c r="Y353" s="19">
        <v>0</v>
      </c>
      <c r="Z353" s="19">
        <v>0</v>
      </c>
      <c r="AA353" s="19">
        <v>0</v>
      </c>
      <c r="AB353" s="19">
        <v>0</v>
      </c>
      <c r="AC353" s="19">
        <v>1</v>
      </c>
      <c r="AD353" s="19">
        <v>20</v>
      </c>
      <c r="AE353" s="19">
        <v>1</v>
      </c>
      <c r="AF353" s="19">
        <v>0</v>
      </c>
      <c r="AG353" s="19">
        <v>1</v>
      </c>
      <c r="AH353" s="19">
        <v>6</v>
      </c>
      <c r="AI353" s="19">
        <v>3</v>
      </c>
      <c r="AJ353" s="19">
        <v>0</v>
      </c>
      <c r="AK353" s="19">
        <v>0</v>
      </c>
      <c r="AL353" s="19">
        <v>0</v>
      </c>
      <c r="AM353" s="19">
        <v>0</v>
      </c>
      <c r="AN353" s="19">
        <v>3</v>
      </c>
      <c r="AO353" s="19">
        <v>0</v>
      </c>
      <c r="AP353" s="19">
        <v>0</v>
      </c>
      <c r="AQ353" s="19">
        <v>0</v>
      </c>
      <c r="AR353" s="19">
        <v>0</v>
      </c>
      <c r="AS353" s="19">
        <v>3</v>
      </c>
      <c r="AT353" s="19">
        <v>0</v>
      </c>
      <c r="AU353" s="19">
        <v>3</v>
      </c>
      <c r="AV353" s="19">
        <v>7</v>
      </c>
      <c r="AW353" s="19">
        <v>7</v>
      </c>
      <c r="AX353" s="19">
        <v>0</v>
      </c>
      <c r="AY353" s="19">
        <v>0</v>
      </c>
      <c r="AZ353" s="19">
        <v>0</v>
      </c>
      <c r="BA353" s="19">
        <v>0</v>
      </c>
      <c r="BB353" s="19">
        <v>1</v>
      </c>
      <c r="BC353" s="19">
        <v>0</v>
      </c>
      <c r="BD353" s="19">
        <v>1</v>
      </c>
      <c r="BE353" s="19">
        <v>8</v>
      </c>
      <c r="BF353" s="19">
        <v>0</v>
      </c>
      <c r="BG353" s="19">
        <v>0</v>
      </c>
      <c r="BH353" s="19">
        <v>0</v>
      </c>
      <c r="BI353" s="19">
        <v>0</v>
      </c>
      <c r="BJ353" s="19">
        <v>0</v>
      </c>
      <c r="BK353" s="19">
        <v>0</v>
      </c>
      <c r="BL353" s="19">
        <v>0</v>
      </c>
      <c r="BM353" s="19">
        <v>0</v>
      </c>
      <c r="BN353" s="19">
        <v>0</v>
      </c>
      <c r="BO353" s="19">
        <v>0</v>
      </c>
      <c r="BP353" s="19">
        <v>0</v>
      </c>
      <c r="BQ353" s="19">
        <v>0</v>
      </c>
      <c r="BR353" s="19">
        <v>4</v>
      </c>
      <c r="BS353" s="19">
        <v>5</v>
      </c>
      <c r="BT353" s="19">
        <v>4</v>
      </c>
      <c r="BU353" s="19">
        <v>5</v>
      </c>
      <c r="BV353" s="19">
        <v>4</v>
      </c>
      <c r="BW353" s="19">
        <v>4</v>
      </c>
      <c r="BX353" s="19">
        <v>5</v>
      </c>
      <c r="BY353" s="19">
        <v>4</v>
      </c>
      <c r="BZ353" s="19">
        <v>2</v>
      </c>
      <c r="CA353" s="19">
        <v>1</v>
      </c>
      <c r="CB353" s="19">
        <v>1</v>
      </c>
      <c r="CC353" s="19">
        <v>5</v>
      </c>
      <c r="CD353" s="19">
        <v>1</v>
      </c>
      <c r="CE353" s="19">
        <v>1</v>
      </c>
      <c r="CF353" s="19">
        <v>4</v>
      </c>
      <c r="CG353" s="19">
        <v>4</v>
      </c>
      <c r="CH353" s="19">
        <v>3</v>
      </c>
      <c r="CI353" s="19">
        <v>3</v>
      </c>
      <c r="CJ353" s="19">
        <v>3</v>
      </c>
      <c r="CK353" s="19">
        <v>8</v>
      </c>
      <c r="CL353" s="24" t="s">
        <v>779</v>
      </c>
      <c r="CM353" s="24">
        <v>43</v>
      </c>
      <c r="CN353" s="27">
        <v>91.8</v>
      </c>
      <c r="CO353" s="27">
        <v>83.4</v>
      </c>
      <c r="CP353" s="27">
        <v>25.8</v>
      </c>
      <c r="CQ353" s="24">
        <v>68.3</v>
      </c>
      <c r="CR353" s="24">
        <v>0</v>
      </c>
      <c r="CS353" s="24">
        <v>0</v>
      </c>
      <c r="CT353" s="24">
        <v>0</v>
      </c>
      <c r="CU353" s="24">
        <v>31.54</v>
      </c>
      <c r="CV353" s="24">
        <v>0</v>
      </c>
      <c r="CW353" s="24">
        <v>0</v>
      </c>
      <c r="CX353" s="24">
        <v>0</v>
      </c>
      <c r="CY353" s="24">
        <v>0</v>
      </c>
      <c r="CZ353" s="24">
        <v>0</v>
      </c>
      <c r="DA353" s="24">
        <v>0</v>
      </c>
      <c r="DB353" s="24">
        <v>48.27</v>
      </c>
      <c r="DC353" s="24">
        <v>58.3</v>
      </c>
      <c r="DD353" s="24">
        <v>1.34</v>
      </c>
      <c r="DE353" s="24">
        <v>0</v>
      </c>
      <c r="DF353" s="24">
        <v>0.16</v>
      </c>
      <c r="DG353" s="24">
        <v>0</v>
      </c>
      <c r="DH353" s="24">
        <v>0</v>
      </c>
      <c r="DU353" s="24">
        <v>11</v>
      </c>
      <c r="DV353" s="24">
        <v>1</v>
      </c>
      <c r="DW353" s="24">
        <v>30</v>
      </c>
      <c r="DX353" s="24">
        <v>1</v>
      </c>
      <c r="DY353" s="24">
        <v>0.73</v>
      </c>
      <c r="DZ353" s="24">
        <v>1</v>
      </c>
      <c r="EG353" s="28"/>
      <c r="EY353" s="24">
        <v>1</v>
      </c>
      <c r="EZ353" s="24">
        <v>60</v>
      </c>
      <c r="FA353" s="24">
        <v>14</v>
      </c>
      <c r="FB353" s="24">
        <f t="shared" si="127"/>
        <v>2.11</v>
      </c>
      <c r="FC353" s="24">
        <v>6</v>
      </c>
      <c r="FD353" s="24">
        <v>50</v>
      </c>
      <c r="FE353" s="24">
        <v>8</v>
      </c>
      <c r="FF353" s="24">
        <f t="shared" si="126"/>
        <v>5.88</v>
      </c>
      <c r="FG353" s="24">
        <v>4</v>
      </c>
      <c r="GJ353" s="27">
        <v>2.4500000000000002</v>
      </c>
      <c r="GK353" s="27">
        <v>1</v>
      </c>
      <c r="GL353" s="27">
        <v>1</v>
      </c>
      <c r="GM353" s="27"/>
      <c r="GN353" s="27">
        <f t="shared" si="128"/>
        <v>0.68</v>
      </c>
      <c r="GO353" s="27">
        <v>2</v>
      </c>
      <c r="GP353" s="27"/>
      <c r="GQ353" s="27">
        <f t="shared" si="129"/>
        <v>6.66</v>
      </c>
      <c r="GR353" s="27"/>
      <c r="GS353" s="27"/>
      <c r="GT353" s="27"/>
      <c r="GU353" s="27">
        <v>3.68</v>
      </c>
      <c r="GV353" s="27">
        <v>1.63</v>
      </c>
      <c r="GW353" s="27"/>
      <c r="GX353" s="27"/>
      <c r="GY353" s="27">
        <v>0</v>
      </c>
      <c r="GZ353" s="27">
        <v>0</v>
      </c>
      <c r="HA353" s="27">
        <v>0</v>
      </c>
      <c r="HB353" s="24">
        <v>0</v>
      </c>
      <c r="HC353" s="24" t="s">
        <v>780</v>
      </c>
      <c r="HD353" s="24">
        <v>46</v>
      </c>
      <c r="HE353" s="27">
        <v>101.6</v>
      </c>
      <c r="HF353" s="27">
        <v>83.4</v>
      </c>
      <c r="HG353" s="27">
        <v>27.8</v>
      </c>
      <c r="HH353" s="24">
        <v>66.040000000000006</v>
      </c>
      <c r="HI353" s="24">
        <v>0</v>
      </c>
      <c r="HJ353" s="24">
        <v>0</v>
      </c>
      <c r="HK353" s="24">
        <v>0</v>
      </c>
      <c r="HL353" s="24">
        <v>35.15</v>
      </c>
      <c r="HM353" s="24">
        <v>0</v>
      </c>
      <c r="HN353" s="24">
        <v>0</v>
      </c>
      <c r="HO353" s="24">
        <v>0</v>
      </c>
      <c r="HP353" s="24">
        <v>0</v>
      </c>
      <c r="HQ353" s="24">
        <v>0</v>
      </c>
      <c r="HR353" s="24">
        <v>0</v>
      </c>
      <c r="HS353" s="24">
        <v>43.27</v>
      </c>
      <c r="HT353" s="24">
        <v>65.02</v>
      </c>
      <c r="HU353" s="24">
        <v>6.59</v>
      </c>
      <c r="HV353" s="24">
        <v>0.88</v>
      </c>
      <c r="HW353" s="24">
        <v>0.16</v>
      </c>
      <c r="HX353" s="24">
        <v>0</v>
      </c>
      <c r="HY353" s="24">
        <v>0</v>
      </c>
      <c r="IL353" s="24">
        <v>14.9</v>
      </c>
      <c r="IM353" s="24">
        <v>1</v>
      </c>
      <c r="IN353" s="24">
        <v>30</v>
      </c>
      <c r="IO353" s="24">
        <v>1</v>
      </c>
      <c r="IP353" s="24">
        <v>0.73</v>
      </c>
      <c r="IQ353" s="24">
        <v>1</v>
      </c>
      <c r="IR353" s="24">
        <v>47</v>
      </c>
      <c r="IS353" s="24">
        <v>1</v>
      </c>
      <c r="IT353" s="24">
        <v>0.11</v>
      </c>
      <c r="IU353" s="24">
        <v>3</v>
      </c>
      <c r="IX353" s="28"/>
      <c r="JP353" s="24">
        <v>1</v>
      </c>
      <c r="JQ353" s="24">
        <v>60</v>
      </c>
      <c r="JR353" s="24">
        <v>4</v>
      </c>
      <c r="JS353" s="24">
        <v>1.68</v>
      </c>
      <c r="JT353" s="24">
        <v>6</v>
      </c>
      <c r="JU353" s="24">
        <v>50</v>
      </c>
      <c r="JV353" s="24">
        <v>8</v>
      </c>
      <c r="JW353" s="24">
        <f>2.94*2</f>
        <v>5.88</v>
      </c>
      <c r="JX353" s="24">
        <v>4</v>
      </c>
      <c r="JY353" s="24">
        <v>50</v>
      </c>
      <c r="JZ353" s="24">
        <v>4</v>
      </c>
      <c r="KA353" s="24">
        <v>0.76</v>
      </c>
      <c r="KB353" s="24">
        <v>6</v>
      </c>
      <c r="KC353" s="24">
        <v>80</v>
      </c>
      <c r="KD353" s="24">
        <v>8</v>
      </c>
      <c r="KE353" s="24">
        <f>0.31+0.21</f>
        <v>0.52</v>
      </c>
      <c r="KF353" s="24">
        <v>6</v>
      </c>
      <c r="LA353" s="27">
        <v>2.0499999999999998</v>
      </c>
      <c r="LB353" s="27">
        <v>1</v>
      </c>
      <c r="LC353" s="27">
        <v>1</v>
      </c>
      <c r="LD353" s="27"/>
      <c r="LE353" s="27">
        <f>6.12+0.54+0.36</f>
        <v>7.0200000000000005</v>
      </c>
      <c r="LF353" s="27">
        <v>2</v>
      </c>
      <c r="LG353" s="27"/>
      <c r="LH353" s="27">
        <v>6.01</v>
      </c>
      <c r="LI353" s="27"/>
      <c r="LJ353" s="27"/>
      <c r="LK353" s="27"/>
      <c r="LL353" s="27">
        <v>0.86</v>
      </c>
      <c r="LM353" s="27">
        <v>0.85</v>
      </c>
      <c r="LN353" s="27"/>
      <c r="LO353" s="27"/>
      <c r="LP353" s="27">
        <v>0</v>
      </c>
      <c r="LQ353" s="27">
        <v>0</v>
      </c>
      <c r="LR353" s="27">
        <v>0</v>
      </c>
      <c r="LS353" s="24">
        <v>0</v>
      </c>
      <c r="LT353" s="24">
        <v>100</v>
      </c>
      <c r="LU353" s="24">
        <v>29.5</v>
      </c>
      <c r="LV353" s="27">
        <v>94.9</v>
      </c>
      <c r="LW353" s="27">
        <v>83.4</v>
      </c>
      <c r="LX353" s="27">
        <v>17.600000000000001</v>
      </c>
      <c r="LY353" s="24">
        <v>85.6</v>
      </c>
      <c r="LZ353" s="24">
        <v>0</v>
      </c>
      <c r="MA353" s="24">
        <v>0</v>
      </c>
      <c r="MB353" s="24">
        <v>0</v>
      </c>
      <c r="MC353" s="24">
        <v>14.4</v>
      </c>
      <c r="MD353" s="24">
        <v>0</v>
      </c>
      <c r="ME353" s="24">
        <v>0</v>
      </c>
      <c r="MF353" s="24">
        <v>0</v>
      </c>
      <c r="MG353" s="24">
        <v>0</v>
      </c>
      <c r="MH353" s="24">
        <v>0</v>
      </c>
      <c r="MI353" s="24">
        <v>0</v>
      </c>
      <c r="MJ353" s="24">
        <v>1.95</v>
      </c>
      <c r="MK353" s="24">
        <v>9.4499999999999993</v>
      </c>
      <c r="ML353" s="24">
        <v>11.24</v>
      </c>
      <c r="MM353" s="24">
        <v>36.94</v>
      </c>
      <c r="MN353" s="24">
        <v>0</v>
      </c>
      <c r="MO353" s="24">
        <v>11.5</v>
      </c>
      <c r="MP353" s="24">
        <v>1</v>
      </c>
      <c r="MQ353" s="24">
        <v>5</v>
      </c>
      <c r="MS353" s="24">
        <v>4</v>
      </c>
      <c r="NC353" s="24">
        <v>0</v>
      </c>
      <c r="ND353" s="24">
        <v>0</v>
      </c>
      <c r="NO353" s="28"/>
      <c r="OG353" s="24">
        <v>0</v>
      </c>
      <c r="PR353" s="27">
        <v>0.2</v>
      </c>
      <c r="PS353" s="27">
        <v>1</v>
      </c>
      <c r="PT353" s="27">
        <v>1</v>
      </c>
      <c r="PU353" s="27"/>
      <c r="PV353" s="27">
        <f>0.14+0.23+0.07+0.21</f>
        <v>0.65</v>
      </c>
      <c r="PW353" s="27"/>
      <c r="PX353" s="27"/>
      <c r="PY353" s="27"/>
      <c r="PZ353" s="27"/>
      <c r="QA353" s="27"/>
      <c r="QB353" s="27"/>
      <c r="QC353" s="27">
        <v>0.23</v>
      </c>
      <c r="QD353" s="27">
        <v>0.23</v>
      </c>
      <c r="QE353" s="27"/>
      <c r="QF353" s="27"/>
      <c r="QG353" s="27">
        <v>0</v>
      </c>
      <c r="QH353" s="27">
        <v>0</v>
      </c>
      <c r="QI353" s="27">
        <v>0</v>
      </c>
      <c r="QJ353" s="24">
        <v>0</v>
      </c>
      <c r="QK353" s="24" t="s">
        <v>781</v>
      </c>
      <c r="QL353" s="24">
        <v>47.5</v>
      </c>
      <c r="QM353" s="27">
        <v>49.3</v>
      </c>
      <c r="QN353" s="27">
        <v>83.4</v>
      </c>
      <c r="QO353" s="27">
        <v>35.700000000000003</v>
      </c>
      <c r="QP353" s="24">
        <v>66.48</v>
      </c>
      <c r="QQ353" s="24">
        <v>0</v>
      </c>
      <c r="QR353" s="24">
        <v>6.11</v>
      </c>
      <c r="QS353" s="24">
        <v>0</v>
      </c>
      <c r="QT353" s="24">
        <v>9.56</v>
      </c>
      <c r="QU353" s="24">
        <v>0</v>
      </c>
      <c r="QV353" s="24">
        <v>6.1</v>
      </c>
      <c r="QW353" s="24">
        <v>3.05</v>
      </c>
      <c r="QX353" s="24">
        <v>0</v>
      </c>
      <c r="QY353" s="24">
        <v>0</v>
      </c>
      <c r="QZ353" s="24">
        <v>0</v>
      </c>
      <c r="RA353" s="24">
        <v>0</v>
      </c>
      <c r="RB353" s="24">
        <v>17.78</v>
      </c>
      <c r="RC353" s="24">
        <v>9.1300000000000008</v>
      </c>
      <c r="RD353" s="24">
        <v>2.7</v>
      </c>
      <c r="RE353" s="24">
        <v>11.73</v>
      </c>
      <c r="RF353" s="24">
        <v>0</v>
      </c>
      <c r="RG353" s="24">
        <v>0</v>
      </c>
      <c r="RT353" s="24">
        <v>5.7</v>
      </c>
      <c r="RU353" s="24">
        <v>1</v>
      </c>
      <c r="RV353" s="24">
        <v>30</v>
      </c>
      <c r="RW353" s="24">
        <v>10</v>
      </c>
      <c r="RX353" s="24">
        <f>0.15*2+0.16*8</f>
        <v>1.58</v>
      </c>
      <c r="RY353" s="24">
        <v>3</v>
      </c>
      <c r="SF353" s="28"/>
      <c r="SX353" s="24">
        <v>1</v>
      </c>
      <c r="SY353" s="24">
        <v>40</v>
      </c>
      <c r="SZ353" s="24">
        <v>4</v>
      </c>
      <c r="TA353" s="24">
        <v>0.6</v>
      </c>
      <c r="TB353" s="24">
        <v>2</v>
      </c>
      <c r="UI353" s="27">
        <v>0.53</v>
      </c>
      <c r="UJ353" s="27">
        <v>1</v>
      </c>
      <c r="UK353" s="27">
        <v>1</v>
      </c>
      <c r="UL353" s="27"/>
      <c r="UM353" s="27">
        <f>0.64*4+0.08</f>
        <v>2.64</v>
      </c>
      <c r="UN353" s="27"/>
      <c r="UO353" s="27"/>
      <c r="UP353" s="27"/>
      <c r="UQ353" s="27"/>
      <c r="UR353" s="27"/>
      <c r="US353" s="27"/>
      <c r="UT353" s="27">
        <v>5.0599999999999996</v>
      </c>
      <c r="UU353" s="27">
        <v>1.58</v>
      </c>
      <c r="UV353" s="27"/>
      <c r="UW353" s="27"/>
      <c r="UX353" s="27">
        <v>0</v>
      </c>
      <c r="UY353" s="27">
        <v>0</v>
      </c>
      <c r="UZ353" s="27">
        <v>0</v>
      </c>
      <c r="VA353" s="24">
        <v>0</v>
      </c>
      <c r="VB353" s="24" t="s">
        <v>782</v>
      </c>
      <c r="VC353" s="24">
        <v>71</v>
      </c>
      <c r="VD353" s="27">
        <v>92</v>
      </c>
      <c r="VE353" s="27">
        <v>166.8</v>
      </c>
      <c r="VF353" s="27">
        <v>65</v>
      </c>
      <c r="VG353" s="24">
        <v>28.78</v>
      </c>
      <c r="VH353" s="24">
        <v>0</v>
      </c>
      <c r="VI353" s="24">
        <v>0</v>
      </c>
      <c r="VJ353" s="24">
        <v>0</v>
      </c>
      <c r="VK353" s="24">
        <v>2.5</v>
      </c>
      <c r="VL353" s="24">
        <v>0</v>
      </c>
      <c r="VM353" s="24">
        <v>8.5399999999999991</v>
      </c>
      <c r="VN353" s="24">
        <v>0</v>
      </c>
      <c r="VO353" s="24">
        <v>0</v>
      </c>
      <c r="VP353" s="24">
        <v>2.76</v>
      </c>
      <c r="VQ353" s="24">
        <v>0</v>
      </c>
      <c r="VR353" s="24">
        <v>9.52</v>
      </c>
      <c r="VS353" s="24">
        <v>36.909999999999997</v>
      </c>
      <c r="VT353" s="24">
        <v>26.15</v>
      </c>
      <c r="VU353" s="24">
        <v>1.97</v>
      </c>
      <c r="VV353" s="24">
        <v>60.18</v>
      </c>
      <c r="VW353" s="24">
        <v>0</v>
      </c>
      <c r="VX353" s="24">
        <v>0</v>
      </c>
      <c r="WK353" s="24">
        <v>0.1</v>
      </c>
      <c r="WL353" s="24">
        <v>0</v>
      </c>
      <c r="WW353" s="28"/>
      <c r="XO353" s="24">
        <v>1</v>
      </c>
      <c r="XP353" s="24">
        <v>50</v>
      </c>
      <c r="XQ353" s="24">
        <v>4</v>
      </c>
      <c r="XR353" s="24">
        <f>0.37*4</f>
        <v>1.48</v>
      </c>
      <c r="XS353" s="24">
        <v>3</v>
      </c>
      <c r="XT353" s="24">
        <v>40</v>
      </c>
      <c r="XU353" s="24">
        <v>6</v>
      </c>
      <c r="XV353" s="24">
        <v>2.2000000000000002</v>
      </c>
      <c r="XW353" s="24">
        <v>3</v>
      </c>
      <c r="XX353" s="24">
        <v>50</v>
      </c>
      <c r="XY353" s="24">
        <v>1</v>
      </c>
      <c r="XZ353" s="24">
        <v>0.06</v>
      </c>
      <c r="YA353" s="24">
        <v>1</v>
      </c>
      <c r="YB353" s="24">
        <v>60</v>
      </c>
      <c r="YC353" s="24">
        <v>3</v>
      </c>
      <c r="YD353" s="24">
        <v>0.19</v>
      </c>
      <c r="YE353" s="24">
        <v>4</v>
      </c>
      <c r="YZ353" s="27">
        <v>1.1100000000000001</v>
      </c>
      <c r="ZA353" s="27">
        <v>1</v>
      </c>
      <c r="ZB353" s="27">
        <v>1</v>
      </c>
      <c r="ZC353" s="27"/>
      <c r="ZD353" s="27">
        <f>0.51*2+0.09+0.15*2+1.65+0.18+0.72</f>
        <v>3.96</v>
      </c>
      <c r="ZE353" s="27"/>
      <c r="ZF353" s="27"/>
      <c r="ZG353" s="27"/>
      <c r="ZH353" s="27"/>
      <c r="ZI353" s="27"/>
      <c r="ZJ353" s="27"/>
      <c r="ZK353" s="27">
        <v>1.95</v>
      </c>
      <c r="ZL353" s="27">
        <v>1.96</v>
      </c>
      <c r="ZM353" s="27"/>
      <c r="ZN353" s="27"/>
      <c r="ZO353" s="27">
        <v>2.88</v>
      </c>
      <c r="ZP353" s="27">
        <v>0</v>
      </c>
      <c r="ZQ353" s="27">
        <v>0</v>
      </c>
      <c r="ZR353" s="24">
        <v>2</v>
      </c>
      <c r="ZS353" s="24" t="s">
        <v>783</v>
      </c>
      <c r="ZT353" s="24">
        <v>35</v>
      </c>
      <c r="ZU353" s="27">
        <v>89.3</v>
      </c>
      <c r="ZV353" s="27">
        <v>83.4</v>
      </c>
      <c r="ZW353" s="27">
        <v>12.6</v>
      </c>
      <c r="ZX353" s="24">
        <v>87.93</v>
      </c>
      <c r="ZY353" s="24">
        <v>0</v>
      </c>
      <c r="ZZ353" s="24">
        <v>0</v>
      </c>
      <c r="AAA353" s="24">
        <v>1.49</v>
      </c>
      <c r="AAB353" s="24">
        <v>10.58</v>
      </c>
      <c r="AAC353" s="24">
        <v>0</v>
      </c>
      <c r="AAD353" s="24">
        <v>0</v>
      </c>
      <c r="AAE353" s="24">
        <v>0</v>
      </c>
      <c r="AAF353" s="24">
        <v>0</v>
      </c>
      <c r="AAG353" s="24">
        <v>0</v>
      </c>
      <c r="AAH353" s="24">
        <v>0</v>
      </c>
      <c r="AAI353" s="24">
        <v>0.17</v>
      </c>
      <c r="AAJ353" s="24">
        <v>38.78</v>
      </c>
      <c r="AAK353" s="24">
        <v>29.47</v>
      </c>
      <c r="AAL353" s="24">
        <v>0</v>
      </c>
      <c r="AAM353" s="24">
        <v>0</v>
      </c>
      <c r="AAN353" s="24">
        <v>4</v>
      </c>
      <c r="AAO353" s="24">
        <v>1</v>
      </c>
      <c r="AAP353" s="24">
        <v>3</v>
      </c>
      <c r="AAR353" s="24">
        <v>4</v>
      </c>
      <c r="ABB353" s="24">
        <v>9.6999999999999993</v>
      </c>
      <c r="ABC353" s="24">
        <v>1</v>
      </c>
      <c r="ABD353" s="24">
        <v>68</v>
      </c>
      <c r="ABE353" s="24">
        <v>1</v>
      </c>
      <c r="ABF353" s="24">
        <v>0.02</v>
      </c>
      <c r="ABG353" s="24">
        <v>1</v>
      </c>
      <c r="ABH353" s="24">
        <v>35</v>
      </c>
      <c r="ABI353" s="24">
        <v>10</v>
      </c>
      <c r="ABJ353" s="24">
        <f>0.22*2+0.43*2+0.65+0.04+0.02+0.08</f>
        <v>2.0900000000000003</v>
      </c>
      <c r="ABK353" s="24">
        <v>3</v>
      </c>
      <c r="ABN353" s="28"/>
      <c r="ACF353" s="24">
        <v>1</v>
      </c>
      <c r="ACG353" s="24">
        <v>50</v>
      </c>
      <c r="ACH353" s="24">
        <f>4*3+3*4</f>
        <v>24</v>
      </c>
      <c r="ACI353" s="24">
        <f>0.07+0.25+0.11+0.65+1.3+15</f>
        <v>17.38</v>
      </c>
      <c r="ACJ353" s="24">
        <v>1</v>
      </c>
      <c r="ACK353" s="24">
        <v>40</v>
      </c>
      <c r="ACL353" s="24">
        <v>18</v>
      </c>
      <c r="ACM353" s="24">
        <f>0.87+0.17+0.08+0.34+1.73+0.43+0.87+0.07</f>
        <v>4.5600000000000005</v>
      </c>
      <c r="ACN353" s="24">
        <v>1</v>
      </c>
      <c r="ACO353" s="24">
        <v>40</v>
      </c>
      <c r="ACP353" s="24">
        <v>2</v>
      </c>
      <c r="ACQ353" s="24">
        <v>0.12</v>
      </c>
      <c r="ACR353" s="24">
        <v>5</v>
      </c>
      <c r="ACS353" s="24">
        <v>50</v>
      </c>
      <c r="ACT353" s="24">
        <v>1</v>
      </c>
      <c r="ACU353" s="24">
        <v>0.22</v>
      </c>
      <c r="ACV353" s="24">
        <v>6</v>
      </c>
      <c r="ACW353" s="24">
        <v>40</v>
      </c>
      <c r="ACX353" s="24">
        <v>3</v>
      </c>
      <c r="ACY353" s="24">
        <v>0.16</v>
      </c>
      <c r="ACZ353" s="24">
        <v>6</v>
      </c>
      <c r="ADQ353" s="27">
        <v>0.68</v>
      </c>
      <c r="ADR353" s="27">
        <v>1</v>
      </c>
      <c r="ADS353" s="27">
        <v>1</v>
      </c>
      <c r="ADT353" s="27"/>
      <c r="ADU353" s="27">
        <f>0.34+0.91+1.8+0.08+0.3</f>
        <v>3.4299999999999997</v>
      </c>
      <c r="ADV353" s="27"/>
      <c r="ADW353" s="27"/>
      <c r="ADX353" s="27"/>
      <c r="ADY353" s="27"/>
      <c r="ADZ353" s="27"/>
      <c r="AEA353" s="27"/>
      <c r="AEB353" s="27">
        <v>7.83</v>
      </c>
      <c r="AEC353" s="27">
        <v>8.68</v>
      </c>
      <c r="AED353" s="27"/>
      <c r="AEE353" s="27"/>
      <c r="AEF353" s="27">
        <v>0</v>
      </c>
      <c r="AEG353" s="27">
        <v>0</v>
      </c>
      <c r="AEH353" s="27">
        <v>0</v>
      </c>
      <c r="AEI353" s="24">
        <v>0</v>
      </c>
      <c r="AEJ353" s="24" t="s">
        <v>784</v>
      </c>
      <c r="AEK353" s="24">
        <v>38</v>
      </c>
      <c r="AEL353" s="27">
        <v>92.6</v>
      </c>
      <c r="AEM353" s="27">
        <v>83.4</v>
      </c>
      <c r="AEN353" s="27">
        <v>16.5</v>
      </c>
      <c r="AEO353" s="24">
        <v>77.87</v>
      </c>
      <c r="AEP353" s="24">
        <v>0</v>
      </c>
      <c r="AEQ353" s="24">
        <v>0</v>
      </c>
      <c r="AER353" s="24">
        <v>0</v>
      </c>
      <c r="AES353" s="24">
        <v>21.87</v>
      </c>
      <c r="AET353" s="24">
        <v>0</v>
      </c>
      <c r="AEU353" s="24">
        <v>0</v>
      </c>
      <c r="AEV353" s="24">
        <v>0</v>
      </c>
      <c r="AEW353" s="24">
        <v>0</v>
      </c>
      <c r="AEX353" s="24">
        <v>0</v>
      </c>
      <c r="AEY353" s="24">
        <v>0</v>
      </c>
      <c r="AEZ353" s="24">
        <v>0.28999999999999998</v>
      </c>
      <c r="AFA353" s="24">
        <v>38.85</v>
      </c>
      <c r="AFB353" s="24">
        <v>37.36</v>
      </c>
      <c r="AFC353" s="24">
        <v>5.57</v>
      </c>
      <c r="AFD353" s="24">
        <v>0</v>
      </c>
      <c r="AFE353" s="24">
        <v>0</v>
      </c>
      <c r="AFF353" s="24">
        <v>0</v>
      </c>
      <c r="AFS353" s="24">
        <v>17.5</v>
      </c>
      <c r="AFT353" s="24">
        <v>0</v>
      </c>
      <c r="AGE353" s="28"/>
      <c r="AGW353" s="24">
        <v>1</v>
      </c>
      <c r="AGX353" s="24">
        <v>70</v>
      </c>
      <c r="AGY353" s="24">
        <f>8*3+3</f>
        <v>27</v>
      </c>
      <c r="AGZ353" s="24">
        <f>5.87*3+0.58</f>
        <v>18.189999999999998</v>
      </c>
      <c r="AHA353" s="24">
        <v>1</v>
      </c>
      <c r="AIH353" s="27">
        <v>3.74</v>
      </c>
      <c r="AII353" s="27">
        <v>1</v>
      </c>
      <c r="AIJ353" s="27">
        <v>1</v>
      </c>
      <c r="AIK353" s="27"/>
      <c r="AIL353" s="27">
        <f>1.65+2.04*2+0.36*2+0.54</f>
        <v>6.99</v>
      </c>
      <c r="AIM353" s="27">
        <v>2</v>
      </c>
      <c r="AIN353" s="27"/>
      <c r="AIO353" s="27">
        <v>0.91</v>
      </c>
      <c r="AIP353" s="27"/>
      <c r="AIQ353" s="27"/>
      <c r="AIR353" s="27"/>
      <c r="AIS353" s="27">
        <v>0.19</v>
      </c>
      <c r="AIT353" s="27">
        <v>0.19</v>
      </c>
      <c r="AIU353" s="27"/>
      <c r="AIV353" s="27"/>
      <c r="AIW353" s="27">
        <v>0</v>
      </c>
      <c r="AIX353" s="27">
        <v>0</v>
      </c>
      <c r="AIY353" s="27">
        <v>0</v>
      </c>
      <c r="AIZ353" s="24">
        <v>0</v>
      </c>
      <c r="AJA353" s="24" t="s">
        <v>785</v>
      </c>
      <c r="AJB353" s="24">
        <v>37.5</v>
      </c>
      <c r="AJC353" s="27">
        <v>94.9</v>
      </c>
      <c r="AJD353" s="27">
        <v>83.4</v>
      </c>
      <c r="AJE353" s="27">
        <v>16</v>
      </c>
      <c r="AJF353" s="24">
        <v>79.430000000000007</v>
      </c>
      <c r="AJG353" s="24">
        <v>0</v>
      </c>
      <c r="AJH353" s="24">
        <v>0</v>
      </c>
      <c r="AJI353" s="24">
        <v>0</v>
      </c>
      <c r="AJJ353" s="24">
        <v>20.309999999999999</v>
      </c>
      <c r="AJK353" s="24">
        <v>0</v>
      </c>
      <c r="AJL353" s="24">
        <v>0</v>
      </c>
      <c r="AJM353" s="24">
        <v>0</v>
      </c>
      <c r="AJN353" s="24">
        <v>0</v>
      </c>
      <c r="AJO353" s="24">
        <v>0</v>
      </c>
      <c r="AJP353" s="24">
        <v>0</v>
      </c>
      <c r="AJQ353" s="24">
        <v>0.28999999999999998</v>
      </c>
      <c r="AJR353" s="24">
        <v>37.58</v>
      </c>
      <c r="AJS353" s="24">
        <v>37.76</v>
      </c>
      <c r="AJT353" s="24">
        <v>5.57</v>
      </c>
      <c r="AJU353" s="24">
        <v>0</v>
      </c>
      <c r="AJV353" s="24">
        <v>0</v>
      </c>
      <c r="AJW353" s="24">
        <v>0</v>
      </c>
      <c r="AKJ353" s="24">
        <v>17.5</v>
      </c>
      <c r="AKK353" s="24">
        <v>0</v>
      </c>
      <c r="AKV353" s="28"/>
      <c r="ALN353" s="24">
        <v>1</v>
      </c>
      <c r="ALO353" s="24">
        <v>71</v>
      </c>
      <c r="ALP353" s="24">
        <f>8*3+3</f>
        <v>27</v>
      </c>
      <c r="ALQ353" s="24">
        <f>5.87*3+0.58</f>
        <v>18.189999999999998</v>
      </c>
      <c r="ALR353" s="24">
        <v>2</v>
      </c>
    </row>
    <row r="354" spans="1:1024" x14ac:dyDescent="0.2">
      <c r="A354" s="22" t="s">
        <v>944</v>
      </c>
      <c r="B354" s="23">
        <v>42926</v>
      </c>
      <c r="C354" s="24">
        <v>2</v>
      </c>
      <c r="D354" s="25">
        <v>42786</v>
      </c>
      <c r="E354" s="23">
        <v>35065</v>
      </c>
      <c r="F354" s="14">
        <f t="shared" si="120"/>
        <v>21.522245037645447</v>
      </c>
      <c r="G354" s="14">
        <f t="shared" si="121"/>
        <v>0.38329911019849416</v>
      </c>
      <c r="H354" s="26" t="s">
        <v>306</v>
      </c>
      <c r="I354" s="21" t="s">
        <v>777</v>
      </c>
      <c r="J354" s="21" t="s">
        <v>181</v>
      </c>
      <c r="K354" s="21" t="s">
        <v>913</v>
      </c>
      <c r="L354" s="26">
        <v>90</v>
      </c>
      <c r="M354" s="24">
        <v>1.9</v>
      </c>
      <c r="N354" s="27">
        <f t="shared" si="122"/>
        <v>24.930747922437675</v>
      </c>
      <c r="O354" s="26">
        <v>0</v>
      </c>
      <c r="P354" s="26">
        <v>0</v>
      </c>
      <c r="Q354" s="26">
        <v>0</v>
      </c>
      <c r="R354" s="26">
        <v>0</v>
      </c>
      <c r="S354" s="26">
        <v>0</v>
      </c>
      <c r="T354" s="26">
        <v>0</v>
      </c>
      <c r="U354" s="26">
        <v>0</v>
      </c>
      <c r="V354" s="26">
        <v>0</v>
      </c>
      <c r="W354" s="26">
        <v>0</v>
      </c>
      <c r="X354" s="26">
        <v>0</v>
      </c>
      <c r="Y354" s="26">
        <v>0</v>
      </c>
      <c r="Z354" s="26">
        <v>0</v>
      </c>
      <c r="AA354" s="26">
        <v>0</v>
      </c>
      <c r="AB354" s="26">
        <v>0</v>
      </c>
      <c r="AC354" s="26">
        <v>1</v>
      </c>
      <c r="AD354" s="26">
        <v>5</v>
      </c>
      <c r="AE354" s="26">
        <v>0</v>
      </c>
      <c r="AF354" s="26">
        <v>0</v>
      </c>
      <c r="AG354" s="26">
        <v>0</v>
      </c>
      <c r="AH354" s="26">
        <v>0</v>
      </c>
      <c r="AI354" s="26">
        <v>0</v>
      </c>
      <c r="AJ354" s="26">
        <v>0</v>
      </c>
      <c r="AK354" s="26">
        <v>0</v>
      </c>
      <c r="AL354" s="26">
        <v>0</v>
      </c>
      <c r="AM354" s="26">
        <v>0</v>
      </c>
      <c r="AN354" s="26">
        <v>0</v>
      </c>
      <c r="AO354" s="26">
        <v>0</v>
      </c>
      <c r="AP354" s="26">
        <v>0</v>
      </c>
      <c r="AQ354" s="26">
        <v>0</v>
      </c>
      <c r="AR354" s="26">
        <v>0</v>
      </c>
      <c r="AS354" s="26">
        <v>0</v>
      </c>
      <c r="AT354" s="26">
        <v>0</v>
      </c>
      <c r="AU354" s="26">
        <v>0</v>
      </c>
      <c r="AV354" s="26">
        <v>0</v>
      </c>
      <c r="AW354" s="26">
        <v>0</v>
      </c>
      <c r="AX354" s="26">
        <v>0</v>
      </c>
      <c r="AY354" s="26">
        <v>0</v>
      </c>
      <c r="AZ354" s="26">
        <v>0</v>
      </c>
      <c r="BA354" s="26">
        <v>0</v>
      </c>
      <c r="BB354" s="26">
        <v>0</v>
      </c>
      <c r="BC354" s="26">
        <v>0</v>
      </c>
      <c r="BD354" s="26">
        <v>0</v>
      </c>
      <c r="BE354" s="26">
        <v>0</v>
      </c>
      <c r="BF354" s="26">
        <v>0</v>
      </c>
      <c r="BG354" s="26">
        <v>0</v>
      </c>
      <c r="BH354" s="26">
        <v>0</v>
      </c>
      <c r="BI354" s="26">
        <v>0</v>
      </c>
      <c r="BJ354" s="26">
        <v>0</v>
      </c>
      <c r="BK354" s="26">
        <v>0</v>
      </c>
      <c r="BL354" s="26">
        <v>0</v>
      </c>
      <c r="BM354" s="26">
        <v>0</v>
      </c>
      <c r="BN354" s="26">
        <v>0</v>
      </c>
      <c r="BO354" s="26">
        <v>0</v>
      </c>
      <c r="BP354" s="26">
        <v>0</v>
      </c>
      <c r="BQ354" s="26">
        <v>0</v>
      </c>
      <c r="BR354" s="26">
        <v>2</v>
      </c>
      <c r="BS354" s="26">
        <v>2</v>
      </c>
      <c r="BT354" s="26">
        <v>4</v>
      </c>
      <c r="BU354" s="26">
        <v>2</v>
      </c>
      <c r="BV354" s="26">
        <v>2</v>
      </c>
      <c r="BW354" s="26">
        <v>1</v>
      </c>
      <c r="BX354" s="26">
        <v>3</v>
      </c>
      <c r="BY354" s="26">
        <v>3</v>
      </c>
      <c r="BZ354" s="26">
        <v>2</v>
      </c>
      <c r="CA354" s="26">
        <v>5</v>
      </c>
      <c r="CB354" s="26">
        <v>4</v>
      </c>
      <c r="CC354" s="26">
        <v>5</v>
      </c>
      <c r="CD354" s="26">
        <v>4</v>
      </c>
      <c r="CE354" s="26">
        <v>5</v>
      </c>
      <c r="CF354" s="26">
        <v>4</v>
      </c>
      <c r="CG354" s="26">
        <v>5</v>
      </c>
      <c r="CH354" s="26">
        <v>5</v>
      </c>
      <c r="CI354" s="26">
        <v>5</v>
      </c>
      <c r="CJ354" s="26">
        <v>5</v>
      </c>
      <c r="CK354" s="26">
        <v>9</v>
      </c>
      <c r="CL354" s="24" t="s">
        <v>779</v>
      </c>
      <c r="CM354" s="24">
        <v>43</v>
      </c>
      <c r="CN354" s="27">
        <v>91.8</v>
      </c>
      <c r="CO354" s="27">
        <v>83.4</v>
      </c>
      <c r="CP354" s="27">
        <v>25.8</v>
      </c>
      <c r="CQ354" s="24">
        <v>68.3</v>
      </c>
      <c r="CR354" s="24">
        <v>0</v>
      </c>
      <c r="CS354" s="24">
        <v>0</v>
      </c>
      <c r="CT354" s="24">
        <v>0</v>
      </c>
      <c r="CU354" s="24">
        <v>31.54</v>
      </c>
      <c r="CV354" s="24">
        <v>0</v>
      </c>
      <c r="CW354" s="24">
        <v>0</v>
      </c>
      <c r="CX354" s="24">
        <v>0</v>
      </c>
      <c r="CY354" s="24">
        <v>0</v>
      </c>
      <c r="CZ354" s="24">
        <v>0</v>
      </c>
      <c r="DA354" s="24">
        <v>0</v>
      </c>
      <c r="DB354" s="24">
        <v>48.27</v>
      </c>
      <c r="DC354" s="24">
        <v>58.3</v>
      </c>
      <c r="DD354" s="24">
        <v>1.34</v>
      </c>
      <c r="DE354" s="24">
        <v>0</v>
      </c>
      <c r="DF354" s="24">
        <v>0.16</v>
      </c>
      <c r="DG354" s="24">
        <v>0</v>
      </c>
      <c r="DH354" s="24">
        <v>0</v>
      </c>
      <c r="DU354" s="24">
        <v>11</v>
      </c>
      <c r="DV354" s="24">
        <v>1</v>
      </c>
      <c r="DW354" s="24">
        <v>30</v>
      </c>
      <c r="DX354" s="24">
        <v>1</v>
      </c>
      <c r="DY354" s="24">
        <v>0.73</v>
      </c>
      <c r="DZ354" s="24">
        <v>1</v>
      </c>
      <c r="EG354" s="28"/>
      <c r="EY354" s="24">
        <v>1</v>
      </c>
      <c r="EZ354" s="24">
        <v>60</v>
      </c>
      <c r="FA354" s="24">
        <v>14</v>
      </c>
      <c r="FB354" s="24">
        <f t="shared" si="127"/>
        <v>2.11</v>
      </c>
      <c r="FC354" s="24">
        <v>6</v>
      </c>
      <c r="FD354" s="24">
        <v>50</v>
      </c>
      <c r="FE354" s="24">
        <v>8</v>
      </c>
      <c r="FF354" s="24">
        <f t="shared" si="126"/>
        <v>5.88</v>
      </c>
      <c r="FG354" s="24">
        <v>4</v>
      </c>
      <c r="GJ354" s="27">
        <v>2.4500000000000002</v>
      </c>
      <c r="GK354" s="27">
        <v>1</v>
      </c>
      <c r="GL354" s="27">
        <v>1</v>
      </c>
      <c r="GM354" s="27"/>
      <c r="GN354" s="27">
        <f t="shared" si="128"/>
        <v>0.68</v>
      </c>
      <c r="GO354" s="27">
        <v>2</v>
      </c>
      <c r="GP354" s="27"/>
      <c r="GQ354" s="27">
        <f t="shared" si="129"/>
        <v>6.66</v>
      </c>
      <c r="GR354" s="27"/>
      <c r="GS354" s="27"/>
      <c r="GT354" s="27"/>
      <c r="GU354" s="27">
        <v>3.68</v>
      </c>
      <c r="GV354" s="27">
        <v>1.63</v>
      </c>
      <c r="GW354" s="27"/>
      <c r="GX354" s="27"/>
      <c r="GY354" s="27">
        <v>0</v>
      </c>
      <c r="GZ354" s="27">
        <v>0</v>
      </c>
      <c r="HA354" s="27">
        <v>0</v>
      </c>
      <c r="HB354" s="24">
        <v>0</v>
      </c>
      <c r="HC354" s="24">
        <v>100</v>
      </c>
      <c r="HD354" s="24">
        <v>29.5</v>
      </c>
      <c r="HE354" s="27">
        <v>94.9</v>
      </c>
      <c r="HF354" s="27">
        <v>83.4</v>
      </c>
      <c r="HG354" s="27">
        <v>17.600000000000001</v>
      </c>
      <c r="HH354" s="24">
        <v>85.6</v>
      </c>
      <c r="HI354" s="24">
        <v>0</v>
      </c>
      <c r="HJ354" s="24">
        <v>0</v>
      </c>
      <c r="HK354" s="24">
        <v>0</v>
      </c>
      <c r="HL354" s="24">
        <v>14.4</v>
      </c>
      <c r="HM354" s="24">
        <v>0</v>
      </c>
      <c r="HN354" s="24">
        <v>0</v>
      </c>
      <c r="HO354" s="24">
        <v>0</v>
      </c>
      <c r="HP354" s="24">
        <v>0</v>
      </c>
      <c r="HQ354" s="24">
        <v>0</v>
      </c>
      <c r="HR354" s="24">
        <v>0</v>
      </c>
      <c r="HS354" s="24">
        <v>1.95</v>
      </c>
      <c r="HT354" s="24">
        <v>9.4499999999999993</v>
      </c>
      <c r="HU354" s="24">
        <v>11.24</v>
      </c>
      <c r="HV354" s="24">
        <v>36.94</v>
      </c>
      <c r="HW354" s="24">
        <v>0</v>
      </c>
      <c r="HX354" s="24">
        <v>11.5</v>
      </c>
      <c r="HY354" s="24">
        <v>1</v>
      </c>
      <c r="HZ354" s="24">
        <v>5</v>
      </c>
      <c r="IB354" s="24">
        <v>4</v>
      </c>
      <c r="IL354" s="24">
        <v>0</v>
      </c>
      <c r="IM354" s="24">
        <v>0</v>
      </c>
      <c r="IX354" s="28"/>
      <c r="JP354" s="24">
        <v>0</v>
      </c>
      <c r="LA354" s="27">
        <v>0.2</v>
      </c>
      <c r="LB354" s="27">
        <v>1</v>
      </c>
      <c r="LC354" s="27">
        <v>1</v>
      </c>
      <c r="LD354" s="27"/>
      <c r="LE354" s="27">
        <f>0.14+0.23+0.07+0.21</f>
        <v>0.65</v>
      </c>
      <c r="LF354" s="27"/>
      <c r="LG354" s="27"/>
      <c r="LH354" s="27"/>
      <c r="LI354" s="27"/>
      <c r="LJ354" s="27"/>
      <c r="LK354" s="27"/>
      <c r="LL354" s="27">
        <v>0.23</v>
      </c>
      <c r="LM354" s="27">
        <v>0.23</v>
      </c>
      <c r="LN354" s="27"/>
      <c r="LO354" s="27"/>
      <c r="LP354" s="27">
        <v>0</v>
      </c>
      <c r="LQ354" s="27">
        <v>0</v>
      </c>
      <c r="LR354" s="27">
        <v>0</v>
      </c>
      <c r="LS354" s="24">
        <v>0</v>
      </c>
      <c r="LT354" s="24" t="s">
        <v>782</v>
      </c>
      <c r="LU354" s="24">
        <v>71</v>
      </c>
      <c r="LV354" s="27">
        <v>92</v>
      </c>
      <c r="LW354" s="27">
        <v>166.8</v>
      </c>
      <c r="LX354" s="27">
        <v>65</v>
      </c>
      <c r="LY354" s="24">
        <v>28.78</v>
      </c>
      <c r="LZ354" s="24">
        <v>0</v>
      </c>
      <c r="MA354" s="24">
        <v>0</v>
      </c>
      <c r="MB354" s="24">
        <v>0</v>
      </c>
      <c r="MC354" s="24">
        <v>2.5</v>
      </c>
      <c r="MD354" s="24">
        <v>0</v>
      </c>
      <c r="ME354" s="24">
        <v>8.5399999999999991</v>
      </c>
      <c r="MF354" s="24">
        <v>0</v>
      </c>
      <c r="MG354" s="24">
        <v>0</v>
      </c>
      <c r="MH354" s="24">
        <v>2.76</v>
      </c>
      <c r="MI354" s="24">
        <v>0</v>
      </c>
      <c r="MJ354" s="24">
        <v>9.52</v>
      </c>
      <c r="MK354" s="24">
        <v>36.909999999999997</v>
      </c>
      <c r="ML354" s="24">
        <v>26.15</v>
      </c>
      <c r="MM354" s="24">
        <v>1.97</v>
      </c>
      <c r="MN354" s="24">
        <v>60.18</v>
      </c>
      <c r="MO354" s="24">
        <v>0</v>
      </c>
      <c r="MP354" s="24">
        <v>0</v>
      </c>
      <c r="NC354" s="24">
        <v>0.1</v>
      </c>
      <c r="ND354" s="24">
        <v>0</v>
      </c>
      <c r="NO354" s="28"/>
      <c r="OG354" s="24">
        <v>1</v>
      </c>
      <c r="OH354" s="24">
        <v>50</v>
      </c>
      <c r="OI354" s="24">
        <v>4</v>
      </c>
      <c r="OJ354" s="24">
        <f>0.37*4</f>
        <v>1.48</v>
      </c>
      <c r="OK354" s="24">
        <v>3</v>
      </c>
      <c r="OL354" s="24">
        <v>40</v>
      </c>
      <c r="OM354" s="24">
        <v>6</v>
      </c>
      <c r="ON354" s="24">
        <v>2.2000000000000002</v>
      </c>
      <c r="OO354" s="24">
        <v>3</v>
      </c>
      <c r="OP354" s="24">
        <v>50</v>
      </c>
      <c r="OQ354" s="24">
        <v>1</v>
      </c>
      <c r="OR354" s="24">
        <v>0.06</v>
      </c>
      <c r="OS354" s="24">
        <v>1</v>
      </c>
      <c r="OT354" s="24">
        <v>60</v>
      </c>
      <c r="OU354" s="24">
        <v>3</v>
      </c>
      <c r="OV354" s="24">
        <v>0.19</v>
      </c>
      <c r="OW354" s="24">
        <v>4</v>
      </c>
      <c r="PR354" s="27">
        <v>1.1100000000000001</v>
      </c>
      <c r="PS354" s="27">
        <v>1</v>
      </c>
      <c r="PT354" s="27">
        <v>1</v>
      </c>
      <c r="PU354" s="27"/>
      <c r="PV354" s="27">
        <f>0.51*2+0.09+0.15*2+1.65+0.18+0.72</f>
        <v>3.96</v>
      </c>
      <c r="PW354" s="27"/>
      <c r="PX354" s="27"/>
      <c r="PY354" s="27"/>
      <c r="PZ354" s="27"/>
      <c r="QA354" s="27"/>
      <c r="QB354" s="27"/>
      <c r="QC354" s="27">
        <v>1.95</v>
      </c>
      <c r="QD354" s="27">
        <v>1.96</v>
      </c>
      <c r="QE354" s="27"/>
      <c r="QF354" s="27"/>
      <c r="QG354" s="27">
        <v>2.88</v>
      </c>
      <c r="QH354" s="27">
        <v>0</v>
      </c>
      <c r="QI354" s="27">
        <v>0</v>
      </c>
      <c r="QJ354" s="24">
        <v>2</v>
      </c>
      <c r="QK354" s="24" t="s">
        <v>783</v>
      </c>
      <c r="QL354" s="24">
        <v>35</v>
      </c>
      <c r="QM354" s="27">
        <v>89.3</v>
      </c>
      <c r="QN354" s="27">
        <v>83.4</v>
      </c>
      <c r="QO354" s="27">
        <v>12.6</v>
      </c>
      <c r="QP354" s="24">
        <v>87.93</v>
      </c>
      <c r="QQ354" s="24">
        <v>0</v>
      </c>
      <c r="QR354" s="24">
        <v>0</v>
      </c>
      <c r="QS354" s="24">
        <v>1.49</v>
      </c>
      <c r="QT354" s="24">
        <v>10.58</v>
      </c>
      <c r="QU354" s="24">
        <v>0</v>
      </c>
      <c r="QV354" s="24">
        <v>0</v>
      </c>
      <c r="QW354" s="24">
        <v>0</v>
      </c>
      <c r="QX354" s="24">
        <v>0</v>
      </c>
      <c r="QY354" s="24">
        <v>0</v>
      </c>
      <c r="QZ354" s="24">
        <v>0</v>
      </c>
      <c r="RA354" s="24">
        <v>0.17</v>
      </c>
      <c r="RB354" s="24">
        <v>38.78</v>
      </c>
      <c r="RC354" s="24">
        <v>29.47</v>
      </c>
      <c r="RD354" s="24">
        <v>0</v>
      </c>
      <c r="RE354" s="24">
        <v>0</v>
      </c>
      <c r="RF354" s="24">
        <v>4</v>
      </c>
      <c r="RG354" s="24">
        <v>1</v>
      </c>
      <c r="RH354" s="24">
        <v>3</v>
      </c>
      <c r="RJ354" s="24">
        <v>4</v>
      </c>
      <c r="RT354" s="24">
        <v>9.6999999999999993</v>
      </c>
      <c r="RU354" s="24">
        <v>1</v>
      </c>
      <c r="RV354" s="24">
        <v>68</v>
      </c>
      <c r="RW354" s="24">
        <v>1</v>
      </c>
      <c r="RX354" s="24">
        <v>0.02</v>
      </c>
      <c r="RY354" s="24">
        <v>1</v>
      </c>
      <c r="RZ354" s="24">
        <v>35</v>
      </c>
      <c r="SA354" s="24">
        <v>10</v>
      </c>
      <c r="SB354" s="24">
        <f>0.22*2+0.43*2+0.65+0.04+0.02+0.08</f>
        <v>2.0900000000000003</v>
      </c>
      <c r="SC354" s="24">
        <v>3</v>
      </c>
      <c r="SF354" s="28"/>
      <c r="SX354" s="24">
        <v>1</v>
      </c>
      <c r="SY354" s="24">
        <v>50</v>
      </c>
      <c r="SZ354" s="24">
        <f>4*3+3*4</f>
        <v>24</v>
      </c>
      <c r="TA354" s="24">
        <f>0.07+0.25+0.11+0.65+1.3+15</f>
        <v>17.38</v>
      </c>
      <c r="TB354" s="24">
        <v>1</v>
      </c>
      <c r="TC354" s="24">
        <v>40</v>
      </c>
      <c r="TD354" s="24">
        <v>18</v>
      </c>
      <c r="TE354" s="24">
        <f>0.87+0.17+0.08+0.34+1.73+0.43+0.87+0.07</f>
        <v>4.5600000000000005</v>
      </c>
      <c r="TF354" s="24">
        <v>1</v>
      </c>
      <c r="TG354" s="24">
        <v>40</v>
      </c>
      <c r="TH354" s="24">
        <v>2</v>
      </c>
      <c r="TI354" s="24">
        <v>0.12</v>
      </c>
      <c r="TJ354" s="24">
        <v>5</v>
      </c>
      <c r="TK354" s="24">
        <v>50</v>
      </c>
      <c r="TL354" s="24">
        <v>1</v>
      </c>
      <c r="TM354" s="24">
        <v>0.22</v>
      </c>
      <c r="TN354" s="24">
        <v>6</v>
      </c>
      <c r="TO354" s="24">
        <v>40</v>
      </c>
      <c r="TP354" s="24">
        <v>3</v>
      </c>
      <c r="TQ354" s="24">
        <v>0.16</v>
      </c>
      <c r="TR354" s="24">
        <v>6</v>
      </c>
      <c r="UI354" s="27">
        <v>0.68</v>
      </c>
      <c r="UJ354" s="27">
        <v>1</v>
      </c>
      <c r="UK354" s="27">
        <v>1</v>
      </c>
      <c r="UL354" s="27"/>
      <c r="UM354" s="27">
        <f>0.34+0.91+1.8+0.08+0.3</f>
        <v>3.4299999999999997</v>
      </c>
      <c r="UN354" s="27"/>
      <c r="UO354" s="27"/>
      <c r="UP354" s="27"/>
      <c r="UQ354" s="27"/>
      <c r="UR354" s="27"/>
      <c r="US354" s="27"/>
      <c r="UT354" s="27">
        <v>7.83</v>
      </c>
      <c r="UU354" s="27">
        <v>8.68</v>
      </c>
      <c r="UV354" s="27"/>
      <c r="UW354" s="27"/>
      <c r="UX354" s="27">
        <v>0</v>
      </c>
      <c r="UY354" s="27">
        <v>0</v>
      </c>
      <c r="UZ354" s="27">
        <v>0</v>
      </c>
      <c r="VA354" s="24">
        <v>0</v>
      </c>
      <c r="VB354" s="24" t="s">
        <v>784</v>
      </c>
      <c r="VC354" s="24">
        <v>38</v>
      </c>
      <c r="VD354" s="27">
        <v>92.6</v>
      </c>
      <c r="VE354" s="27">
        <v>83.4</v>
      </c>
      <c r="VF354" s="27">
        <v>16.5</v>
      </c>
      <c r="VG354" s="24">
        <v>77.87</v>
      </c>
      <c r="VH354" s="24">
        <v>0</v>
      </c>
      <c r="VI354" s="24">
        <v>0</v>
      </c>
      <c r="VJ354" s="24">
        <v>0</v>
      </c>
      <c r="VK354" s="24">
        <v>21.87</v>
      </c>
      <c r="VL354" s="24">
        <v>0</v>
      </c>
      <c r="VM354" s="24">
        <v>0</v>
      </c>
      <c r="VN354" s="24">
        <v>0</v>
      </c>
      <c r="VO354" s="24">
        <v>0</v>
      </c>
      <c r="VP354" s="24">
        <v>0</v>
      </c>
      <c r="VQ354" s="24">
        <v>0</v>
      </c>
      <c r="VR354" s="24">
        <v>0.28999999999999998</v>
      </c>
      <c r="VS354" s="24">
        <v>38.85</v>
      </c>
      <c r="VT354" s="24">
        <v>37.36</v>
      </c>
      <c r="VU354" s="24">
        <v>5.57</v>
      </c>
      <c r="VV354" s="24">
        <v>0</v>
      </c>
      <c r="VW354" s="24">
        <v>0</v>
      </c>
      <c r="VX354" s="24">
        <v>0</v>
      </c>
      <c r="WK354" s="24">
        <v>17.5</v>
      </c>
      <c r="WL354" s="24">
        <v>0</v>
      </c>
      <c r="WW354" s="28"/>
      <c r="XO354" s="24">
        <v>1</v>
      </c>
      <c r="XP354" s="24">
        <v>70</v>
      </c>
      <c r="XQ354" s="24">
        <f>8*3+3</f>
        <v>27</v>
      </c>
      <c r="XR354" s="24">
        <f>5.87*3+0.58</f>
        <v>18.189999999999998</v>
      </c>
      <c r="XS354" s="24">
        <v>1</v>
      </c>
      <c r="YZ354" s="27">
        <v>3.74</v>
      </c>
      <c r="ZA354" s="27">
        <v>1</v>
      </c>
      <c r="ZB354" s="27">
        <v>1</v>
      </c>
      <c r="ZC354" s="27"/>
      <c r="ZD354" s="27">
        <f>1.65+2.04*2+0.36*2+0.54</f>
        <v>6.99</v>
      </c>
      <c r="ZE354" s="27">
        <v>2</v>
      </c>
      <c r="ZF354" s="27"/>
      <c r="ZG354" s="27">
        <v>0.91</v>
      </c>
      <c r="ZH354" s="27"/>
      <c r="ZI354" s="27"/>
      <c r="ZJ354" s="27"/>
      <c r="ZK354" s="27">
        <v>0.19</v>
      </c>
      <c r="ZL354" s="27">
        <v>0.19</v>
      </c>
      <c r="ZM354" s="27"/>
      <c r="ZN354" s="27"/>
      <c r="ZO354" s="27">
        <v>0</v>
      </c>
      <c r="ZP354" s="27">
        <v>0</v>
      </c>
      <c r="ZQ354" s="27">
        <v>0</v>
      </c>
      <c r="ZR354" s="24">
        <v>0</v>
      </c>
      <c r="ZT354" s="33"/>
      <c r="ZU354" s="21"/>
      <c r="ZV354" s="21"/>
      <c r="ZX354" s="33"/>
      <c r="ZY354" s="33"/>
      <c r="AAB354" s="33"/>
      <c r="AAC354" s="21"/>
      <c r="AAD354" s="21"/>
      <c r="AAF354" s="33"/>
      <c r="AAG354" s="33"/>
      <c r="AAJ354" s="33"/>
      <c r="AAK354" s="21"/>
      <c r="AAL354" s="21"/>
      <c r="AAN354" s="33"/>
      <c r="AAO354" s="33"/>
      <c r="AAR354" s="33"/>
      <c r="AAS354" s="21"/>
      <c r="AAT354" s="21"/>
      <c r="AAV354" s="33"/>
      <c r="AAW354" s="33"/>
      <c r="AAZ354" s="33"/>
      <c r="ABA354" s="21"/>
      <c r="ABB354" s="21"/>
      <c r="ABD354" s="33"/>
      <c r="ABE354" s="33"/>
      <c r="ABH354" s="33"/>
      <c r="ABI354" s="21"/>
      <c r="ABJ354" s="21"/>
      <c r="ABL354" s="33"/>
      <c r="ABM354" s="33"/>
      <c r="ABP354" s="33"/>
      <c r="ABQ354" s="21"/>
      <c r="ABR354" s="21"/>
      <c r="ABT354" s="33"/>
      <c r="ABU354" s="33"/>
      <c r="ABX354" s="33"/>
      <c r="ABY354" s="21"/>
      <c r="ABZ354" s="21"/>
      <c r="ACB354" s="33"/>
      <c r="ACC354" s="33"/>
      <c r="ACF354" s="33"/>
      <c r="ACG354" s="21"/>
      <c r="ACH354" s="21"/>
      <c r="ACJ354" s="33"/>
      <c r="ACK354" s="33"/>
      <c r="ACN354" s="33"/>
      <c r="ACO354" s="21"/>
      <c r="ACP354" s="21"/>
      <c r="ACR354" s="33"/>
      <c r="ACS354" s="33"/>
      <c r="ACV354" s="33"/>
      <c r="ACW354" s="21"/>
      <c r="ACX354" s="21"/>
      <c r="ACZ354" s="33"/>
      <c r="ADA354" s="33"/>
      <c r="ADD354" s="33"/>
      <c r="ADE354" s="21"/>
      <c r="ADF354" s="21"/>
      <c r="ADH354" s="33"/>
      <c r="ADI354" s="33"/>
      <c r="ADL354" s="33"/>
      <c r="ADM354" s="21"/>
      <c r="ADN354" s="21"/>
      <c r="ADP354" s="33"/>
      <c r="ADQ354" s="33"/>
      <c r="ADT354" s="33"/>
      <c r="ADU354" s="21"/>
      <c r="ADV354" s="21"/>
      <c r="ADX354" s="33"/>
      <c r="ADY354" s="33"/>
      <c r="AEB354" s="33"/>
      <c r="AEC354" s="21"/>
      <c r="AED354" s="21"/>
      <c r="AEF354" s="33"/>
      <c r="AEG354" s="33"/>
      <c r="AEJ354" s="33"/>
      <c r="AEK354" s="21"/>
      <c r="AEL354" s="21"/>
      <c r="AEN354" s="33"/>
      <c r="AEO354" s="33"/>
      <c r="AER354" s="33"/>
      <c r="AES354" s="21"/>
      <c r="AET354" s="21"/>
      <c r="AEV354" s="33"/>
      <c r="AEW354" s="33"/>
      <c r="AEZ354" s="33"/>
      <c r="AFA354" s="21"/>
      <c r="AFB354" s="21"/>
      <c r="AFD354" s="33"/>
      <c r="AFE354" s="33"/>
      <c r="AFH354" s="33"/>
      <c r="AFI354" s="21"/>
      <c r="AFJ354" s="21"/>
      <c r="AFL354" s="33"/>
      <c r="AFM354" s="33"/>
      <c r="AFP354" s="33"/>
      <c r="AFQ354" s="21"/>
      <c r="AFR354" s="21"/>
      <c r="AFT354" s="33"/>
      <c r="AFU354" s="33"/>
      <c r="AFX354" s="33"/>
      <c r="AFY354" s="21"/>
      <c r="AFZ354" s="21"/>
      <c r="AGB354" s="33"/>
      <c r="AGC354" s="33"/>
      <c r="AGF354" s="33"/>
      <c r="AGG354" s="21"/>
      <c r="AGH354" s="21"/>
      <c r="AGJ354" s="33"/>
      <c r="AGK354" s="33"/>
      <c r="AGN354" s="33"/>
      <c r="AGO354" s="21"/>
      <c r="AGP354" s="21"/>
      <c r="AGR354" s="33"/>
      <c r="AGS354" s="33"/>
      <c r="AGV354" s="33"/>
      <c r="AGW354" s="21"/>
      <c r="AGX354" s="21"/>
      <c r="AGZ354" s="33"/>
      <c r="AHA354" s="33"/>
      <c r="AHD354" s="33"/>
      <c r="AHE354" s="21"/>
      <c r="AHF354" s="21"/>
      <c r="AHH354" s="33"/>
      <c r="AHI354" s="33"/>
      <c r="AHL354" s="33"/>
      <c r="AHM354" s="21"/>
      <c r="AHN354" s="21"/>
      <c r="AHP354" s="33"/>
      <c r="AHQ354" s="33"/>
      <c r="AHT354" s="33"/>
      <c r="AHU354" s="21"/>
      <c r="AHV354" s="21"/>
      <c r="AHX354" s="33"/>
      <c r="AHY354" s="33"/>
      <c r="AIB354" s="33"/>
      <c r="AIC354" s="21"/>
      <c r="AID354" s="21"/>
      <c r="AIF354" s="33"/>
      <c r="AIG354" s="33"/>
      <c r="AIJ354" s="33"/>
      <c r="AIK354" s="21"/>
      <c r="AIL354" s="21"/>
      <c r="AIN354" s="33"/>
      <c r="AIO354" s="33"/>
      <c r="AIR354" s="33"/>
      <c r="AIS354" s="21"/>
      <c r="AIT354" s="21"/>
      <c r="AIV354" s="33"/>
      <c r="AIW354" s="33"/>
      <c r="AIZ354" s="33"/>
      <c r="AJA354" s="21"/>
      <c r="AJB354" s="21"/>
      <c r="AJD354" s="33"/>
      <c r="AJE354" s="33"/>
      <c r="AJH354" s="33"/>
      <c r="AJI354" s="21"/>
      <c r="AJJ354" s="21"/>
      <c r="AJL354" s="33"/>
      <c r="AJM354" s="33"/>
      <c r="AJP354" s="33"/>
      <c r="AJQ354" s="21"/>
      <c r="AJR354" s="21"/>
      <c r="AJT354" s="33"/>
      <c r="AJU354" s="33"/>
      <c r="AJX354" s="33"/>
      <c r="AJY354" s="21"/>
      <c r="AJZ354" s="21"/>
      <c r="AKB354" s="33"/>
      <c r="AKC354" s="33"/>
      <c r="AKF354" s="33"/>
      <c r="AKG354" s="21"/>
      <c r="AKH354" s="21"/>
      <c r="AKJ354" s="33"/>
      <c r="AKK354" s="33"/>
      <c r="AKN354" s="33"/>
      <c r="AKO354" s="21"/>
      <c r="AKP354" s="21"/>
      <c r="AKR354" s="33"/>
      <c r="AKS354" s="33"/>
      <c r="AKV354" s="33"/>
      <c r="AKW354" s="21"/>
      <c r="AKX354" s="21"/>
      <c r="AKZ354" s="33"/>
      <c r="ALA354" s="33"/>
      <c r="ALD354" s="33"/>
      <c r="ALE354" s="21"/>
      <c r="ALF354" s="21"/>
      <c r="ALH354" s="33"/>
      <c r="ALI354" s="33"/>
      <c r="ALL354" s="33"/>
      <c r="ALM354" s="21"/>
      <c r="ALN354" s="21"/>
      <c r="ALP354" s="33"/>
      <c r="ALQ354" s="33"/>
      <c r="ALT354" s="33"/>
      <c r="ALU354" s="21"/>
      <c r="ALV354" s="21"/>
      <c r="ALX354" s="33"/>
      <c r="ALY354" s="33"/>
      <c r="AMB354" s="33"/>
      <c r="AMC354" s="21"/>
      <c r="AMD354" s="21"/>
      <c r="AMF354" s="33"/>
      <c r="AMG354" s="33"/>
      <c r="AMJ354" s="33"/>
    </row>
    <row r="355" spans="1:1024" x14ac:dyDescent="0.2">
      <c r="A355" s="1" t="s">
        <v>945</v>
      </c>
      <c r="B355" s="12">
        <v>42926</v>
      </c>
      <c r="C355">
        <v>2</v>
      </c>
      <c r="D355" s="13">
        <v>42801</v>
      </c>
      <c r="E355" s="12">
        <v>34170</v>
      </c>
      <c r="F355" s="14">
        <f t="shared" si="120"/>
        <v>23.972621492128678</v>
      </c>
      <c r="G355" s="14">
        <f t="shared" si="121"/>
        <v>0.34223134839151265</v>
      </c>
      <c r="H355" s="19" t="s">
        <v>306</v>
      </c>
      <c r="I355" s="15" t="s">
        <v>777</v>
      </c>
      <c r="J355" s="21" t="s">
        <v>181</v>
      </c>
      <c r="K355" s="21" t="s">
        <v>913</v>
      </c>
      <c r="L355" s="19">
        <v>77</v>
      </c>
      <c r="M355">
        <v>1.78</v>
      </c>
      <c r="N355" s="16">
        <f t="shared" si="122"/>
        <v>24.302487059714682</v>
      </c>
      <c r="O355" s="19">
        <v>0</v>
      </c>
      <c r="P355" s="19">
        <v>0</v>
      </c>
      <c r="Q355" s="19">
        <v>0</v>
      </c>
      <c r="R355" s="26">
        <v>0</v>
      </c>
      <c r="S355" s="26">
        <v>0</v>
      </c>
      <c r="T355" s="26">
        <v>0</v>
      </c>
      <c r="U355" s="19">
        <v>0</v>
      </c>
      <c r="V355" s="19">
        <v>0</v>
      </c>
      <c r="W355" s="19">
        <v>0</v>
      </c>
      <c r="X355" s="19">
        <v>0</v>
      </c>
      <c r="Y355" s="19">
        <v>0</v>
      </c>
      <c r="Z355" s="19">
        <v>0</v>
      </c>
      <c r="AA355" s="19">
        <v>0</v>
      </c>
      <c r="AB355" s="19">
        <v>0</v>
      </c>
      <c r="AC355" s="19">
        <v>0</v>
      </c>
      <c r="AD355" s="19">
        <v>0</v>
      </c>
      <c r="AE355" s="19">
        <v>0</v>
      </c>
      <c r="AF355" s="19">
        <v>0</v>
      </c>
      <c r="AG355" s="19">
        <v>0</v>
      </c>
      <c r="AH355" s="19">
        <v>0</v>
      </c>
      <c r="AI355" s="19">
        <v>0</v>
      </c>
      <c r="AJ355" s="19">
        <v>0</v>
      </c>
      <c r="AK355" s="19">
        <v>0</v>
      </c>
      <c r="AL355" s="19">
        <v>0</v>
      </c>
      <c r="AM355" s="19">
        <v>0</v>
      </c>
      <c r="AN355" s="19">
        <v>0</v>
      </c>
      <c r="AO355" s="19">
        <v>0</v>
      </c>
      <c r="AP355" s="19">
        <v>0</v>
      </c>
      <c r="AQ355" s="19">
        <v>0</v>
      </c>
      <c r="AR355" s="19">
        <v>0</v>
      </c>
      <c r="AS355" s="19">
        <v>0</v>
      </c>
      <c r="AT355" s="19">
        <v>0</v>
      </c>
      <c r="AU355" s="19">
        <v>0</v>
      </c>
      <c r="AV355" s="19">
        <v>0</v>
      </c>
      <c r="AW355" s="19">
        <v>0</v>
      </c>
      <c r="AX355" s="19">
        <v>0</v>
      </c>
      <c r="AY355" s="19">
        <v>0</v>
      </c>
      <c r="AZ355" s="19">
        <v>0</v>
      </c>
      <c r="BA355" s="19">
        <v>0</v>
      </c>
      <c r="BB355" s="19">
        <v>0</v>
      </c>
      <c r="BC355" s="19">
        <v>0</v>
      </c>
      <c r="BD355" s="19">
        <v>0</v>
      </c>
      <c r="BE355" s="19">
        <v>0</v>
      </c>
      <c r="BF355" s="19">
        <v>0</v>
      </c>
      <c r="BG355" s="19">
        <v>0</v>
      </c>
      <c r="BH355" s="19">
        <v>0</v>
      </c>
      <c r="BI355" s="19">
        <v>0</v>
      </c>
      <c r="BJ355" s="19">
        <v>0</v>
      </c>
      <c r="BK355" s="19">
        <v>0</v>
      </c>
      <c r="BL355" s="19">
        <v>0</v>
      </c>
      <c r="BM355" s="19">
        <v>0</v>
      </c>
      <c r="BN355" s="19">
        <v>0</v>
      </c>
      <c r="BO355" s="19">
        <v>0</v>
      </c>
      <c r="BP355" s="19">
        <v>0</v>
      </c>
      <c r="BQ355" s="19">
        <v>0</v>
      </c>
      <c r="BR355" s="19">
        <v>1</v>
      </c>
      <c r="BS355" s="19">
        <v>2</v>
      </c>
      <c r="BT355" s="19">
        <v>3</v>
      </c>
      <c r="BU355" s="19">
        <v>5</v>
      </c>
      <c r="BV355" s="19">
        <v>3</v>
      </c>
      <c r="BW355" s="19">
        <v>3</v>
      </c>
      <c r="BX355" s="19">
        <v>3</v>
      </c>
      <c r="BY355" s="19">
        <v>5</v>
      </c>
      <c r="BZ355" s="19">
        <v>3</v>
      </c>
      <c r="CA355" s="19">
        <v>3</v>
      </c>
      <c r="CB355" s="19">
        <v>5</v>
      </c>
      <c r="CC355" s="19">
        <v>5</v>
      </c>
      <c r="CD355" s="19">
        <v>5</v>
      </c>
      <c r="CE355" s="19">
        <v>5</v>
      </c>
      <c r="CF355" s="19">
        <v>5</v>
      </c>
      <c r="CG355" s="19">
        <v>5</v>
      </c>
      <c r="CH355" s="19">
        <v>5</v>
      </c>
      <c r="CI355" s="19">
        <v>5</v>
      </c>
      <c r="CJ355" s="19">
        <v>5</v>
      </c>
      <c r="CK355" s="19"/>
      <c r="CL355" s="24" t="s">
        <v>779</v>
      </c>
      <c r="CM355" s="24">
        <v>43</v>
      </c>
      <c r="CN355" s="27">
        <v>91.8</v>
      </c>
      <c r="CO355" s="27">
        <v>83.4</v>
      </c>
      <c r="CP355" s="27">
        <v>25.8</v>
      </c>
      <c r="CQ355" s="24">
        <v>68.3</v>
      </c>
      <c r="CR355" s="24">
        <v>0</v>
      </c>
      <c r="CS355" s="24">
        <v>0</v>
      </c>
      <c r="CT355" s="24">
        <v>0</v>
      </c>
      <c r="CU355" s="24">
        <v>31.54</v>
      </c>
      <c r="CV355" s="24">
        <v>0</v>
      </c>
      <c r="CW355" s="24">
        <v>0</v>
      </c>
      <c r="CX355" s="24">
        <v>0</v>
      </c>
      <c r="CY355" s="24">
        <v>0</v>
      </c>
      <c r="CZ355" s="24">
        <v>0</v>
      </c>
      <c r="DA355" s="24">
        <v>0</v>
      </c>
      <c r="DB355" s="24">
        <v>48.27</v>
      </c>
      <c r="DC355" s="24">
        <v>58.3</v>
      </c>
      <c r="DD355" s="24">
        <v>1.34</v>
      </c>
      <c r="DE355" s="24">
        <v>0</v>
      </c>
      <c r="DF355" s="24">
        <v>0.16</v>
      </c>
      <c r="DG355" s="24">
        <v>0</v>
      </c>
      <c r="DH355" s="24">
        <v>0</v>
      </c>
      <c r="DU355" s="24">
        <v>11</v>
      </c>
      <c r="DV355" s="24">
        <v>1</v>
      </c>
      <c r="DW355" s="24">
        <v>30</v>
      </c>
      <c r="DX355" s="24">
        <v>1</v>
      </c>
      <c r="DY355" s="24">
        <v>0.73</v>
      </c>
      <c r="DZ355" s="24">
        <v>1</v>
      </c>
      <c r="EG355" s="28"/>
      <c r="EY355" s="24">
        <v>1</v>
      </c>
      <c r="EZ355" s="24">
        <v>60</v>
      </c>
      <c r="FA355" s="24">
        <v>14</v>
      </c>
      <c r="FB355" s="24">
        <f t="shared" si="127"/>
        <v>2.11</v>
      </c>
      <c r="FC355" s="24">
        <v>6</v>
      </c>
      <c r="FD355" s="24">
        <v>50</v>
      </c>
      <c r="FE355" s="24">
        <v>8</v>
      </c>
      <c r="FF355" s="24">
        <f t="shared" si="126"/>
        <v>5.88</v>
      </c>
      <c r="FG355" s="24">
        <v>4</v>
      </c>
      <c r="GJ355" s="27">
        <v>2.4500000000000002</v>
      </c>
      <c r="GK355" s="27">
        <v>1</v>
      </c>
      <c r="GL355" s="27">
        <v>1</v>
      </c>
      <c r="GM355" s="27"/>
      <c r="GN355" s="27">
        <f t="shared" si="128"/>
        <v>0.68</v>
      </c>
      <c r="GO355" s="27">
        <v>2</v>
      </c>
      <c r="GP355" s="27"/>
      <c r="GQ355" s="27">
        <f t="shared" si="129"/>
        <v>6.66</v>
      </c>
      <c r="GR355" s="27"/>
      <c r="GS355" s="27"/>
      <c r="GT355" s="27"/>
      <c r="GU355" s="27">
        <v>3.68</v>
      </c>
      <c r="GV355" s="27">
        <v>1.63</v>
      </c>
      <c r="GW355" s="27"/>
      <c r="GX355" s="27"/>
      <c r="GY355" s="27">
        <v>0</v>
      </c>
      <c r="GZ355" s="27">
        <v>0</v>
      </c>
      <c r="HA355" s="27">
        <v>0</v>
      </c>
      <c r="HB355" s="24">
        <v>0</v>
      </c>
      <c r="HC355" s="24">
        <v>100</v>
      </c>
      <c r="HD355" s="24">
        <v>29.5</v>
      </c>
      <c r="HE355" s="27">
        <v>94.9</v>
      </c>
      <c r="HF355" s="27">
        <v>83.4</v>
      </c>
      <c r="HG355" s="27">
        <v>17.600000000000001</v>
      </c>
      <c r="HH355" s="24">
        <v>85.6</v>
      </c>
      <c r="HI355" s="24">
        <v>0</v>
      </c>
      <c r="HJ355" s="24">
        <v>0</v>
      </c>
      <c r="HK355" s="24">
        <v>0</v>
      </c>
      <c r="HL355" s="24">
        <v>14.4</v>
      </c>
      <c r="HM355" s="24">
        <v>0</v>
      </c>
      <c r="HN355" s="24">
        <v>0</v>
      </c>
      <c r="HO355" s="24">
        <v>0</v>
      </c>
      <c r="HP355" s="24">
        <v>0</v>
      </c>
      <c r="HQ355" s="24">
        <v>0</v>
      </c>
      <c r="HR355" s="24">
        <v>0</v>
      </c>
      <c r="HS355" s="24">
        <v>1.95</v>
      </c>
      <c r="HT355" s="24">
        <v>9.4499999999999993</v>
      </c>
      <c r="HU355" s="24">
        <v>11.24</v>
      </c>
      <c r="HV355" s="24">
        <v>36.94</v>
      </c>
      <c r="HW355" s="24">
        <v>0</v>
      </c>
      <c r="HX355" s="24">
        <v>11.5</v>
      </c>
      <c r="HY355" s="24">
        <v>1</v>
      </c>
      <c r="HZ355" s="24">
        <v>5</v>
      </c>
      <c r="IB355" s="24">
        <v>4</v>
      </c>
      <c r="IL355" s="24">
        <v>0</v>
      </c>
      <c r="IM355" s="24">
        <v>0</v>
      </c>
      <c r="IX355" s="28"/>
      <c r="JP355" s="24">
        <v>0</v>
      </c>
      <c r="LA355" s="27">
        <v>0.2</v>
      </c>
      <c r="LB355" s="27">
        <v>1</v>
      </c>
      <c r="LC355" s="27">
        <v>1</v>
      </c>
      <c r="LD355" s="27"/>
      <c r="LE355" s="27">
        <f>0.14+0.23+0.07+0.21</f>
        <v>0.65</v>
      </c>
      <c r="LF355" s="27"/>
      <c r="LG355" s="27"/>
      <c r="LH355" s="27"/>
      <c r="LI355" s="27"/>
      <c r="LJ355" s="27"/>
      <c r="LK355" s="27"/>
      <c r="LL355" s="27">
        <v>0.23</v>
      </c>
      <c r="LM355" s="27">
        <v>0.23</v>
      </c>
      <c r="LN355" s="27"/>
      <c r="LO355" s="27"/>
      <c r="LP355" s="27">
        <v>0</v>
      </c>
      <c r="LQ355" s="27">
        <v>0</v>
      </c>
      <c r="LR355" s="27">
        <v>0</v>
      </c>
      <c r="LS355" s="24">
        <v>0</v>
      </c>
      <c r="LT355" s="24" t="s">
        <v>781</v>
      </c>
      <c r="LU355" s="24">
        <v>47.5</v>
      </c>
      <c r="LV355" s="27">
        <v>49.3</v>
      </c>
      <c r="LW355" s="27">
        <v>83.4</v>
      </c>
      <c r="LX355" s="27">
        <v>35.700000000000003</v>
      </c>
      <c r="LY355" s="24">
        <v>66.48</v>
      </c>
      <c r="LZ355" s="24">
        <v>0</v>
      </c>
      <c r="MA355" s="24">
        <v>6.11</v>
      </c>
      <c r="MB355" s="24">
        <v>0</v>
      </c>
      <c r="MC355" s="24">
        <v>9.56</v>
      </c>
      <c r="MD355" s="24">
        <v>0</v>
      </c>
      <c r="ME355" s="24">
        <v>6.1</v>
      </c>
      <c r="MF355" s="24">
        <v>3.05</v>
      </c>
      <c r="MG355" s="24">
        <v>0</v>
      </c>
      <c r="MH355" s="24">
        <v>0</v>
      </c>
      <c r="MI355" s="24">
        <v>0</v>
      </c>
      <c r="MJ355" s="24">
        <v>0</v>
      </c>
      <c r="MK355" s="24">
        <v>17.78</v>
      </c>
      <c r="ML355" s="24">
        <v>9.1300000000000008</v>
      </c>
      <c r="MM355" s="24">
        <v>2.7</v>
      </c>
      <c r="MN355" s="24">
        <v>11.73</v>
      </c>
      <c r="MO355" s="24">
        <v>0</v>
      </c>
      <c r="MP355" s="24">
        <v>0</v>
      </c>
      <c r="NC355" s="24">
        <v>5.7</v>
      </c>
      <c r="ND355" s="24">
        <v>1</v>
      </c>
      <c r="NE355" s="24">
        <v>30</v>
      </c>
      <c r="NF355" s="24">
        <v>10</v>
      </c>
      <c r="NG355" s="24">
        <f>0.15*2+0.16*8</f>
        <v>1.58</v>
      </c>
      <c r="NH355" s="24">
        <v>3</v>
      </c>
      <c r="NO355" s="28"/>
      <c r="OG355" s="24">
        <v>1</v>
      </c>
      <c r="OH355" s="24">
        <v>40</v>
      </c>
      <c r="OI355" s="24">
        <v>4</v>
      </c>
      <c r="OJ355" s="24">
        <v>0.6</v>
      </c>
      <c r="OK355" s="24">
        <v>2</v>
      </c>
      <c r="PR355" s="27">
        <v>0.53</v>
      </c>
      <c r="PS355" s="27">
        <v>1</v>
      </c>
      <c r="PT355" s="27">
        <v>1</v>
      </c>
      <c r="PU355" s="27"/>
      <c r="PV355" s="27">
        <f>0.64*4+0.08</f>
        <v>2.64</v>
      </c>
      <c r="PW355" s="27"/>
      <c r="PX355" s="27"/>
      <c r="PY355" s="27"/>
      <c r="PZ355" s="27"/>
      <c r="QA355" s="27"/>
      <c r="QB355" s="27"/>
      <c r="QC355" s="27">
        <v>5.0599999999999996</v>
      </c>
      <c r="QD355" s="27">
        <v>1.58</v>
      </c>
      <c r="QE355" s="27"/>
      <c r="QF355" s="27"/>
      <c r="QG355" s="27">
        <v>0</v>
      </c>
      <c r="QH355" s="27">
        <v>0</v>
      </c>
      <c r="QI355" s="27">
        <v>0</v>
      </c>
      <c r="QJ355" s="24">
        <v>0</v>
      </c>
      <c r="QK355" s="24" t="s">
        <v>782</v>
      </c>
      <c r="QL355" s="24">
        <v>71</v>
      </c>
      <c r="QM355" s="27">
        <v>92</v>
      </c>
      <c r="QN355" s="27">
        <v>166.8</v>
      </c>
      <c r="QO355" s="27">
        <v>65</v>
      </c>
      <c r="QP355" s="24">
        <v>28.78</v>
      </c>
      <c r="QQ355" s="24">
        <v>0</v>
      </c>
      <c r="QR355" s="24">
        <v>0</v>
      </c>
      <c r="QS355" s="24">
        <v>0</v>
      </c>
      <c r="QT355" s="24">
        <v>2.5</v>
      </c>
      <c r="QU355" s="24">
        <v>0</v>
      </c>
      <c r="QV355" s="24">
        <v>8.5399999999999991</v>
      </c>
      <c r="QW355" s="24">
        <v>0</v>
      </c>
      <c r="QX355" s="24">
        <v>0</v>
      </c>
      <c r="QY355" s="24">
        <v>2.76</v>
      </c>
      <c r="QZ355" s="24">
        <v>0</v>
      </c>
      <c r="RA355" s="24">
        <v>9.52</v>
      </c>
      <c r="RB355" s="24">
        <v>36.909999999999997</v>
      </c>
      <c r="RC355" s="24">
        <v>26.15</v>
      </c>
      <c r="RD355" s="24">
        <v>1.97</v>
      </c>
      <c r="RE355" s="24">
        <v>60.18</v>
      </c>
      <c r="RF355" s="24">
        <v>0</v>
      </c>
      <c r="RG355" s="24">
        <v>0</v>
      </c>
      <c r="RT355" s="24">
        <v>0.1</v>
      </c>
      <c r="RU355" s="24">
        <v>0</v>
      </c>
      <c r="SF355" s="28"/>
      <c r="SX355" s="24">
        <v>1</v>
      </c>
      <c r="SY355" s="24">
        <v>50</v>
      </c>
      <c r="SZ355" s="24">
        <v>4</v>
      </c>
      <c r="TA355" s="24">
        <f>0.37*4</f>
        <v>1.48</v>
      </c>
      <c r="TB355" s="24">
        <v>3</v>
      </c>
      <c r="TC355" s="24">
        <v>40</v>
      </c>
      <c r="TD355" s="24">
        <v>6</v>
      </c>
      <c r="TE355" s="24">
        <v>2.2000000000000002</v>
      </c>
      <c r="TF355" s="24">
        <v>3</v>
      </c>
      <c r="TG355" s="24">
        <v>50</v>
      </c>
      <c r="TH355" s="24">
        <v>1</v>
      </c>
      <c r="TI355" s="24">
        <v>0.06</v>
      </c>
      <c r="TJ355" s="24">
        <v>1</v>
      </c>
      <c r="TK355" s="24">
        <v>60</v>
      </c>
      <c r="TL355" s="24">
        <v>3</v>
      </c>
      <c r="TM355" s="24">
        <v>0.19</v>
      </c>
      <c r="TN355" s="24">
        <v>4</v>
      </c>
      <c r="UI355" s="27">
        <v>1.1100000000000001</v>
      </c>
      <c r="UJ355" s="27">
        <v>1</v>
      </c>
      <c r="UK355" s="27">
        <v>1</v>
      </c>
      <c r="UL355" s="27"/>
      <c r="UM355" s="27">
        <f>0.51*2+0.09+0.15*2+1.65+0.18+0.72</f>
        <v>3.96</v>
      </c>
      <c r="UN355" s="27"/>
      <c r="UO355" s="27"/>
      <c r="UP355" s="27"/>
      <c r="UQ355" s="27"/>
      <c r="UR355" s="27"/>
      <c r="US355" s="27"/>
      <c r="UT355" s="27">
        <v>1.95</v>
      </c>
      <c r="UU355" s="27">
        <v>1.96</v>
      </c>
      <c r="UV355" s="27"/>
      <c r="UW355" s="27"/>
      <c r="UX355" s="27">
        <v>2.88</v>
      </c>
      <c r="UY355" s="27">
        <v>0</v>
      </c>
      <c r="UZ355" s="27">
        <v>0</v>
      </c>
      <c r="VA355" s="24">
        <v>2</v>
      </c>
      <c r="VB355" s="24" t="s">
        <v>783</v>
      </c>
      <c r="VC355" s="24">
        <v>35</v>
      </c>
      <c r="VD355" s="27">
        <v>89.3</v>
      </c>
      <c r="VE355" s="27">
        <v>83.4</v>
      </c>
      <c r="VF355" s="27">
        <v>12.6</v>
      </c>
      <c r="VG355" s="24">
        <v>87.93</v>
      </c>
      <c r="VH355" s="24">
        <v>0</v>
      </c>
      <c r="VI355" s="24">
        <v>0</v>
      </c>
      <c r="VJ355" s="24">
        <v>1.49</v>
      </c>
      <c r="VK355" s="24">
        <v>10.58</v>
      </c>
      <c r="VL355" s="24">
        <v>0</v>
      </c>
      <c r="VM355" s="24">
        <v>0</v>
      </c>
      <c r="VN355" s="24">
        <v>0</v>
      </c>
      <c r="VO355" s="24">
        <v>0</v>
      </c>
      <c r="VP355" s="24">
        <v>0</v>
      </c>
      <c r="VQ355" s="24">
        <v>0</v>
      </c>
      <c r="VR355" s="24">
        <v>0.17</v>
      </c>
      <c r="VS355" s="24">
        <v>38.78</v>
      </c>
      <c r="VT355" s="24">
        <v>29.47</v>
      </c>
      <c r="VU355" s="24">
        <v>0</v>
      </c>
      <c r="VV355" s="24">
        <v>0</v>
      </c>
      <c r="VW355" s="24">
        <v>4</v>
      </c>
      <c r="VX355" s="24">
        <v>1</v>
      </c>
      <c r="VY355" s="24">
        <v>3</v>
      </c>
      <c r="WA355" s="24">
        <v>4</v>
      </c>
      <c r="WK355" s="24">
        <v>9.6999999999999993</v>
      </c>
      <c r="WL355" s="24">
        <v>1</v>
      </c>
      <c r="WM355" s="24">
        <v>68</v>
      </c>
      <c r="WN355" s="24">
        <v>1</v>
      </c>
      <c r="WO355" s="24">
        <v>0.02</v>
      </c>
      <c r="WP355" s="24">
        <v>1</v>
      </c>
      <c r="WQ355" s="24">
        <v>35</v>
      </c>
      <c r="WR355" s="24">
        <v>10</v>
      </c>
      <c r="WS355" s="24">
        <f>0.22*2+0.43*2+0.65+0.04+0.02+0.08</f>
        <v>2.0900000000000003</v>
      </c>
      <c r="WT355" s="24">
        <v>3</v>
      </c>
      <c r="WW355" s="28"/>
      <c r="XO355" s="24">
        <v>1</v>
      </c>
      <c r="XP355" s="24">
        <v>50</v>
      </c>
      <c r="XQ355" s="24">
        <f>4*3+3*4</f>
        <v>24</v>
      </c>
      <c r="XR355" s="24">
        <f>0.07+0.25+0.11+0.65+1.3+15</f>
        <v>17.38</v>
      </c>
      <c r="XS355" s="24">
        <v>1</v>
      </c>
      <c r="XT355" s="24">
        <v>40</v>
      </c>
      <c r="XU355" s="24">
        <v>18</v>
      </c>
      <c r="XV355" s="24">
        <f>0.87+0.17+0.08+0.34+1.73+0.43+0.87+0.07</f>
        <v>4.5600000000000005</v>
      </c>
      <c r="XW355" s="24">
        <v>1</v>
      </c>
      <c r="XX355" s="24">
        <v>40</v>
      </c>
      <c r="XY355" s="24">
        <v>2</v>
      </c>
      <c r="XZ355" s="24">
        <v>0.12</v>
      </c>
      <c r="YA355" s="24">
        <v>5</v>
      </c>
      <c r="YB355" s="24">
        <v>50</v>
      </c>
      <c r="YC355" s="24">
        <v>1</v>
      </c>
      <c r="YD355" s="24">
        <v>0.22</v>
      </c>
      <c r="YE355" s="24">
        <v>6</v>
      </c>
      <c r="YF355" s="24">
        <v>40</v>
      </c>
      <c r="YG355" s="24">
        <v>3</v>
      </c>
      <c r="YH355" s="24">
        <v>0.16</v>
      </c>
      <c r="YI355" s="24">
        <v>6</v>
      </c>
      <c r="YZ355" s="27">
        <v>0.68</v>
      </c>
      <c r="ZA355" s="27">
        <v>1</v>
      </c>
      <c r="ZB355" s="27">
        <v>1</v>
      </c>
      <c r="ZC355" s="27"/>
      <c r="ZD355" s="27">
        <f>0.34+0.91+1.8+0.08+0.3</f>
        <v>3.4299999999999997</v>
      </c>
      <c r="ZE355" s="27"/>
      <c r="ZF355" s="27"/>
      <c r="ZG355" s="27"/>
      <c r="ZH355" s="27"/>
      <c r="ZI355" s="27"/>
      <c r="ZJ355" s="27"/>
      <c r="ZK355" s="27">
        <v>7.83</v>
      </c>
      <c r="ZL355" s="27">
        <v>8.68</v>
      </c>
      <c r="ZM355" s="27"/>
      <c r="ZN355" s="27"/>
      <c r="ZO355" s="27">
        <v>0</v>
      </c>
      <c r="ZP355" s="27">
        <v>0</v>
      </c>
      <c r="ZQ355" s="27">
        <v>0</v>
      </c>
      <c r="ZR355" s="24">
        <v>0</v>
      </c>
      <c r="ZS355" s="24" t="s">
        <v>784</v>
      </c>
      <c r="ZT355" s="24">
        <v>38</v>
      </c>
      <c r="ZU355" s="27">
        <v>92.6</v>
      </c>
      <c r="ZV355" s="27">
        <v>83.4</v>
      </c>
      <c r="ZW355" s="27">
        <v>16.5</v>
      </c>
      <c r="ZX355" s="24">
        <v>77.87</v>
      </c>
      <c r="ZY355" s="24">
        <v>0</v>
      </c>
      <c r="ZZ355" s="24">
        <v>0</v>
      </c>
      <c r="AAA355" s="24">
        <v>0</v>
      </c>
      <c r="AAB355" s="24">
        <v>21.87</v>
      </c>
      <c r="AAC355" s="24">
        <v>0</v>
      </c>
      <c r="AAD355" s="24">
        <v>0</v>
      </c>
      <c r="AAE355" s="24">
        <v>0</v>
      </c>
      <c r="AAF355" s="24">
        <v>0</v>
      </c>
      <c r="AAG355" s="24">
        <v>0</v>
      </c>
      <c r="AAH355" s="24">
        <v>0</v>
      </c>
      <c r="AAI355" s="24">
        <v>0.28999999999999998</v>
      </c>
      <c r="AAJ355" s="24">
        <v>38.85</v>
      </c>
      <c r="AAK355" s="24">
        <v>37.36</v>
      </c>
      <c r="AAL355" s="24">
        <v>5.57</v>
      </c>
      <c r="AAM355" s="24">
        <v>0</v>
      </c>
      <c r="AAN355" s="24">
        <v>0</v>
      </c>
      <c r="AAO355" s="24">
        <v>0</v>
      </c>
      <c r="ABB355" s="24">
        <v>17.5</v>
      </c>
      <c r="ABC355" s="24">
        <v>0</v>
      </c>
      <c r="ABN355" s="28"/>
      <c r="ACF355" s="24">
        <v>1</v>
      </c>
      <c r="ACG355" s="24">
        <v>70</v>
      </c>
      <c r="ACH355" s="24">
        <f>8*3+3</f>
        <v>27</v>
      </c>
      <c r="ACI355" s="24">
        <f>5.87*3+0.58</f>
        <v>18.189999999999998</v>
      </c>
      <c r="ACJ355" s="24">
        <v>1</v>
      </c>
      <c r="ADQ355" s="27">
        <v>3.74</v>
      </c>
      <c r="ADR355" s="27">
        <v>1</v>
      </c>
      <c r="ADS355" s="27">
        <v>1</v>
      </c>
      <c r="ADT355" s="27"/>
      <c r="ADU355" s="27">
        <f>1.65+2.04*2+0.36*2+0.54</f>
        <v>6.99</v>
      </c>
      <c r="ADV355" s="27">
        <v>2</v>
      </c>
      <c r="ADW355" s="27"/>
      <c r="ADX355" s="27">
        <v>0.91</v>
      </c>
      <c r="ADY355" s="27"/>
      <c r="ADZ355" s="27"/>
      <c r="AEA355" s="27"/>
      <c r="AEB355" s="27">
        <v>0.19</v>
      </c>
      <c r="AEC355" s="27">
        <v>0.19</v>
      </c>
      <c r="AED355" s="27"/>
      <c r="AEE355" s="27"/>
      <c r="AEF355" s="27">
        <v>0</v>
      </c>
      <c r="AEG355" s="27">
        <v>0</v>
      </c>
      <c r="AEH355" s="27">
        <v>0</v>
      </c>
      <c r="AEI355" s="24">
        <v>0</v>
      </c>
      <c r="AEJ355" s="34"/>
      <c r="AEK355" s="15"/>
      <c r="AEL355" s="15"/>
      <c r="AEN355" s="34"/>
      <c r="AEO355" s="34"/>
      <c r="AER355" s="34"/>
      <c r="AES355" s="15"/>
      <c r="AET355" s="15"/>
      <c r="AEV355" s="34"/>
      <c r="AEW355" s="34"/>
      <c r="AEZ355" s="34"/>
      <c r="AFA355" s="15"/>
      <c r="AFB355" s="15"/>
      <c r="AFD355" s="34"/>
      <c r="AFE355" s="34"/>
      <c r="AFH355" s="34"/>
      <c r="AFI355" s="15"/>
      <c r="AFJ355" s="15"/>
      <c r="AFL355" s="34"/>
      <c r="AFM355" s="34"/>
      <c r="AFP355" s="34"/>
      <c r="AFQ355" s="15"/>
      <c r="AFR355" s="15"/>
      <c r="AFT355" s="34"/>
      <c r="AFU355" s="34"/>
      <c r="AFX355" s="34"/>
      <c r="AFY355" s="15"/>
      <c r="AFZ355" s="15"/>
      <c r="AGB355" s="34"/>
      <c r="AGC355" s="34"/>
      <c r="AGF355" s="34"/>
      <c r="AGG355" s="15"/>
      <c r="AGH355" s="15"/>
      <c r="AGJ355" s="34"/>
      <c r="AGK355" s="34"/>
      <c r="AGN355" s="34"/>
      <c r="AGO355" s="15"/>
      <c r="AGP355" s="15"/>
      <c r="AGR355" s="34"/>
      <c r="AGS355" s="34"/>
      <c r="AGV355" s="34"/>
      <c r="AGW355" s="15"/>
      <c r="AGX355" s="15"/>
      <c r="AGZ355" s="34"/>
      <c r="AHA355" s="34"/>
      <c r="AHD355" s="34"/>
      <c r="AHE355" s="15"/>
      <c r="AHF355" s="15"/>
      <c r="AHH355" s="34"/>
      <c r="AHI355" s="34"/>
      <c r="AHL355" s="34"/>
      <c r="AHM355" s="15"/>
      <c r="AHN355" s="15"/>
      <c r="AHP355" s="34"/>
      <c r="AHQ355" s="34"/>
      <c r="AHT355" s="34"/>
      <c r="AHU355" s="15"/>
      <c r="AHV355" s="15"/>
      <c r="AHX355" s="34"/>
      <c r="AHY355" s="34"/>
      <c r="AIB355" s="34"/>
      <c r="AIC355" s="15"/>
      <c r="AID355" s="15"/>
      <c r="AIF355" s="34"/>
      <c r="AIG355" s="34"/>
      <c r="AIJ355" s="34"/>
      <c r="AIK355" s="15"/>
      <c r="AIL355" s="15"/>
      <c r="AIN355" s="34"/>
      <c r="AIO355" s="34"/>
      <c r="AIR355" s="34"/>
      <c r="AIS355" s="15"/>
      <c r="AIT355" s="15"/>
      <c r="AIV355" s="34"/>
      <c r="AIW355" s="34"/>
      <c r="AIZ355" s="34"/>
      <c r="AJA355" s="15"/>
      <c r="AJB355" s="15"/>
      <c r="AJD355" s="34"/>
      <c r="AJE355" s="34"/>
      <c r="AJH355" s="34"/>
      <c r="AJI355" s="15"/>
      <c r="AJJ355" s="15"/>
      <c r="AJL355" s="34"/>
      <c r="AJM355" s="34"/>
      <c r="AJP355" s="34"/>
      <c r="AJQ355" s="15"/>
      <c r="AJR355" s="15"/>
      <c r="AJT355" s="34"/>
      <c r="AJU355" s="34"/>
      <c r="AJX355" s="34"/>
      <c r="AJY355" s="15"/>
      <c r="AJZ355" s="15"/>
      <c r="AKB355" s="34"/>
      <c r="AKC355" s="34"/>
      <c r="AKF355" s="34"/>
      <c r="AKG355" s="15"/>
      <c r="AKH355" s="15"/>
      <c r="AKJ355" s="34"/>
      <c r="AKK355" s="34"/>
      <c r="AKN355" s="34"/>
      <c r="AKO355" s="15"/>
      <c r="AKP355" s="15"/>
      <c r="AKR355" s="34"/>
      <c r="AKS355" s="34"/>
      <c r="AKV355" s="34"/>
      <c r="AKW355" s="15"/>
      <c r="AKX355" s="15"/>
      <c r="AKZ355" s="34"/>
      <c r="ALA355" s="34"/>
      <c r="ALD355" s="34"/>
      <c r="ALE355" s="15"/>
      <c r="ALF355" s="15"/>
      <c r="ALH355" s="34"/>
      <c r="ALI355" s="34"/>
      <c r="ALL355" s="34"/>
      <c r="ALM355" s="15"/>
      <c r="ALN355" s="15"/>
      <c r="ALP355" s="34"/>
      <c r="ALQ355" s="34"/>
      <c r="ALT355" s="34"/>
      <c r="ALU355" s="15"/>
      <c r="ALV355" s="15"/>
      <c r="ALX355" s="34"/>
      <c r="ALY355" s="34"/>
      <c r="AMB355" s="34"/>
      <c r="AMC355" s="15"/>
      <c r="AMD355" s="15"/>
      <c r="AMF355" s="34"/>
      <c r="AMG355" s="34"/>
      <c r="AMJ355" s="34"/>
    </row>
  </sheetData>
  <hyperlinks>
    <hyperlink ref="Q179" r:id="rId1" xr:uid="{00000000-0004-0000-0000-000000000000}"/>
  </hyperlinks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W355"/>
  <sheetViews>
    <sheetView tabSelected="1" topLeftCell="K12" zoomScale="90" zoomScaleNormal="90" workbookViewId="0">
      <selection activeCell="O9" sqref="O9"/>
    </sheetView>
  </sheetViews>
  <sheetFormatPr defaultRowHeight="14.25" x14ac:dyDescent="0.2"/>
  <cols>
    <col min="1" max="8" width="10.5"/>
    <col min="9" max="9" width="12.625"/>
    <col min="10" max="12" width="10.5"/>
    <col min="13" max="13" width="19.75"/>
    <col min="14" max="14" width="26" bestFit="1" customWidth="1"/>
    <col min="15" max="15" width="25.25"/>
    <col min="16" max="16" width="22.125"/>
    <col min="17" max="17" width="26.125"/>
    <col min="18" max="19" width="22.125"/>
    <col min="20" max="20" width="20.125"/>
    <col min="21" max="21" width="19.125"/>
    <col min="22" max="23" width="20.75"/>
    <col min="24" max="24" width="16.125"/>
    <col min="25" max="25" width="16.5"/>
    <col min="26" max="26" width="18"/>
    <col min="27" max="27" width="16.625"/>
    <col min="28" max="28" width="19.75"/>
    <col min="29" max="29" width="18"/>
    <col min="30" max="30" width="8.25"/>
    <col min="31" max="31" width="13.5"/>
    <col min="32" max="32" width="23.625"/>
    <col min="33" max="33" width="9.875"/>
    <col min="34" max="34" width="17.375"/>
    <col min="35" max="35" width="18.75"/>
    <col min="36" max="36" width="16.5"/>
    <col min="37" max="37" width="14.5"/>
    <col min="38" max="38" width="17.625"/>
    <col min="39" max="39" width="30.75"/>
    <col min="40" max="40" width="20.875"/>
    <col min="41" max="41" width="9.75"/>
    <col min="42" max="42" width="8.75"/>
    <col min="43" max="43" width="6.125"/>
    <col min="44" max="44" width="14.5" style="34"/>
    <col min="45" max="45" width="12.125" style="34"/>
    <col min="46" max="46" width="14.25"/>
    <col min="47" max="47" width="11.875"/>
    <col min="48" max="48" width="20.5" style="34"/>
    <col min="49" max="49" width="23.125"/>
    <col min="50" max="50" width="19.375"/>
    <col min="51" max="51" width="13.375"/>
    <col min="52" max="52" width="22" style="34"/>
    <col min="53" max="53" width="5.25" style="34"/>
    <col min="54" max="54" width="20.25"/>
    <col min="55" max="55" width="16.25"/>
    <col min="56" max="56" width="10.5" style="34"/>
    <col min="57" max="57" width="19.125"/>
    <col min="58" max="58" width="14.625"/>
    <col min="59" max="59" width="11.25"/>
    <col min="60" max="60" width="11.25" style="34"/>
    <col min="61" max="61" width="12.25" style="34"/>
    <col min="62" max="62" width="22.125"/>
    <col min="63" max="63" width="11.75"/>
    <col min="64" max="64" width="10.25" style="34"/>
    <col min="65" max="65" width="12.25" style="34"/>
    <col min="66" max="66" width="11.625"/>
    <col min="67" max="67" width="14"/>
    <col min="68" max="68" width="16.875" style="34"/>
    <col min="69" max="69" width="10.5"/>
    <col min="70" max="70" width="18.375"/>
    <col min="71" max="71" width="15" style="34"/>
    <col min="72" max="72" width="25.125"/>
    <col min="73" max="73" width="20.25" style="34"/>
    <col min="74" max="74" width="21.25"/>
    <col min="75" max="75" width="12.5"/>
    <col min="76" max="1026" width="10.5"/>
  </cols>
  <sheetData>
    <row r="1" spans="1:75" ht="15" x14ac:dyDescent="0.25">
      <c r="A1" s="4" t="s">
        <v>2</v>
      </c>
      <c r="B1" s="15" t="s">
        <v>5</v>
      </c>
      <c r="C1" t="s">
        <v>6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s="4" t="s">
        <v>22</v>
      </c>
      <c r="K1" s="5" t="s">
        <v>25</v>
      </c>
      <c r="L1" s="4" t="s">
        <v>28</v>
      </c>
      <c r="M1" s="4" t="s">
        <v>33</v>
      </c>
      <c r="N1" t="s">
        <v>38</v>
      </c>
      <c r="O1" s="4" t="s">
        <v>37</v>
      </c>
      <c r="P1" s="4" t="s">
        <v>42</v>
      </c>
      <c r="Q1" s="4" t="s">
        <v>43</v>
      </c>
      <c r="R1" s="4" t="s">
        <v>47</v>
      </c>
      <c r="S1" s="4" t="s">
        <v>48</v>
      </c>
      <c r="T1" s="4" t="s">
        <v>52</v>
      </c>
      <c r="U1" s="4" t="s">
        <v>56</v>
      </c>
      <c r="V1" s="4" t="s">
        <v>946</v>
      </c>
      <c r="W1" s="4" t="s">
        <v>69</v>
      </c>
      <c r="X1" s="4" t="s">
        <v>70</v>
      </c>
      <c r="Y1" s="4" t="s">
        <v>71</v>
      </c>
      <c r="Z1" s="4" t="s">
        <v>72</v>
      </c>
      <c r="AA1" s="4" t="s">
        <v>73</v>
      </c>
      <c r="AB1" s="4" t="s">
        <v>74</v>
      </c>
      <c r="AC1" s="4" t="s">
        <v>75</v>
      </c>
      <c r="AD1" s="4" t="s">
        <v>76</v>
      </c>
      <c r="AE1" s="4" t="s">
        <v>77</v>
      </c>
      <c r="AF1" s="4" t="s">
        <v>78</v>
      </c>
      <c r="AG1" s="4" t="s">
        <v>79</v>
      </c>
      <c r="AH1" s="4" t="s">
        <v>80</v>
      </c>
      <c r="AI1" s="4" t="s">
        <v>81</v>
      </c>
      <c r="AJ1" s="4" t="s">
        <v>82</v>
      </c>
      <c r="AK1" s="4" t="s">
        <v>83</v>
      </c>
      <c r="AL1" s="4" t="s">
        <v>84</v>
      </c>
      <c r="AM1" s="4" t="s">
        <v>85</v>
      </c>
      <c r="AN1" s="4" t="s">
        <v>86</v>
      </c>
      <c r="AO1" s="4" t="s">
        <v>87</v>
      </c>
      <c r="AP1" s="4" t="s">
        <v>88</v>
      </c>
      <c r="AQ1" s="6" t="s">
        <v>90</v>
      </c>
      <c r="AR1" s="7" t="s">
        <v>91</v>
      </c>
      <c r="AS1" s="7" t="s">
        <v>92</v>
      </c>
      <c r="AT1" s="7" t="s">
        <v>93</v>
      </c>
      <c r="AU1" s="6" t="s">
        <v>94</v>
      </c>
      <c r="AV1" s="6" t="s">
        <v>95</v>
      </c>
      <c r="AW1" s="6" t="s">
        <v>96</v>
      </c>
      <c r="AX1" s="6" t="s">
        <v>97</v>
      </c>
      <c r="AY1" s="6" t="s">
        <v>98</v>
      </c>
      <c r="AZ1" s="6" t="s">
        <v>99</v>
      </c>
      <c r="BA1" s="6" t="s">
        <v>100</v>
      </c>
      <c r="BB1" s="6" t="s">
        <v>101</v>
      </c>
      <c r="BC1" s="6" t="s">
        <v>102</v>
      </c>
      <c r="BD1" s="6" t="s">
        <v>103</v>
      </c>
      <c r="BE1" s="6" t="s">
        <v>104</v>
      </c>
      <c r="BF1" s="6" t="s">
        <v>105</v>
      </c>
      <c r="BG1" s="6" t="s">
        <v>106</v>
      </c>
      <c r="BH1" s="6" t="s">
        <v>107</v>
      </c>
      <c r="BI1" s="6" t="s">
        <v>108</v>
      </c>
      <c r="BJ1" s="6" t="s">
        <v>109</v>
      </c>
      <c r="BK1" s="6" t="s">
        <v>110</v>
      </c>
      <c r="BL1" s="6" t="s">
        <v>111</v>
      </c>
      <c r="BM1" s="6" t="s">
        <v>124</v>
      </c>
      <c r="BN1" s="6" t="s">
        <v>125</v>
      </c>
      <c r="BO1" s="6" t="s">
        <v>130</v>
      </c>
      <c r="BP1" s="6" t="s">
        <v>167</v>
      </c>
      <c r="BQ1" s="6" t="s">
        <v>168</v>
      </c>
      <c r="BR1" s="6" t="s">
        <v>172</v>
      </c>
      <c r="BS1" s="6" t="s">
        <v>173</v>
      </c>
      <c r="BT1" s="6" t="s">
        <v>176</v>
      </c>
      <c r="BU1" s="6" t="s">
        <v>177</v>
      </c>
      <c r="BV1" s="6" t="s">
        <v>178</v>
      </c>
      <c r="BW1" s="6" t="s">
        <v>179</v>
      </c>
    </row>
    <row r="2" spans="1:75" x14ac:dyDescent="0.2">
      <c r="A2">
        <v>2</v>
      </c>
      <c r="B2">
        <v>50.636550308008196</v>
      </c>
      <c r="C2">
        <v>21.601642710472301</v>
      </c>
      <c r="D2">
        <v>8</v>
      </c>
      <c r="E2">
        <v>95</v>
      </c>
      <c r="F2">
        <v>1.78</v>
      </c>
      <c r="G2">
        <v>29.9835879308168</v>
      </c>
      <c r="H2">
        <v>1</v>
      </c>
      <c r="I2">
        <v>0</v>
      </c>
      <c r="J2" s="15">
        <v>0</v>
      </c>
      <c r="K2" s="15">
        <v>2</v>
      </c>
      <c r="L2" s="15">
        <v>0</v>
      </c>
      <c r="M2" s="15">
        <v>0</v>
      </c>
      <c r="N2">
        <v>0</v>
      </c>
      <c r="O2" s="15">
        <v>0</v>
      </c>
      <c r="P2" s="15">
        <v>0</v>
      </c>
      <c r="Q2" s="15">
        <v>0</v>
      </c>
      <c r="R2" s="15">
        <v>0</v>
      </c>
      <c r="S2" s="15">
        <v>0</v>
      </c>
      <c r="T2" s="15">
        <v>0</v>
      </c>
      <c r="U2" s="15">
        <v>0</v>
      </c>
      <c r="V2" s="15">
        <f>AVERAGE(M2:U2)</f>
        <v>0</v>
      </c>
      <c r="W2" s="15">
        <v>1</v>
      </c>
      <c r="X2" s="15">
        <v>3</v>
      </c>
      <c r="Y2" s="15">
        <v>3</v>
      </c>
      <c r="Z2" s="15">
        <v>4</v>
      </c>
      <c r="AA2" s="15">
        <v>3</v>
      </c>
      <c r="AB2" s="15">
        <v>3</v>
      </c>
      <c r="AC2" s="15">
        <v>4</v>
      </c>
      <c r="AD2" s="15">
        <v>4</v>
      </c>
      <c r="AE2" s="15">
        <v>3</v>
      </c>
      <c r="AF2" s="15">
        <v>3</v>
      </c>
      <c r="AG2" s="15">
        <v>3</v>
      </c>
      <c r="AH2" s="15">
        <v>5</v>
      </c>
      <c r="AI2" s="15">
        <v>2</v>
      </c>
      <c r="AJ2" s="15">
        <v>3</v>
      </c>
      <c r="AK2" s="15">
        <v>3</v>
      </c>
      <c r="AL2" s="15">
        <v>3</v>
      </c>
      <c r="AM2" s="15">
        <v>3</v>
      </c>
      <c r="AN2" s="15">
        <v>3</v>
      </c>
      <c r="AO2" s="15">
        <v>3</v>
      </c>
      <c r="AP2" s="15">
        <v>10</v>
      </c>
      <c r="AQ2">
        <v>21.5</v>
      </c>
      <c r="AR2" s="16">
        <v>54.9</v>
      </c>
      <c r="AS2" s="16">
        <v>80.400000000000006</v>
      </c>
      <c r="AT2" s="16">
        <v>17.899999999999999</v>
      </c>
      <c r="AU2">
        <v>90.61</v>
      </c>
      <c r="AV2" s="17">
        <v>0</v>
      </c>
      <c r="AW2">
        <v>0</v>
      </c>
      <c r="AX2">
        <v>2.4500000000000002</v>
      </c>
      <c r="AY2">
        <v>6.94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12.16</v>
      </c>
      <c r="BG2">
        <v>24.45</v>
      </c>
      <c r="BH2">
        <v>4.8</v>
      </c>
      <c r="BI2">
        <v>5.1100000000000003</v>
      </c>
      <c r="BJ2">
        <v>0</v>
      </c>
      <c r="BK2">
        <v>0</v>
      </c>
      <c r="BL2">
        <v>0</v>
      </c>
      <c r="BM2">
        <v>2.9</v>
      </c>
      <c r="BN2">
        <v>1</v>
      </c>
      <c r="BO2">
        <v>1</v>
      </c>
      <c r="BP2" s="16">
        <v>0</v>
      </c>
      <c r="BQ2" s="16">
        <v>0</v>
      </c>
      <c r="BR2" s="16">
        <v>0.67</v>
      </c>
      <c r="BS2" s="16">
        <v>0.65</v>
      </c>
      <c r="BT2" s="16">
        <v>0</v>
      </c>
      <c r="BU2" s="16">
        <v>0</v>
      </c>
      <c r="BV2" s="16">
        <v>0</v>
      </c>
      <c r="BW2">
        <v>0</v>
      </c>
    </row>
    <row r="3" spans="1:75" x14ac:dyDescent="0.2">
      <c r="A3">
        <v>2</v>
      </c>
      <c r="B3">
        <v>39.947980835044497</v>
      </c>
      <c r="C3">
        <v>18.160164271047201</v>
      </c>
      <c r="D3">
        <v>8</v>
      </c>
      <c r="E3">
        <v>80</v>
      </c>
      <c r="F3">
        <v>1.8</v>
      </c>
      <c r="G3">
        <v>24.6913580246914</v>
      </c>
      <c r="H3">
        <v>0</v>
      </c>
      <c r="I3">
        <v>0</v>
      </c>
      <c r="J3" s="19">
        <v>0</v>
      </c>
      <c r="K3" s="19">
        <v>0</v>
      </c>
      <c r="L3" s="19">
        <v>0</v>
      </c>
      <c r="M3" s="19">
        <v>0</v>
      </c>
      <c r="N3">
        <v>0</v>
      </c>
      <c r="O3" s="15">
        <v>0</v>
      </c>
      <c r="P3" s="19">
        <v>0</v>
      </c>
      <c r="Q3" s="19">
        <v>0</v>
      </c>
      <c r="R3" s="19">
        <v>0</v>
      </c>
      <c r="S3" s="19">
        <v>0</v>
      </c>
      <c r="T3" s="19">
        <v>0</v>
      </c>
      <c r="U3" s="19">
        <v>0</v>
      </c>
      <c r="V3" s="15">
        <f>AVERAGE(M3:U3)</f>
        <v>0</v>
      </c>
      <c r="W3" s="19">
        <v>1</v>
      </c>
      <c r="X3" s="19">
        <v>1</v>
      </c>
      <c r="Y3" s="19">
        <v>3</v>
      </c>
      <c r="Z3" s="19">
        <v>4</v>
      </c>
      <c r="AA3" s="19">
        <v>3</v>
      </c>
      <c r="AB3" s="19">
        <v>2</v>
      </c>
      <c r="AC3" s="19">
        <v>4</v>
      </c>
      <c r="AD3" s="19">
        <v>3</v>
      </c>
      <c r="AE3" s="19">
        <v>2</v>
      </c>
      <c r="AF3" s="19">
        <v>2</v>
      </c>
      <c r="AG3" s="19">
        <v>2</v>
      </c>
      <c r="AH3" s="19">
        <v>4</v>
      </c>
      <c r="AI3" s="19">
        <v>3</v>
      </c>
      <c r="AJ3" s="19">
        <v>3</v>
      </c>
      <c r="AK3" s="19">
        <v>2</v>
      </c>
      <c r="AL3" s="19">
        <v>4</v>
      </c>
      <c r="AM3" s="19">
        <v>3</v>
      </c>
      <c r="AN3" s="19">
        <v>3</v>
      </c>
      <c r="AO3" s="19">
        <v>3</v>
      </c>
      <c r="AP3" s="19">
        <v>10</v>
      </c>
      <c r="AQ3">
        <v>37.5</v>
      </c>
      <c r="AR3" s="16">
        <v>87.4</v>
      </c>
      <c r="AS3" s="16">
        <v>80.400000000000006</v>
      </c>
      <c r="AT3" s="16">
        <v>18.5</v>
      </c>
      <c r="AU3">
        <v>84.21</v>
      </c>
      <c r="AV3" s="17">
        <v>0</v>
      </c>
      <c r="AW3">
        <v>0</v>
      </c>
      <c r="AX3">
        <v>0</v>
      </c>
      <c r="AY3">
        <v>15.79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26.71</v>
      </c>
      <c r="BG3">
        <v>13.13</v>
      </c>
      <c r="BH3">
        <v>49.12</v>
      </c>
      <c r="BI3">
        <v>14.67</v>
      </c>
      <c r="BJ3">
        <v>0</v>
      </c>
      <c r="BK3">
        <v>0</v>
      </c>
      <c r="BL3">
        <v>0</v>
      </c>
      <c r="BM3">
        <v>1.1000000000000001</v>
      </c>
      <c r="BN3">
        <v>1</v>
      </c>
      <c r="BO3">
        <v>0</v>
      </c>
      <c r="BP3" s="16">
        <v>4.3</v>
      </c>
      <c r="BQ3" s="16">
        <v>1</v>
      </c>
      <c r="BR3" s="16">
        <v>10.31</v>
      </c>
      <c r="BS3" s="16">
        <v>34.85</v>
      </c>
      <c r="BT3" s="16">
        <v>0</v>
      </c>
      <c r="BU3" s="16">
        <v>0</v>
      </c>
      <c r="BV3" s="16">
        <v>0</v>
      </c>
      <c r="BW3">
        <v>0</v>
      </c>
    </row>
    <row r="4" spans="1:75" x14ac:dyDescent="0.2">
      <c r="A4">
        <v>2</v>
      </c>
      <c r="B4">
        <v>34.354551676933603</v>
      </c>
      <c r="C4">
        <v>10.0068446269678</v>
      </c>
      <c r="D4">
        <v>8</v>
      </c>
      <c r="E4">
        <v>77</v>
      </c>
      <c r="F4">
        <v>1.73</v>
      </c>
      <c r="G4">
        <v>25.7275552140065</v>
      </c>
      <c r="H4">
        <v>0</v>
      </c>
      <c r="I4">
        <v>0</v>
      </c>
      <c r="J4" s="19">
        <v>0</v>
      </c>
      <c r="K4" s="19">
        <v>3</v>
      </c>
      <c r="L4" s="19">
        <v>0</v>
      </c>
      <c r="M4" s="19"/>
      <c r="N4">
        <v>0</v>
      </c>
      <c r="O4" s="15">
        <v>0</v>
      </c>
      <c r="P4" s="19"/>
      <c r="Q4" s="19"/>
      <c r="R4" s="19">
        <v>0</v>
      </c>
      <c r="S4" s="19">
        <v>0</v>
      </c>
      <c r="T4" s="19">
        <v>0</v>
      </c>
      <c r="U4" s="19">
        <v>5</v>
      </c>
      <c r="V4" s="15">
        <f>AVERAGE(M4:U4)</f>
        <v>0.83333333333333337</v>
      </c>
      <c r="W4" s="19">
        <v>1</v>
      </c>
      <c r="X4" s="19">
        <v>1</v>
      </c>
      <c r="Y4" s="19">
        <v>3</v>
      </c>
      <c r="Z4" s="19">
        <v>4</v>
      </c>
      <c r="AA4" s="19">
        <v>2</v>
      </c>
      <c r="AB4" s="19">
        <v>3</v>
      </c>
      <c r="AC4" s="19">
        <v>3</v>
      </c>
      <c r="AD4" s="19">
        <v>3</v>
      </c>
      <c r="AE4" s="19">
        <v>3</v>
      </c>
      <c r="AF4" s="19">
        <v>3</v>
      </c>
      <c r="AG4" s="19">
        <v>4</v>
      </c>
      <c r="AH4" s="19">
        <v>5</v>
      </c>
      <c r="AI4" s="19">
        <v>3</v>
      </c>
      <c r="AJ4" s="19">
        <v>4</v>
      </c>
      <c r="AK4" s="19">
        <v>4</v>
      </c>
      <c r="AL4" s="19">
        <v>4</v>
      </c>
      <c r="AM4" s="19">
        <v>3</v>
      </c>
      <c r="AN4" s="19">
        <v>4</v>
      </c>
      <c r="AO4" s="19">
        <v>4</v>
      </c>
      <c r="AP4" s="19">
        <v>10</v>
      </c>
      <c r="AQ4">
        <v>21.5</v>
      </c>
      <c r="AR4" s="16">
        <v>54.9</v>
      </c>
      <c r="AS4" s="16">
        <v>80.400000000000006</v>
      </c>
      <c r="AT4" s="16">
        <v>17.899999999999999</v>
      </c>
      <c r="AU4">
        <v>90.61</v>
      </c>
      <c r="AV4" s="17">
        <v>0</v>
      </c>
      <c r="AW4">
        <v>0</v>
      </c>
      <c r="AX4">
        <v>2.4500000000000002</v>
      </c>
      <c r="AY4">
        <v>6.94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12.16</v>
      </c>
      <c r="BG4">
        <v>24.45</v>
      </c>
      <c r="BH4">
        <v>4.8</v>
      </c>
      <c r="BI4">
        <v>5.1100000000000003</v>
      </c>
      <c r="BJ4">
        <v>0</v>
      </c>
      <c r="BK4">
        <v>0</v>
      </c>
      <c r="BL4">
        <v>0</v>
      </c>
      <c r="BM4">
        <v>2.9</v>
      </c>
      <c r="BN4">
        <v>1</v>
      </c>
      <c r="BO4">
        <v>1</v>
      </c>
      <c r="BP4" s="16">
        <v>0</v>
      </c>
      <c r="BQ4" s="16">
        <v>0</v>
      </c>
      <c r="BR4" s="16">
        <v>0.67</v>
      </c>
      <c r="BS4" s="16">
        <v>0.65</v>
      </c>
      <c r="BT4" s="16">
        <v>0</v>
      </c>
      <c r="BU4" s="16">
        <v>0</v>
      </c>
      <c r="BV4" s="16">
        <v>0</v>
      </c>
      <c r="BW4">
        <v>0</v>
      </c>
    </row>
    <row r="5" spans="1:75" x14ac:dyDescent="0.2">
      <c r="A5">
        <v>2</v>
      </c>
      <c r="B5">
        <v>39.520876112251898</v>
      </c>
      <c r="C5">
        <v>18.995208761122498</v>
      </c>
      <c r="D5">
        <v>8</v>
      </c>
      <c r="E5">
        <v>86</v>
      </c>
      <c r="F5">
        <v>1.83</v>
      </c>
      <c r="G5">
        <v>25.680074054167001</v>
      </c>
      <c r="H5">
        <v>0</v>
      </c>
      <c r="I5">
        <v>0</v>
      </c>
      <c r="J5" s="19">
        <v>1</v>
      </c>
      <c r="K5" s="19">
        <v>0</v>
      </c>
      <c r="L5" s="19">
        <v>1</v>
      </c>
      <c r="M5" s="19">
        <v>0</v>
      </c>
      <c r="N5">
        <v>0</v>
      </c>
      <c r="O5" s="19">
        <v>0</v>
      </c>
      <c r="P5" s="19"/>
      <c r="Q5" s="19"/>
      <c r="R5" s="19">
        <v>9</v>
      </c>
      <c r="S5" s="19">
        <v>10</v>
      </c>
      <c r="T5" s="19">
        <v>0</v>
      </c>
      <c r="U5" s="19">
        <v>7</v>
      </c>
      <c r="V5" s="15">
        <f>AVERAGE(M5:U5)</f>
        <v>3.7142857142857144</v>
      </c>
      <c r="W5" s="19">
        <v>4</v>
      </c>
      <c r="X5" s="19">
        <v>4</v>
      </c>
      <c r="Y5" s="19">
        <v>5</v>
      </c>
      <c r="Z5" s="19">
        <v>5</v>
      </c>
      <c r="AA5" s="19">
        <v>5</v>
      </c>
      <c r="AB5" s="19">
        <v>5</v>
      </c>
      <c r="AC5" s="19">
        <v>4</v>
      </c>
      <c r="AD5" s="19">
        <v>5</v>
      </c>
      <c r="AE5" s="19">
        <v>5</v>
      </c>
      <c r="AF5" s="19">
        <v>3</v>
      </c>
      <c r="AG5" s="19">
        <v>4</v>
      </c>
      <c r="AH5" s="19">
        <v>5</v>
      </c>
      <c r="AI5" s="19">
        <v>5</v>
      </c>
      <c r="AJ5" s="19">
        <v>5</v>
      </c>
      <c r="AK5" s="19">
        <v>5</v>
      </c>
      <c r="AL5" s="19">
        <v>5</v>
      </c>
      <c r="AM5" s="19">
        <v>5</v>
      </c>
      <c r="AN5" s="19">
        <v>5</v>
      </c>
      <c r="AO5" s="19">
        <v>4</v>
      </c>
      <c r="AP5" s="19"/>
      <c r="AQ5">
        <v>14.5</v>
      </c>
      <c r="AR5" s="16">
        <v>26.1</v>
      </c>
      <c r="AS5" s="16">
        <v>571.19000000000005</v>
      </c>
      <c r="AT5" s="16">
        <v>12.4</v>
      </c>
      <c r="AU5">
        <v>89.38</v>
      </c>
      <c r="AV5">
        <v>0.44</v>
      </c>
      <c r="AW5">
        <v>0</v>
      </c>
      <c r="AX5">
        <v>0</v>
      </c>
      <c r="AY5">
        <v>10.15</v>
      </c>
      <c r="AZ5">
        <v>0</v>
      </c>
      <c r="BA5">
        <v>0.03</v>
      </c>
      <c r="BB5">
        <v>0</v>
      </c>
      <c r="BC5">
        <v>0</v>
      </c>
      <c r="BD5">
        <v>0</v>
      </c>
      <c r="BE5">
        <v>0</v>
      </c>
      <c r="BF5">
        <v>0</v>
      </c>
      <c r="BG5">
        <v>6.18</v>
      </c>
      <c r="BH5">
        <v>2.69</v>
      </c>
      <c r="BI5">
        <v>7.79</v>
      </c>
      <c r="BJ5">
        <v>0</v>
      </c>
      <c r="BK5">
        <v>0</v>
      </c>
      <c r="BL5">
        <v>0</v>
      </c>
      <c r="BM5">
        <v>0.4</v>
      </c>
      <c r="BN5">
        <v>1</v>
      </c>
      <c r="BO5">
        <v>1</v>
      </c>
      <c r="BP5" s="16">
        <v>0.08</v>
      </c>
      <c r="BQ5" s="16">
        <v>1</v>
      </c>
      <c r="BR5" s="16">
        <v>1.23</v>
      </c>
      <c r="BS5" s="16">
        <v>0.95</v>
      </c>
      <c r="BT5" s="16">
        <v>0</v>
      </c>
      <c r="BU5" s="16">
        <v>0</v>
      </c>
      <c r="BV5" s="16">
        <v>0</v>
      </c>
      <c r="BW5">
        <v>0</v>
      </c>
    </row>
    <row r="6" spans="1:75" x14ac:dyDescent="0.2">
      <c r="A6">
        <v>2</v>
      </c>
      <c r="B6">
        <v>40.807665982204</v>
      </c>
      <c r="C6">
        <v>20.3340177960301</v>
      </c>
      <c r="D6">
        <v>8</v>
      </c>
      <c r="E6">
        <v>83</v>
      </c>
      <c r="F6">
        <v>1.67</v>
      </c>
      <c r="G6">
        <v>29.760837606224701</v>
      </c>
      <c r="H6">
        <v>0</v>
      </c>
      <c r="I6">
        <v>0</v>
      </c>
      <c r="J6" s="19">
        <v>0</v>
      </c>
      <c r="K6" s="19">
        <v>0</v>
      </c>
      <c r="L6" s="19">
        <v>1</v>
      </c>
      <c r="M6" s="19">
        <v>0</v>
      </c>
      <c r="N6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19"/>
      <c r="V6" s="15">
        <f>AVERAGE(M6:U6)</f>
        <v>0</v>
      </c>
      <c r="W6" s="19">
        <v>3</v>
      </c>
      <c r="X6" s="19">
        <v>2</v>
      </c>
      <c r="Y6" s="19">
        <v>5</v>
      </c>
      <c r="Z6" s="19">
        <v>5</v>
      </c>
      <c r="AA6" s="19">
        <v>5</v>
      </c>
      <c r="AB6" s="19">
        <v>5</v>
      </c>
      <c r="AC6" s="19">
        <v>4</v>
      </c>
      <c r="AD6" s="19">
        <v>5</v>
      </c>
      <c r="AE6" s="19">
        <v>5</v>
      </c>
      <c r="AF6" s="19">
        <v>4</v>
      </c>
      <c r="AG6" s="19">
        <v>4</v>
      </c>
      <c r="AH6" s="19">
        <v>5</v>
      </c>
      <c r="AI6" s="19">
        <v>4</v>
      </c>
      <c r="AJ6" s="19">
        <v>3</v>
      </c>
      <c r="AK6" s="19">
        <v>4</v>
      </c>
      <c r="AL6" s="19">
        <v>5</v>
      </c>
      <c r="AM6" s="19">
        <v>3</v>
      </c>
      <c r="AN6" s="19">
        <v>4</v>
      </c>
      <c r="AO6" s="19">
        <v>3</v>
      </c>
      <c r="AP6" s="19">
        <v>10</v>
      </c>
      <c r="AQ6">
        <v>39.5</v>
      </c>
      <c r="AR6" s="16">
        <v>89.8</v>
      </c>
      <c r="AS6" s="16">
        <v>80.400000000000006</v>
      </c>
      <c r="AT6" s="16">
        <v>5.0999999999999996</v>
      </c>
      <c r="AU6">
        <v>100</v>
      </c>
      <c r="AV6" s="17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50.37</v>
      </c>
      <c r="BH6">
        <v>16.55</v>
      </c>
      <c r="BI6">
        <v>0.4</v>
      </c>
      <c r="BJ6">
        <v>0</v>
      </c>
      <c r="BK6">
        <v>27.4</v>
      </c>
      <c r="BL6">
        <v>1</v>
      </c>
      <c r="BM6">
        <v>0.1</v>
      </c>
      <c r="BN6">
        <v>1</v>
      </c>
      <c r="BO6">
        <v>0</v>
      </c>
      <c r="BP6" s="16">
        <v>1.49</v>
      </c>
      <c r="BQ6" s="16">
        <v>1</v>
      </c>
      <c r="BR6" s="16">
        <v>5.01</v>
      </c>
      <c r="BS6" s="16">
        <v>5.13</v>
      </c>
      <c r="BT6" s="16">
        <v>0</v>
      </c>
      <c r="BU6" s="16">
        <v>0</v>
      </c>
      <c r="BV6" s="16">
        <v>0</v>
      </c>
      <c r="BW6">
        <v>0</v>
      </c>
    </row>
    <row r="7" spans="1:75" x14ac:dyDescent="0.2">
      <c r="A7">
        <v>2</v>
      </c>
      <c r="B7">
        <v>51.0499657768652</v>
      </c>
      <c r="C7">
        <v>22.510609171800098</v>
      </c>
      <c r="D7">
        <v>8</v>
      </c>
      <c r="E7">
        <v>89</v>
      </c>
      <c r="F7">
        <v>1.75</v>
      </c>
      <c r="G7">
        <v>29.061224489795901</v>
      </c>
      <c r="H7">
        <v>0</v>
      </c>
      <c r="I7">
        <v>0</v>
      </c>
      <c r="J7" s="19">
        <v>0</v>
      </c>
      <c r="K7" s="19">
        <v>2</v>
      </c>
      <c r="L7" s="19">
        <v>0</v>
      </c>
      <c r="M7" s="19"/>
      <c r="O7" s="19"/>
      <c r="P7" s="19"/>
      <c r="Q7" s="19"/>
      <c r="R7" s="19"/>
      <c r="S7" s="19"/>
      <c r="T7" s="19"/>
      <c r="U7" s="19"/>
      <c r="V7" s="15"/>
      <c r="W7" s="19">
        <v>5</v>
      </c>
      <c r="X7" s="19">
        <v>3</v>
      </c>
      <c r="Y7" s="19">
        <v>5</v>
      </c>
      <c r="Z7" s="19">
        <v>5</v>
      </c>
      <c r="AA7" s="19">
        <v>3</v>
      </c>
      <c r="AB7" s="19">
        <v>3</v>
      </c>
      <c r="AC7" s="19">
        <v>3</v>
      </c>
      <c r="AD7" s="19">
        <v>5</v>
      </c>
      <c r="AE7" s="19">
        <v>3</v>
      </c>
      <c r="AF7" s="19">
        <v>2</v>
      </c>
      <c r="AG7" s="19">
        <v>2</v>
      </c>
      <c r="AH7" s="19">
        <v>3</v>
      </c>
      <c r="AI7" s="19">
        <v>1</v>
      </c>
      <c r="AJ7" s="19">
        <v>1</v>
      </c>
      <c r="AK7" s="19">
        <v>2</v>
      </c>
      <c r="AL7" s="19">
        <v>5</v>
      </c>
      <c r="AM7" s="19">
        <v>3</v>
      </c>
      <c r="AN7" s="19">
        <v>3</v>
      </c>
      <c r="AO7" s="19">
        <v>3</v>
      </c>
      <c r="AP7" s="19">
        <v>8</v>
      </c>
      <c r="AQ7">
        <v>21.5</v>
      </c>
      <c r="AR7" s="16">
        <v>54.9</v>
      </c>
      <c r="AS7" s="16">
        <v>80.400000000000006</v>
      </c>
      <c r="AT7" s="16">
        <v>17.899999999999999</v>
      </c>
      <c r="AU7">
        <v>90.61</v>
      </c>
      <c r="AV7" s="17">
        <v>0</v>
      </c>
      <c r="AW7">
        <v>0</v>
      </c>
      <c r="AX7">
        <v>2.4500000000000002</v>
      </c>
      <c r="AY7">
        <v>6.94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12.16</v>
      </c>
      <c r="BG7">
        <v>24.45</v>
      </c>
      <c r="BH7">
        <v>4.8</v>
      </c>
      <c r="BI7">
        <v>5.1100000000000003</v>
      </c>
      <c r="BJ7">
        <v>0</v>
      </c>
      <c r="BK7">
        <v>0</v>
      </c>
      <c r="BL7">
        <v>0</v>
      </c>
      <c r="BM7">
        <v>2.9</v>
      </c>
      <c r="BN7">
        <v>1</v>
      </c>
      <c r="BO7">
        <v>1</v>
      </c>
      <c r="BP7" s="16">
        <v>0</v>
      </c>
      <c r="BQ7" s="16">
        <v>0</v>
      </c>
      <c r="BR7" s="16">
        <v>0.67</v>
      </c>
      <c r="BS7" s="16">
        <v>0.65</v>
      </c>
      <c r="BT7" s="16">
        <v>0</v>
      </c>
      <c r="BU7" s="16">
        <v>0</v>
      </c>
      <c r="BV7" s="16">
        <v>0</v>
      </c>
      <c r="BW7">
        <v>0</v>
      </c>
    </row>
    <row r="8" spans="1:75" x14ac:dyDescent="0.2">
      <c r="A8">
        <v>2</v>
      </c>
      <c r="B8">
        <v>43.436002737850799</v>
      </c>
      <c r="C8">
        <v>21.968514715948</v>
      </c>
      <c r="D8">
        <v>8</v>
      </c>
      <c r="E8">
        <v>80</v>
      </c>
      <c r="F8">
        <v>1.73</v>
      </c>
      <c r="G8">
        <v>26.729927495071699</v>
      </c>
      <c r="H8">
        <v>0</v>
      </c>
      <c r="I8">
        <v>0</v>
      </c>
      <c r="J8" s="19">
        <v>0</v>
      </c>
      <c r="K8" s="19">
        <v>0</v>
      </c>
      <c r="L8" s="19">
        <v>0</v>
      </c>
      <c r="M8" s="19">
        <v>0</v>
      </c>
      <c r="N8">
        <v>0</v>
      </c>
      <c r="O8" s="19">
        <v>0</v>
      </c>
      <c r="P8" s="19">
        <v>0</v>
      </c>
      <c r="Q8" s="19">
        <v>0</v>
      </c>
      <c r="R8" s="19">
        <v>0</v>
      </c>
      <c r="S8" s="19">
        <v>0</v>
      </c>
      <c r="T8" s="19">
        <v>0</v>
      </c>
      <c r="U8" s="19">
        <v>4</v>
      </c>
      <c r="V8" s="15">
        <f t="shared" ref="V8:V34" si="0">AVERAGE(M8:U8)</f>
        <v>0.44444444444444442</v>
      </c>
      <c r="W8" s="19">
        <v>3</v>
      </c>
      <c r="X8" s="19">
        <v>2</v>
      </c>
      <c r="Y8" s="19">
        <v>5</v>
      </c>
      <c r="Z8" s="19">
        <v>5</v>
      </c>
      <c r="AA8" s="19">
        <v>3</v>
      </c>
      <c r="AB8" s="19">
        <v>4</v>
      </c>
      <c r="AC8" s="19">
        <v>5</v>
      </c>
      <c r="AD8" s="19">
        <v>5</v>
      </c>
      <c r="AE8" s="19">
        <v>3</v>
      </c>
      <c r="AF8" s="19">
        <v>3</v>
      </c>
      <c r="AG8" s="19">
        <v>4</v>
      </c>
      <c r="AH8" s="19">
        <v>5</v>
      </c>
      <c r="AI8" s="19">
        <v>5</v>
      </c>
      <c r="AJ8" s="19">
        <v>3</v>
      </c>
      <c r="AK8" s="19">
        <v>3</v>
      </c>
      <c r="AL8" s="19">
        <v>4</v>
      </c>
      <c r="AM8" s="19">
        <v>3</v>
      </c>
      <c r="AN8" s="19">
        <v>4</v>
      </c>
      <c r="AO8" s="19">
        <v>4</v>
      </c>
      <c r="AP8" s="19">
        <v>10</v>
      </c>
      <c r="AQ8">
        <v>33.5</v>
      </c>
      <c r="AR8" s="16">
        <v>91.5</v>
      </c>
      <c r="AS8" s="16">
        <v>80.400000000000006</v>
      </c>
      <c r="AT8" s="16">
        <v>20</v>
      </c>
      <c r="AU8">
        <v>84.58</v>
      </c>
      <c r="AV8" s="17">
        <v>0</v>
      </c>
      <c r="AW8">
        <v>15.42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13.79</v>
      </c>
      <c r="BH8">
        <v>2.67</v>
      </c>
      <c r="BI8">
        <v>11.54</v>
      </c>
      <c r="BJ8">
        <v>0</v>
      </c>
      <c r="BK8">
        <v>12.3</v>
      </c>
      <c r="BL8">
        <v>2</v>
      </c>
      <c r="BM8">
        <v>0</v>
      </c>
      <c r="BN8">
        <v>1</v>
      </c>
      <c r="BO8">
        <v>0</v>
      </c>
      <c r="BP8" s="16">
        <v>0.25</v>
      </c>
      <c r="BQ8" s="16">
        <v>1</v>
      </c>
      <c r="BR8" s="16">
        <v>0.55000000000000004</v>
      </c>
      <c r="BS8" s="16">
        <v>0.55000000000000004</v>
      </c>
      <c r="BT8" s="16">
        <v>0</v>
      </c>
      <c r="BU8" s="16">
        <v>0</v>
      </c>
      <c r="BV8" s="16">
        <v>0</v>
      </c>
      <c r="BW8">
        <v>0</v>
      </c>
    </row>
    <row r="9" spans="1:75" x14ac:dyDescent="0.2">
      <c r="A9" s="24">
        <v>2</v>
      </c>
      <c r="B9">
        <v>30.833675564681698</v>
      </c>
      <c r="C9">
        <v>6.4969199178644796</v>
      </c>
      <c r="D9">
        <v>8</v>
      </c>
      <c r="E9">
        <v>65</v>
      </c>
      <c r="F9">
        <v>1.71</v>
      </c>
      <c r="G9">
        <v>22.229061933586401</v>
      </c>
      <c r="H9">
        <v>0</v>
      </c>
      <c r="I9">
        <v>0</v>
      </c>
      <c r="J9" s="26">
        <v>0</v>
      </c>
      <c r="K9" s="26">
        <v>0</v>
      </c>
      <c r="L9" s="26">
        <v>0</v>
      </c>
      <c r="M9" s="26">
        <v>0</v>
      </c>
      <c r="N9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6">
        <v>0</v>
      </c>
      <c r="V9" s="15">
        <f t="shared" si="0"/>
        <v>0</v>
      </c>
      <c r="W9" s="26">
        <v>4</v>
      </c>
      <c r="X9" s="26">
        <v>3</v>
      </c>
      <c r="Y9" s="26">
        <v>3</v>
      </c>
      <c r="Z9" s="26">
        <v>5</v>
      </c>
      <c r="AA9" s="26">
        <v>4</v>
      </c>
      <c r="AB9" s="26">
        <v>3</v>
      </c>
      <c r="AC9" s="26">
        <v>3</v>
      </c>
      <c r="AD9" s="26">
        <v>5</v>
      </c>
      <c r="AE9" s="26">
        <v>5</v>
      </c>
      <c r="AF9" s="26">
        <v>5</v>
      </c>
      <c r="AG9" s="26">
        <v>4</v>
      </c>
      <c r="AH9" s="26">
        <v>5</v>
      </c>
      <c r="AI9" s="26">
        <v>4</v>
      </c>
      <c r="AJ9" s="26">
        <v>4</v>
      </c>
      <c r="AK9" s="26">
        <v>4</v>
      </c>
      <c r="AL9" s="26">
        <v>5</v>
      </c>
      <c r="AM9" s="26">
        <v>4</v>
      </c>
      <c r="AN9" s="26">
        <v>4</v>
      </c>
      <c r="AO9" s="26">
        <v>4</v>
      </c>
      <c r="AP9" s="26">
        <v>9</v>
      </c>
      <c r="AQ9">
        <v>64</v>
      </c>
      <c r="AR9" s="16">
        <v>74.3</v>
      </c>
      <c r="AS9" s="16">
        <v>81</v>
      </c>
      <c r="AT9" s="16">
        <v>58.5</v>
      </c>
      <c r="AU9">
        <v>49.17</v>
      </c>
      <c r="AV9">
        <v>0</v>
      </c>
      <c r="AW9">
        <v>34.450000000000003</v>
      </c>
      <c r="AX9">
        <v>16.22</v>
      </c>
      <c r="AY9">
        <v>0.16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2.52</v>
      </c>
      <c r="BI9">
        <v>9.18</v>
      </c>
      <c r="BJ9">
        <v>0</v>
      </c>
      <c r="BK9">
        <v>0</v>
      </c>
      <c r="BL9">
        <v>0</v>
      </c>
      <c r="BM9">
        <v>0.3</v>
      </c>
      <c r="BN9">
        <v>1</v>
      </c>
      <c r="BO9">
        <v>0</v>
      </c>
      <c r="BP9" s="16">
        <v>2.89</v>
      </c>
      <c r="BQ9" s="16">
        <v>1</v>
      </c>
      <c r="BR9" s="16">
        <v>0</v>
      </c>
      <c r="BS9" s="16">
        <v>0</v>
      </c>
      <c r="BT9" s="16">
        <v>0</v>
      </c>
      <c r="BU9" s="16">
        <v>0</v>
      </c>
      <c r="BV9" s="16">
        <v>0</v>
      </c>
      <c r="BW9">
        <v>0</v>
      </c>
    </row>
    <row r="10" spans="1:75" x14ac:dyDescent="0.2">
      <c r="A10">
        <v>2</v>
      </c>
      <c r="B10">
        <v>35.299110198494198</v>
      </c>
      <c r="C10">
        <v>9.9493497604380607</v>
      </c>
      <c r="D10">
        <v>8</v>
      </c>
      <c r="E10">
        <v>92</v>
      </c>
      <c r="F10">
        <v>1.78</v>
      </c>
      <c r="G10">
        <v>29.0367377856331</v>
      </c>
      <c r="H10">
        <v>0</v>
      </c>
      <c r="I10">
        <v>0</v>
      </c>
      <c r="J10" s="19">
        <v>0</v>
      </c>
      <c r="K10" s="19">
        <v>0</v>
      </c>
      <c r="L10" s="19">
        <v>1</v>
      </c>
      <c r="M10" s="19">
        <v>0</v>
      </c>
      <c r="N10">
        <v>0</v>
      </c>
      <c r="O10" s="19">
        <v>0</v>
      </c>
      <c r="P10" s="19">
        <v>0</v>
      </c>
      <c r="Q10" s="19">
        <v>0</v>
      </c>
      <c r="R10" s="19">
        <v>0</v>
      </c>
      <c r="S10" s="19">
        <v>0</v>
      </c>
      <c r="T10" s="19">
        <v>0</v>
      </c>
      <c r="U10" s="19">
        <v>0</v>
      </c>
      <c r="V10" s="15">
        <f t="shared" si="0"/>
        <v>0</v>
      </c>
      <c r="W10" s="19">
        <v>3</v>
      </c>
      <c r="X10" s="19">
        <v>3</v>
      </c>
      <c r="Y10" s="19">
        <v>3</v>
      </c>
      <c r="Z10" s="19">
        <v>5</v>
      </c>
      <c r="AA10" s="19">
        <v>3</v>
      </c>
      <c r="AB10" s="19">
        <v>4</v>
      </c>
      <c r="AC10" s="19">
        <v>2</v>
      </c>
      <c r="AD10" s="19">
        <v>3</v>
      </c>
      <c r="AE10" s="19">
        <v>4</v>
      </c>
      <c r="AF10" s="19">
        <v>1</v>
      </c>
      <c r="AG10" s="19">
        <v>4</v>
      </c>
      <c r="AH10" s="19">
        <v>5</v>
      </c>
      <c r="AI10" s="19">
        <v>3</v>
      </c>
      <c r="AJ10" s="19">
        <v>4</v>
      </c>
      <c r="AK10" s="19">
        <v>4</v>
      </c>
      <c r="AL10" s="19">
        <v>4</v>
      </c>
      <c r="AM10" s="19">
        <v>4</v>
      </c>
      <c r="AN10" s="19">
        <v>3</v>
      </c>
      <c r="AO10" s="19">
        <v>3</v>
      </c>
      <c r="AP10" s="19">
        <v>9</v>
      </c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/>
      <c r="BP10"/>
      <c r="BQ10" s="15"/>
      <c r="BS10"/>
      <c r="BU10"/>
      <c r="BV10" s="15"/>
      <c r="BW10" s="15"/>
    </row>
    <row r="11" spans="1:75" x14ac:dyDescent="0.2">
      <c r="A11">
        <v>2</v>
      </c>
      <c r="B11">
        <v>30.732375085557798</v>
      </c>
      <c r="C11">
        <v>10.5270362765229</v>
      </c>
      <c r="D11">
        <v>8</v>
      </c>
      <c r="E11">
        <v>75</v>
      </c>
      <c r="F11">
        <v>1.75</v>
      </c>
      <c r="G11">
        <v>24.4897959183673</v>
      </c>
      <c r="H11">
        <v>1</v>
      </c>
      <c r="I11">
        <v>1</v>
      </c>
      <c r="J11" s="19">
        <v>0</v>
      </c>
      <c r="K11" s="19">
        <v>0</v>
      </c>
      <c r="L11" s="19">
        <v>0</v>
      </c>
      <c r="M11" s="19"/>
      <c r="O11" s="19"/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5">
        <f t="shared" si="0"/>
        <v>0</v>
      </c>
      <c r="W11" s="19">
        <v>2</v>
      </c>
      <c r="X11" s="19">
        <v>2</v>
      </c>
      <c r="Y11" s="19">
        <v>4</v>
      </c>
      <c r="Z11" s="19">
        <v>5</v>
      </c>
      <c r="AA11" s="19">
        <v>2</v>
      </c>
      <c r="AB11" s="19">
        <v>2</v>
      </c>
      <c r="AC11" s="19">
        <v>4</v>
      </c>
      <c r="AD11" s="19">
        <v>3</v>
      </c>
      <c r="AE11" s="19">
        <v>3</v>
      </c>
      <c r="AF11" s="19">
        <v>4</v>
      </c>
      <c r="AG11" s="19">
        <v>4</v>
      </c>
      <c r="AH11" s="19">
        <v>5</v>
      </c>
      <c r="AI11" s="19">
        <v>3</v>
      </c>
      <c r="AJ11" s="19">
        <v>3</v>
      </c>
      <c r="AK11" s="19">
        <v>3</v>
      </c>
      <c r="AL11" s="19">
        <v>4</v>
      </c>
      <c r="AM11" s="19">
        <v>4</v>
      </c>
      <c r="AN11" s="19">
        <v>4</v>
      </c>
      <c r="AO11" s="19">
        <v>4</v>
      </c>
      <c r="AP11" s="19">
        <v>10</v>
      </c>
      <c r="AQ11" s="24">
        <v>36.5</v>
      </c>
      <c r="AR11" s="27">
        <v>88.3</v>
      </c>
      <c r="AS11" s="27">
        <v>80.400000000000006</v>
      </c>
      <c r="AT11" s="27">
        <v>28.2</v>
      </c>
      <c r="AU11" s="24">
        <v>73.819999999999993</v>
      </c>
      <c r="AV11" s="24">
        <v>0</v>
      </c>
      <c r="AW11" s="24">
        <v>25.61</v>
      </c>
      <c r="AX11" s="24">
        <v>0</v>
      </c>
      <c r="AY11" s="24">
        <v>0.56999999999999995</v>
      </c>
      <c r="AZ11" s="24">
        <v>0</v>
      </c>
      <c r="BA11" s="24">
        <v>0</v>
      </c>
      <c r="BB11" s="24">
        <v>0</v>
      </c>
      <c r="BC11" s="24">
        <v>0</v>
      </c>
      <c r="BD11" s="24">
        <v>0</v>
      </c>
      <c r="BE11" s="24">
        <v>0</v>
      </c>
      <c r="BF11" s="24">
        <v>1.17</v>
      </c>
      <c r="BG11" s="24">
        <v>31.76</v>
      </c>
      <c r="BH11" s="24">
        <v>23.3</v>
      </c>
      <c r="BI11" s="24">
        <v>26.08</v>
      </c>
      <c r="BJ11" s="24">
        <v>0</v>
      </c>
      <c r="BK11" s="24">
        <v>0</v>
      </c>
      <c r="BL11" s="24">
        <v>0</v>
      </c>
      <c r="BM11" s="24">
        <v>2.1</v>
      </c>
      <c r="BN11" s="24">
        <v>1</v>
      </c>
      <c r="BO11" s="24">
        <v>0</v>
      </c>
      <c r="BP11" s="27">
        <v>1.9</v>
      </c>
      <c r="BQ11" s="27">
        <v>1</v>
      </c>
      <c r="BR11" s="27">
        <v>0.56999999999999995</v>
      </c>
      <c r="BS11" s="27">
        <v>0.56000000000000005</v>
      </c>
      <c r="BT11" s="27">
        <v>0</v>
      </c>
      <c r="BU11" s="27">
        <v>0</v>
      </c>
      <c r="BV11" s="27">
        <v>0</v>
      </c>
      <c r="BW11" s="24">
        <v>0</v>
      </c>
    </row>
    <row r="12" spans="1:75" x14ac:dyDescent="0.2">
      <c r="A12">
        <v>2</v>
      </c>
      <c r="B12">
        <v>41.256673511293599</v>
      </c>
      <c r="C12">
        <v>20.0492813141684</v>
      </c>
      <c r="D12">
        <v>8</v>
      </c>
      <c r="E12">
        <v>81.2</v>
      </c>
      <c r="F12">
        <v>1.77</v>
      </c>
      <c r="G12">
        <v>25.918478087395101</v>
      </c>
      <c r="H12">
        <v>1</v>
      </c>
      <c r="I12">
        <v>1</v>
      </c>
      <c r="J12" s="19">
        <v>0</v>
      </c>
      <c r="K12" s="19">
        <v>0</v>
      </c>
      <c r="L12" s="19">
        <v>0</v>
      </c>
      <c r="M12" s="19">
        <v>0</v>
      </c>
      <c r="N12">
        <v>0</v>
      </c>
      <c r="O12" s="19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5">
        <f t="shared" si="0"/>
        <v>0</v>
      </c>
      <c r="W12" s="19">
        <v>1</v>
      </c>
      <c r="X12" s="19">
        <v>2</v>
      </c>
      <c r="Y12" s="19">
        <v>1</v>
      </c>
      <c r="Z12" s="19">
        <v>5</v>
      </c>
      <c r="AA12" s="19">
        <v>3</v>
      </c>
      <c r="AB12" s="19">
        <v>3</v>
      </c>
      <c r="AC12" s="19">
        <v>3</v>
      </c>
      <c r="AD12" s="19">
        <v>4</v>
      </c>
      <c r="AE12" s="19">
        <v>4</v>
      </c>
      <c r="AF12" s="19">
        <v>4</v>
      </c>
      <c r="AG12" s="19">
        <v>4</v>
      </c>
      <c r="AH12" s="19">
        <v>4</v>
      </c>
      <c r="AI12" s="19">
        <v>4</v>
      </c>
      <c r="AJ12" s="19">
        <v>4</v>
      </c>
      <c r="AK12" s="19">
        <v>4</v>
      </c>
      <c r="AL12" s="19">
        <v>5</v>
      </c>
      <c r="AM12" s="19">
        <v>5</v>
      </c>
      <c r="AN12" s="19">
        <v>5</v>
      </c>
      <c r="AO12" s="19">
        <v>5</v>
      </c>
      <c r="AP12" s="19">
        <v>10</v>
      </c>
      <c r="AQ12">
        <v>30</v>
      </c>
      <c r="AR12" s="16">
        <v>85.5</v>
      </c>
      <c r="AS12" s="16">
        <v>81</v>
      </c>
      <c r="AT12" s="16">
        <v>15.2</v>
      </c>
      <c r="AU12">
        <v>87.44</v>
      </c>
      <c r="AV12">
        <v>0</v>
      </c>
      <c r="AW12">
        <v>0.94</v>
      </c>
      <c r="AX12">
        <v>1.97</v>
      </c>
      <c r="AY12">
        <v>9.65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2.71</v>
      </c>
      <c r="BG12">
        <v>0.6</v>
      </c>
      <c r="BH12">
        <v>2.17</v>
      </c>
      <c r="BI12">
        <v>5.97</v>
      </c>
      <c r="BJ12">
        <v>2.65</v>
      </c>
      <c r="BK12">
        <v>0</v>
      </c>
      <c r="BL12">
        <v>0</v>
      </c>
      <c r="BM12">
        <v>10.6</v>
      </c>
      <c r="BN12">
        <v>1</v>
      </c>
      <c r="BO12">
        <v>0</v>
      </c>
      <c r="BP12" s="16">
        <v>0</v>
      </c>
      <c r="BQ12" s="16">
        <v>0</v>
      </c>
      <c r="BR12" s="16">
        <v>4.17</v>
      </c>
      <c r="BS12" s="16">
        <v>2.54</v>
      </c>
      <c r="BT12" s="16">
        <v>0</v>
      </c>
      <c r="BU12" s="16">
        <v>0</v>
      </c>
      <c r="BV12" s="16">
        <v>0</v>
      </c>
      <c r="BW12">
        <v>0</v>
      </c>
    </row>
    <row r="13" spans="1:75" x14ac:dyDescent="0.2">
      <c r="A13">
        <v>2</v>
      </c>
      <c r="B13">
        <v>42.351813826146497</v>
      </c>
      <c r="C13">
        <v>21.448323066392899</v>
      </c>
      <c r="D13">
        <v>8</v>
      </c>
      <c r="E13">
        <v>71</v>
      </c>
      <c r="F13">
        <v>1.74</v>
      </c>
      <c r="G13">
        <v>23.450918219051399</v>
      </c>
      <c r="H13">
        <v>0</v>
      </c>
      <c r="I13">
        <v>0</v>
      </c>
      <c r="J13" s="19">
        <v>1</v>
      </c>
      <c r="K13" s="19">
        <v>0</v>
      </c>
      <c r="L13" s="19">
        <v>1</v>
      </c>
      <c r="M13" s="19">
        <v>0</v>
      </c>
      <c r="N13">
        <v>5</v>
      </c>
      <c r="O13" s="19">
        <v>5</v>
      </c>
      <c r="P13" s="19">
        <v>5</v>
      </c>
      <c r="Q13" s="19">
        <v>0</v>
      </c>
      <c r="R13" s="19">
        <v>6</v>
      </c>
      <c r="S13" s="19">
        <v>6</v>
      </c>
      <c r="T13" s="19">
        <v>0</v>
      </c>
      <c r="U13" s="19">
        <v>5</v>
      </c>
      <c r="V13" s="15">
        <f t="shared" si="0"/>
        <v>3.5555555555555554</v>
      </c>
      <c r="W13" s="19">
        <v>3</v>
      </c>
      <c r="X13" s="19">
        <v>2</v>
      </c>
      <c r="Y13" s="19">
        <v>4</v>
      </c>
      <c r="Z13" s="19">
        <v>4</v>
      </c>
      <c r="AA13" s="19">
        <v>4</v>
      </c>
      <c r="AB13" s="19">
        <v>4</v>
      </c>
      <c r="AC13" s="19">
        <v>4</v>
      </c>
      <c r="AD13" s="19">
        <v>4</v>
      </c>
      <c r="AE13" s="19">
        <v>3</v>
      </c>
      <c r="AF13" s="19">
        <v>3</v>
      </c>
      <c r="AG13" s="19">
        <v>3</v>
      </c>
      <c r="AH13" s="19">
        <v>5</v>
      </c>
      <c r="AI13" s="19">
        <v>4</v>
      </c>
      <c r="AJ13" s="19">
        <v>4</v>
      </c>
      <c r="AK13" s="19">
        <v>5</v>
      </c>
      <c r="AL13" s="19">
        <v>5</v>
      </c>
      <c r="AM13" s="19">
        <v>5</v>
      </c>
      <c r="AN13" s="19">
        <v>5</v>
      </c>
      <c r="AO13" s="19">
        <v>5</v>
      </c>
      <c r="AP13" s="19">
        <v>9</v>
      </c>
      <c r="AQ13">
        <v>55.5</v>
      </c>
      <c r="AR13" s="16">
        <v>63.8</v>
      </c>
      <c r="AS13" s="16">
        <v>80.400000000000006</v>
      </c>
      <c r="AT13" s="16">
        <v>27.2</v>
      </c>
      <c r="AU13">
        <v>64.099999999999994</v>
      </c>
      <c r="AV13" s="17">
        <v>0</v>
      </c>
      <c r="AW13">
        <v>0</v>
      </c>
      <c r="AX13">
        <v>0</v>
      </c>
      <c r="AY13">
        <v>35.9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5.71</v>
      </c>
      <c r="BG13">
        <v>22.43</v>
      </c>
      <c r="BH13">
        <v>14.12</v>
      </c>
      <c r="BI13">
        <v>15.78</v>
      </c>
      <c r="BJ13">
        <v>0</v>
      </c>
      <c r="BK13">
        <v>0</v>
      </c>
      <c r="BL13">
        <v>0</v>
      </c>
      <c r="BM13">
        <v>26.2</v>
      </c>
      <c r="BN13">
        <v>1</v>
      </c>
      <c r="BO13">
        <v>0</v>
      </c>
      <c r="BP13" s="16">
        <v>0</v>
      </c>
      <c r="BQ13" s="16">
        <v>0</v>
      </c>
      <c r="BR13" s="16">
        <v>0</v>
      </c>
      <c r="BS13" s="16">
        <v>0</v>
      </c>
      <c r="BT13" s="16">
        <v>0</v>
      </c>
      <c r="BU13" s="16">
        <v>0</v>
      </c>
      <c r="BV13" s="16">
        <v>0</v>
      </c>
      <c r="BW13">
        <v>0</v>
      </c>
    </row>
    <row r="14" spans="1:75" x14ac:dyDescent="0.2">
      <c r="A14">
        <v>2</v>
      </c>
      <c r="B14">
        <v>38.171115674195804</v>
      </c>
      <c r="C14">
        <v>10.3162217659138</v>
      </c>
      <c r="D14">
        <v>8</v>
      </c>
      <c r="E14">
        <v>83</v>
      </c>
      <c r="F14">
        <v>1.77</v>
      </c>
      <c r="G14">
        <v>26.493025631204301</v>
      </c>
      <c r="H14">
        <v>0</v>
      </c>
      <c r="I14">
        <v>0</v>
      </c>
      <c r="J14" s="19">
        <v>0</v>
      </c>
      <c r="K14" s="19">
        <v>1</v>
      </c>
      <c r="L14" s="19">
        <v>0</v>
      </c>
      <c r="M14" s="19">
        <v>0</v>
      </c>
      <c r="N14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19">
        <v>0</v>
      </c>
      <c r="V14" s="15">
        <f t="shared" si="0"/>
        <v>0</v>
      </c>
      <c r="W14" s="19">
        <v>3</v>
      </c>
      <c r="X14" s="19">
        <v>3</v>
      </c>
      <c r="Y14" s="19">
        <v>3</v>
      </c>
      <c r="Z14" s="19">
        <v>5</v>
      </c>
      <c r="AA14" s="19">
        <v>3</v>
      </c>
      <c r="AB14" s="19">
        <v>2</v>
      </c>
      <c r="AC14" s="19">
        <v>5</v>
      </c>
      <c r="AD14" s="19">
        <v>5</v>
      </c>
      <c r="AE14" s="19">
        <v>5</v>
      </c>
      <c r="AF14" s="19">
        <v>4</v>
      </c>
      <c r="AG14" s="19">
        <v>4</v>
      </c>
      <c r="AH14" s="19">
        <v>5</v>
      </c>
      <c r="AI14" s="19">
        <v>3</v>
      </c>
      <c r="AJ14" s="19">
        <v>4</v>
      </c>
      <c r="AK14" s="19">
        <v>4</v>
      </c>
      <c r="AL14" s="19">
        <v>4</v>
      </c>
      <c r="AM14" s="19">
        <v>4</v>
      </c>
      <c r="AN14" s="19">
        <v>4</v>
      </c>
      <c r="AO14" s="19">
        <v>4</v>
      </c>
      <c r="AP14" s="19">
        <v>10</v>
      </c>
      <c r="AQ14">
        <v>19.5</v>
      </c>
      <c r="AR14" s="16">
        <v>74.3</v>
      </c>
      <c r="AS14" s="16">
        <v>80.400000000000006</v>
      </c>
      <c r="AT14" s="16">
        <v>7.8</v>
      </c>
      <c r="AU14">
        <v>89.52</v>
      </c>
      <c r="AV14">
        <v>8.69</v>
      </c>
      <c r="AW14">
        <v>1.79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18.73</v>
      </c>
      <c r="BH14">
        <v>9.35</v>
      </c>
      <c r="BI14">
        <v>0</v>
      </c>
      <c r="BJ14">
        <v>0</v>
      </c>
      <c r="BK14">
        <v>0</v>
      </c>
      <c r="BL14"/>
      <c r="BM14">
        <v>3.92</v>
      </c>
      <c r="BN14">
        <v>1</v>
      </c>
      <c r="BO14">
        <v>1</v>
      </c>
      <c r="BP14" s="16">
        <v>2.2400000000000002</v>
      </c>
      <c r="BQ14" s="16">
        <v>1</v>
      </c>
      <c r="BR14" s="16">
        <v>5.49</v>
      </c>
      <c r="BS14" s="16">
        <v>7.22</v>
      </c>
      <c r="BT14" s="16">
        <v>0</v>
      </c>
      <c r="BU14" s="16">
        <v>0</v>
      </c>
      <c r="BV14" s="16">
        <v>0</v>
      </c>
      <c r="BW14">
        <v>0</v>
      </c>
    </row>
    <row r="15" spans="1:75" x14ac:dyDescent="0.2">
      <c r="A15" s="24">
        <v>2</v>
      </c>
      <c r="B15">
        <v>51.164955509924702</v>
      </c>
      <c r="C15">
        <v>22.036960985626301</v>
      </c>
      <c r="D15">
        <v>8</v>
      </c>
      <c r="E15">
        <v>83</v>
      </c>
      <c r="F15">
        <v>1.88</v>
      </c>
      <c r="G15">
        <v>23.483476686283399</v>
      </c>
      <c r="H15">
        <v>0</v>
      </c>
      <c r="I15">
        <v>0</v>
      </c>
      <c r="J15" s="26">
        <v>1</v>
      </c>
      <c r="K15" s="26">
        <v>1</v>
      </c>
      <c r="L15" s="26">
        <v>0</v>
      </c>
      <c r="M15" s="26">
        <v>0</v>
      </c>
      <c r="N15">
        <v>0</v>
      </c>
      <c r="O15" s="26">
        <v>0</v>
      </c>
      <c r="P15" s="26">
        <v>0</v>
      </c>
      <c r="Q15" s="26">
        <v>0</v>
      </c>
      <c r="R15" s="26">
        <v>4</v>
      </c>
      <c r="S15" s="26">
        <v>0</v>
      </c>
      <c r="T15" s="26">
        <v>0</v>
      </c>
      <c r="U15" s="26">
        <v>3</v>
      </c>
      <c r="V15" s="15">
        <f t="shared" si="0"/>
        <v>0.77777777777777779</v>
      </c>
      <c r="W15" s="26">
        <v>2</v>
      </c>
      <c r="X15" s="26">
        <v>2</v>
      </c>
      <c r="Y15" s="26">
        <v>3</v>
      </c>
      <c r="Z15" s="26">
        <v>5</v>
      </c>
      <c r="AA15" s="26">
        <v>4</v>
      </c>
      <c r="AB15" s="26">
        <v>4</v>
      </c>
      <c r="AC15" s="26">
        <v>4</v>
      </c>
      <c r="AD15" s="26">
        <v>4</v>
      </c>
      <c r="AE15" s="26">
        <v>4</v>
      </c>
      <c r="AF15" s="26">
        <v>4</v>
      </c>
      <c r="AG15" s="26">
        <v>4</v>
      </c>
      <c r="AH15" s="26">
        <v>4</v>
      </c>
      <c r="AI15" s="26">
        <v>3</v>
      </c>
      <c r="AJ15" s="26">
        <v>4</v>
      </c>
      <c r="AK15" s="26">
        <v>4</v>
      </c>
      <c r="AL15" s="26">
        <v>5</v>
      </c>
      <c r="AM15" s="26">
        <v>4</v>
      </c>
      <c r="AN15" s="26">
        <v>4</v>
      </c>
      <c r="AO15" s="26">
        <v>4</v>
      </c>
      <c r="AP15" s="26">
        <v>10</v>
      </c>
      <c r="AQ15" s="24">
        <v>70</v>
      </c>
      <c r="AR15" s="27">
        <v>79.8</v>
      </c>
      <c r="AS15" s="27">
        <v>80.400000000000006</v>
      </c>
      <c r="AT15" s="27">
        <v>62.1</v>
      </c>
      <c r="AU15" s="24">
        <v>39.51</v>
      </c>
      <c r="AV15" s="29">
        <v>0</v>
      </c>
      <c r="AW15" s="24">
        <v>47.45</v>
      </c>
      <c r="AX15" s="24">
        <v>13.05</v>
      </c>
      <c r="AY15" s="24">
        <v>0</v>
      </c>
      <c r="AZ15" s="24">
        <v>0</v>
      </c>
      <c r="BA15" s="24">
        <v>0</v>
      </c>
      <c r="BB15" s="24">
        <v>0</v>
      </c>
      <c r="BC15" s="24">
        <v>0</v>
      </c>
      <c r="BD15" s="24">
        <v>0</v>
      </c>
      <c r="BE15" s="24">
        <v>0</v>
      </c>
      <c r="BF15" s="24">
        <v>0</v>
      </c>
      <c r="BG15" s="24">
        <v>0</v>
      </c>
      <c r="BH15" s="24">
        <v>30.76</v>
      </c>
      <c r="BI15" s="24">
        <v>14.19</v>
      </c>
      <c r="BJ15" s="24">
        <v>0</v>
      </c>
      <c r="BK15" s="24">
        <v>0</v>
      </c>
      <c r="BL15" s="24">
        <v>0</v>
      </c>
      <c r="BM15" s="24">
        <v>0.3</v>
      </c>
      <c r="BN15" s="24">
        <v>1</v>
      </c>
      <c r="BO15" s="24">
        <v>0</v>
      </c>
      <c r="BP15" s="27">
        <v>0.63</v>
      </c>
      <c r="BQ15" s="27">
        <v>1</v>
      </c>
      <c r="BR15" s="27">
        <v>3.55</v>
      </c>
      <c r="BS15" s="27">
        <v>4.46</v>
      </c>
      <c r="BT15" s="27">
        <v>0</v>
      </c>
      <c r="BU15" s="27">
        <v>0</v>
      </c>
      <c r="BV15" s="27">
        <v>0</v>
      </c>
      <c r="BW15" s="24">
        <v>0</v>
      </c>
    </row>
    <row r="16" spans="1:75" x14ac:dyDescent="0.2">
      <c r="A16" s="24">
        <v>2</v>
      </c>
      <c r="B16">
        <v>43.813826146475002</v>
      </c>
      <c r="C16">
        <v>19.9096509240246</v>
      </c>
      <c r="D16">
        <v>8</v>
      </c>
      <c r="E16">
        <v>75</v>
      </c>
      <c r="F16">
        <v>1.73</v>
      </c>
      <c r="G16">
        <v>25.0593070266297</v>
      </c>
      <c r="H16">
        <v>0</v>
      </c>
      <c r="I16">
        <v>0</v>
      </c>
      <c r="J16" s="26">
        <v>0</v>
      </c>
      <c r="K16" s="26">
        <v>1</v>
      </c>
      <c r="L16" s="26">
        <v>1</v>
      </c>
      <c r="M16" s="26">
        <v>0</v>
      </c>
      <c r="N16">
        <v>0</v>
      </c>
      <c r="O16" s="26">
        <v>0</v>
      </c>
      <c r="P16" s="26">
        <v>0</v>
      </c>
      <c r="Q16" s="26">
        <v>0</v>
      </c>
      <c r="R16" s="26"/>
      <c r="S16" s="26">
        <v>0</v>
      </c>
      <c r="T16" s="26">
        <v>0</v>
      </c>
      <c r="U16" s="26">
        <v>0</v>
      </c>
      <c r="V16" s="15">
        <f t="shared" si="0"/>
        <v>0</v>
      </c>
      <c r="W16" s="26">
        <v>3</v>
      </c>
      <c r="X16" s="26">
        <v>2</v>
      </c>
      <c r="Y16" s="26">
        <v>3</v>
      </c>
      <c r="Z16" s="26">
        <v>5</v>
      </c>
      <c r="AA16" s="26">
        <v>2</v>
      </c>
      <c r="AB16" s="26">
        <v>4</v>
      </c>
      <c r="AC16" s="26">
        <v>2</v>
      </c>
      <c r="AD16" s="26">
        <v>2</v>
      </c>
      <c r="AE16" s="26">
        <v>2</v>
      </c>
      <c r="AF16" s="26">
        <v>3</v>
      </c>
      <c r="AG16" s="26">
        <v>4</v>
      </c>
      <c r="AH16" s="26">
        <v>5</v>
      </c>
      <c r="AI16" s="26">
        <v>4</v>
      </c>
      <c r="AJ16" s="26">
        <v>3</v>
      </c>
      <c r="AK16" s="26">
        <v>3</v>
      </c>
      <c r="AL16" s="26">
        <v>4</v>
      </c>
      <c r="AM16" s="26">
        <v>2</v>
      </c>
      <c r="AN16" s="26">
        <v>4</v>
      </c>
      <c r="AO16" s="26">
        <v>3</v>
      </c>
      <c r="AP16" s="26">
        <v>8</v>
      </c>
      <c r="AQ16" s="24">
        <v>36.5</v>
      </c>
      <c r="AR16" s="27">
        <v>88.3</v>
      </c>
      <c r="AS16" s="27">
        <v>80.400000000000006</v>
      </c>
      <c r="AT16" s="27">
        <v>28.2</v>
      </c>
      <c r="AU16" s="24">
        <v>73.819999999999993</v>
      </c>
      <c r="AV16" s="24">
        <v>0</v>
      </c>
      <c r="AW16" s="24">
        <v>25.61</v>
      </c>
      <c r="AX16" s="24">
        <v>0</v>
      </c>
      <c r="AY16" s="24">
        <v>0.56999999999999995</v>
      </c>
      <c r="AZ16" s="24">
        <v>0</v>
      </c>
      <c r="BA16" s="24">
        <v>0</v>
      </c>
      <c r="BB16" s="24">
        <v>0</v>
      </c>
      <c r="BC16" s="24">
        <v>0</v>
      </c>
      <c r="BD16" s="24">
        <v>0</v>
      </c>
      <c r="BE16" s="24">
        <v>0</v>
      </c>
      <c r="BF16" s="24">
        <v>1.17</v>
      </c>
      <c r="BG16" s="24">
        <v>31.76</v>
      </c>
      <c r="BH16" s="24">
        <v>23.3</v>
      </c>
      <c r="BI16" s="24">
        <v>26.08</v>
      </c>
      <c r="BJ16" s="24">
        <v>0</v>
      </c>
      <c r="BK16" s="24">
        <v>0</v>
      </c>
      <c r="BL16" s="24">
        <v>0</v>
      </c>
      <c r="BM16" s="24">
        <v>2.1</v>
      </c>
      <c r="BN16" s="24">
        <v>1</v>
      </c>
      <c r="BO16" s="24">
        <v>0</v>
      </c>
      <c r="BP16" s="27">
        <v>1.9</v>
      </c>
      <c r="BQ16" s="27">
        <v>1</v>
      </c>
      <c r="BR16" s="27">
        <v>0.56999999999999995</v>
      </c>
      <c r="BS16" s="27">
        <v>0.56000000000000005</v>
      </c>
      <c r="BT16" s="27">
        <v>0</v>
      </c>
      <c r="BU16" s="27">
        <v>0</v>
      </c>
      <c r="BV16" s="27">
        <v>0</v>
      </c>
      <c r="BW16" s="24">
        <v>0</v>
      </c>
    </row>
    <row r="17" spans="1:75" x14ac:dyDescent="0.2">
      <c r="A17">
        <v>2</v>
      </c>
      <c r="B17">
        <v>41.174537987679699</v>
      </c>
      <c r="C17">
        <v>18.707734428473699</v>
      </c>
      <c r="D17">
        <v>8</v>
      </c>
      <c r="E17">
        <v>81</v>
      </c>
      <c r="F17">
        <v>1.73</v>
      </c>
      <c r="G17">
        <v>27.064051588760101</v>
      </c>
      <c r="H17">
        <v>1</v>
      </c>
      <c r="I17">
        <v>1</v>
      </c>
      <c r="J17" s="19">
        <v>0</v>
      </c>
      <c r="K17" s="19">
        <v>2</v>
      </c>
      <c r="L17" s="19">
        <v>0</v>
      </c>
      <c r="M17" s="19">
        <v>0</v>
      </c>
      <c r="N17">
        <v>0</v>
      </c>
      <c r="O17" s="19">
        <v>0</v>
      </c>
      <c r="P17" s="19">
        <v>0</v>
      </c>
      <c r="Q17" s="19">
        <v>0</v>
      </c>
      <c r="R17" s="19">
        <v>0</v>
      </c>
      <c r="S17" s="19">
        <v>0</v>
      </c>
      <c r="T17" s="19">
        <v>0</v>
      </c>
      <c r="U17" s="19">
        <v>0</v>
      </c>
      <c r="V17" s="15">
        <f t="shared" si="0"/>
        <v>0</v>
      </c>
      <c r="W17" s="19">
        <v>3</v>
      </c>
      <c r="X17" s="19">
        <v>2</v>
      </c>
      <c r="Y17" s="19">
        <v>3</v>
      </c>
      <c r="Z17" s="19">
        <v>4</v>
      </c>
      <c r="AA17" s="19">
        <v>3</v>
      </c>
      <c r="AB17" s="19">
        <v>2</v>
      </c>
      <c r="AC17" s="19">
        <v>3</v>
      </c>
      <c r="AD17" s="19">
        <v>4</v>
      </c>
      <c r="AE17" s="19">
        <v>3</v>
      </c>
      <c r="AF17" s="19">
        <v>4</v>
      </c>
      <c r="AG17" s="19">
        <v>4</v>
      </c>
      <c r="AH17" s="19">
        <v>4</v>
      </c>
      <c r="AI17" s="19">
        <v>3</v>
      </c>
      <c r="AJ17" s="19">
        <v>3</v>
      </c>
      <c r="AK17" s="19">
        <v>3</v>
      </c>
      <c r="AL17" s="19">
        <v>4</v>
      </c>
      <c r="AM17" s="19">
        <v>3</v>
      </c>
      <c r="AN17" s="19">
        <v>3</v>
      </c>
      <c r="AO17" s="19">
        <v>3</v>
      </c>
      <c r="AP17" s="19">
        <v>5</v>
      </c>
      <c r="AQ17">
        <v>19.5</v>
      </c>
      <c r="AR17" s="16">
        <v>74.3</v>
      </c>
      <c r="AS17" s="16">
        <v>80.400000000000006</v>
      </c>
      <c r="AT17" s="16">
        <v>7.8</v>
      </c>
      <c r="AU17">
        <v>89.52</v>
      </c>
      <c r="AV17">
        <v>8.69</v>
      </c>
      <c r="AW17">
        <v>1.79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18.73</v>
      </c>
      <c r="BH17">
        <v>9.35</v>
      </c>
      <c r="BI17">
        <v>0</v>
      </c>
      <c r="BJ17">
        <v>0</v>
      </c>
      <c r="BK17">
        <v>0</v>
      </c>
      <c r="BL17"/>
      <c r="BM17">
        <v>3.92</v>
      </c>
      <c r="BN17">
        <v>1</v>
      </c>
      <c r="BO17">
        <v>1</v>
      </c>
      <c r="BP17" s="16">
        <v>2.2400000000000002</v>
      </c>
      <c r="BQ17" s="16">
        <v>1</v>
      </c>
      <c r="BR17" s="16">
        <v>5.49</v>
      </c>
      <c r="BS17" s="16">
        <v>7.22</v>
      </c>
      <c r="BT17" s="16">
        <v>0</v>
      </c>
      <c r="BU17" s="16">
        <v>0</v>
      </c>
      <c r="BV17" s="16">
        <v>0</v>
      </c>
      <c r="BW17">
        <v>0</v>
      </c>
    </row>
    <row r="18" spans="1:75" x14ac:dyDescent="0.2">
      <c r="A18">
        <v>2</v>
      </c>
      <c r="B18">
        <v>46.913073237508598</v>
      </c>
      <c r="C18">
        <v>19.912388774811799</v>
      </c>
      <c r="D18">
        <v>8</v>
      </c>
      <c r="E18">
        <v>88</v>
      </c>
      <c r="F18">
        <v>1.75</v>
      </c>
      <c r="G18">
        <v>28.734693877550999</v>
      </c>
      <c r="H18">
        <v>0</v>
      </c>
      <c r="I18">
        <v>0</v>
      </c>
      <c r="J18" s="19">
        <v>0</v>
      </c>
      <c r="K18" s="19">
        <v>0</v>
      </c>
      <c r="L18" s="19">
        <v>0</v>
      </c>
      <c r="M18" s="19">
        <v>0</v>
      </c>
      <c r="N18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5">
        <f t="shared" si="0"/>
        <v>0</v>
      </c>
      <c r="W18" s="19">
        <v>2</v>
      </c>
      <c r="X18" s="19">
        <v>2</v>
      </c>
      <c r="Y18" s="19">
        <v>4</v>
      </c>
      <c r="Z18" s="19">
        <v>4</v>
      </c>
      <c r="AA18" s="19">
        <v>4</v>
      </c>
      <c r="AB18" s="19">
        <v>4</v>
      </c>
      <c r="AC18" s="19">
        <v>4</v>
      </c>
      <c r="AD18" s="19">
        <v>4</v>
      </c>
      <c r="AE18" s="19">
        <v>4</v>
      </c>
      <c r="AF18" s="19">
        <v>3</v>
      </c>
      <c r="AG18" s="19">
        <v>3</v>
      </c>
      <c r="AH18" s="19">
        <v>5</v>
      </c>
      <c r="AI18" s="19">
        <v>3</v>
      </c>
      <c r="AJ18" s="19">
        <v>4</v>
      </c>
      <c r="AK18" s="19">
        <v>4</v>
      </c>
      <c r="AL18" s="19">
        <v>4</v>
      </c>
      <c r="AM18" s="19">
        <v>3</v>
      </c>
      <c r="AN18" s="19">
        <v>3</v>
      </c>
      <c r="AO18" s="19">
        <v>4</v>
      </c>
      <c r="AP18" s="19">
        <v>10</v>
      </c>
      <c r="AQ18">
        <v>17.5</v>
      </c>
      <c r="AR18" s="16">
        <v>81.900000000000006</v>
      </c>
      <c r="AS18" s="16">
        <v>80.400000000000006</v>
      </c>
      <c r="AT18" s="16">
        <v>12.5</v>
      </c>
      <c r="AU18">
        <v>85.79</v>
      </c>
      <c r="AV18" s="17">
        <v>0</v>
      </c>
      <c r="AW18">
        <v>10.02</v>
      </c>
      <c r="AX18">
        <v>0</v>
      </c>
      <c r="AY18">
        <v>0</v>
      </c>
      <c r="AZ18">
        <v>0</v>
      </c>
      <c r="BA18">
        <v>4.1900000000000004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53.51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 s="16">
        <v>3.38</v>
      </c>
      <c r="BQ18" s="16">
        <v>1</v>
      </c>
      <c r="BR18" s="16">
        <v>0</v>
      </c>
      <c r="BS18" s="16">
        <v>0</v>
      </c>
      <c r="BT18" s="16">
        <v>0</v>
      </c>
      <c r="BU18" s="16">
        <v>0</v>
      </c>
      <c r="BV18" s="16">
        <v>0</v>
      </c>
      <c r="BW18">
        <v>0</v>
      </c>
    </row>
    <row r="19" spans="1:75" x14ac:dyDescent="0.2">
      <c r="A19">
        <v>2</v>
      </c>
      <c r="B19">
        <v>28.744695414099901</v>
      </c>
      <c r="C19">
        <v>4.9637234770705003</v>
      </c>
      <c r="D19">
        <v>8</v>
      </c>
      <c r="E19">
        <v>72</v>
      </c>
      <c r="F19">
        <v>1.71</v>
      </c>
      <c r="G19">
        <v>24.622960911049599</v>
      </c>
      <c r="H19">
        <v>0</v>
      </c>
      <c r="I19">
        <v>0</v>
      </c>
      <c r="J19" s="19">
        <v>0</v>
      </c>
      <c r="K19" s="19">
        <v>2</v>
      </c>
      <c r="L19" s="19">
        <v>0</v>
      </c>
      <c r="M19" s="19">
        <v>0</v>
      </c>
      <c r="N19">
        <v>0</v>
      </c>
      <c r="O19" s="19">
        <v>0</v>
      </c>
      <c r="P19" s="19">
        <v>0</v>
      </c>
      <c r="Q19" s="19">
        <v>0</v>
      </c>
      <c r="R19" s="19">
        <v>0</v>
      </c>
      <c r="S19" s="19">
        <v>0</v>
      </c>
      <c r="T19" s="19">
        <v>0</v>
      </c>
      <c r="U19" s="19">
        <v>0</v>
      </c>
      <c r="V19" s="15">
        <f t="shared" si="0"/>
        <v>0</v>
      </c>
      <c r="W19" s="19">
        <v>3</v>
      </c>
      <c r="X19" s="19">
        <v>4</v>
      </c>
      <c r="Y19" s="19">
        <v>3</v>
      </c>
      <c r="Z19" s="19">
        <v>2</v>
      </c>
      <c r="AA19" s="19">
        <v>3</v>
      </c>
      <c r="AB19" s="19">
        <v>4</v>
      </c>
      <c r="AC19" s="19">
        <v>4</v>
      </c>
      <c r="AD19" s="19">
        <v>3</v>
      </c>
      <c r="AE19" s="19">
        <v>4</v>
      </c>
      <c r="AF19" s="19">
        <v>2</v>
      </c>
      <c r="AG19" s="19">
        <v>3</v>
      </c>
      <c r="AH19" s="19">
        <v>5</v>
      </c>
      <c r="AI19" s="19">
        <v>3</v>
      </c>
      <c r="AJ19" s="19">
        <v>3</v>
      </c>
      <c r="AK19" s="19">
        <v>3</v>
      </c>
      <c r="AL19" s="19">
        <v>4</v>
      </c>
      <c r="AM19" s="19">
        <v>4</v>
      </c>
      <c r="AN19" s="19">
        <v>3</v>
      </c>
      <c r="AO19" s="19">
        <v>4</v>
      </c>
      <c r="AP19" s="19">
        <v>10</v>
      </c>
      <c r="AQ19" s="24">
        <v>31</v>
      </c>
      <c r="AR19" s="27">
        <v>39.200000000000003</v>
      </c>
      <c r="AS19" s="27">
        <v>83.4</v>
      </c>
      <c r="AT19" s="27">
        <v>17.2</v>
      </c>
      <c r="AU19" s="24">
        <v>85.69</v>
      </c>
      <c r="AV19" s="24">
        <v>0</v>
      </c>
      <c r="AW19" s="24">
        <v>0.39</v>
      </c>
      <c r="AX19" s="24">
        <v>0</v>
      </c>
      <c r="AY19" s="24">
        <v>13.37</v>
      </c>
      <c r="AZ19" s="24">
        <v>0</v>
      </c>
      <c r="BA19" s="24">
        <v>0</v>
      </c>
      <c r="BB19" s="24">
        <v>0</v>
      </c>
      <c r="BC19" s="24">
        <v>0</v>
      </c>
      <c r="BD19" s="24">
        <v>0</v>
      </c>
      <c r="BE19" s="24">
        <v>0</v>
      </c>
      <c r="BF19" s="24">
        <v>12.36</v>
      </c>
      <c r="BG19" s="24">
        <v>18.21</v>
      </c>
      <c r="BH19" s="24">
        <v>12.25</v>
      </c>
      <c r="BI19" s="24">
        <v>3.27</v>
      </c>
      <c r="BJ19" s="24">
        <v>5.0199999999999996</v>
      </c>
      <c r="BK19" s="24">
        <v>4.8</v>
      </c>
      <c r="BL19" s="24">
        <v>1</v>
      </c>
      <c r="BM19" s="24">
        <v>2.4</v>
      </c>
      <c r="BN19" s="24">
        <v>1</v>
      </c>
      <c r="BO19" s="24">
        <v>1</v>
      </c>
      <c r="BP19" s="27">
        <v>0.43</v>
      </c>
      <c r="BQ19" s="27">
        <v>1</v>
      </c>
      <c r="BR19" s="27">
        <v>1.74</v>
      </c>
      <c r="BS19" s="27">
        <v>1.32</v>
      </c>
      <c r="BT19" s="27">
        <v>4.32</v>
      </c>
      <c r="BU19" s="27">
        <v>1.2</v>
      </c>
      <c r="BV19" s="27">
        <v>0.11</v>
      </c>
      <c r="BW19" s="24">
        <v>2</v>
      </c>
    </row>
    <row r="20" spans="1:75" x14ac:dyDescent="0.2">
      <c r="A20">
        <v>2</v>
      </c>
      <c r="B20">
        <v>42.2231348391513</v>
      </c>
      <c r="C20">
        <v>20.336755646817199</v>
      </c>
      <c r="D20">
        <v>8</v>
      </c>
      <c r="E20">
        <v>95</v>
      </c>
      <c r="F20">
        <v>1.77</v>
      </c>
      <c r="G20">
        <v>30.323342589932601</v>
      </c>
      <c r="H20">
        <v>1</v>
      </c>
      <c r="I20">
        <v>1</v>
      </c>
      <c r="J20" s="19">
        <v>0</v>
      </c>
      <c r="K20" s="19">
        <v>1</v>
      </c>
      <c r="L20" s="19">
        <v>0</v>
      </c>
      <c r="M20" s="19">
        <v>0</v>
      </c>
      <c r="N20">
        <v>0</v>
      </c>
      <c r="O20" s="19">
        <v>0</v>
      </c>
      <c r="P20" s="19">
        <v>0</v>
      </c>
      <c r="Q20" s="19">
        <v>0</v>
      </c>
      <c r="R20" s="19">
        <v>0</v>
      </c>
      <c r="S20" s="19">
        <v>0</v>
      </c>
      <c r="T20" s="19">
        <v>0</v>
      </c>
      <c r="U20" s="19">
        <v>0</v>
      </c>
      <c r="V20" s="15">
        <f t="shared" si="0"/>
        <v>0</v>
      </c>
      <c r="W20" s="19">
        <v>3</v>
      </c>
      <c r="X20" s="19">
        <v>3</v>
      </c>
      <c r="Y20" s="19">
        <v>4</v>
      </c>
      <c r="Z20" s="19">
        <v>5</v>
      </c>
      <c r="AA20" s="19">
        <v>3</v>
      </c>
      <c r="AB20" s="19">
        <v>3</v>
      </c>
      <c r="AC20" s="19">
        <v>5</v>
      </c>
      <c r="AD20" s="19">
        <v>3</v>
      </c>
      <c r="AE20" s="19">
        <v>3</v>
      </c>
      <c r="AF20" s="19">
        <v>2</v>
      </c>
      <c r="AG20" s="19">
        <v>3</v>
      </c>
      <c r="AH20" s="19">
        <v>4</v>
      </c>
      <c r="AI20" s="19">
        <v>3</v>
      </c>
      <c r="AJ20" s="19">
        <v>3</v>
      </c>
      <c r="AK20" s="19">
        <v>2</v>
      </c>
      <c r="AL20" s="19">
        <v>4</v>
      </c>
      <c r="AM20" s="19">
        <v>3</v>
      </c>
      <c r="AN20" s="19">
        <v>3</v>
      </c>
      <c r="AO20" s="19">
        <v>3</v>
      </c>
      <c r="AP20" s="19">
        <v>7</v>
      </c>
      <c r="AQ20">
        <v>33.5</v>
      </c>
      <c r="AR20" s="16">
        <v>91.5</v>
      </c>
      <c r="AS20" s="16">
        <v>80.400000000000006</v>
      </c>
      <c r="AT20" s="16">
        <v>20</v>
      </c>
      <c r="AU20">
        <v>84.58</v>
      </c>
      <c r="AV20" s="17">
        <v>0</v>
      </c>
      <c r="AW20">
        <v>15.42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13.79</v>
      </c>
      <c r="BH20">
        <v>2.67</v>
      </c>
      <c r="BI20">
        <v>11.54</v>
      </c>
      <c r="BJ20">
        <v>0</v>
      </c>
      <c r="BK20">
        <v>12.3</v>
      </c>
      <c r="BL20">
        <v>2</v>
      </c>
      <c r="BM20">
        <v>0</v>
      </c>
      <c r="BN20">
        <v>1</v>
      </c>
      <c r="BO20">
        <v>0</v>
      </c>
      <c r="BP20" s="16">
        <v>0.25</v>
      </c>
      <c r="BQ20" s="16">
        <v>1</v>
      </c>
      <c r="BR20" s="16">
        <v>0.55000000000000004</v>
      </c>
      <c r="BS20" s="16">
        <v>0.55000000000000004</v>
      </c>
      <c r="BT20" s="16">
        <v>0</v>
      </c>
      <c r="BU20" s="16">
        <v>0</v>
      </c>
      <c r="BV20" s="16">
        <v>0</v>
      </c>
      <c r="BW20">
        <v>0</v>
      </c>
    </row>
    <row r="21" spans="1:75" x14ac:dyDescent="0.2">
      <c r="A21">
        <v>2</v>
      </c>
      <c r="B21">
        <v>41.6974674880219</v>
      </c>
      <c r="C21">
        <v>21.106091718001402</v>
      </c>
      <c r="D21">
        <v>8</v>
      </c>
      <c r="E21">
        <v>75</v>
      </c>
      <c r="F21">
        <v>1.72</v>
      </c>
      <c r="G21">
        <v>25.351541373715499</v>
      </c>
      <c r="H21">
        <v>0</v>
      </c>
      <c r="I21">
        <v>0</v>
      </c>
      <c r="J21" s="19">
        <v>1</v>
      </c>
      <c r="K21" s="19">
        <v>0</v>
      </c>
      <c r="L21" s="19">
        <v>0</v>
      </c>
      <c r="M21" s="19">
        <v>4</v>
      </c>
      <c r="N21">
        <v>0</v>
      </c>
      <c r="O21" s="19">
        <v>0</v>
      </c>
      <c r="P21" s="19">
        <v>0</v>
      </c>
      <c r="Q21" s="19">
        <v>0</v>
      </c>
      <c r="R21" s="19">
        <v>0</v>
      </c>
      <c r="S21" s="19">
        <v>0</v>
      </c>
      <c r="T21" s="19">
        <v>0</v>
      </c>
      <c r="U21" s="19">
        <v>0</v>
      </c>
      <c r="V21" s="15">
        <f t="shared" si="0"/>
        <v>0.44444444444444442</v>
      </c>
      <c r="W21" s="19">
        <v>3</v>
      </c>
      <c r="X21" s="19">
        <v>3</v>
      </c>
      <c r="Y21" s="19">
        <v>3</v>
      </c>
      <c r="Z21" s="19">
        <v>5</v>
      </c>
      <c r="AA21" s="19">
        <v>5</v>
      </c>
      <c r="AB21" s="19">
        <v>5</v>
      </c>
      <c r="AC21" s="19">
        <v>3</v>
      </c>
      <c r="AD21" s="19">
        <v>5</v>
      </c>
      <c r="AE21" s="19">
        <v>4</v>
      </c>
      <c r="AF21" s="19">
        <v>2</v>
      </c>
      <c r="AG21" s="19">
        <v>2</v>
      </c>
      <c r="AH21" s="19">
        <v>5</v>
      </c>
      <c r="AI21" s="19">
        <v>3</v>
      </c>
      <c r="AJ21" s="19">
        <v>4</v>
      </c>
      <c r="AK21" s="19">
        <v>5</v>
      </c>
      <c r="AL21" s="19">
        <v>4</v>
      </c>
      <c r="AM21" s="19">
        <v>4</v>
      </c>
      <c r="AN21" s="19">
        <v>4</v>
      </c>
      <c r="AO21" s="19">
        <v>4</v>
      </c>
      <c r="AP21" s="19">
        <v>8</v>
      </c>
      <c r="AQ21">
        <v>22</v>
      </c>
      <c r="AR21" s="16">
        <v>98.4</v>
      </c>
      <c r="AS21" s="16">
        <v>99.31</v>
      </c>
      <c r="AT21" s="16">
        <v>9.8000000000000007</v>
      </c>
      <c r="AU21">
        <v>94.34</v>
      </c>
      <c r="AV21">
        <v>0</v>
      </c>
      <c r="AW21">
        <v>0</v>
      </c>
      <c r="AX21">
        <v>2.31</v>
      </c>
      <c r="AY21">
        <v>3.35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1.68</v>
      </c>
      <c r="BG21">
        <v>10.07</v>
      </c>
      <c r="BH21">
        <v>6.51</v>
      </c>
      <c r="BI21">
        <v>0</v>
      </c>
      <c r="BJ21">
        <v>0</v>
      </c>
      <c r="BK21">
        <v>0</v>
      </c>
      <c r="BL21">
        <v>0</v>
      </c>
      <c r="BM21">
        <v>5.4</v>
      </c>
      <c r="BN21">
        <v>1</v>
      </c>
      <c r="BO21">
        <v>1</v>
      </c>
      <c r="BP21" s="16">
        <v>0.77</v>
      </c>
      <c r="BQ21" s="16">
        <v>1</v>
      </c>
      <c r="BR21" s="16">
        <v>5.78</v>
      </c>
      <c r="BS21" s="16">
        <v>2.2599999999999998</v>
      </c>
      <c r="BT21" s="16">
        <v>0</v>
      </c>
      <c r="BU21" s="16">
        <v>0</v>
      </c>
      <c r="BV21" s="16">
        <v>0</v>
      </c>
      <c r="BW21">
        <v>0</v>
      </c>
    </row>
    <row r="22" spans="1:75" x14ac:dyDescent="0.2">
      <c r="A22">
        <v>2</v>
      </c>
      <c r="B22">
        <v>47.430527036276501</v>
      </c>
      <c r="C22">
        <v>22.198494182067101</v>
      </c>
      <c r="D22">
        <v>8</v>
      </c>
      <c r="E22">
        <v>89</v>
      </c>
      <c r="F22">
        <v>1.7</v>
      </c>
      <c r="G22">
        <v>30.795847750865001</v>
      </c>
      <c r="H22">
        <v>1</v>
      </c>
      <c r="I22">
        <v>1</v>
      </c>
      <c r="J22" s="19">
        <v>1</v>
      </c>
      <c r="K22" s="19">
        <v>1</v>
      </c>
      <c r="L22" s="19">
        <v>0</v>
      </c>
      <c r="M22" s="19">
        <v>0</v>
      </c>
      <c r="N22">
        <v>5</v>
      </c>
      <c r="O22" s="19">
        <v>5</v>
      </c>
      <c r="P22" s="19">
        <v>9</v>
      </c>
      <c r="Q22" s="19">
        <v>0</v>
      </c>
      <c r="R22" s="19">
        <v>3</v>
      </c>
      <c r="S22" s="19">
        <v>3</v>
      </c>
      <c r="T22" s="19">
        <v>0</v>
      </c>
      <c r="U22" s="19">
        <v>0</v>
      </c>
      <c r="V22" s="15">
        <f t="shared" si="0"/>
        <v>2.7777777777777777</v>
      </c>
      <c r="W22" s="19">
        <v>3</v>
      </c>
      <c r="X22" s="19">
        <v>2</v>
      </c>
      <c r="Y22" s="19">
        <v>2</v>
      </c>
      <c r="Z22" s="19">
        <v>4</v>
      </c>
      <c r="AA22" s="19">
        <v>4</v>
      </c>
      <c r="AB22" s="19">
        <v>4</v>
      </c>
      <c r="AC22" s="19">
        <v>4</v>
      </c>
      <c r="AD22" s="19">
        <v>4</v>
      </c>
      <c r="AE22" s="19">
        <v>4</v>
      </c>
      <c r="AF22" s="19">
        <v>2</v>
      </c>
      <c r="AG22" s="19">
        <v>2</v>
      </c>
      <c r="AH22" s="19">
        <v>4</v>
      </c>
      <c r="AI22" s="19">
        <v>3</v>
      </c>
      <c r="AJ22" s="19">
        <v>3</v>
      </c>
      <c r="AK22" s="19">
        <v>3</v>
      </c>
      <c r="AL22" s="19">
        <v>3</v>
      </c>
      <c r="AM22" s="19">
        <v>3</v>
      </c>
      <c r="AN22" s="19">
        <v>3</v>
      </c>
      <c r="AO22" s="19">
        <v>3</v>
      </c>
      <c r="AP22" s="19">
        <v>9</v>
      </c>
      <c r="AQ22">
        <v>41</v>
      </c>
      <c r="AR22" s="16">
        <v>74.8</v>
      </c>
      <c r="AS22" s="16">
        <v>98.89</v>
      </c>
      <c r="AT22" s="16">
        <v>31.2</v>
      </c>
      <c r="AU22">
        <v>69.73</v>
      </c>
      <c r="AV22">
        <v>0</v>
      </c>
      <c r="AW22">
        <v>28.78</v>
      </c>
      <c r="AX22">
        <v>1.46</v>
      </c>
      <c r="AY22">
        <v>0</v>
      </c>
      <c r="AZ22">
        <v>0</v>
      </c>
      <c r="BA22">
        <v>0.03</v>
      </c>
      <c r="BB22">
        <v>0</v>
      </c>
      <c r="BC22">
        <v>0</v>
      </c>
      <c r="BD22">
        <v>0</v>
      </c>
      <c r="BE22">
        <v>0</v>
      </c>
      <c r="BF22">
        <v>0.03</v>
      </c>
      <c r="BG22">
        <v>20.420000000000002</v>
      </c>
      <c r="BH22">
        <v>29.68</v>
      </c>
      <c r="BI22">
        <v>0.17</v>
      </c>
      <c r="BJ22">
        <v>0</v>
      </c>
      <c r="BK22">
        <v>0</v>
      </c>
      <c r="BL22">
        <v>0</v>
      </c>
      <c r="BM22">
        <v>9.8000000000000007</v>
      </c>
      <c r="BN22">
        <v>0</v>
      </c>
      <c r="BO22">
        <v>1</v>
      </c>
      <c r="BP22" s="16">
        <v>0</v>
      </c>
      <c r="BQ22" s="16">
        <v>0</v>
      </c>
      <c r="BR22" s="16">
        <v>0</v>
      </c>
      <c r="BS22" s="16">
        <v>0</v>
      </c>
      <c r="BT22" s="16">
        <v>0</v>
      </c>
      <c r="BU22" s="16">
        <v>0</v>
      </c>
      <c r="BV22" s="16">
        <v>0</v>
      </c>
      <c r="BW22">
        <v>0</v>
      </c>
    </row>
    <row r="23" spans="1:75" x14ac:dyDescent="0.2">
      <c r="A23">
        <v>2</v>
      </c>
      <c r="B23">
        <v>29.990417522245</v>
      </c>
      <c r="C23">
        <v>0.29021218343600302</v>
      </c>
      <c r="D23">
        <v>4</v>
      </c>
      <c r="E23">
        <v>90</v>
      </c>
      <c r="F23">
        <v>1.73</v>
      </c>
      <c r="G23">
        <v>30.071168431955599</v>
      </c>
      <c r="H23">
        <v>0</v>
      </c>
      <c r="I23">
        <v>0</v>
      </c>
      <c r="J23" s="19">
        <v>0</v>
      </c>
      <c r="K23" s="19">
        <v>0</v>
      </c>
      <c r="L23" s="19">
        <v>0</v>
      </c>
      <c r="M23" s="19">
        <v>0</v>
      </c>
      <c r="N23">
        <v>0</v>
      </c>
      <c r="O23" s="19">
        <v>0</v>
      </c>
      <c r="P23" s="19">
        <v>0</v>
      </c>
      <c r="Q23" s="19">
        <v>0</v>
      </c>
      <c r="R23" s="19">
        <v>5</v>
      </c>
      <c r="S23" s="19">
        <v>5</v>
      </c>
      <c r="T23" s="19">
        <v>0</v>
      </c>
      <c r="U23" s="19">
        <v>0</v>
      </c>
      <c r="V23" s="15">
        <f t="shared" si="0"/>
        <v>1.1111111111111112</v>
      </c>
      <c r="W23" s="19">
        <v>1</v>
      </c>
      <c r="X23" s="19">
        <v>2</v>
      </c>
      <c r="Y23" s="19">
        <v>1</v>
      </c>
      <c r="Z23" s="19">
        <v>2</v>
      </c>
      <c r="AA23" s="19">
        <v>2</v>
      </c>
      <c r="AB23" s="19">
        <v>1</v>
      </c>
      <c r="AC23" s="19">
        <v>1</v>
      </c>
      <c r="AD23" s="19">
        <v>2</v>
      </c>
      <c r="AE23" s="19">
        <v>3</v>
      </c>
      <c r="AF23" s="19">
        <v>5</v>
      </c>
      <c r="AG23" s="19">
        <v>5</v>
      </c>
      <c r="AH23" s="19">
        <v>5</v>
      </c>
      <c r="AI23" s="19">
        <v>5</v>
      </c>
      <c r="AJ23" s="19">
        <v>5</v>
      </c>
      <c r="AK23" s="19">
        <v>2</v>
      </c>
      <c r="AL23" s="19">
        <v>4</v>
      </c>
      <c r="AM23" s="19">
        <v>2</v>
      </c>
      <c r="AN23" s="19">
        <v>5</v>
      </c>
      <c r="AO23" s="19">
        <v>4</v>
      </c>
      <c r="AP23" s="19">
        <v>10</v>
      </c>
      <c r="AQ23" s="24">
        <v>31</v>
      </c>
      <c r="AR23" s="27">
        <v>39.200000000000003</v>
      </c>
      <c r="AS23" s="27">
        <v>83.4</v>
      </c>
      <c r="AT23" s="27">
        <v>17.2</v>
      </c>
      <c r="AU23" s="24">
        <v>85.69</v>
      </c>
      <c r="AV23" s="24">
        <v>0</v>
      </c>
      <c r="AW23" s="24">
        <v>0.39</v>
      </c>
      <c r="AX23" s="24">
        <v>0</v>
      </c>
      <c r="AY23" s="24">
        <v>13.37</v>
      </c>
      <c r="AZ23" s="24">
        <v>0</v>
      </c>
      <c r="BA23" s="24">
        <v>0</v>
      </c>
      <c r="BB23" s="24">
        <v>0</v>
      </c>
      <c r="BC23" s="24">
        <v>0</v>
      </c>
      <c r="BD23" s="24">
        <v>0</v>
      </c>
      <c r="BE23" s="24">
        <v>0</v>
      </c>
      <c r="BF23" s="24">
        <v>12.36</v>
      </c>
      <c r="BG23" s="24">
        <v>18.21</v>
      </c>
      <c r="BH23" s="24">
        <v>12.25</v>
      </c>
      <c r="BI23" s="24">
        <v>3.27</v>
      </c>
      <c r="BJ23" s="24">
        <v>5.0199999999999996</v>
      </c>
      <c r="BK23" s="24">
        <v>4.8</v>
      </c>
      <c r="BL23" s="24">
        <v>1</v>
      </c>
      <c r="BM23" s="24">
        <v>2.4</v>
      </c>
      <c r="BN23" s="24">
        <v>1</v>
      </c>
      <c r="BO23" s="24">
        <v>1</v>
      </c>
      <c r="BP23" s="27">
        <v>0.43</v>
      </c>
      <c r="BQ23" s="27">
        <v>1</v>
      </c>
      <c r="BR23" s="27">
        <v>1.74</v>
      </c>
      <c r="BS23" s="27">
        <v>1.32</v>
      </c>
      <c r="BT23" s="27">
        <v>4.32</v>
      </c>
      <c r="BU23" s="27">
        <v>1.2</v>
      </c>
      <c r="BV23" s="27">
        <v>0.11</v>
      </c>
      <c r="BW23" s="24">
        <v>2</v>
      </c>
    </row>
    <row r="24" spans="1:75" x14ac:dyDescent="0.2">
      <c r="A24" s="24">
        <v>2</v>
      </c>
      <c r="B24">
        <v>33.1909650924025</v>
      </c>
      <c r="C24">
        <v>0.12594113620807701</v>
      </c>
      <c r="D24">
        <v>4</v>
      </c>
      <c r="E24">
        <v>75</v>
      </c>
      <c r="F24">
        <v>1.75</v>
      </c>
      <c r="G24">
        <v>24.4897959183673</v>
      </c>
      <c r="H24">
        <v>0</v>
      </c>
      <c r="I24">
        <v>0</v>
      </c>
      <c r="J24" s="26">
        <v>1</v>
      </c>
      <c r="K24" s="26">
        <v>1</v>
      </c>
      <c r="L24" s="26">
        <v>0</v>
      </c>
      <c r="M24" s="26">
        <v>0</v>
      </c>
      <c r="N24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6">
        <v>0</v>
      </c>
      <c r="V24" s="15">
        <f t="shared" si="0"/>
        <v>0</v>
      </c>
      <c r="W24" s="26">
        <v>2</v>
      </c>
      <c r="X24" s="26">
        <v>2</v>
      </c>
      <c r="Y24" s="26">
        <v>3</v>
      </c>
      <c r="Z24" s="26"/>
      <c r="AA24" s="26">
        <v>3</v>
      </c>
      <c r="AB24" s="26">
        <v>3</v>
      </c>
      <c r="AC24" s="26">
        <v>3</v>
      </c>
      <c r="AD24" s="26">
        <v>4</v>
      </c>
      <c r="AE24" s="26">
        <v>4</v>
      </c>
      <c r="AF24" s="26">
        <v>5</v>
      </c>
      <c r="AG24" s="26">
        <v>5</v>
      </c>
      <c r="AH24" s="26">
        <v>5</v>
      </c>
      <c r="AI24" s="26">
        <v>4</v>
      </c>
      <c r="AJ24" s="26">
        <v>5</v>
      </c>
      <c r="AK24" s="26">
        <v>5</v>
      </c>
      <c r="AL24" s="26">
        <v>5</v>
      </c>
      <c r="AM24" s="26">
        <v>4</v>
      </c>
      <c r="AN24" s="26">
        <v>5</v>
      </c>
      <c r="AO24" s="26">
        <v>5</v>
      </c>
      <c r="AP24" s="26">
        <v>8</v>
      </c>
      <c r="AQ24" s="24">
        <v>31</v>
      </c>
      <c r="AR24" s="27">
        <v>39.200000000000003</v>
      </c>
      <c r="AS24" s="27">
        <v>83.4</v>
      </c>
      <c r="AT24" s="27">
        <v>17.2</v>
      </c>
      <c r="AU24" s="24">
        <v>85.69</v>
      </c>
      <c r="AV24" s="24">
        <v>0</v>
      </c>
      <c r="AW24" s="24">
        <v>0.39</v>
      </c>
      <c r="AX24" s="24">
        <v>0</v>
      </c>
      <c r="AY24" s="24">
        <v>13.37</v>
      </c>
      <c r="AZ24" s="24">
        <v>0</v>
      </c>
      <c r="BA24" s="24">
        <v>0</v>
      </c>
      <c r="BB24" s="24">
        <v>0</v>
      </c>
      <c r="BC24" s="24">
        <v>0</v>
      </c>
      <c r="BD24" s="24">
        <v>0</v>
      </c>
      <c r="BE24" s="24">
        <v>0</v>
      </c>
      <c r="BF24" s="24">
        <v>12.36</v>
      </c>
      <c r="BG24" s="24">
        <v>18.21</v>
      </c>
      <c r="BH24" s="24">
        <v>12.25</v>
      </c>
      <c r="BI24" s="24">
        <v>3.27</v>
      </c>
      <c r="BJ24" s="24">
        <v>5.0199999999999996</v>
      </c>
      <c r="BK24" s="24">
        <v>4.8</v>
      </c>
      <c r="BL24" s="24">
        <v>1</v>
      </c>
      <c r="BM24" s="24">
        <v>2.4</v>
      </c>
      <c r="BN24" s="24">
        <v>1</v>
      </c>
      <c r="BO24" s="24">
        <v>1</v>
      </c>
      <c r="BP24" s="27">
        <v>0.43</v>
      </c>
      <c r="BQ24" s="27">
        <v>1</v>
      </c>
      <c r="BR24" s="27">
        <v>1.74</v>
      </c>
      <c r="BS24" s="27">
        <v>1.32</v>
      </c>
      <c r="BT24" s="27">
        <v>4.32</v>
      </c>
      <c r="BU24" s="27">
        <v>1.2</v>
      </c>
      <c r="BV24" s="27">
        <v>0.11</v>
      </c>
      <c r="BW24" s="24">
        <v>2</v>
      </c>
    </row>
    <row r="25" spans="1:75" x14ac:dyDescent="0.2">
      <c r="A25" s="24">
        <v>2</v>
      </c>
      <c r="B25">
        <v>21.429158110883002</v>
      </c>
      <c r="C25">
        <v>0.23271731690622899</v>
      </c>
      <c r="D25">
        <v>4</v>
      </c>
      <c r="E25">
        <v>72</v>
      </c>
      <c r="F25">
        <v>1.78</v>
      </c>
      <c r="G25">
        <v>22.724403484408501</v>
      </c>
      <c r="H25">
        <v>0</v>
      </c>
      <c r="I25">
        <v>0</v>
      </c>
      <c r="J25" s="19">
        <v>1</v>
      </c>
      <c r="K25" s="19">
        <v>1</v>
      </c>
      <c r="L25" s="19">
        <v>1</v>
      </c>
      <c r="M25" s="19">
        <v>0</v>
      </c>
      <c r="N25">
        <v>0</v>
      </c>
      <c r="O25" s="19">
        <v>0</v>
      </c>
      <c r="P25" s="19">
        <v>0</v>
      </c>
      <c r="Q25" s="19">
        <v>0</v>
      </c>
      <c r="R25" s="19">
        <v>3</v>
      </c>
      <c r="S25" s="19">
        <v>0</v>
      </c>
      <c r="T25" s="19">
        <v>0</v>
      </c>
      <c r="U25" s="19">
        <v>0</v>
      </c>
      <c r="V25" s="15">
        <f t="shared" si="0"/>
        <v>0.33333333333333331</v>
      </c>
      <c r="W25" s="19">
        <v>1</v>
      </c>
      <c r="X25" s="19">
        <v>2</v>
      </c>
      <c r="Y25" s="19">
        <v>3</v>
      </c>
      <c r="Z25" s="19">
        <v>5</v>
      </c>
      <c r="AA25" s="19">
        <v>3</v>
      </c>
      <c r="AB25" s="19">
        <v>3</v>
      </c>
      <c r="AC25" s="19">
        <v>3</v>
      </c>
      <c r="AD25" s="19">
        <v>4</v>
      </c>
      <c r="AE25" s="19">
        <v>3</v>
      </c>
      <c r="AF25" s="19">
        <v>5</v>
      </c>
      <c r="AG25" s="19">
        <v>5</v>
      </c>
      <c r="AH25" s="19">
        <v>5</v>
      </c>
      <c r="AI25" s="19">
        <v>3</v>
      </c>
      <c r="AJ25" s="19">
        <v>5</v>
      </c>
      <c r="AK25" s="19">
        <v>5</v>
      </c>
      <c r="AL25" s="19">
        <v>4</v>
      </c>
      <c r="AM25" s="19">
        <v>5</v>
      </c>
      <c r="AN25" s="19">
        <v>5</v>
      </c>
      <c r="AO25" s="19">
        <v>4</v>
      </c>
      <c r="AP25" s="19">
        <v>9</v>
      </c>
      <c r="AQ25" s="24">
        <v>31</v>
      </c>
      <c r="AR25" s="27">
        <v>39.200000000000003</v>
      </c>
      <c r="AS25" s="27">
        <v>83.4</v>
      </c>
      <c r="AT25" s="27">
        <v>17.2</v>
      </c>
      <c r="AU25" s="24">
        <v>85.69</v>
      </c>
      <c r="AV25" s="24">
        <v>0</v>
      </c>
      <c r="AW25" s="24">
        <v>0.39</v>
      </c>
      <c r="AX25" s="24">
        <v>0</v>
      </c>
      <c r="AY25" s="24">
        <v>13.37</v>
      </c>
      <c r="AZ25" s="24">
        <v>0</v>
      </c>
      <c r="BA25" s="24">
        <v>0</v>
      </c>
      <c r="BB25" s="24">
        <v>0</v>
      </c>
      <c r="BC25" s="24">
        <v>0</v>
      </c>
      <c r="BD25" s="24">
        <v>0</v>
      </c>
      <c r="BE25" s="24">
        <v>0</v>
      </c>
      <c r="BF25" s="24">
        <v>12.36</v>
      </c>
      <c r="BG25" s="24">
        <v>18.21</v>
      </c>
      <c r="BH25" s="24">
        <v>12.25</v>
      </c>
      <c r="BI25" s="24">
        <v>3.27</v>
      </c>
      <c r="BJ25" s="24">
        <v>5.0199999999999996</v>
      </c>
      <c r="BK25" s="24">
        <v>4.8</v>
      </c>
      <c r="BL25" s="24">
        <v>1</v>
      </c>
      <c r="BM25" s="24">
        <v>2.4</v>
      </c>
      <c r="BN25" s="24">
        <v>1</v>
      </c>
      <c r="BO25" s="24">
        <v>1</v>
      </c>
      <c r="BP25" s="27">
        <v>0.43</v>
      </c>
      <c r="BQ25" s="27">
        <v>1</v>
      </c>
      <c r="BR25" s="27">
        <v>1.74</v>
      </c>
      <c r="BS25" s="27">
        <v>1.32</v>
      </c>
      <c r="BT25" s="27">
        <v>4.32</v>
      </c>
      <c r="BU25" s="27">
        <v>1.2</v>
      </c>
      <c r="BV25" s="27">
        <v>0.11</v>
      </c>
      <c r="BW25" s="24">
        <v>2</v>
      </c>
    </row>
    <row r="26" spans="1:75" x14ac:dyDescent="0.2">
      <c r="A26">
        <v>2</v>
      </c>
      <c r="B26">
        <v>28.673511293634501</v>
      </c>
      <c r="C26">
        <v>0.21355236139630401</v>
      </c>
      <c r="D26">
        <v>4</v>
      </c>
      <c r="E26">
        <v>68</v>
      </c>
      <c r="F26">
        <v>1.71</v>
      </c>
      <c r="G26">
        <v>23.2550186382135</v>
      </c>
      <c r="H26">
        <v>0</v>
      </c>
      <c r="I26">
        <v>0</v>
      </c>
      <c r="J26" s="19">
        <v>0</v>
      </c>
      <c r="K26" s="19">
        <v>1</v>
      </c>
      <c r="L26" s="19">
        <v>0</v>
      </c>
      <c r="M26" s="19">
        <v>0</v>
      </c>
      <c r="N26">
        <v>0</v>
      </c>
      <c r="O26" s="19">
        <v>0</v>
      </c>
      <c r="P26" s="19">
        <v>0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5">
        <f t="shared" si="0"/>
        <v>0</v>
      </c>
      <c r="W26" s="19">
        <v>1</v>
      </c>
      <c r="X26" s="19">
        <v>2</v>
      </c>
      <c r="Y26" s="19">
        <v>2</v>
      </c>
      <c r="Z26" s="19">
        <v>5</v>
      </c>
      <c r="AA26" s="19">
        <v>3</v>
      </c>
      <c r="AB26" s="19">
        <v>1</v>
      </c>
      <c r="AC26" s="19"/>
      <c r="AD26" s="19">
        <v>4</v>
      </c>
      <c r="AE26" s="19">
        <v>4</v>
      </c>
      <c r="AF26" s="19">
        <v>5</v>
      </c>
      <c r="AG26" s="19">
        <v>5</v>
      </c>
      <c r="AH26" s="19">
        <v>5</v>
      </c>
      <c r="AI26" s="19">
        <v>5</v>
      </c>
      <c r="AJ26" s="19">
        <v>5</v>
      </c>
      <c r="AK26" s="19">
        <v>5</v>
      </c>
      <c r="AL26" s="19">
        <v>5</v>
      </c>
      <c r="AM26" s="19">
        <v>5</v>
      </c>
      <c r="AN26" s="19">
        <v>5</v>
      </c>
      <c r="AO26" s="19">
        <v>5</v>
      </c>
      <c r="AP26" s="19">
        <v>10</v>
      </c>
      <c r="AQ26" s="24">
        <v>31</v>
      </c>
      <c r="AR26" s="27">
        <v>39.200000000000003</v>
      </c>
      <c r="AS26" s="27">
        <v>83.4</v>
      </c>
      <c r="AT26" s="27">
        <v>17.2</v>
      </c>
      <c r="AU26" s="24">
        <v>85.69</v>
      </c>
      <c r="AV26" s="24">
        <v>0</v>
      </c>
      <c r="AW26" s="24">
        <v>0.39</v>
      </c>
      <c r="AX26" s="24">
        <v>0</v>
      </c>
      <c r="AY26" s="24">
        <v>13.37</v>
      </c>
      <c r="AZ26" s="24">
        <v>0</v>
      </c>
      <c r="BA26" s="24">
        <v>0</v>
      </c>
      <c r="BB26" s="24">
        <v>0</v>
      </c>
      <c r="BC26" s="24">
        <v>0</v>
      </c>
      <c r="BD26" s="24">
        <v>0</v>
      </c>
      <c r="BE26" s="24">
        <v>0</v>
      </c>
      <c r="BF26" s="24">
        <v>12.36</v>
      </c>
      <c r="BG26" s="24">
        <v>18.21</v>
      </c>
      <c r="BH26" s="24">
        <v>12.25</v>
      </c>
      <c r="BI26" s="24">
        <v>3.27</v>
      </c>
      <c r="BJ26" s="24">
        <v>5.0199999999999996</v>
      </c>
      <c r="BK26" s="24">
        <v>4.8</v>
      </c>
      <c r="BL26" s="24">
        <v>1</v>
      </c>
      <c r="BM26" s="24">
        <v>2.4</v>
      </c>
      <c r="BN26" s="24">
        <v>1</v>
      </c>
      <c r="BO26" s="24">
        <v>1</v>
      </c>
      <c r="BP26" s="27">
        <v>0.43</v>
      </c>
      <c r="BQ26" s="27">
        <v>1</v>
      </c>
      <c r="BR26" s="27">
        <v>1.74</v>
      </c>
      <c r="BS26" s="27">
        <v>1.32</v>
      </c>
      <c r="BT26" s="27">
        <v>4.32</v>
      </c>
      <c r="BU26" s="27">
        <v>1.2</v>
      </c>
      <c r="BV26" s="27">
        <v>0.11</v>
      </c>
      <c r="BW26" s="24">
        <v>2</v>
      </c>
    </row>
    <row r="27" spans="1:75" x14ac:dyDescent="0.2">
      <c r="A27">
        <v>2</v>
      </c>
      <c r="B27">
        <v>26.277891854893898</v>
      </c>
      <c r="C27">
        <v>0.28199863107460599</v>
      </c>
      <c r="D27">
        <v>4</v>
      </c>
      <c r="E27">
        <v>73</v>
      </c>
      <c r="F27">
        <v>1.76</v>
      </c>
      <c r="G27">
        <v>23.566632231404999</v>
      </c>
      <c r="H27">
        <v>0</v>
      </c>
      <c r="I27">
        <v>0</v>
      </c>
      <c r="J27" s="19">
        <v>0</v>
      </c>
      <c r="K27" s="19">
        <v>3</v>
      </c>
      <c r="L27" s="19">
        <v>0</v>
      </c>
      <c r="M27" s="19">
        <v>0</v>
      </c>
      <c r="N27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/>
      <c r="V27" s="15">
        <f t="shared" si="0"/>
        <v>0</v>
      </c>
      <c r="W27" s="19">
        <v>2</v>
      </c>
      <c r="X27" s="19">
        <v>3</v>
      </c>
      <c r="Y27" s="19">
        <v>5</v>
      </c>
      <c r="Z27" s="19">
        <v>5</v>
      </c>
      <c r="AA27" s="19">
        <v>2</v>
      </c>
      <c r="AB27" s="19">
        <v>3</v>
      </c>
      <c r="AC27" s="19">
        <v>2</v>
      </c>
      <c r="AD27" s="19">
        <v>3</v>
      </c>
      <c r="AE27" s="19">
        <v>3</v>
      </c>
      <c r="AF27" s="19">
        <v>5</v>
      </c>
      <c r="AG27" s="19">
        <v>5</v>
      </c>
      <c r="AH27" s="19">
        <v>5</v>
      </c>
      <c r="AI27" s="19">
        <v>4</v>
      </c>
      <c r="AJ27" s="19">
        <v>5</v>
      </c>
      <c r="AK27" s="19">
        <v>5</v>
      </c>
      <c r="AL27" s="19">
        <v>5</v>
      </c>
      <c r="AM27" s="19">
        <v>5</v>
      </c>
      <c r="AN27" s="19">
        <v>5</v>
      </c>
      <c r="AO27" s="19">
        <v>5</v>
      </c>
      <c r="AP27" s="19">
        <v>10</v>
      </c>
      <c r="AQ27" s="24">
        <v>31</v>
      </c>
      <c r="AR27" s="27">
        <v>39.200000000000003</v>
      </c>
      <c r="AS27" s="27">
        <v>83.4</v>
      </c>
      <c r="AT27" s="27">
        <v>17.2</v>
      </c>
      <c r="AU27" s="24">
        <v>85.69</v>
      </c>
      <c r="AV27" s="24">
        <v>0</v>
      </c>
      <c r="AW27" s="24">
        <v>0.39</v>
      </c>
      <c r="AX27" s="24">
        <v>0</v>
      </c>
      <c r="AY27" s="24">
        <v>13.37</v>
      </c>
      <c r="AZ27" s="24">
        <v>0</v>
      </c>
      <c r="BA27" s="24">
        <v>0</v>
      </c>
      <c r="BB27">
        <v>0</v>
      </c>
      <c r="BC27" s="24">
        <v>0</v>
      </c>
      <c r="BD27" s="24">
        <v>0</v>
      </c>
      <c r="BE27" s="24">
        <v>0</v>
      </c>
      <c r="BF27" s="24">
        <v>12.36</v>
      </c>
      <c r="BG27" s="24">
        <v>18.21</v>
      </c>
      <c r="BH27" s="24">
        <v>12.25</v>
      </c>
      <c r="BI27" s="24">
        <v>3.27</v>
      </c>
      <c r="BJ27" s="24">
        <v>5.0199999999999996</v>
      </c>
      <c r="BK27" s="24">
        <v>4.8</v>
      </c>
      <c r="BL27" s="24">
        <v>1</v>
      </c>
      <c r="BM27" s="24">
        <v>2.4</v>
      </c>
      <c r="BN27" s="24">
        <v>1</v>
      </c>
      <c r="BO27" s="24">
        <v>1</v>
      </c>
      <c r="BP27" s="27">
        <v>0.43</v>
      </c>
      <c r="BQ27" s="27">
        <v>1</v>
      </c>
      <c r="BR27" s="27">
        <v>1.74</v>
      </c>
      <c r="BS27" s="27">
        <v>1.32</v>
      </c>
      <c r="BT27" s="27">
        <v>4.32</v>
      </c>
      <c r="BU27" s="27">
        <v>1.2</v>
      </c>
      <c r="BV27" s="27">
        <v>0.11</v>
      </c>
      <c r="BW27" s="24">
        <v>2</v>
      </c>
    </row>
    <row r="28" spans="1:75" x14ac:dyDescent="0.2">
      <c r="A28">
        <v>2</v>
      </c>
      <c r="B28">
        <v>37.325119780971903</v>
      </c>
      <c r="C28">
        <v>6.5352498288843304</v>
      </c>
      <c r="D28">
        <v>4</v>
      </c>
      <c r="E28">
        <v>76</v>
      </c>
      <c r="F28">
        <v>1.82</v>
      </c>
      <c r="G28">
        <v>22.944088878154801</v>
      </c>
      <c r="H28">
        <v>0</v>
      </c>
      <c r="I28">
        <v>1</v>
      </c>
      <c r="J28" s="19">
        <v>1</v>
      </c>
      <c r="K28" s="19">
        <v>2</v>
      </c>
      <c r="L28" s="19">
        <v>0</v>
      </c>
      <c r="M28" s="19">
        <v>6</v>
      </c>
      <c r="N28">
        <v>2</v>
      </c>
      <c r="O28" s="19">
        <v>0</v>
      </c>
      <c r="P28" s="19">
        <v>0</v>
      </c>
      <c r="Q28" s="19">
        <v>3</v>
      </c>
      <c r="R28" s="19">
        <v>4</v>
      </c>
      <c r="S28" s="19">
        <v>0</v>
      </c>
      <c r="T28" s="19">
        <v>0</v>
      </c>
      <c r="U28" s="19">
        <v>6</v>
      </c>
      <c r="V28" s="15">
        <f t="shared" si="0"/>
        <v>2.3333333333333335</v>
      </c>
      <c r="W28" s="19">
        <v>5</v>
      </c>
      <c r="X28" s="19">
        <v>3</v>
      </c>
      <c r="Y28" s="19">
        <v>5</v>
      </c>
      <c r="Z28" s="19">
        <v>5</v>
      </c>
      <c r="AA28" s="19">
        <v>4</v>
      </c>
      <c r="AB28" s="19">
        <v>3</v>
      </c>
      <c r="AC28" s="19">
        <v>5</v>
      </c>
      <c r="AD28" s="19">
        <v>5</v>
      </c>
      <c r="AE28" s="19">
        <v>4</v>
      </c>
      <c r="AF28" s="19">
        <v>5</v>
      </c>
      <c r="AG28" s="19">
        <v>5</v>
      </c>
      <c r="AH28" s="19">
        <v>5</v>
      </c>
      <c r="AI28" s="19">
        <v>2</v>
      </c>
      <c r="AJ28" s="19">
        <v>4</v>
      </c>
      <c r="AK28" s="19">
        <v>3</v>
      </c>
      <c r="AL28" s="19">
        <v>5</v>
      </c>
      <c r="AM28" s="19">
        <v>3</v>
      </c>
      <c r="AN28" s="19">
        <v>4</v>
      </c>
      <c r="AO28" s="19">
        <v>5</v>
      </c>
      <c r="AP28" s="19">
        <v>10</v>
      </c>
      <c r="AQ28" s="24">
        <v>31</v>
      </c>
      <c r="AR28" s="27">
        <v>39.200000000000003</v>
      </c>
      <c r="AS28" s="27">
        <v>83.4</v>
      </c>
      <c r="AT28" s="27">
        <v>17.2</v>
      </c>
      <c r="AU28" s="24">
        <v>85.69</v>
      </c>
      <c r="AV28" s="24">
        <v>0</v>
      </c>
      <c r="AW28" s="24">
        <v>0.39</v>
      </c>
      <c r="AX28" s="24">
        <v>0</v>
      </c>
      <c r="AY28" s="24">
        <v>13.37</v>
      </c>
      <c r="AZ28" s="24">
        <v>0</v>
      </c>
      <c r="BA28" s="24">
        <v>0</v>
      </c>
      <c r="BB28">
        <v>0</v>
      </c>
      <c r="BC28" s="24">
        <v>0</v>
      </c>
      <c r="BD28" s="24">
        <v>0</v>
      </c>
      <c r="BE28" s="24">
        <v>0</v>
      </c>
      <c r="BF28" s="24">
        <v>12.36</v>
      </c>
      <c r="BG28" s="24">
        <v>18.21</v>
      </c>
      <c r="BH28" s="24">
        <v>12.25</v>
      </c>
      <c r="BI28" s="24">
        <v>3.27</v>
      </c>
      <c r="BJ28" s="24">
        <v>5.0199999999999996</v>
      </c>
      <c r="BK28" s="24">
        <v>4.8</v>
      </c>
      <c r="BL28" s="24">
        <v>1</v>
      </c>
      <c r="BM28" s="24">
        <v>2.4</v>
      </c>
      <c r="BN28" s="24">
        <v>1</v>
      </c>
      <c r="BO28" s="24">
        <v>1</v>
      </c>
      <c r="BP28" s="27">
        <v>0.43</v>
      </c>
      <c r="BQ28" s="27">
        <v>1</v>
      </c>
      <c r="BR28" s="27">
        <v>1.74</v>
      </c>
      <c r="BS28" s="27">
        <v>1.32</v>
      </c>
      <c r="BT28" s="27">
        <v>4.32</v>
      </c>
      <c r="BU28" s="27">
        <v>1.2</v>
      </c>
      <c r="BV28" s="27">
        <v>0.11</v>
      </c>
      <c r="BW28" s="24">
        <v>2</v>
      </c>
    </row>
    <row r="29" spans="1:75" x14ac:dyDescent="0.2">
      <c r="A29">
        <v>2</v>
      </c>
      <c r="B29">
        <v>29.0294318959617</v>
      </c>
      <c r="C29">
        <v>0.27926078028747398</v>
      </c>
      <c r="D29">
        <v>4</v>
      </c>
      <c r="E29">
        <v>103</v>
      </c>
      <c r="F29">
        <v>1.88</v>
      </c>
      <c r="G29">
        <v>29.142145767315501</v>
      </c>
      <c r="H29">
        <v>0</v>
      </c>
      <c r="I29">
        <v>0</v>
      </c>
      <c r="J29" s="19">
        <v>1</v>
      </c>
      <c r="K29" s="19">
        <v>1</v>
      </c>
      <c r="L29" s="19">
        <v>1</v>
      </c>
      <c r="M29" s="19">
        <v>0</v>
      </c>
      <c r="N2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19"/>
      <c r="V29" s="15">
        <f t="shared" si="0"/>
        <v>0</v>
      </c>
      <c r="W29" s="19">
        <v>2</v>
      </c>
      <c r="X29" s="19">
        <v>3</v>
      </c>
      <c r="Y29" s="19">
        <v>5</v>
      </c>
      <c r="Z29" s="19">
        <v>4</v>
      </c>
      <c r="AA29" s="19">
        <v>2</v>
      </c>
      <c r="AB29" s="19">
        <v>1</v>
      </c>
      <c r="AC29" s="19">
        <v>1</v>
      </c>
      <c r="AD29" s="19">
        <v>3</v>
      </c>
      <c r="AE29" s="19">
        <v>3</v>
      </c>
      <c r="AF29" s="19">
        <v>4</v>
      </c>
      <c r="AG29" s="19">
        <v>5</v>
      </c>
      <c r="AH29" s="19">
        <v>5</v>
      </c>
      <c r="AI29" s="19">
        <v>4</v>
      </c>
      <c r="AJ29" s="19">
        <v>5</v>
      </c>
      <c r="AK29" s="19">
        <v>2</v>
      </c>
      <c r="AL29" s="19">
        <v>5</v>
      </c>
      <c r="AM29" s="19">
        <v>4</v>
      </c>
      <c r="AN29" s="19">
        <v>4</v>
      </c>
      <c r="AO29" s="19">
        <v>5</v>
      </c>
      <c r="AP29" s="19">
        <v>8</v>
      </c>
      <c r="AQ29" s="24">
        <v>31</v>
      </c>
      <c r="AR29" s="27">
        <v>39.200000000000003</v>
      </c>
      <c r="AS29" s="27">
        <v>83.4</v>
      </c>
      <c r="AT29" s="27">
        <v>17.2</v>
      </c>
      <c r="AU29" s="24">
        <v>85.69</v>
      </c>
      <c r="AV29" s="24">
        <v>0</v>
      </c>
      <c r="AW29" s="24">
        <v>0.39</v>
      </c>
      <c r="AX29" s="24">
        <v>0</v>
      </c>
      <c r="AY29" s="24">
        <v>13.37</v>
      </c>
      <c r="AZ29" s="24">
        <v>0</v>
      </c>
      <c r="BA29" s="24">
        <v>0</v>
      </c>
      <c r="BB29">
        <v>0</v>
      </c>
      <c r="BC29" s="24">
        <v>0</v>
      </c>
      <c r="BD29" s="24">
        <v>0</v>
      </c>
      <c r="BE29" s="24">
        <v>0</v>
      </c>
      <c r="BF29" s="24">
        <v>12.36</v>
      </c>
      <c r="BG29" s="24">
        <v>18.21</v>
      </c>
      <c r="BH29" s="24">
        <v>12.25</v>
      </c>
      <c r="BI29" s="24">
        <v>3.27</v>
      </c>
      <c r="BJ29" s="24">
        <v>5.0199999999999996</v>
      </c>
      <c r="BK29" s="24">
        <v>4.8</v>
      </c>
      <c r="BL29" s="24">
        <v>1</v>
      </c>
      <c r="BM29" s="24">
        <v>2.4</v>
      </c>
      <c r="BN29" s="24">
        <v>1</v>
      </c>
      <c r="BO29" s="24">
        <v>1</v>
      </c>
      <c r="BP29" s="27">
        <v>0.43</v>
      </c>
      <c r="BQ29" s="27">
        <v>1</v>
      </c>
      <c r="BR29" s="27">
        <v>1.74</v>
      </c>
      <c r="BS29" s="27">
        <v>1.32</v>
      </c>
      <c r="BT29" s="27">
        <v>4.32</v>
      </c>
      <c r="BU29" s="27">
        <v>1.2</v>
      </c>
      <c r="BV29" s="27">
        <v>0.11</v>
      </c>
      <c r="BW29" s="24">
        <v>2</v>
      </c>
    </row>
    <row r="30" spans="1:75" x14ac:dyDescent="0.2">
      <c r="A30">
        <v>2</v>
      </c>
      <c r="B30">
        <v>25.136208076659798</v>
      </c>
      <c r="C30">
        <v>0.12867898699520899</v>
      </c>
      <c r="D30">
        <v>4</v>
      </c>
      <c r="E30">
        <v>62</v>
      </c>
      <c r="F30">
        <v>1.62</v>
      </c>
      <c r="G30">
        <v>23.624447492760201</v>
      </c>
      <c r="H30">
        <v>0</v>
      </c>
      <c r="I30">
        <v>0</v>
      </c>
      <c r="J30" s="19">
        <v>0</v>
      </c>
      <c r="K30" s="19">
        <v>2</v>
      </c>
      <c r="L30" s="19">
        <v>1</v>
      </c>
      <c r="M30" s="19">
        <v>0</v>
      </c>
      <c r="N30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/>
      <c r="U30" s="19"/>
      <c r="V30" s="15">
        <f t="shared" si="0"/>
        <v>0</v>
      </c>
      <c r="W30" s="19">
        <v>1</v>
      </c>
      <c r="X30" s="19">
        <v>2</v>
      </c>
      <c r="Y30" s="19">
        <v>5</v>
      </c>
      <c r="Z30" s="19">
        <v>5</v>
      </c>
      <c r="AA30" s="19">
        <v>4</v>
      </c>
      <c r="AB30" s="19">
        <v>4</v>
      </c>
      <c r="AC30" s="19">
        <v>4</v>
      </c>
      <c r="AD30" s="19">
        <v>5</v>
      </c>
      <c r="AE30" s="19">
        <v>5</v>
      </c>
      <c r="AF30" s="19">
        <v>4</v>
      </c>
      <c r="AG30" s="19">
        <v>5</v>
      </c>
      <c r="AH30" s="19">
        <v>5</v>
      </c>
      <c r="AI30" s="19">
        <v>5</v>
      </c>
      <c r="AJ30" s="19">
        <v>5</v>
      </c>
      <c r="AK30" s="19">
        <v>5</v>
      </c>
      <c r="AL30" s="19">
        <v>5</v>
      </c>
      <c r="AM30" s="19"/>
      <c r="AN30" s="19"/>
      <c r="AO30" s="19"/>
      <c r="AP30" s="19"/>
      <c r="AQ30">
        <v>75</v>
      </c>
      <c r="AR30" s="16">
        <v>87.9</v>
      </c>
      <c r="AS30" s="16">
        <v>80.400000000000006</v>
      </c>
      <c r="AT30" s="16">
        <v>45.2</v>
      </c>
      <c r="AU30">
        <v>50.83</v>
      </c>
      <c r="AV30">
        <v>0.05</v>
      </c>
      <c r="AW30">
        <v>46.44</v>
      </c>
      <c r="AX30">
        <v>2.67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25.21</v>
      </c>
      <c r="BH30">
        <v>43.57</v>
      </c>
      <c r="BI30">
        <v>6.27</v>
      </c>
      <c r="BJ30">
        <v>0</v>
      </c>
      <c r="BK30">
        <v>0</v>
      </c>
      <c r="BL30">
        <v>0</v>
      </c>
      <c r="BM30">
        <v>17.8</v>
      </c>
      <c r="BN30">
        <v>1</v>
      </c>
      <c r="BO30">
        <v>1</v>
      </c>
      <c r="BP30" s="16">
        <v>3.43</v>
      </c>
      <c r="BQ30" s="16">
        <v>1</v>
      </c>
      <c r="BR30" s="16">
        <v>6.39</v>
      </c>
      <c r="BS30" s="16">
        <v>3.31</v>
      </c>
      <c r="BT30" s="16">
        <v>0</v>
      </c>
      <c r="BU30" s="16">
        <v>0</v>
      </c>
      <c r="BV30" s="16">
        <v>0</v>
      </c>
      <c r="BW30">
        <v>0</v>
      </c>
    </row>
    <row r="31" spans="1:75" x14ac:dyDescent="0.2">
      <c r="A31">
        <v>1</v>
      </c>
      <c r="B31">
        <v>21.637234770705</v>
      </c>
      <c r="C31">
        <v>0.29295003422313498</v>
      </c>
      <c r="D31">
        <v>4</v>
      </c>
      <c r="E31">
        <v>58</v>
      </c>
      <c r="F31">
        <v>1.58</v>
      </c>
      <c r="G31">
        <v>23.233456176894698</v>
      </c>
      <c r="H31">
        <v>0</v>
      </c>
      <c r="I31">
        <v>0</v>
      </c>
      <c r="J31" s="19">
        <v>0</v>
      </c>
      <c r="K31" s="19">
        <v>2</v>
      </c>
      <c r="L31" s="19">
        <v>0</v>
      </c>
      <c r="M31" s="19">
        <v>0</v>
      </c>
      <c r="N31">
        <v>0</v>
      </c>
      <c r="O31" s="19">
        <v>0</v>
      </c>
      <c r="P31" s="19">
        <v>0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5">
        <f t="shared" si="0"/>
        <v>0</v>
      </c>
      <c r="W31" s="19">
        <v>2</v>
      </c>
      <c r="X31" s="19">
        <v>1</v>
      </c>
      <c r="Y31" s="19">
        <v>1</v>
      </c>
      <c r="Z31" s="19">
        <v>5</v>
      </c>
      <c r="AA31" s="19">
        <v>1</v>
      </c>
      <c r="AB31" s="19">
        <v>1</v>
      </c>
      <c r="AC31" s="19">
        <v>3</v>
      </c>
      <c r="AD31" s="19">
        <v>4</v>
      </c>
      <c r="AE31" s="19">
        <v>5</v>
      </c>
      <c r="AF31" s="19">
        <v>5</v>
      </c>
      <c r="AG31" s="19">
        <v>5</v>
      </c>
      <c r="AH31" s="19">
        <v>5</v>
      </c>
      <c r="AI31" s="19">
        <v>4</v>
      </c>
      <c r="AJ31" s="19">
        <v>5</v>
      </c>
      <c r="AK31" s="19">
        <v>5</v>
      </c>
      <c r="AL31" s="19">
        <v>5</v>
      </c>
      <c r="AM31" s="19">
        <v>5</v>
      </c>
      <c r="AN31" s="19">
        <v>5</v>
      </c>
      <c r="AO31" s="19">
        <v>5</v>
      </c>
      <c r="AP31" s="19">
        <v>10</v>
      </c>
      <c r="AQ31">
        <v>37</v>
      </c>
      <c r="AR31" s="16">
        <v>95.1</v>
      </c>
      <c r="AS31" s="16">
        <v>80.400000000000006</v>
      </c>
      <c r="AT31" s="16">
        <v>15.9</v>
      </c>
      <c r="AU31">
        <v>82.71</v>
      </c>
      <c r="AV31"/>
      <c r="AW31">
        <v>10.32</v>
      </c>
      <c r="AX31">
        <v>0.39</v>
      </c>
      <c r="AY31">
        <v>10.32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1.9</v>
      </c>
      <c r="BG31">
        <v>26.26</v>
      </c>
      <c r="BH31">
        <v>6.04</v>
      </c>
      <c r="BI31">
        <v>2.19</v>
      </c>
      <c r="BJ31">
        <v>0</v>
      </c>
      <c r="BK31">
        <v>0</v>
      </c>
      <c r="BL31">
        <v>0</v>
      </c>
      <c r="BM31">
        <v>14.7</v>
      </c>
      <c r="BN31">
        <v>1</v>
      </c>
      <c r="BO31">
        <v>1</v>
      </c>
      <c r="BP31">
        <v>0</v>
      </c>
      <c r="BQ31" s="19">
        <v>0</v>
      </c>
      <c r="BR31" s="16">
        <v>5.1100000000000003</v>
      </c>
      <c r="BS31">
        <v>4.8099999999999996</v>
      </c>
      <c r="BT31">
        <v>0</v>
      </c>
      <c r="BU31">
        <v>0</v>
      </c>
      <c r="BV31">
        <v>0</v>
      </c>
      <c r="BW31">
        <v>0</v>
      </c>
    </row>
    <row r="32" spans="1:75" x14ac:dyDescent="0.2">
      <c r="A32">
        <v>2</v>
      </c>
      <c r="B32">
        <v>38.075290896646102</v>
      </c>
      <c r="C32">
        <v>0.197125256673511</v>
      </c>
      <c r="D32">
        <v>4</v>
      </c>
      <c r="E32">
        <v>66</v>
      </c>
      <c r="F32">
        <v>1.77</v>
      </c>
      <c r="G32">
        <v>21.066743273005802</v>
      </c>
      <c r="H32">
        <v>0</v>
      </c>
      <c r="I32">
        <v>0</v>
      </c>
      <c r="J32" s="19">
        <v>0</v>
      </c>
      <c r="K32" s="19">
        <v>3</v>
      </c>
      <c r="L32" s="19">
        <v>0</v>
      </c>
      <c r="M32" s="19">
        <v>0</v>
      </c>
      <c r="N32">
        <v>0</v>
      </c>
      <c r="O32" s="19">
        <v>0</v>
      </c>
      <c r="P32" s="19">
        <v>0</v>
      </c>
      <c r="Q32" s="19">
        <v>0</v>
      </c>
      <c r="R32" s="19">
        <v>6</v>
      </c>
      <c r="S32" s="19">
        <v>0</v>
      </c>
      <c r="T32" s="19">
        <v>0</v>
      </c>
      <c r="U32" s="19">
        <v>0</v>
      </c>
      <c r="V32" s="15">
        <f t="shared" si="0"/>
        <v>0.66666666666666663</v>
      </c>
      <c r="W32" s="19">
        <v>2</v>
      </c>
      <c r="X32" s="19">
        <v>3</v>
      </c>
      <c r="Y32" s="19">
        <v>3</v>
      </c>
      <c r="Z32" s="19">
        <v>4</v>
      </c>
      <c r="AA32" s="19">
        <v>2</v>
      </c>
      <c r="AB32" s="19">
        <v>3</v>
      </c>
      <c r="AC32" s="19">
        <v>1</v>
      </c>
      <c r="AD32" s="19">
        <v>2</v>
      </c>
      <c r="AE32" s="19">
        <v>3</v>
      </c>
      <c r="AF32" s="19">
        <v>4</v>
      </c>
      <c r="AG32" s="19">
        <v>4</v>
      </c>
      <c r="AH32" s="19">
        <v>4</v>
      </c>
      <c r="AI32" s="19">
        <v>2</v>
      </c>
      <c r="AJ32" s="19">
        <v>4</v>
      </c>
      <c r="AK32" s="19">
        <v>5</v>
      </c>
      <c r="AL32" s="19">
        <v>4</v>
      </c>
      <c r="AM32" s="19">
        <v>4</v>
      </c>
      <c r="AN32" s="19">
        <v>4</v>
      </c>
      <c r="AO32" s="19">
        <v>2</v>
      </c>
      <c r="AP32" s="19">
        <v>7</v>
      </c>
      <c r="AQ32">
        <v>74.5</v>
      </c>
      <c r="AR32" s="16">
        <v>76.2</v>
      </c>
      <c r="AS32" s="16">
        <v>80.400000000000006</v>
      </c>
      <c r="AT32" s="16">
        <v>42.8</v>
      </c>
      <c r="AU32">
        <v>57.15</v>
      </c>
      <c r="AV32">
        <v>0.45</v>
      </c>
      <c r="AW32">
        <v>39.090000000000003</v>
      </c>
      <c r="AX32">
        <v>3.3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18.260000000000002</v>
      </c>
      <c r="BH32">
        <v>34.4</v>
      </c>
      <c r="BI32">
        <v>6.27</v>
      </c>
      <c r="BJ32">
        <v>0</v>
      </c>
      <c r="BK32">
        <v>0</v>
      </c>
      <c r="BL32">
        <v>0</v>
      </c>
      <c r="BM32">
        <v>18.2</v>
      </c>
      <c r="BN32">
        <v>1</v>
      </c>
      <c r="BO32">
        <v>1</v>
      </c>
      <c r="BP32" s="16">
        <v>7.59</v>
      </c>
      <c r="BQ32" s="16">
        <v>1</v>
      </c>
      <c r="BR32" s="16">
        <v>5.05</v>
      </c>
      <c r="BS32" s="16">
        <v>1.54</v>
      </c>
      <c r="BT32" s="16">
        <v>0</v>
      </c>
      <c r="BU32" s="16">
        <v>0</v>
      </c>
      <c r="BV32" s="16">
        <v>0</v>
      </c>
      <c r="BW32">
        <v>0</v>
      </c>
    </row>
    <row r="33" spans="1:75" x14ac:dyDescent="0.2">
      <c r="A33">
        <v>2</v>
      </c>
      <c r="B33">
        <v>25.234770704996599</v>
      </c>
      <c r="C33">
        <v>0.25188227241615302</v>
      </c>
      <c r="D33">
        <v>4</v>
      </c>
      <c r="E33">
        <v>77</v>
      </c>
      <c r="F33">
        <v>1.78</v>
      </c>
      <c r="G33">
        <v>24.3024870597147</v>
      </c>
      <c r="H33">
        <v>0</v>
      </c>
      <c r="I33">
        <v>0</v>
      </c>
      <c r="J33" s="19">
        <v>0</v>
      </c>
      <c r="K33" s="19">
        <v>3</v>
      </c>
      <c r="L33" s="19">
        <v>1</v>
      </c>
      <c r="M33" s="19">
        <v>0</v>
      </c>
      <c r="N33">
        <v>0</v>
      </c>
      <c r="O33" s="19">
        <v>0</v>
      </c>
      <c r="P33" s="19">
        <v>4</v>
      </c>
      <c r="Q33" s="19">
        <v>0</v>
      </c>
      <c r="R33" s="19">
        <v>4</v>
      </c>
      <c r="S33" s="19">
        <v>0</v>
      </c>
      <c r="T33" s="19">
        <v>0</v>
      </c>
      <c r="U33" s="19">
        <v>0</v>
      </c>
      <c r="V33" s="15">
        <f t="shared" si="0"/>
        <v>0.88888888888888884</v>
      </c>
      <c r="W33" s="19">
        <v>2</v>
      </c>
      <c r="X33" s="19">
        <v>1</v>
      </c>
      <c r="Y33" s="19">
        <v>3</v>
      </c>
      <c r="Z33" s="19">
        <v>5</v>
      </c>
      <c r="AA33" s="19">
        <v>2</v>
      </c>
      <c r="AB33" s="19">
        <v>1</v>
      </c>
      <c r="AC33" s="19">
        <v>2</v>
      </c>
      <c r="AD33" s="19">
        <v>3</v>
      </c>
      <c r="AE33" s="19">
        <v>3</v>
      </c>
      <c r="AF33" s="19">
        <v>5</v>
      </c>
      <c r="AG33" s="19">
        <v>4</v>
      </c>
      <c r="AH33" s="19">
        <v>4</v>
      </c>
      <c r="AI33" s="19">
        <v>4</v>
      </c>
      <c r="AJ33" s="19">
        <v>3</v>
      </c>
      <c r="AK33" s="19">
        <v>4</v>
      </c>
      <c r="AL33" s="19">
        <v>4</v>
      </c>
      <c r="AM33" s="19">
        <v>4</v>
      </c>
      <c r="AN33" s="19">
        <v>4</v>
      </c>
      <c r="AO33" s="19">
        <v>4</v>
      </c>
      <c r="AP33" s="19">
        <v>9</v>
      </c>
      <c r="AQ33">
        <v>37</v>
      </c>
      <c r="AR33" s="16">
        <v>95.1</v>
      </c>
      <c r="AS33" s="16">
        <v>80.400000000000006</v>
      </c>
      <c r="AT33" s="16">
        <v>15.9</v>
      </c>
      <c r="AU33">
        <v>82.71</v>
      </c>
      <c r="AV33" s="17">
        <v>0</v>
      </c>
      <c r="AW33">
        <v>10.32</v>
      </c>
      <c r="AX33">
        <v>0.39</v>
      </c>
      <c r="AY33">
        <v>10.32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1.9</v>
      </c>
      <c r="BG33">
        <v>26.26</v>
      </c>
      <c r="BH33">
        <v>6.04</v>
      </c>
      <c r="BI33">
        <v>2.19</v>
      </c>
      <c r="BJ33">
        <v>0</v>
      </c>
      <c r="BK33">
        <v>0</v>
      </c>
      <c r="BL33">
        <v>0</v>
      </c>
      <c r="BM33">
        <v>14.7</v>
      </c>
      <c r="BN33">
        <v>1</v>
      </c>
      <c r="BO33">
        <v>1</v>
      </c>
      <c r="BP33">
        <v>0</v>
      </c>
      <c r="BQ33" s="19">
        <v>0</v>
      </c>
      <c r="BR33" s="16">
        <v>5.1100000000000003</v>
      </c>
      <c r="BS33">
        <v>4.8099999999999996</v>
      </c>
      <c r="BT33">
        <v>0</v>
      </c>
      <c r="BU33">
        <v>0</v>
      </c>
      <c r="BV33">
        <v>0</v>
      </c>
      <c r="BW33">
        <v>0</v>
      </c>
    </row>
    <row r="34" spans="1:75" x14ac:dyDescent="0.2">
      <c r="A34">
        <v>2</v>
      </c>
      <c r="B34">
        <v>36.1806981519507</v>
      </c>
      <c r="C34">
        <v>0.26283367556468201</v>
      </c>
      <c r="D34">
        <v>4</v>
      </c>
      <c r="E34">
        <v>62</v>
      </c>
      <c r="F34">
        <v>1.7</v>
      </c>
      <c r="G34">
        <v>21.453287197231798</v>
      </c>
      <c r="H34">
        <v>0</v>
      </c>
      <c r="I34">
        <v>0</v>
      </c>
      <c r="J34" s="19">
        <v>0</v>
      </c>
      <c r="K34" s="19">
        <v>1</v>
      </c>
      <c r="L34" s="19">
        <v>1</v>
      </c>
      <c r="M34" s="19">
        <v>0</v>
      </c>
      <c r="N34">
        <v>0</v>
      </c>
      <c r="O34" s="19">
        <v>0</v>
      </c>
      <c r="P34" s="19">
        <v>0</v>
      </c>
      <c r="Q34" s="19">
        <v>0</v>
      </c>
      <c r="R34" s="19">
        <v>0</v>
      </c>
      <c r="S34" s="19">
        <v>0</v>
      </c>
      <c r="T34" s="19">
        <v>0</v>
      </c>
      <c r="U34" s="19">
        <v>0</v>
      </c>
      <c r="V34" s="15">
        <f t="shared" si="0"/>
        <v>0</v>
      </c>
      <c r="W34" s="19">
        <v>1</v>
      </c>
      <c r="X34" s="19">
        <v>2</v>
      </c>
      <c r="Y34" s="19">
        <v>3</v>
      </c>
      <c r="Z34" s="19">
        <v>4</v>
      </c>
      <c r="AA34" s="19">
        <v>3</v>
      </c>
      <c r="AB34" s="19">
        <v>1</v>
      </c>
      <c r="AC34" s="19">
        <v>3</v>
      </c>
      <c r="AD34" s="19">
        <v>3</v>
      </c>
      <c r="AE34" s="19">
        <v>3</v>
      </c>
      <c r="AF34" s="19">
        <v>5</v>
      </c>
      <c r="AG34" s="19">
        <v>5</v>
      </c>
      <c r="AH34" s="19">
        <v>5</v>
      </c>
      <c r="AI34" s="19">
        <v>5</v>
      </c>
      <c r="AJ34" s="19">
        <v>4</v>
      </c>
      <c r="AK34" s="19">
        <v>5</v>
      </c>
      <c r="AL34" s="19">
        <v>4</v>
      </c>
      <c r="AM34" s="19">
        <v>5</v>
      </c>
      <c r="AN34" s="19">
        <v>5</v>
      </c>
      <c r="AO34" s="19">
        <v>5</v>
      </c>
      <c r="AP34" s="19">
        <v>8</v>
      </c>
      <c r="AQ34">
        <v>75</v>
      </c>
      <c r="AR34" s="16">
        <v>87.9</v>
      </c>
      <c r="AS34" s="16">
        <v>80.400000000000006</v>
      </c>
      <c r="AT34" s="16">
        <v>45.2</v>
      </c>
      <c r="AU34">
        <v>50.83</v>
      </c>
      <c r="AV34">
        <v>0.05</v>
      </c>
      <c r="AW34">
        <v>46.44</v>
      </c>
      <c r="AX34">
        <v>2.67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25.21</v>
      </c>
      <c r="BH34">
        <v>43.57</v>
      </c>
      <c r="BI34">
        <v>6.27</v>
      </c>
      <c r="BJ34">
        <v>0</v>
      </c>
      <c r="BK34">
        <v>0</v>
      </c>
      <c r="BL34">
        <v>0</v>
      </c>
      <c r="BM34">
        <v>17.8</v>
      </c>
      <c r="BN34">
        <v>1</v>
      </c>
      <c r="BO34">
        <v>1</v>
      </c>
      <c r="BP34" s="16">
        <v>3.43</v>
      </c>
      <c r="BQ34" s="16">
        <v>1</v>
      </c>
      <c r="BR34" s="16">
        <v>6.39</v>
      </c>
      <c r="BS34" s="16">
        <v>3.31</v>
      </c>
      <c r="BT34" s="16">
        <v>0</v>
      </c>
      <c r="BU34" s="16">
        <v>0</v>
      </c>
      <c r="BV34" s="16">
        <v>0</v>
      </c>
      <c r="BW34">
        <v>0</v>
      </c>
    </row>
    <row r="35" spans="1:75" x14ac:dyDescent="0.2">
      <c r="A35">
        <v>2</v>
      </c>
      <c r="B35">
        <v>32.793976728268298</v>
      </c>
      <c r="C35">
        <v>6.5325119780971903</v>
      </c>
      <c r="D35">
        <v>4</v>
      </c>
      <c r="E35">
        <v>60</v>
      </c>
      <c r="F35">
        <v>1.72</v>
      </c>
      <c r="G35">
        <v>20.2812330989724</v>
      </c>
      <c r="H35">
        <v>0</v>
      </c>
      <c r="I35">
        <v>0</v>
      </c>
      <c r="J35" s="19">
        <v>1</v>
      </c>
      <c r="K35" s="19">
        <v>1</v>
      </c>
      <c r="L35" s="19">
        <v>0</v>
      </c>
      <c r="M35" s="19"/>
      <c r="O35" s="19"/>
      <c r="P35" s="19"/>
      <c r="Q35" s="19"/>
      <c r="R35" s="19"/>
      <c r="S35" s="19"/>
      <c r="T35" s="19"/>
      <c r="U35" s="19"/>
      <c r="V35" s="15"/>
      <c r="W35" s="19">
        <v>3</v>
      </c>
      <c r="X35" s="19">
        <v>2</v>
      </c>
      <c r="Y35" s="19">
        <v>5</v>
      </c>
      <c r="Z35" s="19">
        <v>4</v>
      </c>
      <c r="AA35" s="19">
        <v>1</v>
      </c>
      <c r="AB35" s="19">
        <v>1</v>
      </c>
      <c r="AC35" s="19">
        <v>3</v>
      </c>
      <c r="AD35" s="19">
        <v>3</v>
      </c>
      <c r="AE35" s="19">
        <v>3</v>
      </c>
      <c r="AF35" s="19">
        <v>3</v>
      </c>
      <c r="AG35" s="19">
        <v>4</v>
      </c>
      <c r="AH35" s="19">
        <v>4</v>
      </c>
      <c r="AI35" s="19">
        <v>3</v>
      </c>
      <c r="AJ35" s="19">
        <v>2</v>
      </c>
      <c r="AK35" s="19">
        <v>5</v>
      </c>
      <c r="AL35" s="19">
        <v>3</v>
      </c>
      <c r="AM35" s="19">
        <v>4</v>
      </c>
      <c r="AN35" s="19">
        <v>5</v>
      </c>
      <c r="AO35" s="19">
        <v>3</v>
      </c>
      <c r="AP35" s="19">
        <v>5</v>
      </c>
      <c r="AQ35">
        <v>37</v>
      </c>
      <c r="AR35" s="16">
        <v>95.1</v>
      </c>
      <c r="AS35" s="16">
        <v>80.400000000000006</v>
      </c>
      <c r="AT35" s="16">
        <v>15.9</v>
      </c>
      <c r="AU35">
        <v>82.71</v>
      </c>
      <c r="AV35" s="17">
        <v>0</v>
      </c>
      <c r="AW35">
        <v>10.32</v>
      </c>
      <c r="AX35">
        <v>0.39</v>
      </c>
      <c r="AY35">
        <v>10.32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1.9</v>
      </c>
      <c r="BG35">
        <v>26.26</v>
      </c>
      <c r="BH35">
        <v>6.04</v>
      </c>
      <c r="BI35">
        <v>2.19</v>
      </c>
      <c r="BJ35">
        <v>0</v>
      </c>
      <c r="BK35">
        <v>0</v>
      </c>
      <c r="BL35">
        <v>0</v>
      </c>
      <c r="BM35">
        <v>14.7</v>
      </c>
      <c r="BN35">
        <v>1</v>
      </c>
      <c r="BO35">
        <v>1</v>
      </c>
      <c r="BP35">
        <v>0</v>
      </c>
      <c r="BQ35" s="19">
        <v>0</v>
      </c>
      <c r="BR35" s="16">
        <v>5.1100000000000003</v>
      </c>
      <c r="BS35">
        <v>4.8099999999999996</v>
      </c>
      <c r="BT35">
        <v>0</v>
      </c>
      <c r="BU35">
        <v>0</v>
      </c>
      <c r="BV35">
        <v>0</v>
      </c>
      <c r="BW35">
        <v>0</v>
      </c>
    </row>
    <row r="36" spans="1:75" x14ac:dyDescent="0.2">
      <c r="A36">
        <v>1</v>
      </c>
      <c r="B36">
        <v>36.295687885010302</v>
      </c>
      <c r="C36">
        <v>0.23271731690622899</v>
      </c>
      <c r="D36">
        <v>4</v>
      </c>
      <c r="E36">
        <v>62</v>
      </c>
      <c r="F36">
        <v>1.57</v>
      </c>
      <c r="G36">
        <v>25.153150229218198</v>
      </c>
      <c r="H36">
        <v>0</v>
      </c>
      <c r="I36">
        <v>0</v>
      </c>
      <c r="J36" s="19">
        <v>0</v>
      </c>
      <c r="K36" s="19">
        <v>2</v>
      </c>
      <c r="L36" s="19">
        <v>0</v>
      </c>
      <c r="M36" s="19">
        <v>0</v>
      </c>
      <c r="N36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5">
        <f t="shared" ref="V36:V83" si="1">AVERAGE(M36:U36)</f>
        <v>0</v>
      </c>
      <c r="W36" s="19">
        <v>2</v>
      </c>
      <c r="X36" s="19">
        <v>2</v>
      </c>
      <c r="Y36" s="19">
        <v>3</v>
      </c>
      <c r="Z36" s="19">
        <v>5</v>
      </c>
      <c r="AA36" s="19">
        <v>3</v>
      </c>
      <c r="AB36" s="19">
        <v>1</v>
      </c>
      <c r="AC36" s="19">
        <v>1</v>
      </c>
      <c r="AD36" s="19">
        <v>3</v>
      </c>
      <c r="AE36" s="19">
        <v>4</v>
      </c>
      <c r="AF36" s="19">
        <v>5</v>
      </c>
      <c r="AG36" s="19">
        <v>5</v>
      </c>
      <c r="AH36" s="19">
        <v>5</v>
      </c>
      <c r="AI36" s="19">
        <v>5</v>
      </c>
      <c r="AJ36" s="19">
        <v>5</v>
      </c>
      <c r="AK36" s="19">
        <v>2</v>
      </c>
      <c r="AL36" s="19">
        <v>5</v>
      </c>
      <c r="AM36" s="19">
        <v>5</v>
      </c>
      <c r="AN36" s="19">
        <v>5</v>
      </c>
      <c r="AO36" s="19">
        <v>5</v>
      </c>
      <c r="AP36" s="19">
        <v>10</v>
      </c>
      <c r="AQ36">
        <v>37</v>
      </c>
      <c r="AR36" s="16">
        <v>95.1</v>
      </c>
      <c r="AS36" s="16">
        <v>80.400000000000006</v>
      </c>
      <c r="AT36" s="16">
        <v>15.9</v>
      </c>
      <c r="AU36">
        <v>82.71</v>
      </c>
      <c r="AV36" s="17">
        <v>0</v>
      </c>
      <c r="AW36">
        <v>10.32</v>
      </c>
      <c r="AX36">
        <v>0.39</v>
      </c>
      <c r="AY36">
        <v>10.32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1.9</v>
      </c>
      <c r="BG36">
        <v>26.26</v>
      </c>
      <c r="BH36">
        <v>6.04</v>
      </c>
      <c r="BI36">
        <v>2.19</v>
      </c>
      <c r="BJ36">
        <v>0</v>
      </c>
      <c r="BK36">
        <v>0</v>
      </c>
      <c r="BL36">
        <v>0</v>
      </c>
      <c r="BM36">
        <v>14.7</v>
      </c>
      <c r="BN36">
        <v>1</v>
      </c>
      <c r="BO36">
        <v>1</v>
      </c>
      <c r="BP36">
        <v>0</v>
      </c>
      <c r="BQ36" s="19">
        <v>0</v>
      </c>
      <c r="BR36" s="16">
        <v>5.1100000000000003</v>
      </c>
      <c r="BS36">
        <v>4.8099999999999996</v>
      </c>
      <c r="BT36">
        <v>0</v>
      </c>
      <c r="BU36">
        <v>0</v>
      </c>
      <c r="BV36">
        <v>0</v>
      </c>
      <c r="BW36">
        <v>0</v>
      </c>
    </row>
    <row r="37" spans="1:75" x14ac:dyDescent="0.2">
      <c r="A37">
        <v>1</v>
      </c>
      <c r="B37">
        <v>30.146475017111602</v>
      </c>
      <c r="C37">
        <v>0.309377138945927</v>
      </c>
      <c r="D37">
        <v>4</v>
      </c>
      <c r="E37">
        <v>67</v>
      </c>
      <c r="F37">
        <v>1.73</v>
      </c>
      <c r="G37">
        <v>22.386314277122501</v>
      </c>
      <c r="H37">
        <v>0</v>
      </c>
      <c r="I37">
        <v>0</v>
      </c>
      <c r="J37" s="19">
        <v>1</v>
      </c>
      <c r="K37" s="19">
        <v>0</v>
      </c>
      <c r="L37" s="19">
        <v>0</v>
      </c>
      <c r="M37" s="19">
        <v>0</v>
      </c>
      <c r="N37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19">
        <v>0</v>
      </c>
      <c r="V37" s="15">
        <f t="shared" si="1"/>
        <v>0</v>
      </c>
      <c r="W37" s="19">
        <v>1</v>
      </c>
      <c r="X37" s="19">
        <v>2</v>
      </c>
      <c r="Y37" s="19">
        <v>5</v>
      </c>
      <c r="Z37" s="19">
        <v>5</v>
      </c>
      <c r="AA37" s="19">
        <v>4</v>
      </c>
      <c r="AB37" s="19">
        <v>5</v>
      </c>
      <c r="AC37" s="19">
        <v>3</v>
      </c>
      <c r="AD37" s="19">
        <v>4</v>
      </c>
      <c r="AE37" s="19">
        <v>4</v>
      </c>
      <c r="AF37" s="19">
        <v>3</v>
      </c>
      <c r="AG37" s="19">
        <v>4</v>
      </c>
      <c r="AH37" s="19">
        <v>5</v>
      </c>
      <c r="AI37" s="19">
        <v>4</v>
      </c>
      <c r="AJ37" s="19">
        <v>4</v>
      </c>
      <c r="AK37" s="19">
        <v>4</v>
      </c>
      <c r="AL37" s="19">
        <v>3</v>
      </c>
      <c r="AM37" s="19">
        <v>4</v>
      </c>
      <c r="AN37" s="19">
        <v>4</v>
      </c>
      <c r="AO37" s="19">
        <v>4</v>
      </c>
      <c r="AP37" s="19">
        <v>9</v>
      </c>
      <c r="AQ37">
        <v>37</v>
      </c>
      <c r="AR37" s="16">
        <v>95.1</v>
      </c>
      <c r="AS37" s="16">
        <v>80.400000000000006</v>
      </c>
      <c r="AT37" s="16">
        <v>15.9</v>
      </c>
      <c r="AU37">
        <v>82.71</v>
      </c>
      <c r="AV37" s="17">
        <v>0</v>
      </c>
      <c r="AW37">
        <v>10.32</v>
      </c>
      <c r="AX37">
        <v>0.39</v>
      </c>
      <c r="AY37">
        <v>10.32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1.9</v>
      </c>
      <c r="BG37">
        <v>26.26</v>
      </c>
      <c r="BH37">
        <v>6.04</v>
      </c>
      <c r="BI37">
        <v>2.19</v>
      </c>
      <c r="BJ37">
        <v>0</v>
      </c>
      <c r="BK37">
        <v>0</v>
      </c>
      <c r="BL37">
        <v>0</v>
      </c>
      <c r="BM37">
        <v>14.7</v>
      </c>
      <c r="BN37">
        <v>1</v>
      </c>
      <c r="BO37">
        <v>1</v>
      </c>
      <c r="BP37">
        <v>0</v>
      </c>
      <c r="BQ37" s="19">
        <v>0</v>
      </c>
      <c r="BR37" s="16">
        <v>5.1100000000000003</v>
      </c>
      <c r="BS37">
        <v>4.8099999999999996</v>
      </c>
      <c r="BT37">
        <v>0</v>
      </c>
      <c r="BU37">
        <v>0</v>
      </c>
      <c r="BV37">
        <v>0</v>
      </c>
      <c r="BW37">
        <v>0</v>
      </c>
    </row>
    <row r="38" spans="1:75" x14ac:dyDescent="0.2">
      <c r="A38">
        <v>1</v>
      </c>
      <c r="B38">
        <v>35.761806981519499</v>
      </c>
      <c r="C38">
        <v>0.29842573579739901</v>
      </c>
      <c r="D38">
        <v>4</v>
      </c>
      <c r="E38">
        <v>87</v>
      </c>
      <c r="F38">
        <v>1.57</v>
      </c>
      <c r="G38">
        <v>35.295549515193301</v>
      </c>
      <c r="H38">
        <v>0</v>
      </c>
      <c r="I38">
        <v>0</v>
      </c>
      <c r="J38" s="19">
        <v>0</v>
      </c>
      <c r="K38" s="19">
        <v>2</v>
      </c>
      <c r="L38" s="19">
        <v>0</v>
      </c>
      <c r="M38" s="19">
        <v>0</v>
      </c>
      <c r="N38">
        <v>0</v>
      </c>
      <c r="O38" s="19">
        <v>0</v>
      </c>
      <c r="P38" s="19">
        <v>0</v>
      </c>
      <c r="Q38" s="19">
        <v>0</v>
      </c>
      <c r="R38" s="19">
        <v>0</v>
      </c>
      <c r="S38" s="19">
        <v>0</v>
      </c>
      <c r="T38" s="19">
        <v>0</v>
      </c>
      <c r="U38" s="19">
        <v>0</v>
      </c>
      <c r="V38" s="15">
        <f t="shared" si="1"/>
        <v>0</v>
      </c>
      <c r="W38" s="19">
        <v>1</v>
      </c>
      <c r="X38" s="19">
        <v>1</v>
      </c>
      <c r="Y38" s="19">
        <v>1</v>
      </c>
      <c r="Z38" s="19">
        <v>2</v>
      </c>
      <c r="AA38" s="19">
        <v>1</v>
      </c>
      <c r="AB38" s="19">
        <v>1</v>
      </c>
      <c r="AC38" s="19">
        <v>1</v>
      </c>
      <c r="AD38" s="19">
        <v>2</v>
      </c>
      <c r="AE38" s="19">
        <v>3</v>
      </c>
      <c r="AF38" s="19">
        <v>5</v>
      </c>
      <c r="AG38" s="19">
        <v>5</v>
      </c>
      <c r="AH38" s="19">
        <v>5</v>
      </c>
      <c r="AI38" s="19">
        <v>4</v>
      </c>
      <c r="AJ38" s="19">
        <v>5</v>
      </c>
      <c r="AK38" s="19">
        <v>3</v>
      </c>
      <c r="AL38" s="19">
        <v>5</v>
      </c>
      <c r="AM38" s="19">
        <v>5</v>
      </c>
      <c r="AN38" s="19">
        <v>5</v>
      </c>
      <c r="AO38" s="19">
        <v>5</v>
      </c>
      <c r="AP38" s="19">
        <v>10</v>
      </c>
      <c r="AQ38">
        <v>37</v>
      </c>
      <c r="AR38" s="16">
        <v>95.1</v>
      </c>
      <c r="AS38" s="16">
        <v>80.400000000000006</v>
      </c>
      <c r="AT38" s="16">
        <v>15.9</v>
      </c>
      <c r="AU38">
        <v>82.71</v>
      </c>
      <c r="AV38" s="17">
        <v>0</v>
      </c>
      <c r="AW38">
        <v>10.32</v>
      </c>
      <c r="AX38">
        <v>0.39</v>
      </c>
      <c r="AY38">
        <v>10.32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1.9</v>
      </c>
      <c r="BG38">
        <v>26.26</v>
      </c>
      <c r="BH38">
        <v>6.04</v>
      </c>
      <c r="BI38">
        <v>2.19</v>
      </c>
      <c r="BJ38">
        <v>0</v>
      </c>
      <c r="BK38">
        <v>0</v>
      </c>
      <c r="BL38">
        <v>0</v>
      </c>
      <c r="BM38">
        <v>14.7</v>
      </c>
      <c r="BN38">
        <v>1</v>
      </c>
      <c r="BO38">
        <v>1</v>
      </c>
      <c r="BP38">
        <v>0</v>
      </c>
      <c r="BQ38" s="19">
        <v>0</v>
      </c>
      <c r="BR38" s="16">
        <v>5.1100000000000003</v>
      </c>
      <c r="BS38">
        <v>4.8099999999999996</v>
      </c>
      <c r="BT38">
        <v>0</v>
      </c>
      <c r="BU38">
        <v>0</v>
      </c>
      <c r="BV38">
        <v>0</v>
      </c>
      <c r="BW38">
        <v>0</v>
      </c>
    </row>
    <row r="39" spans="1:75" x14ac:dyDescent="0.2">
      <c r="A39">
        <v>1</v>
      </c>
      <c r="B39">
        <v>22.557152635181399</v>
      </c>
      <c r="C39">
        <v>0.27104722792607799</v>
      </c>
      <c r="D39">
        <v>4</v>
      </c>
      <c r="E39">
        <v>53</v>
      </c>
      <c r="F39">
        <v>1.64</v>
      </c>
      <c r="G39">
        <v>19.705532421177899</v>
      </c>
      <c r="H39">
        <v>0</v>
      </c>
      <c r="I39">
        <v>0</v>
      </c>
      <c r="J39" s="19">
        <v>0</v>
      </c>
      <c r="K39" s="19">
        <v>0</v>
      </c>
      <c r="L39" s="19">
        <v>0</v>
      </c>
      <c r="M39" s="19">
        <v>0</v>
      </c>
      <c r="N39">
        <v>0</v>
      </c>
      <c r="O39" s="19">
        <v>0</v>
      </c>
      <c r="P39" s="19">
        <v>0</v>
      </c>
      <c r="Q39" s="19">
        <v>0</v>
      </c>
      <c r="R39" s="19">
        <v>0</v>
      </c>
      <c r="S39" s="19">
        <v>0</v>
      </c>
      <c r="T39" s="19">
        <v>0</v>
      </c>
      <c r="U39" s="19">
        <v>0</v>
      </c>
      <c r="V39" s="15">
        <f t="shared" si="1"/>
        <v>0</v>
      </c>
      <c r="W39" s="19">
        <v>1</v>
      </c>
      <c r="X39" s="19">
        <v>1</v>
      </c>
      <c r="Y39" s="19">
        <v>3</v>
      </c>
      <c r="Z39" s="19">
        <v>5</v>
      </c>
      <c r="AA39" s="19">
        <v>2</v>
      </c>
      <c r="AB39" s="19">
        <v>2</v>
      </c>
      <c r="AC39" s="19">
        <v>2</v>
      </c>
      <c r="AD39" s="19">
        <v>3</v>
      </c>
      <c r="AE39" s="19">
        <v>4</v>
      </c>
      <c r="AF39" s="19">
        <v>5</v>
      </c>
      <c r="AG39" s="19">
        <v>5</v>
      </c>
      <c r="AH39" s="19">
        <v>5</v>
      </c>
      <c r="AI39" s="19">
        <v>5</v>
      </c>
      <c r="AJ39" s="19">
        <v>5</v>
      </c>
      <c r="AK39" s="19">
        <v>4</v>
      </c>
      <c r="AL39" s="19">
        <v>5</v>
      </c>
      <c r="AM39" s="19">
        <v>5</v>
      </c>
      <c r="AN39" s="19">
        <v>5</v>
      </c>
      <c r="AO39" s="19">
        <v>5</v>
      </c>
      <c r="AP39" s="19">
        <v>10</v>
      </c>
      <c r="AQ39">
        <v>37</v>
      </c>
      <c r="AR39" s="16">
        <v>95.1</v>
      </c>
      <c r="AS39" s="16">
        <v>80.400000000000006</v>
      </c>
      <c r="AT39" s="16">
        <v>15.9</v>
      </c>
      <c r="AU39">
        <v>82.71</v>
      </c>
      <c r="AV39" s="17">
        <v>0</v>
      </c>
      <c r="AW39">
        <v>10.32</v>
      </c>
      <c r="AX39">
        <v>0.39</v>
      </c>
      <c r="AY39">
        <v>10.32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1.9</v>
      </c>
      <c r="BG39">
        <v>26.26</v>
      </c>
      <c r="BH39">
        <v>6.04</v>
      </c>
      <c r="BI39">
        <v>2.19</v>
      </c>
      <c r="BJ39">
        <v>0</v>
      </c>
      <c r="BK39">
        <v>0</v>
      </c>
      <c r="BL39">
        <v>0</v>
      </c>
      <c r="BM39">
        <v>14.7</v>
      </c>
      <c r="BN39">
        <v>1</v>
      </c>
      <c r="BO39">
        <v>1</v>
      </c>
      <c r="BP39">
        <v>0</v>
      </c>
      <c r="BQ39" s="19">
        <v>0</v>
      </c>
      <c r="BR39" s="16">
        <v>5.1100000000000003</v>
      </c>
      <c r="BS39">
        <v>4.8099999999999996</v>
      </c>
      <c r="BT39">
        <v>0</v>
      </c>
      <c r="BU39">
        <v>0</v>
      </c>
      <c r="BV39">
        <v>0</v>
      </c>
      <c r="BW39">
        <v>0</v>
      </c>
    </row>
    <row r="40" spans="1:75" x14ac:dyDescent="0.2">
      <c r="A40">
        <v>2</v>
      </c>
      <c r="B40">
        <v>43.444216290212204</v>
      </c>
      <c r="C40">
        <v>22.368240930869302</v>
      </c>
      <c r="D40">
        <v>4</v>
      </c>
      <c r="E40">
        <v>75</v>
      </c>
      <c r="F40">
        <v>1.74</v>
      </c>
      <c r="G40">
        <v>24.7720967102656</v>
      </c>
      <c r="H40">
        <v>0</v>
      </c>
      <c r="I40">
        <v>0</v>
      </c>
      <c r="J40" s="19">
        <v>1</v>
      </c>
      <c r="K40" s="19">
        <v>2</v>
      </c>
      <c r="L40" s="19">
        <v>0</v>
      </c>
      <c r="M40" s="19"/>
      <c r="N40">
        <v>0</v>
      </c>
      <c r="O40" s="19">
        <v>0</v>
      </c>
      <c r="P40" s="19">
        <v>0</v>
      </c>
      <c r="Q40" s="19">
        <v>0</v>
      </c>
      <c r="R40" s="19">
        <v>0</v>
      </c>
      <c r="S40" s="19">
        <v>7</v>
      </c>
      <c r="T40" s="19">
        <v>7</v>
      </c>
      <c r="U40" s="19">
        <v>7</v>
      </c>
      <c r="V40" s="15">
        <f t="shared" si="1"/>
        <v>2.625</v>
      </c>
      <c r="W40" s="19">
        <v>3</v>
      </c>
      <c r="X40" s="19">
        <v>3</v>
      </c>
      <c r="Y40" s="19">
        <v>5</v>
      </c>
      <c r="Z40" s="19">
        <v>5</v>
      </c>
      <c r="AA40" s="19">
        <v>3</v>
      </c>
      <c r="AB40" s="19">
        <v>1</v>
      </c>
      <c r="AC40" s="19">
        <v>3</v>
      </c>
      <c r="AD40" s="19">
        <v>3</v>
      </c>
      <c r="AE40" s="19">
        <v>2</v>
      </c>
      <c r="AF40" s="19">
        <v>3</v>
      </c>
      <c r="AG40" s="19">
        <v>5</v>
      </c>
      <c r="AH40" s="19">
        <v>5</v>
      </c>
      <c r="AI40" s="19">
        <v>1</v>
      </c>
      <c r="AJ40" s="19">
        <v>3</v>
      </c>
      <c r="AK40" s="19">
        <v>5</v>
      </c>
      <c r="AL40" s="19">
        <v>3</v>
      </c>
      <c r="AM40" s="19">
        <v>1</v>
      </c>
      <c r="AN40" s="19">
        <v>4</v>
      </c>
      <c r="AO40" s="19">
        <v>3</v>
      </c>
      <c r="AP40" s="19">
        <v>3</v>
      </c>
      <c r="AQ40">
        <v>37</v>
      </c>
      <c r="AR40" s="16">
        <v>95.1</v>
      </c>
      <c r="AS40" s="16">
        <v>80.400000000000006</v>
      </c>
      <c r="AT40" s="16">
        <v>15.9</v>
      </c>
      <c r="AU40">
        <v>82.71</v>
      </c>
      <c r="AV40" s="17">
        <v>0</v>
      </c>
      <c r="AW40">
        <v>10.32</v>
      </c>
      <c r="AX40">
        <v>0.39</v>
      </c>
      <c r="AY40">
        <v>10.32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1.9</v>
      </c>
      <c r="BG40">
        <v>26.26</v>
      </c>
      <c r="BH40">
        <v>6.04</v>
      </c>
      <c r="BI40">
        <v>2.19</v>
      </c>
      <c r="BJ40">
        <v>0</v>
      </c>
      <c r="BK40">
        <v>0</v>
      </c>
      <c r="BL40">
        <v>0</v>
      </c>
      <c r="BM40">
        <v>14.7</v>
      </c>
      <c r="BN40">
        <v>1</v>
      </c>
      <c r="BO40">
        <v>1</v>
      </c>
      <c r="BP40">
        <v>0</v>
      </c>
      <c r="BQ40" s="19">
        <v>0</v>
      </c>
      <c r="BR40" s="16">
        <v>5.1100000000000003</v>
      </c>
      <c r="BS40">
        <v>4.8099999999999996</v>
      </c>
      <c r="BT40">
        <v>0</v>
      </c>
      <c r="BU40">
        <v>0</v>
      </c>
      <c r="BV40">
        <v>0</v>
      </c>
      <c r="BW40">
        <v>0</v>
      </c>
    </row>
    <row r="41" spans="1:75" x14ac:dyDescent="0.2">
      <c r="A41">
        <v>2</v>
      </c>
      <c r="B41">
        <v>24.6160164271047</v>
      </c>
      <c r="C41">
        <v>0.29842573579739901</v>
      </c>
      <c r="D41">
        <v>4</v>
      </c>
      <c r="E41">
        <v>75</v>
      </c>
      <c r="F41">
        <v>1.72</v>
      </c>
      <c r="G41">
        <v>25.351541373715499</v>
      </c>
      <c r="H41">
        <v>0</v>
      </c>
      <c r="I41">
        <v>0</v>
      </c>
      <c r="J41" s="19">
        <v>0</v>
      </c>
      <c r="K41" s="19">
        <v>1</v>
      </c>
      <c r="L41" s="19">
        <v>0</v>
      </c>
      <c r="M41" s="19">
        <v>0</v>
      </c>
      <c r="N41">
        <v>0</v>
      </c>
      <c r="O41" s="19">
        <v>0</v>
      </c>
      <c r="P41" s="19">
        <v>0</v>
      </c>
      <c r="Q41" s="19">
        <v>0</v>
      </c>
      <c r="R41" s="19">
        <v>0</v>
      </c>
      <c r="S41" s="19">
        <v>0</v>
      </c>
      <c r="T41" s="19">
        <v>0</v>
      </c>
      <c r="U41" s="19">
        <v>0</v>
      </c>
      <c r="V41" s="15">
        <f t="shared" si="1"/>
        <v>0</v>
      </c>
      <c r="W41" s="19">
        <v>2</v>
      </c>
      <c r="X41" s="19">
        <v>1</v>
      </c>
      <c r="Y41" s="19">
        <v>3</v>
      </c>
      <c r="Z41" s="19">
        <v>5</v>
      </c>
      <c r="AA41" s="19">
        <v>1</v>
      </c>
      <c r="AB41" s="19">
        <v>1</v>
      </c>
      <c r="AC41" s="19">
        <v>5</v>
      </c>
      <c r="AD41" s="19">
        <v>3</v>
      </c>
      <c r="AE41" s="19">
        <v>5</v>
      </c>
      <c r="AF41" s="19">
        <v>3</v>
      </c>
      <c r="AG41" s="19">
        <v>5</v>
      </c>
      <c r="AH41" s="19">
        <v>5</v>
      </c>
      <c r="AI41" s="19">
        <v>5</v>
      </c>
      <c r="AJ41" s="19">
        <v>5</v>
      </c>
      <c r="AK41" s="19">
        <v>2</v>
      </c>
      <c r="AL41" s="19">
        <v>5</v>
      </c>
      <c r="AM41" s="19">
        <v>5</v>
      </c>
      <c r="AN41" s="19">
        <v>5</v>
      </c>
      <c r="AO41" s="19">
        <v>5</v>
      </c>
      <c r="AP41" s="19">
        <v>10</v>
      </c>
      <c r="AQ41">
        <v>33.5</v>
      </c>
      <c r="AR41" s="16">
        <v>91.5</v>
      </c>
      <c r="AS41" s="16">
        <v>80.400000000000006</v>
      </c>
      <c r="AT41" s="16">
        <v>20</v>
      </c>
      <c r="AU41">
        <v>84.58</v>
      </c>
      <c r="AV41" s="17">
        <v>0</v>
      </c>
      <c r="AW41">
        <v>15.42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13.79</v>
      </c>
      <c r="BH41">
        <v>2.67</v>
      </c>
      <c r="BI41">
        <v>11.54</v>
      </c>
      <c r="BJ41">
        <v>0</v>
      </c>
      <c r="BK41">
        <v>12.3</v>
      </c>
      <c r="BL41">
        <v>2</v>
      </c>
      <c r="BM41">
        <v>0</v>
      </c>
      <c r="BN41">
        <v>1</v>
      </c>
      <c r="BO41">
        <v>0</v>
      </c>
      <c r="BP41" s="16">
        <v>0.25</v>
      </c>
      <c r="BQ41" s="16">
        <v>1</v>
      </c>
      <c r="BR41" s="16">
        <v>0.55000000000000004</v>
      </c>
      <c r="BS41" s="16">
        <v>0.55000000000000004</v>
      </c>
      <c r="BT41" s="16">
        <v>0</v>
      </c>
      <c r="BU41" s="16">
        <v>0</v>
      </c>
      <c r="BV41" s="16">
        <v>0</v>
      </c>
      <c r="BW41">
        <v>0</v>
      </c>
    </row>
    <row r="42" spans="1:75" x14ac:dyDescent="0.2">
      <c r="A42">
        <v>2</v>
      </c>
      <c r="B42">
        <v>27.644079397672801</v>
      </c>
      <c r="C42">
        <v>0.27926078028747398</v>
      </c>
      <c r="D42">
        <v>4</v>
      </c>
      <c r="E42">
        <v>78</v>
      </c>
      <c r="F42">
        <v>1.82</v>
      </c>
      <c r="G42">
        <v>23.547880690737799</v>
      </c>
      <c r="H42">
        <v>0</v>
      </c>
      <c r="I42">
        <v>0</v>
      </c>
      <c r="J42" s="19">
        <v>0</v>
      </c>
      <c r="K42" s="19">
        <v>1</v>
      </c>
      <c r="L42" s="19">
        <v>1</v>
      </c>
      <c r="M42" s="19">
        <v>0</v>
      </c>
      <c r="N42">
        <v>0</v>
      </c>
      <c r="O42" s="19">
        <v>0</v>
      </c>
      <c r="P42" s="19">
        <v>0</v>
      </c>
      <c r="Q42" s="19">
        <v>0</v>
      </c>
      <c r="R42" s="19">
        <v>0</v>
      </c>
      <c r="S42" s="19">
        <v>0</v>
      </c>
      <c r="T42" s="19">
        <v>0</v>
      </c>
      <c r="U42" s="19">
        <v>0</v>
      </c>
      <c r="V42" s="15">
        <f t="shared" si="1"/>
        <v>0</v>
      </c>
      <c r="W42" s="19">
        <v>1</v>
      </c>
      <c r="X42" s="19">
        <v>1</v>
      </c>
      <c r="Y42" s="19">
        <v>3</v>
      </c>
      <c r="Z42" s="19">
        <v>5</v>
      </c>
      <c r="AA42" s="19">
        <v>2</v>
      </c>
      <c r="AB42" s="19">
        <v>1</v>
      </c>
      <c r="AC42" s="19">
        <v>3</v>
      </c>
      <c r="AD42" s="19">
        <v>4</v>
      </c>
      <c r="AE42" s="19">
        <v>4</v>
      </c>
      <c r="AF42" s="19">
        <v>5</v>
      </c>
      <c r="AG42" s="19">
        <v>5</v>
      </c>
      <c r="AH42" s="19">
        <v>5</v>
      </c>
      <c r="AI42" s="19">
        <v>4</v>
      </c>
      <c r="AJ42" s="19">
        <v>5</v>
      </c>
      <c r="AK42" s="19">
        <v>5</v>
      </c>
      <c r="AL42" s="19">
        <v>5</v>
      </c>
      <c r="AM42" s="19">
        <v>5</v>
      </c>
      <c r="AN42" s="19">
        <v>5</v>
      </c>
      <c r="AO42" s="19">
        <v>5</v>
      </c>
      <c r="AP42" s="19">
        <v>9</v>
      </c>
      <c r="AQ42">
        <v>33.5</v>
      </c>
      <c r="AR42" s="16">
        <v>91.5</v>
      </c>
      <c r="AS42" s="16">
        <v>80.400000000000006</v>
      </c>
      <c r="AT42" s="16">
        <v>20</v>
      </c>
      <c r="AU42">
        <v>84.58</v>
      </c>
      <c r="AV42" s="17">
        <v>0</v>
      </c>
      <c r="AW42">
        <v>15.42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13.79</v>
      </c>
      <c r="BH42">
        <v>2.67</v>
      </c>
      <c r="BI42">
        <v>11.54</v>
      </c>
      <c r="BJ42">
        <v>0</v>
      </c>
      <c r="BK42">
        <v>12.3</v>
      </c>
      <c r="BL42">
        <v>2</v>
      </c>
      <c r="BM42">
        <v>0</v>
      </c>
      <c r="BN42">
        <v>1</v>
      </c>
      <c r="BO42">
        <v>0</v>
      </c>
      <c r="BP42" s="16">
        <v>0.25</v>
      </c>
      <c r="BQ42" s="16">
        <v>1</v>
      </c>
      <c r="BR42" s="16">
        <v>0.55000000000000004</v>
      </c>
      <c r="BS42" s="16">
        <v>0.55000000000000004</v>
      </c>
      <c r="BT42" s="16">
        <v>0</v>
      </c>
      <c r="BU42" s="16">
        <v>0</v>
      </c>
      <c r="BV42" s="16">
        <v>0</v>
      </c>
      <c r="BW42">
        <v>0</v>
      </c>
    </row>
    <row r="43" spans="1:75" x14ac:dyDescent="0.2">
      <c r="A43">
        <v>2</v>
      </c>
      <c r="B43">
        <v>26.7378507871321</v>
      </c>
      <c r="C43">
        <v>0.26009582477755</v>
      </c>
      <c r="D43">
        <v>4</v>
      </c>
      <c r="E43">
        <v>85</v>
      </c>
      <c r="F43">
        <v>1.7</v>
      </c>
      <c r="G43">
        <v>29.411764705882302</v>
      </c>
      <c r="H43">
        <v>0</v>
      </c>
      <c r="I43">
        <v>0</v>
      </c>
      <c r="J43" s="19">
        <v>0</v>
      </c>
      <c r="K43" s="19">
        <v>0</v>
      </c>
      <c r="L43" s="19">
        <v>0</v>
      </c>
      <c r="M43" s="19">
        <v>0</v>
      </c>
      <c r="N43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19">
        <v>0</v>
      </c>
      <c r="V43" s="15">
        <f t="shared" si="1"/>
        <v>0</v>
      </c>
      <c r="W43" s="19">
        <v>1</v>
      </c>
      <c r="X43" s="19">
        <v>1</v>
      </c>
      <c r="Y43" s="19">
        <v>3</v>
      </c>
      <c r="Z43" s="19">
        <v>5</v>
      </c>
      <c r="AA43" s="19">
        <v>1</v>
      </c>
      <c r="AB43" s="19">
        <v>1</v>
      </c>
      <c r="AC43" s="19">
        <v>5</v>
      </c>
      <c r="AD43" s="19">
        <v>5</v>
      </c>
      <c r="AE43" s="19">
        <v>5</v>
      </c>
      <c r="AF43" s="19">
        <v>3</v>
      </c>
      <c r="AG43" s="19">
        <v>5</v>
      </c>
      <c r="AH43" s="19">
        <v>5</v>
      </c>
      <c r="AI43" s="19">
        <v>5</v>
      </c>
      <c r="AJ43" s="19">
        <v>5</v>
      </c>
      <c r="AK43" s="19">
        <v>5</v>
      </c>
      <c r="AL43" s="19">
        <v>5</v>
      </c>
      <c r="AM43" s="19">
        <v>5</v>
      </c>
      <c r="AN43" s="19">
        <v>5</v>
      </c>
      <c r="AO43" s="19">
        <v>5</v>
      </c>
      <c r="AP43" s="19">
        <v>10</v>
      </c>
      <c r="AQ43">
        <v>33.5</v>
      </c>
      <c r="AR43" s="16">
        <v>91.5</v>
      </c>
      <c r="AS43" s="16">
        <v>80.400000000000006</v>
      </c>
      <c r="AT43" s="16">
        <v>20</v>
      </c>
      <c r="AU43">
        <v>84.58</v>
      </c>
      <c r="AV43" s="17">
        <v>0</v>
      </c>
      <c r="AW43">
        <v>15.42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13.79</v>
      </c>
      <c r="BH43">
        <v>2.67</v>
      </c>
      <c r="BI43">
        <v>11.54</v>
      </c>
      <c r="BJ43">
        <v>0</v>
      </c>
      <c r="BK43">
        <v>12.3</v>
      </c>
      <c r="BL43">
        <v>2</v>
      </c>
      <c r="BM43">
        <v>0</v>
      </c>
      <c r="BN43">
        <v>1</v>
      </c>
      <c r="BO43">
        <v>0</v>
      </c>
      <c r="BP43" s="16">
        <v>0.25</v>
      </c>
      <c r="BQ43" s="16">
        <v>1</v>
      </c>
      <c r="BR43" s="16">
        <v>0.55000000000000004</v>
      </c>
      <c r="BS43" s="16">
        <v>0.55000000000000004</v>
      </c>
      <c r="BT43" s="16">
        <v>0</v>
      </c>
      <c r="BU43" s="16">
        <v>0</v>
      </c>
      <c r="BV43" s="16">
        <v>0</v>
      </c>
      <c r="BW43">
        <v>0</v>
      </c>
    </row>
    <row r="44" spans="1:75" x14ac:dyDescent="0.2">
      <c r="A44">
        <v>1</v>
      </c>
      <c r="B44">
        <v>43.0308008213552</v>
      </c>
      <c r="C44">
        <v>10.335386721423699</v>
      </c>
      <c r="D44">
        <v>8</v>
      </c>
      <c r="E44">
        <v>65</v>
      </c>
      <c r="F44">
        <v>1.62</v>
      </c>
      <c r="G44">
        <v>24.767565919829298</v>
      </c>
      <c r="H44">
        <v>0</v>
      </c>
      <c r="I44">
        <v>0</v>
      </c>
      <c r="J44" s="19">
        <v>1</v>
      </c>
      <c r="K44" s="19">
        <v>1</v>
      </c>
      <c r="L44" s="19">
        <v>0</v>
      </c>
      <c r="M44" s="19">
        <v>9</v>
      </c>
      <c r="N44">
        <v>6</v>
      </c>
      <c r="O44" s="19">
        <v>0</v>
      </c>
      <c r="P44" s="19">
        <v>9</v>
      </c>
      <c r="Q44" s="19">
        <v>10</v>
      </c>
      <c r="R44" s="19">
        <v>0</v>
      </c>
      <c r="S44" s="19">
        <v>0</v>
      </c>
      <c r="T44" s="19">
        <v>0</v>
      </c>
      <c r="U44" s="19">
        <v>0</v>
      </c>
      <c r="V44" s="15">
        <f t="shared" si="1"/>
        <v>3.7777777777777777</v>
      </c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>
        <v>5</v>
      </c>
      <c r="AN44" s="19">
        <v>5</v>
      </c>
      <c r="AO44" s="19">
        <v>2</v>
      </c>
      <c r="AP44" s="19">
        <v>9</v>
      </c>
      <c r="AQ44">
        <v>33.5</v>
      </c>
      <c r="AR44" s="16">
        <v>91.5</v>
      </c>
      <c r="AS44" s="16">
        <v>80.400000000000006</v>
      </c>
      <c r="AT44" s="16">
        <v>20</v>
      </c>
      <c r="AU44">
        <v>84.58</v>
      </c>
      <c r="AV44" s="17">
        <v>0</v>
      </c>
      <c r="AW44">
        <v>15.42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13.79</v>
      </c>
      <c r="BH44">
        <v>2.67</v>
      </c>
      <c r="BI44">
        <v>11.54</v>
      </c>
      <c r="BJ44">
        <v>0</v>
      </c>
      <c r="BK44">
        <v>12.3</v>
      </c>
      <c r="BL44">
        <v>2</v>
      </c>
      <c r="BM44">
        <v>0</v>
      </c>
      <c r="BN44">
        <v>1</v>
      </c>
      <c r="BO44">
        <v>0</v>
      </c>
      <c r="BP44" s="16">
        <v>0.25</v>
      </c>
      <c r="BQ44" s="16">
        <v>1</v>
      </c>
      <c r="BR44" s="16">
        <v>0.55000000000000004</v>
      </c>
      <c r="BS44" s="16">
        <v>0.55000000000000004</v>
      </c>
      <c r="BT44" s="16">
        <v>0</v>
      </c>
      <c r="BU44" s="16">
        <v>0</v>
      </c>
      <c r="BV44" s="16">
        <v>0</v>
      </c>
      <c r="BW44">
        <v>0</v>
      </c>
    </row>
    <row r="45" spans="1:75" x14ac:dyDescent="0.2">
      <c r="A45">
        <v>1</v>
      </c>
      <c r="B45">
        <v>41.604380561259397</v>
      </c>
      <c r="C45">
        <v>21.1827515400411</v>
      </c>
      <c r="D45">
        <v>4</v>
      </c>
      <c r="F45">
        <v>1.75</v>
      </c>
      <c r="G45">
        <v>0</v>
      </c>
      <c r="H45">
        <v>0</v>
      </c>
      <c r="I45">
        <v>0</v>
      </c>
      <c r="J45" s="19">
        <v>1</v>
      </c>
      <c r="K45" s="19">
        <v>1</v>
      </c>
      <c r="L45" s="19">
        <v>0</v>
      </c>
      <c r="M45" s="19">
        <v>6</v>
      </c>
      <c r="N45">
        <v>9</v>
      </c>
      <c r="O45" s="19">
        <v>8</v>
      </c>
      <c r="P45" s="19">
        <v>6</v>
      </c>
      <c r="Q45" s="19">
        <v>9</v>
      </c>
      <c r="R45" s="19">
        <v>5</v>
      </c>
      <c r="S45" s="19">
        <v>7</v>
      </c>
      <c r="T45" s="19">
        <v>0</v>
      </c>
      <c r="U45" s="19">
        <v>0</v>
      </c>
      <c r="V45" s="15">
        <f t="shared" si="1"/>
        <v>5.5555555555555554</v>
      </c>
      <c r="W45" s="19">
        <v>3</v>
      </c>
      <c r="X45" s="19">
        <v>2</v>
      </c>
      <c r="Y45" s="19">
        <v>5</v>
      </c>
      <c r="Z45" s="19">
        <v>5</v>
      </c>
      <c r="AA45" s="19">
        <v>2</v>
      </c>
      <c r="AB45" s="19">
        <v>3</v>
      </c>
      <c r="AC45" s="19">
        <v>4</v>
      </c>
      <c r="AD45" s="19">
        <v>3</v>
      </c>
      <c r="AE45" s="19">
        <v>1</v>
      </c>
      <c r="AF45" s="19">
        <v>2</v>
      </c>
      <c r="AG45" s="19">
        <v>3</v>
      </c>
      <c r="AH45" s="19">
        <v>5</v>
      </c>
      <c r="AI45" s="19">
        <v>3</v>
      </c>
      <c r="AJ45" s="19">
        <v>4</v>
      </c>
      <c r="AK45" s="19">
        <v>5</v>
      </c>
      <c r="AL45" s="19">
        <v>5</v>
      </c>
      <c r="AM45" s="19">
        <v>2</v>
      </c>
      <c r="AN45" s="19">
        <v>4</v>
      </c>
      <c r="AO45" s="19">
        <v>1</v>
      </c>
      <c r="AP45" s="19">
        <v>5</v>
      </c>
      <c r="AQ45" s="15">
        <v>28.5</v>
      </c>
      <c r="AR45" s="17">
        <v>69.3</v>
      </c>
      <c r="AS45" s="17">
        <v>114</v>
      </c>
      <c r="AT45" s="17">
        <v>19.5</v>
      </c>
      <c r="AU45" s="17">
        <v>79.150000000000006</v>
      </c>
      <c r="AV45" s="17">
        <v>0</v>
      </c>
      <c r="AW45" s="17">
        <v>3.87</v>
      </c>
      <c r="AX45" s="17">
        <v>2.86</v>
      </c>
      <c r="AY45" s="17">
        <v>14.12</v>
      </c>
      <c r="AZ45" s="17">
        <v>0</v>
      </c>
      <c r="BA45" s="17">
        <v>0</v>
      </c>
      <c r="BB45" s="17">
        <v>0</v>
      </c>
      <c r="BC45" s="17">
        <v>0</v>
      </c>
      <c r="BD45" s="17">
        <v>0</v>
      </c>
      <c r="BE45" s="17">
        <v>0</v>
      </c>
      <c r="BF45" s="17">
        <v>0.82</v>
      </c>
      <c r="BG45" s="17">
        <v>11.71</v>
      </c>
      <c r="BH45" s="17">
        <v>15.43</v>
      </c>
      <c r="BI45" s="17">
        <v>4.91</v>
      </c>
      <c r="BJ45" s="17">
        <v>0</v>
      </c>
      <c r="BK45" s="17">
        <v>0</v>
      </c>
      <c r="BL45" s="17">
        <v>0</v>
      </c>
      <c r="BM45" s="17">
        <v>0</v>
      </c>
      <c r="BN45" s="17">
        <v>0</v>
      </c>
      <c r="BO45" s="15">
        <v>0</v>
      </c>
      <c r="BP45" s="15">
        <v>0</v>
      </c>
      <c r="BQ45" s="15">
        <v>0</v>
      </c>
      <c r="BR45" s="15">
        <v>8.6999999999999993</v>
      </c>
      <c r="BS45" s="15">
        <v>15.43</v>
      </c>
      <c r="BT45" s="15">
        <v>0</v>
      </c>
      <c r="BU45" s="15">
        <v>0</v>
      </c>
      <c r="BV45" s="15">
        <v>0</v>
      </c>
      <c r="BW45" s="15">
        <v>0</v>
      </c>
    </row>
    <row r="46" spans="1:75" x14ac:dyDescent="0.2">
      <c r="A46">
        <v>2</v>
      </c>
      <c r="B46">
        <v>43.093771389459299</v>
      </c>
      <c r="C46">
        <v>21.702943189596201</v>
      </c>
      <c r="D46">
        <v>4</v>
      </c>
      <c r="E46">
        <v>69</v>
      </c>
      <c r="F46">
        <v>1.74</v>
      </c>
      <c r="G46">
        <v>22.7903289734443</v>
      </c>
      <c r="H46">
        <v>0</v>
      </c>
      <c r="I46">
        <v>0</v>
      </c>
      <c r="J46" s="19">
        <v>1</v>
      </c>
      <c r="K46" s="19">
        <v>2</v>
      </c>
      <c r="L46" s="19">
        <v>0</v>
      </c>
      <c r="M46" s="19">
        <v>0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19">
        <v>0</v>
      </c>
      <c r="V46" s="15">
        <f t="shared" si="1"/>
        <v>0</v>
      </c>
      <c r="W46" s="19">
        <v>3</v>
      </c>
      <c r="X46" s="19">
        <v>3</v>
      </c>
      <c r="Y46" s="19">
        <v>3</v>
      </c>
      <c r="Z46" s="19">
        <v>4</v>
      </c>
      <c r="AA46" s="19">
        <v>2</v>
      </c>
      <c r="AB46" s="19">
        <v>1</v>
      </c>
      <c r="AC46" s="19">
        <v>3</v>
      </c>
      <c r="AD46" s="19">
        <v>3</v>
      </c>
      <c r="AE46" s="19">
        <v>3</v>
      </c>
      <c r="AF46" s="19">
        <v>2</v>
      </c>
      <c r="AG46" s="19">
        <v>2</v>
      </c>
      <c r="AH46" s="19">
        <v>5</v>
      </c>
      <c r="AI46" s="19">
        <v>2</v>
      </c>
      <c r="AJ46" s="19">
        <v>5</v>
      </c>
      <c r="AK46" s="19">
        <v>4</v>
      </c>
      <c r="AL46" s="19">
        <v>4</v>
      </c>
      <c r="AM46" s="19">
        <v>4</v>
      </c>
      <c r="AN46" s="19">
        <v>4</v>
      </c>
      <c r="AO46" s="19">
        <v>3</v>
      </c>
      <c r="AP46" s="19">
        <v>9</v>
      </c>
      <c r="AQ46" s="15">
        <v>28.5</v>
      </c>
      <c r="AR46" s="17">
        <v>69.3</v>
      </c>
      <c r="AS46" s="17">
        <v>114</v>
      </c>
      <c r="AT46" s="17">
        <v>19.5</v>
      </c>
      <c r="AU46" s="17">
        <v>79.150000000000006</v>
      </c>
      <c r="AV46" s="17">
        <v>0</v>
      </c>
      <c r="AW46" s="17">
        <v>3.87</v>
      </c>
      <c r="AX46" s="17">
        <v>2.86</v>
      </c>
      <c r="AY46" s="17">
        <v>14.12</v>
      </c>
      <c r="AZ46" s="17">
        <v>0</v>
      </c>
      <c r="BA46" s="17">
        <v>0</v>
      </c>
      <c r="BB46" s="17">
        <v>0</v>
      </c>
      <c r="BC46" s="17">
        <v>0</v>
      </c>
      <c r="BD46" s="17">
        <v>0</v>
      </c>
      <c r="BE46" s="17">
        <v>0</v>
      </c>
      <c r="BF46" s="17">
        <v>0.82</v>
      </c>
      <c r="BG46" s="17">
        <v>11.71</v>
      </c>
      <c r="BH46" s="17">
        <v>15.43</v>
      </c>
      <c r="BI46" s="17">
        <v>4.91</v>
      </c>
      <c r="BJ46" s="17">
        <v>0</v>
      </c>
      <c r="BK46" s="17">
        <v>0</v>
      </c>
      <c r="BL46" s="17">
        <v>0</v>
      </c>
      <c r="BM46" s="17">
        <v>0</v>
      </c>
      <c r="BN46" s="17">
        <v>0</v>
      </c>
      <c r="BO46" s="15">
        <v>0</v>
      </c>
      <c r="BP46" s="15">
        <v>0</v>
      </c>
      <c r="BQ46" s="15">
        <v>0</v>
      </c>
      <c r="BR46" s="15">
        <v>8.6999999999999993</v>
      </c>
      <c r="BS46" s="15">
        <v>15.43</v>
      </c>
      <c r="BT46" s="15">
        <v>0</v>
      </c>
      <c r="BU46" s="15">
        <v>0</v>
      </c>
      <c r="BV46" s="15">
        <v>0</v>
      </c>
      <c r="BW46" s="15">
        <v>0</v>
      </c>
    </row>
    <row r="47" spans="1:75" x14ac:dyDescent="0.2">
      <c r="A47">
        <v>2</v>
      </c>
      <c r="B47">
        <v>40.917180013689297</v>
      </c>
      <c r="C47">
        <v>20.0711841204654</v>
      </c>
      <c r="D47">
        <v>4</v>
      </c>
      <c r="E47">
        <v>62</v>
      </c>
      <c r="F47">
        <v>1.76</v>
      </c>
      <c r="G47">
        <v>20.0154958677686</v>
      </c>
      <c r="H47">
        <v>0</v>
      </c>
      <c r="I47">
        <v>0</v>
      </c>
      <c r="J47" s="19">
        <v>0</v>
      </c>
      <c r="K47" s="19">
        <v>0</v>
      </c>
      <c r="L47" s="19">
        <v>1</v>
      </c>
      <c r="M47" s="19">
        <v>0</v>
      </c>
      <c r="N47">
        <v>0</v>
      </c>
      <c r="O47" s="19">
        <v>0</v>
      </c>
      <c r="P47" s="19"/>
      <c r="Q47" s="19"/>
      <c r="R47" s="19">
        <v>0</v>
      </c>
      <c r="S47" s="19">
        <v>0</v>
      </c>
      <c r="T47" s="19">
        <v>0</v>
      </c>
      <c r="U47" s="19">
        <v>0</v>
      </c>
      <c r="V47" s="15">
        <f t="shared" si="1"/>
        <v>0</v>
      </c>
      <c r="W47" s="19">
        <v>2</v>
      </c>
      <c r="X47" s="19">
        <v>1</v>
      </c>
      <c r="Y47" s="19">
        <v>2</v>
      </c>
      <c r="Z47" s="19">
        <v>4</v>
      </c>
      <c r="AA47" s="19">
        <v>2</v>
      </c>
      <c r="AB47" s="19">
        <v>2</v>
      </c>
      <c r="AC47" s="19">
        <v>1</v>
      </c>
      <c r="AD47" s="19">
        <v>1</v>
      </c>
      <c r="AE47" s="19">
        <v>1</v>
      </c>
      <c r="AF47" s="19">
        <v>2</v>
      </c>
      <c r="AG47" s="19">
        <v>4</v>
      </c>
      <c r="AH47" s="19">
        <v>4</v>
      </c>
      <c r="AI47" s="19">
        <v>1</v>
      </c>
      <c r="AJ47" s="19">
        <v>1</v>
      </c>
      <c r="AK47" s="19">
        <v>5</v>
      </c>
      <c r="AL47" s="19">
        <v>4</v>
      </c>
      <c r="AM47" s="19">
        <v>4</v>
      </c>
      <c r="AN47" s="19">
        <v>4</v>
      </c>
      <c r="AO47" s="19">
        <v>2</v>
      </c>
      <c r="AP47" s="19">
        <v>8</v>
      </c>
      <c r="AQ47" s="15">
        <v>28.5</v>
      </c>
      <c r="AR47" s="17">
        <v>69.3</v>
      </c>
      <c r="AS47" s="17">
        <v>114</v>
      </c>
      <c r="AT47" s="17">
        <v>19.5</v>
      </c>
      <c r="AU47" s="17">
        <v>79.150000000000006</v>
      </c>
      <c r="AV47" s="17">
        <v>0</v>
      </c>
      <c r="AW47" s="17">
        <v>3.87</v>
      </c>
      <c r="AX47" s="17">
        <v>2.86</v>
      </c>
      <c r="AY47" s="17">
        <v>14.12</v>
      </c>
      <c r="AZ47" s="17">
        <v>0</v>
      </c>
      <c r="BA47" s="17">
        <v>0</v>
      </c>
      <c r="BB47" s="17">
        <v>0</v>
      </c>
      <c r="BC47" s="17">
        <v>0</v>
      </c>
      <c r="BD47" s="17">
        <v>0</v>
      </c>
      <c r="BE47" s="17">
        <v>0</v>
      </c>
      <c r="BF47" s="17">
        <v>0.82</v>
      </c>
      <c r="BG47" s="17">
        <v>11.71</v>
      </c>
      <c r="BH47" s="17">
        <v>15.43</v>
      </c>
      <c r="BI47" s="17">
        <v>4.91</v>
      </c>
      <c r="BJ47" s="17">
        <v>0</v>
      </c>
      <c r="BK47" s="17">
        <v>0</v>
      </c>
      <c r="BL47" s="17">
        <v>0</v>
      </c>
      <c r="BM47" s="17">
        <v>0</v>
      </c>
      <c r="BN47" s="17">
        <v>0</v>
      </c>
      <c r="BO47" s="15">
        <v>0</v>
      </c>
      <c r="BP47" s="15">
        <v>0</v>
      </c>
      <c r="BQ47" s="15">
        <v>0</v>
      </c>
      <c r="BR47" s="15">
        <v>8.6999999999999993</v>
      </c>
      <c r="BS47" s="15">
        <v>15.43</v>
      </c>
      <c r="BT47" s="15">
        <v>0</v>
      </c>
      <c r="BU47" s="15">
        <v>0</v>
      </c>
      <c r="BV47" s="15">
        <v>0</v>
      </c>
      <c r="BW47" s="15">
        <v>0</v>
      </c>
    </row>
    <row r="48" spans="1:75" x14ac:dyDescent="0.2">
      <c r="A48">
        <v>1</v>
      </c>
      <c r="B48">
        <v>49.245722108145102</v>
      </c>
      <c r="C48">
        <v>22.600958247775502</v>
      </c>
      <c r="D48">
        <v>4</v>
      </c>
      <c r="E48">
        <v>72</v>
      </c>
      <c r="F48">
        <v>1.5</v>
      </c>
      <c r="G48">
        <v>32</v>
      </c>
      <c r="H48">
        <v>1</v>
      </c>
      <c r="I48">
        <v>1</v>
      </c>
      <c r="J48" s="19">
        <v>1</v>
      </c>
      <c r="K48" s="19">
        <v>0</v>
      </c>
      <c r="L48" s="19">
        <v>1</v>
      </c>
      <c r="M48" s="19"/>
      <c r="N48">
        <v>9</v>
      </c>
      <c r="O48" s="19">
        <v>9</v>
      </c>
      <c r="P48" s="19">
        <v>9</v>
      </c>
      <c r="Q48" s="19">
        <v>9</v>
      </c>
      <c r="R48" s="19">
        <v>9</v>
      </c>
      <c r="S48" s="19">
        <v>9</v>
      </c>
      <c r="T48" s="19">
        <v>0</v>
      </c>
      <c r="U48" s="19">
        <v>5</v>
      </c>
      <c r="V48" s="15">
        <f t="shared" si="1"/>
        <v>7.375</v>
      </c>
      <c r="W48" s="19">
        <v>3</v>
      </c>
      <c r="X48" s="19">
        <v>1</v>
      </c>
      <c r="Y48" s="19"/>
      <c r="Z48" s="19">
        <v>4</v>
      </c>
      <c r="AA48" s="19">
        <v>1</v>
      </c>
      <c r="AB48" s="19">
        <v>1</v>
      </c>
      <c r="AC48" s="19">
        <v>2</v>
      </c>
      <c r="AD48" s="19">
        <v>3</v>
      </c>
      <c r="AE48" s="19">
        <v>2</v>
      </c>
      <c r="AF48" s="19">
        <v>2</v>
      </c>
      <c r="AG48" s="19">
        <v>2</v>
      </c>
      <c r="AH48" s="19">
        <v>5</v>
      </c>
      <c r="AI48" s="19">
        <v>3</v>
      </c>
      <c r="AJ48" s="19">
        <v>5</v>
      </c>
      <c r="AK48" s="19">
        <v>5</v>
      </c>
      <c r="AL48" s="19">
        <v>4</v>
      </c>
      <c r="AM48" s="19">
        <v>4</v>
      </c>
      <c r="AN48" s="19">
        <v>4</v>
      </c>
      <c r="AO48" s="19">
        <v>4</v>
      </c>
      <c r="AP48" s="19">
        <v>9</v>
      </c>
      <c r="AQ48" s="15">
        <v>28.5</v>
      </c>
      <c r="AR48" s="17">
        <v>69.3</v>
      </c>
      <c r="AS48" s="17">
        <v>114</v>
      </c>
      <c r="AT48" s="17">
        <v>19.5</v>
      </c>
      <c r="AU48" s="17">
        <v>79.150000000000006</v>
      </c>
      <c r="AV48" s="17">
        <v>0</v>
      </c>
      <c r="AW48" s="17">
        <v>3.87</v>
      </c>
      <c r="AX48" s="17">
        <v>2.86</v>
      </c>
      <c r="AY48" s="17">
        <v>14.12</v>
      </c>
      <c r="AZ48" s="17">
        <v>0</v>
      </c>
      <c r="BA48" s="17">
        <v>0</v>
      </c>
      <c r="BB48" s="17">
        <v>0</v>
      </c>
      <c r="BC48" s="17">
        <v>0</v>
      </c>
      <c r="BD48" s="17">
        <v>0</v>
      </c>
      <c r="BE48" s="17">
        <v>0</v>
      </c>
      <c r="BF48" s="17">
        <v>0.82</v>
      </c>
      <c r="BG48" s="17">
        <v>11.71</v>
      </c>
      <c r="BH48" s="17">
        <v>15.43</v>
      </c>
      <c r="BI48" s="17">
        <v>4.91</v>
      </c>
      <c r="BJ48" s="17">
        <v>0</v>
      </c>
      <c r="BK48" s="17">
        <v>0</v>
      </c>
      <c r="BL48" s="17">
        <v>0</v>
      </c>
      <c r="BM48" s="17">
        <v>0</v>
      </c>
      <c r="BN48" s="17">
        <v>0</v>
      </c>
      <c r="BO48" s="15">
        <v>0</v>
      </c>
      <c r="BP48" s="15">
        <v>0</v>
      </c>
      <c r="BQ48" s="15">
        <v>0</v>
      </c>
      <c r="BR48" s="15">
        <v>8.6999999999999993</v>
      </c>
      <c r="BS48" s="15">
        <v>15.43</v>
      </c>
      <c r="BT48" s="15">
        <v>0</v>
      </c>
      <c r="BU48" s="15">
        <v>0</v>
      </c>
      <c r="BV48" s="15">
        <v>0</v>
      </c>
      <c r="BW48" s="15">
        <v>0</v>
      </c>
    </row>
    <row r="49" spans="1:75" x14ac:dyDescent="0.2">
      <c r="A49">
        <v>2</v>
      </c>
      <c r="B49">
        <v>47.600273785078699</v>
      </c>
      <c r="C49">
        <v>22.658453114305299</v>
      </c>
      <c r="D49">
        <v>4</v>
      </c>
      <c r="E49">
        <v>85</v>
      </c>
      <c r="F49">
        <v>1.73</v>
      </c>
      <c r="G49">
        <v>28.400547963513599</v>
      </c>
      <c r="H49">
        <v>1</v>
      </c>
      <c r="I49">
        <v>1</v>
      </c>
      <c r="J49" s="19">
        <v>0</v>
      </c>
      <c r="K49" s="19">
        <v>1</v>
      </c>
      <c r="L49" s="19">
        <v>0</v>
      </c>
      <c r="M49" s="19"/>
      <c r="N49">
        <v>0</v>
      </c>
      <c r="O49" s="19">
        <v>0</v>
      </c>
      <c r="P49" s="19">
        <v>0</v>
      </c>
      <c r="Q49" s="19">
        <v>0</v>
      </c>
      <c r="R49" s="19"/>
      <c r="S49" s="19"/>
      <c r="T49" s="19">
        <v>0</v>
      </c>
      <c r="U49" s="19"/>
      <c r="V49" s="15">
        <f t="shared" si="1"/>
        <v>0</v>
      </c>
      <c r="W49" s="19">
        <v>2</v>
      </c>
      <c r="X49" s="19">
        <v>2</v>
      </c>
      <c r="Y49" s="19">
        <v>4</v>
      </c>
      <c r="Z49" s="19">
        <v>5</v>
      </c>
      <c r="AA49" s="19">
        <v>3</v>
      </c>
      <c r="AB49" s="19">
        <v>3</v>
      </c>
      <c r="AC49" s="19">
        <v>3</v>
      </c>
      <c r="AD49" s="19">
        <v>4</v>
      </c>
      <c r="AE49" s="19">
        <v>2</v>
      </c>
      <c r="AF49" s="19">
        <v>3</v>
      </c>
      <c r="AG49" s="19">
        <v>3</v>
      </c>
      <c r="AH49" s="19">
        <v>5</v>
      </c>
      <c r="AI49" s="19">
        <v>4</v>
      </c>
      <c r="AJ49" s="19">
        <v>4</v>
      </c>
      <c r="AK49" s="19">
        <v>4</v>
      </c>
      <c r="AL49" s="19">
        <v>5</v>
      </c>
      <c r="AM49" s="19">
        <v>4</v>
      </c>
      <c r="AN49" s="19">
        <v>4</v>
      </c>
      <c r="AO49" s="19">
        <v>4</v>
      </c>
      <c r="AP49" s="19">
        <v>9</v>
      </c>
      <c r="AQ49" s="15">
        <v>28.5</v>
      </c>
      <c r="AR49" s="17">
        <v>69.3</v>
      </c>
      <c r="AS49" s="17">
        <v>114</v>
      </c>
      <c r="AT49" s="17">
        <v>19.5</v>
      </c>
      <c r="AU49" s="17">
        <v>79.150000000000006</v>
      </c>
      <c r="AV49" s="17">
        <v>0</v>
      </c>
      <c r="AW49" s="17">
        <v>3.87</v>
      </c>
      <c r="AX49" s="17">
        <v>2.86</v>
      </c>
      <c r="AY49" s="17">
        <v>14.12</v>
      </c>
      <c r="AZ49" s="17">
        <v>0</v>
      </c>
      <c r="BA49" s="17">
        <v>0</v>
      </c>
      <c r="BB49" s="17">
        <v>0</v>
      </c>
      <c r="BC49" s="17">
        <v>0</v>
      </c>
      <c r="BD49" s="17">
        <v>0</v>
      </c>
      <c r="BE49" s="17">
        <v>0</v>
      </c>
      <c r="BF49" s="17">
        <v>0.82</v>
      </c>
      <c r="BG49" s="17">
        <v>11.71</v>
      </c>
      <c r="BH49" s="17">
        <v>15.43</v>
      </c>
      <c r="BI49" s="17">
        <v>4.91</v>
      </c>
      <c r="BJ49" s="17">
        <v>0</v>
      </c>
      <c r="BK49" s="17">
        <v>0</v>
      </c>
      <c r="BL49" s="17">
        <v>0</v>
      </c>
      <c r="BM49" s="17">
        <v>0</v>
      </c>
      <c r="BN49" s="17">
        <v>0</v>
      </c>
      <c r="BO49" s="15">
        <v>0</v>
      </c>
      <c r="BP49" s="15">
        <v>0</v>
      </c>
      <c r="BQ49" s="15">
        <v>0</v>
      </c>
      <c r="BR49" s="15">
        <v>8.6999999999999993</v>
      </c>
      <c r="BS49" s="15">
        <v>15.43</v>
      </c>
      <c r="BT49" s="15">
        <v>0</v>
      </c>
      <c r="BU49" s="15">
        <v>0</v>
      </c>
      <c r="BV49" s="15">
        <v>0</v>
      </c>
      <c r="BW49" s="15">
        <v>0</v>
      </c>
    </row>
    <row r="50" spans="1:75" x14ac:dyDescent="0.2">
      <c r="A50">
        <v>1</v>
      </c>
      <c r="B50">
        <v>52.643394934976001</v>
      </c>
      <c r="C50">
        <v>19.975359342915802</v>
      </c>
      <c r="D50">
        <v>4</v>
      </c>
      <c r="H50">
        <v>0</v>
      </c>
      <c r="I50">
        <v>0</v>
      </c>
      <c r="J50" s="19">
        <v>0</v>
      </c>
      <c r="K50" s="19">
        <v>1</v>
      </c>
      <c r="L50" s="19">
        <v>0</v>
      </c>
      <c r="M50" s="19"/>
      <c r="N50">
        <v>5</v>
      </c>
      <c r="O50" s="19">
        <v>5</v>
      </c>
      <c r="P50" s="19"/>
      <c r="Q50" s="19"/>
      <c r="R50" s="19">
        <v>0</v>
      </c>
      <c r="S50" s="19">
        <v>0</v>
      </c>
      <c r="T50" s="19"/>
      <c r="U50" s="19">
        <v>5</v>
      </c>
      <c r="V50" s="15">
        <f t="shared" si="1"/>
        <v>3</v>
      </c>
      <c r="W50" s="19">
        <v>2</v>
      </c>
      <c r="X50" s="19">
        <v>1</v>
      </c>
      <c r="Y50" s="19">
        <v>3</v>
      </c>
      <c r="Z50" s="19">
        <v>2</v>
      </c>
      <c r="AA50" s="19">
        <v>1</v>
      </c>
      <c r="AB50" s="19">
        <v>2</v>
      </c>
      <c r="AC50" s="19">
        <v>2</v>
      </c>
      <c r="AD50" s="19">
        <v>2</v>
      </c>
      <c r="AE50" s="19">
        <v>3</v>
      </c>
      <c r="AF50" s="19">
        <v>2</v>
      </c>
      <c r="AG50" s="19">
        <v>3</v>
      </c>
      <c r="AH50" s="19">
        <v>5</v>
      </c>
      <c r="AI50" s="19">
        <v>4</v>
      </c>
      <c r="AJ50" s="19">
        <v>5</v>
      </c>
      <c r="AK50" s="19">
        <v>4</v>
      </c>
      <c r="AL50" s="19">
        <v>4</v>
      </c>
      <c r="AM50" s="19">
        <v>4</v>
      </c>
      <c r="AN50" s="19">
        <v>3</v>
      </c>
      <c r="AO50" s="19">
        <v>3</v>
      </c>
      <c r="AP50" s="19">
        <v>10</v>
      </c>
      <c r="AQ50" s="15">
        <v>28.5</v>
      </c>
      <c r="AR50" s="17">
        <v>69.3</v>
      </c>
      <c r="AS50" s="17">
        <v>114</v>
      </c>
      <c r="AT50" s="17">
        <v>19.5</v>
      </c>
      <c r="AU50" s="17">
        <v>79.150000000000006</v>
      </c>
      <c r="AV50" s="17">
        <v>0</v>
      </c>
      <c r="AW50" s="17">
        <v>3.87</v>
      </c>
      <c r="AX50" s="17">
        <v>2.86</v>
      </c>
      <c r="AY50" s="17">
        <v>14.12</v>
      </c>
      <c r="AZ50" s="17">
        <v>0</v>
      </c>
      <c r="BA50" s="17">
        <v>0</v>
      </c>
      <c r="BB50" s="17">
        <v>0</v>
      </c>
      <c r="BC50" s="17">
        <v>0</v>
      </c>
      <c r="BD50" s="17">
        <v>0</v>
      </c>
      <c r="BE50" s="17">
        <v>0</v>
      </c>
      <c r="BF50" s="17">
        <v>0.82</v>
      </c>
      <c r="BG50" s="17">
        <v>11.71</v>
      </c>
      <c r="BH50" s="17">
        <v>15.43</v>
      </c>
      <c r="BI50" s="17">
        <v>4.91</v>
      </c>
      <c r="BJ50" s="17">
        <v>0</v>
      </c>
      <c r="BK50" s="17">
        <v>0</v>
      </c>
      <c r="BL50" s="17">
        <v>0</v>
      </c>
      <c r="BM50" s="17">
        <v>0</v>
      </c>
      <c r="BN50" s="17">
        <v>0</v>
      </c>
      <c r="BO50" s="15">
        <v>0</v>
      </c>
      <c r="BP50" s="15">
        <v>0</v>
      </c>
      <c r="BQ50" s="15">
        <v>0</v>
      </c>
      <c r="BR50" s="15">
        <v>8.6999999999999993</v>
      </c>
      <c r="BS50" s="15">
        <v>15.43</v>
      </c>
      <c r="BT50" s="15">
        <v>0</v>
      </c>
      <c r="BU50" s="15">
        <v>0</v>
      </c>
      <c r="BV50" s="15">
        <v>0</v>
      </c>
      <c r="BW50" s="15">
        <v>0</v>
      </c>
    </row>
    <row r="51" spans="1:75" x14ac:dyDescent="0.2">
      <c r="A51">
        <v>2</v>
      </c>
      <c r="B51">
        <v>41.793292265571502</v>
      </c>
      <c r="C51">
        <v>19.247091033538702</v>
      </c>
      <c r="D51">
        <v>4</v>
      </c>
      <c r="E51">
        <v>120</v>
      </c>
      <c r="F51">
        <v>1.8</v>
      </c>
      <c r="G51">
        <v>37.037037037037003</v>
      </c>
      <c r="H51">
        <v>1</v>
      </c>
      <c r="J51" s="19">
        <v>1</v>
      </c>
      <c r="K51" s="19">
        <v>0</v>
      </c>
      <c r="L51" s="19">
        <v>1</v>
      </c>
      <c r="M51" s="19">
        <v>8</v>
      </c>
      <c r="N51">
        <v>8</v>
      </c>
      <c r="O51" s="19">
        <v>8</v>
      </c>
      <c r="P51" s="19">
        <v>8</v>
      </c>
      <c r="Q51" s="19">
        <v>8</v>
      </c>
      <c r="R51" s="19">
        <v>8</v>
      </c>
      <c r="S51" s="19">
        <v>8</v>
      </c>
      <c r="T51" s="19">
        <v>8</v>
      </c>
      <c r="U51" s="19">
        <v>8</v>
      </c>
      <c r="V51" s="15">
        <f t="shared" si="1"/>
        <v>8</v>
      </c>
      <c r="W51" s="19">
        <v>5</v>
      </c>
      <c r="X51" s="19">
        <v>3</v>
      </c>
      <c r="Y51" s="19">
        <v>5</v>
      </c>
      <c r="Z51" s="19">
        <v>5</v>
      </c>
      <c r="AA51" s="19">
        <v>2</v>
      </c>
      <c r="AB51" s="19">
        <v>5</v>
      </c>
      <c r="AC51" s="19">
        <v>4</v>
      </c>
      <c r="AD51" s="19">
        <v>3</v>
      </c>
      <c r="AE51" s="19">
        <v>1</v>
      </c>
      <c r="AF51" s="19">
        <v>1</v>
      </c>
      <c r="AG51" s="19">
        <v>2</v>
      </c>
      <c r="AH51" s="19">
        <v>4</v>
      </c>
      <c r="AI51" s="19">
        <v>1</v>
      </c>
      <c r="AJ51" s="19">
        <v>2</v>
      </c>
      <c r="AK51" s="19">
        <v>4</v>
      </c>
      <c r="AL51" s="19">
        <v>5</v>
      </c>
      <c r="AM51" s="19">
        <v>5</v>
      </c>
      <c r="AN51" s="19">
        <v>5</v>
      </c>
      <c r="AO51" s="19">
        <v>1</v>
      </c>
      <c r="AP51" s="19">
        <v>5</v>
      </c>
      <c r="AQ51" s="15">
        <v>28.5</v>
      </c>
      <c r="AR51" s="17">
        <v>69.3</v>
      </c>
      <c r="AS51" s="17">
        <v>114</v>
      </c>
      <c r="AT51" s="17">
        <v>19.5</v>
      </c>
      <c r="AU51" s="17">
        <v>79.150000000000006</v>
      </c>
      <c r="AV51" s="17">
        <v>0</v>
      </c>
      <c r="AW51" s="17">
        <v>3.87</v>
      </c>
      <c r="AX51" s="17">
        <v>2.86</v>
      </c>
      <c r="AY51" s="17">
        <v>14.12</v>
      </c>
      <c r="AZ51" s="17">
        <v>0</v>
      </c>
      <c r="BA51" s="17">
        <v>0</v>
      </c>
      <c r="BB51" s="17">
        <v>0</v>
      </c>
      <c r="BC51" s="17">
        <v>0</v>
      </c>
      <c r="BD51" s="17">
        <v>0</v>
      </c>
      <c r="BE51" s="17">
        <v>0</v>
      </c>
      <c r="BF51" s="17">
        <v>0.82</v>
      </c>
      <c r="BG51" s="17">
        <v>11.71</v>
      </c>
      <c r="BH51" s="17">
        <v>15.43</v>
      </c>
      <c r="BI51" s="17">
        <v>4.91</v>
      </c>
      <c r="BJ51" s="17">
        <v>0</v>
      </c>
      <c r="BK51" s="17">
        <v>0</v>
      </c>
      <c r="BL51" s="17">
        <v>0</v>
      </c>
      <c r="BM51" s="17">
        <v>0</v>
      </c>
      <c r="BN51" s="17">
        <v>0</v>
      </c>
      <c r="BO51" s="15">
        <v>0</v>
      </c>
      <c r="BP51" s="15">
        <v>0</v>
      </c>
      <c r="BQ51" s="15">
        <v>0</v>
      </c>
      <c r="BR51" s="15">
        <v>8.6999999999999993</v>
      </c>
      <c r="BS51" s="15">
        <v>15.43</v>
      </c>
      <c r="BT51" s="15">
        <v>0</v>
      </c>
      <c r="BU51" s="15">
        <v>0</v>
      </c>
      <c r="BV51" s="15">
        <v>0</v>
      </c>
      <c r="BW51" s="15">
        <v>0</v>
      </c>
    </row>
    <row r="52" spans="1:75" x14ac:dyDescent="0.2">
      <c r="A52">
        <v>1</v>
      </c>
      <c r="B52">
        <v>35.890485968514703</v>
      </c>
      <c r="C52">
        <v>8.9746748802190304</v>
      </c>
      <c r="D52">
        <v>4</v>
      </c>
      <c r="F52">
        <v>1.69</v>
      </c>
      <c r="G52">
        <v>0</v>
      </c>
      <c r="H52">
        <v>0</v>
      </c>
      <c r="I52">
        <v>0</v>
      </c>
      <c r="J52" s="19">
        <v>0</v>
      </c>
      <c r="K52" s="19">
        <v>0</v>
      </c>
      <c r="L52" s="19">
        <v>0</v>
      </c>
      <c r="M52" s="19">
        <v>0</v>
      </c>
      <c r="N52">
        <v>0</v>
      </c>
      <c r="O52" s="19">
        <v>0</v>
      </c>
      <c r="P52" s="19">
        <v>5</v>
      </c>
      <c r="Q52" s="19"/>
      <c r="R52" s="19">
        <v>2</v>
      </c>
      <c r="S52" s="19"/>
      <c r="T52" s="19">
        <v>0</v>
      </c>
      <c r="U52" s="19">
        <v>0</v>
      </c>
      <c r="V52" s="15">
        <f t="shared" si="1"/>
        <v>1</v>
      </c>
      <c r="W52" s="19">
        <v>3</v>
      </c>
      <c r="X52" s="19">
        <v>1</v>
      </c>
      <c r="Y52" s="19">
        <v>3</v>
      </c>
      <c r="Z52" s="19">
        <v>4</v>
      </c>
      <c r="AA52" s="19">
        <v>1</v>
      </c>
      <c r="AB52" s="19">
        <v>2</v>
      </c>
      <c r="AC52" s="19">
        <v>4</v>
      </c>
      <c r="AD52" s="19">
        <v>2</v>
      </c>
      <c r="AE52" s="19">
        <v>3</v>
      </c>
      <c r="AF52" s="19">
        <v>3</v>
      </c>
      <c r="AG52" s="19">
        <v>3</v>
      </c>
      <c r="AH52" s="19">
        <v>5</v>
      </c>
      <c r="AI52" s="19">
        <v>4</v>
      </c>
      <c r="AJ52" s="19">
        <v>5</v>
      </c>
      <c r="AK52" s="19">
        <v>5</v>
      </c>
      <c r="AL52" s="19">
        <v>5</v>
      </c>
      <c r="AM52" s="19">
        <v>4</v>
      </c>
      <c r="AN52" s="19">
        <v>4</v>
      </c>
      <c r="AO52" s="19">
        <v>4</v>
      </c>
      <c r="AP52" s="19">
        <v>7</v>
      </c>
      <c r="AQ52" s="15">
        <v>28.5</v>
      </c>
      <c r="AR52" s="17">
        <v>69.3</v>
      </c>
      <c r="AS52" s="17">
        <v>114</v>
      </c>
      <c r="AT52" s="17">
        <v>19.5</v>
      </c>
      <c r="AU52" s="17">
        <v>79.150000000000006</v>
      </c>
      <c r="AV52" s="17">
        <v>0</v>
      </c>
      <c r="AW52" s="17">
        <v>3.87</v>
      </c>
      <c r="AX52" s="17">
        <v>2.86</v>
      </c>
      <c r="AY52" s="17">
        <v>14.12</v>
      </c>
      <c r="AZ52" s="17">
        <v>0</v>
      </c>
      <c r="BA52" s="17">
        <v>0</v>
      </c>
      <c r="BB52" s="17">
        <v>0</v>
      </c>
      <c r="BC52" s="17">
        <v>0</v>
      </c>
      <c r="BD52" s="17">
        <v>0</v>
      </c>
      <c r="BE52" s="17">
        <v>0</v>
      </c>
      <c r="BF52" s="17">
        <v>0.82</v>
      </c>
      <c r="BG52" s="17">
        <v>11.71</v>
      </c>
      <c r="BH52" s="17">
        <v>15.43</v>
      </c>
      <c r="BI52" s="17">
        <v>4.91</v>
      </c>
      <c r="BJ52" s="17">
        <v>0</v>
      </c>
      <c r="BK52" s="17">
        <v>0</v>
      </c>
      <c r="BL52" s="17">
        <v>0</v>
      </c>
      <c r="BM52" s="17">
        <v>0</v>
      </c>
      <c r="BN52" s="17">
        <v>0</v>
      </c>
      <c r="BO52" s="15">
        <v>0</v>
      </c>
      <c r="BP52" s="15">
        <v>0</v>
      </c>
      <c r="BQ52" s="15">
        <v>0</v>
      </c>
      <c r="BR52" s="15">
        <v>8.6999999999999993</v>
      </c>
      <c r="BS52" s="15">
        <v>15.43</v>
      </c>
      <c r="BT52" s="15">
        <v>0</v>
      </c>
      <c r="BU52" s="15">
        <v>0</v>
      </c>
      <c r="BV52" s="15">
        <v>0</v>
      </c>
      <c r="BW52" s="15">
        <v>0</v>
      </c>
    </row>
    <row r="53" spans="1:75" x14ac:dyDescent="0.2">
      <c r="A53">
        <v>1</v>
      </c>
      <c r="B53">
        <v>52.112251882272403</v>
      </c>
      <c r="C53">
        <v>22.3518138261465</v>
      </c>
      <c r="D53">
        <v>4</v>
      </c>
      <c r="E53">
        <v>58.7</v>
      </c>
      <c r="F53">
        <v>1.6</v>
      </c>
      <c r="G53">
        <v>22.9296875</v>
      </c>
      <c r="H53">
        <v>0</v>
      </c>
      <c r="I53">
        <v>0</v>
      </c>
      <c r="J53" s="19">
        <v>1</v>
      </c>
      <c r="K53" s="19">
        <v>0</v>
      </c>
      <c r="L53" s="19">
        <v>1</v>
      </c>
      <c r="M53" s="19">
        <v>3</v>
      </c>
      <c r="N53">
        <v>3</v>
      </c>
      <c r="O53" s="19">
        <v>9</v>
      </c>
      <c r="P53" s="19">
        <v>7</v>
      </c>
      <c r="Q53" s="19">
        <v>3</v>
      </c>
      <c r="R53" s="19">
        <v>7</v>
      </c>
      <c r="S53" s="19">
        <v>7</v>
      </c>
      <c r="T53" s="19"/>
      <c r="U53" s="19">
        <v>4</v>
      </c>
      <c r="V53" s="15">
        <f t="shared" si="1"/>
        <v>5.375</v>
      </c>
      <c r="W53" s="19">
        <v>3</v>
      </c>
      <c r="X53" s="19">
        <v>1</v>
      </c>
      <c r="Y53" s="19">
        <v>2</v>
      </c>
      <c r="Z53" s="19">
        <v>4</v>
      </c>
      <c r="AA53" s="19">
        <v>2</v>
      </c>
      <c r="AB53" s="19">
        <v>3</v>
      </c>
      <c r="AC53" s="19">
        <v>2</v>
      </c>
      <c r="AD53" s="19">
        <v>3</v>
      </c>
      <c r="AE53" s="19">
        <v>1</v>
      </c>
      <c r="AF53" s="19">
        <v>1</v>
      </c>
      <c r="AG53" s="19">
        <v>3</v>
      </c>
      <c r="AH53" s="19">
        <v>5</v>
      </c>
      <c r="AI53" s="19">
        <v>3</v>
      </c>
      <c r="AJ53" s="19">
        <v>3</v>
      </c>
      <c r="AK53" s="19">
        <v>2</v>
      </c>
      <c r="AL53" s="19">
        <v>3</v>
      </c>
      <c r="AM53" s="19">
        <v>3</v>
      </c>
      <c r="AN53" s="19">
        <v>3</v>
      </c>
      <c r="AO53" s="19">
        <v>1</v>
      </c>
      <c r="AP53" s="19">
        <v>5</v>
      </c>
      <c r="AQ53" s="15">
        <v>28.5</v>
      </c>
      <c r="AR53" s="17">
        <v>69.3</v>
      </c>
      <c r="AS53" s="17">
        <v>114</v>
      </c>
      <c r="AT53" s="17">
        <v>19.5</v>
      </c>
      <c r="AU53" s="17">
        <v>79.150000000000006</v>
      </c>
      <c r="AV53" s="17">
        <v>0</v>
      </c>
      <c r="AW53" s="17">
        <v>3.87</v>
      </c>
      <c r="AX53" s="17">
        <v>2.86</v>
      </c>
      <c r="AY53" s="17">
        <v>14.12</v>
      </c>
      <c r="AZ53" s="17">
        <v>0</v>
      </c>
      <c r="BA53" s="17">
        <v>0</v>
      </c>
      <c r="BB53" s="17">
        <v>0</v>
      </c>
      <c r="BC53" s="17">
        <v>0</v>
      </c>
      <c r="BD53" s="17">
        <v>0</v>
      </c>
      <c r="BE53" s="17">
        <v>0</v>
      </c>
      <c r="BF53" s="17">
        <v>0.82</v>
      </c>
      <c r="BG53" s="17">
        <v>11.71</v>
      </c>
      <c r="BH53" s="17">
        <v>15.43</v>
      </c>
      <c r="BI53" s="17">
        <v>4.91</v>
      </c>
      <c r="BJ53" s="17">
        <v>0</v>
      </c>
      <c r="BK53" s="17">
        <v>0</v>
      </c>
      <c r="BL53" s="17">
        <v>0</v>
      </c>
      <c r="BM53" s="17">
        <v>0</v>
      </c>
      <c r="BN53" s="17">
        <v>0</v>
      </c>
      <c r="BO53" s="15">
        <v>0</v>
      </c>
      <c r="BP53" s="15">
        <v>0</v>
      </c>
      <c r="BQ53" s="15">
        <v>0</v>
      </c>
      <c r="BR53" s="15">
        <v>8.6999999999999993</v>
      </c>
      <c r="BS53" s="15">
        <v>15.43</v>
      </c>
      <c r="BT53" s="15">
        <v>0</v>
      </c>
      <c r="BU53" s="15">
        <v>0</v>
      </c>
      <c r="BV53" s="15">
        <v>0</v>
      </c>
      <c r="BW53" s="15">
        <v>0</v>
      </c>
    </row>
    <row r="54" spans="1:75" x14ac:dyDescent="0.2">
      <c r="A54">
        <v>2</v>
      </c>
      <c r="B54">
        <v>40.845995893223801</v>
      </c>
      <c r="C54">
        <v>0.22450376454483201</v>
      </c>
      <c r="D54">
        <v>4</v>
      </c>
      <c r="E54">
        <v>97</v>
      </c>
      <c r="F54">
        <v>1.72</v>
      </c>
      <c r="G54">
        <v>32.7879935100054</v>
      </c>
      <c r="H54">
        <v>0</v>
      </c>
      <c r="I54">
        <v>0</v>
      </c>
      <c r="J54" s="19">
        <v>0</v>
      </c>
      <c r="K54" s="19">
        <v>1</v>
      </c>
      <c r="L54" s="19">
        <v>0</v>
      </c>
      <c r="M54" s="19">
        <v>0</v>
      </c>
      <c r="N54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5">
        <f t="shared" si="1"/>
        <v>0</v>
      </c>
      <c r="W54" s="19">
        <v>2</v>
      </c>
      <c r="X54" s="19">
        <v>2</v>
      </c>
      <c r="Y54" s="19">
        <v>3</v>
      </c>
      <c r="Z54" s="19">
        <v>4</v>
      </c>
      <c r="AA54" s="19">
        <v>3</v>
      </c>
      <c r="AB54" s="19">
        <v>2</v>
      </c>
      <c r="AC54" s="19">
        <v>3</v>
      </c>
      <c r="AD54" s="19">
        <v>3</v>
      </c>
      <c r="AE54" s="19">
        <v>3</v>
      </c>
      <c r="AF54" s="19">
        <v>4</v>
      </c>
      <c r="AG54" s="19">
        <v>4</v>
      </c>
      <c r="AH54" s="19">
        <v>5</v>
      </c>
      <c r="AI54" s="19">
        <v>4</v>
      </c>
      <c r="AJ54" s="19">
        <v>5</v>
      </c>
      <c r="AK54" s="19">
        <v>5</v>
      </c>
      <c r="AL54" s="19">
        <v>4</v>
      </c>
      <c r="AM54" s="19">
        <v>5</v>
      </c>
      <c r="AN54" s="19">
        <v>5</v>
      </c>
      <c r="AO54" s="19">
        <v>4</v>
      </c>
      <c r="AP54" s="19">
        <v>10</v>
      </c>
      <c r="AQ54">
        <v>21.5</v>
      </c>
      <c r="AR54" s="16">
        <v>78.400000000000006</v>
      </c>
      <c r="AS54" s="16">
        <v>80.400000000000006</v>
      </c>
      <c r="AT54" s="16">
        <v>9.6</v>
      </c>
      <c r="AU54">
        <v>84.68</v>
      </c>
      <c r="AV54">
        <v>14.18</v>
      </c>
      <c r="AW54">
        <v>1.1200000000000001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9.51</v>
      </c>
      <c r="BH54">
        <v>25.42</v>
      </c>
      <c r="BI54">
        <v>0</v>
      </c>
      <c r="BJ54">
        <v>0</v>
      </c>
      <c r="BK54">
        <v>0</v>
      </c>
      <c r="BL54">
        <v>2</v>
      </c>
      <c r="BM54">
        <v>3.2</v>
      </c>
      <c r="BN54">
        <v>1</v>
      </c>
      <c r="BO54">
        <v>0</v>
      </c>
      <c r="BP54" s="16">
        <v>0.36</v>
      </c>
      <c r="BQ54" s="16">
        <v>1</v>
      </c>
      <c r="BR54" s="16">
        <v>8.32</v>
      </c>
      <c r="BS54" s="16">
        <v>8.31</v>
      </c>
      <c r="BT54" s="16">
        <v>0</v>
      </c>
      <c r="BU54" s="16">
        <v>0</v>
      </c>
      <c r="BV54" s="16">
        <v>0</v>
      </c>
      <c r="BW54">
        <v>0</v>
      </c>
    </row>
    <row r="55" spans="1:75" x14ac:dyDescent="0.2">
      <c r="A55">
        <v>2</v>
      </c>
      <c r="B55">
        <v>33.659137577002099</v>
      </c>
      <c r="C55">
        <v>0.28747433264887101</v>
      </c>
      <c r="D55">
        <v>8</v>
      </c>
      <c r="E55">
        <v>95</v>
      </c>
      <c r="F55">
        <v>1.7</v>
      </c>
      <c r="G55">
        <v>32.871972318339097</v>
      </c>
      <c r="H55">
        <v>0</v>
      </c>
      <c r="I55">
        <v>0</v>
      </c>
      <c r="J55" s="19">
        <v>0</v>
      </c>
      <c r="K55" s="19">
        <v>1</v>
      </c>
      <c r="L55" s="19">
        <v>0</v>
      </c>
      <c r="M55" s="19">
        <v>0</v>
      </c>
      <c r="N55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5">
        <f t="shared" si="1"/>
        <v>0</v>
      </c>
      <c r="W55" s="19">
        <v>1</v>
      </c>
      <c r="X55" s="19">
        <v>2</v>
      </c>
      <c r="Y55" s="19">
        <v>2</v>
      </c>
      <c r="Z55" s="19">
        <v>2</v>
      </c>
      <c r="AA55" s="19">
        <v>2</v>
      </c>
      <c r="AB55" s="19">
        <v>1</v>
      </c>
      <c r="AC55" s="19">
        <v>2</v>
      </c>
      <c r="AD55" s="19">
        <v>1</v>
      </c>
      <c r="AE55" s="19">
        <v>4</v>
      </c>
      <c r="AF55" s="19">
        <v>4</v>
      </c>
      <c r="AG55" s="19">
        <v>4</v>
      </c>
      <c r="AH55" s="19">
        <v>4</v>
      </c>
      <c r="AI55" s="19">
        <v>4</v>
      </c>
      <c r="AJ55" s="19">
        <v>4</v>
      </c>
      <c r="AK55" s="19">
        <v>4</v>
      </c>
      <c r="AL55" s="19">
        <v>4</v>
      </c>
      <c r="AM55" s="19">
        <v>4</v>
      </c>
      <c r="AN55" s="19">
        <v>4</v>
      </c>
      <c r="AO55" s="19">
        <v>4</v>
      </c>
      <c r="AP55" s="19">
        <v>10</v>
      </c>
      <c r="AQ55">
        <v>21.5</v>
      </c>
      <c r="AR55" s="16">
        <v>78.400000000000006</v>
      </c>
      <c r="AS55" s="16">
        <v>80.400000000000006</v>
      </c>
      <c r="AT55" s="16">
        <v>9.6</v>
      </c>
      <c r="AU55">
        <v>84.68</v>
      </c>
      <c r="AV55">
        <v>14.18</v>
      </c>
      <c r="AW55">
        <v>1.1200000000000001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9.51</v>
      </c>
      <c r="BH55">
        <v>25.42</v>
      </c>
      <c r="BI55">
        <v>0</v>
      </c>
      <c r="BJ55">
        <v>0</v>
      </c>
      <c r="BK55">
        <v>0</v>
      </c>
      <c r="BL55">
        <v>2</v>
      </c>
      <c r="BM55">
        <v>3.2</v>
      </c>
      <c r="BN55">
        <v>1</v>
      </c>
      <c r="BO55">
        <v>0</v>
      </c>
      <c r="BP55" s="16">
        <v>0.36</v>
      </c>
      <c r="BQ55" s="16">
        <v>1</v>
      </c>
      <c r="BR55" s="16">
        <v>8.32</v>
      </c>
      <c r="BS55" s="16">
        <v>8.31</v>
      </c>
      <c r="BT55" s="16">
        <v>0</v>
      </c>
      <c r="BU55" s="16">
        <v>0</v>
      </c>
      <c r="BV55" s="16">
        <v>0</v>
      </c>
      <c r="BW55">
        <v>0</v>
      </c>
    </row>
    <row r="56" spans="1:75" x14ac:dyDescent="0.2">
      <c r="A56">
        <v>2</v>
      </c>
      <c r="B56">
        <v>23.846680355920601</v>
      </c>
      <c r="C56">
        <v>0.24366872005475701</v>
      </c>
      <c r="D56">
        <v>4</v>
      </c>
      <c r="E56">
        <v>95</v>
      </c>
      <c r="F56">
        <v>1.72</v>
      </c>
      <c r="G56">
        <v>32.111952406706301</v>
      </c>
      <c r="H56">
        <v>0</v>
      </c>
      <c r="I56">
        <v>0</v>
      </c>
      <c r="J56" s="19">
        <v>0</v>
      </c>
      <c r="K56" s="19">
        <v>1</v>
      </c>
      <c r="L56" s="19">
        <v>0</v>
      </c>
      <c r="M56" s="19">
        <v>0</v>
      </c>
      <c r="N56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5">
        <f t="shared" si="1"/>
        <v>0</v>
      </c>
      <c r="W56" s="19">
        <v>2</v>
      </c>
      <c r="X56" s="19">
        <v>2</v>
      </c>
      <c r="Y56" s="19">
        <v>2</v>
      </c>
      <c r="Z56" s="19">
        <v>5</v>
      </c>
      <c r="AA56" s="19">
        <v>2</v>
      </c>
      <c r="AB56" s="19">
        <v>2</v>
      </c>
      <c r="AC56" s="19">
        <v>2</v>
      </c>
      <c r="AD56" s="19">
        <v>4</v>
      </c>
      <c r="AE56" s="19">
        <v>4</v>
      </c>
      <c r="AF56" s="19">
        <v>4</v>
      </c>
      <c r="AG56" s="19">
        <v>5</v>
      </c>
      <c r="AH56" s="19">
        <v>5</v>
      </c>
      <c r="AI56" s="19">
        <v>3</v>
      </c>
      <c r="AJ56" s="19">
        <v>5</v>
      </c>
      <c r="AK56" s="19">
        <v>5</v>
      </c>
      <c r="AL56" s="19">
        <v>4</v>
      </c>
      <c r="AM56" s="19">
        <v>5</v>
      </c>
      <c r="AN56" s="19">
        <v>5</v>
      </c>
      <c r="AO56" s="19">
        <v>5</v>
      </c>
      <c r="AP56" s="19">
        <v>10</v>
      </c>
      <c r="AQ56">
        <v>21.5</v>
      </c>
      <c r="AR56" s="16">
        <v>78.400000000000006</v>
      </c>
      <c r="AS56" s="16">
        <v>80.400000000000006</v>
      </c>
      <c r="AT56" s="16">
        <v>9.6</v>
      </c>
      <c r="AU56">
        <v>84.68</v>
      </c>
      <c r="AV56">
        <v>14.18</v>
      </c>
      <c r="AW56">
        <v>1.1200000000000001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9.51</v>
      </c>
      <c r="BH56">
        <v>25.42</v>
      </c>
      <c r="BI56">
        <v>0</v>
      </c>
      <c r="BJ56">
        <v>0</v>
      </c>
      <c r="BK56">
        <v>0</v>
      </c>
      <c r="BL56">
        <v>2</v>
      </c>
      <c r="BM56">
        <v>3.2</v>
      </c>
      <c r="BN56">
        <v>1</v>
      </c>
      <c r="BO56">
        <v>0</v>
      </c>
      <c r="BP56" s="16">
        <v>0.36</v>
      </c>
      <c r="BQ56" s="16">
        <v>1</v>
      </c>
      <c r="BR56" s="16">
        <v>8.32</v>
      </c>
      <c r="BS56" s="16">
        <v>8.31</v>
      </c>
      <c r="BT56" s="16">
        <v>0</v>
      </c>
      <c r="BU56" s="16">
        <v>0</v>
      </c>
      <c r="BV56" s="16">
        <v>0</v>
      </c>
      <c r="BW56">
        <v>0</v>
      </c>
    </row>
    <row r="57" spans="1:75" x14ac:dyDescent="0.2">
      <c r="A57">
        <v>1</v>
      </c>
      <c r="B57">
        <v>47.559206023271699</v>
      </c>
      <c r="C57">
        <v>6.5407255304585901</v>
      </c>
      <c r="D57">
        <v>8</v>
      </c>
      <c r="E57">
        <v>75</v>
      </c>
      <c r="F57">
        <v>1.68</v>
      </c>
      <c r="G57">
        <v>26.573129251700699</v>
      </c>
      <c r="H57">
        <v>0</v>
      </c>
      <c r="I57">
        <v>0</v>
      </c>
      <c r="J57" s="19">
        <v>1</v>
      </c>
      <c r="K57" s="19">
        <v>2</v>
      </c>
      <c r="L57" s="19">
        <v>0</v>
      </c>
      <c r="M57" s="19">
        <v>0</v>
      </c>
      <c r="N57">
        <v>0</v>
      </c>
      <c r="O57" s="19">
        <v>0</v>
      </c>
      <c r="P57" s="19">
        <v>10</v>
      </c>
      <c r="Q57" s="19">
        <v>7</v>
      </c>
      <c r="R57" s="19">
        <v>0</v>
      </c>
      <c r="S57" s="19">
        <v>0</v>
      </c>
      <c r="T57" s="19">
        <v>0</v>
      </c>
      <c r="U57" s="19">
        <v>0</v>
      </c>
      <c r="V57" s="15">
        <f t="shared" si="1"/>
        <v>1.8888888888888888</v>
      </c>
      <c r="W57" s="19">
        <v>2</v>
      </c>
      <c r="X57" s="19">
        <v>1</v>
      </c>
      <c r="Y57" s="19">
        <v>5</v>
      </c>
      <c r="Z57" s="19">
        <v>5</v>
      </c>
      <c r="AA57" s="19">
        <v>3</v>
      </c>
      <c r="AB57" s="19">
        <v>4</v>
      </c>
      <c r="AC57" s="19">
        <v>4</v>
      </c>
      <c r="AD57" s="19">
        <v>3</v>
      </c>
      <c r="AE57" s="19">
        <v>3</v>
      </c>
      <c r="AF57" s="19">
        <v>3</v>
      </c>
      <c r="AG57" s="19">
        <v>4</v>
      </c>
      <c r="AH57" s="19">
        <v>5</v>
      </c>
      <c r="AI57" s="19">
        <v>3</v>
      </c>
      <c r="AJ57" s="19">
        <v>4</v>
      </c>
      <c r="AK57" s="19">
        <v>3</v>
      </c>
      <c r="AL57" s="19">
        <v>5</v>
      </c>
      <c r="AM57" s="19">
        <v>3</v>
      </c>
      <c r="AN57" s="19">
        <v>4</v>
      </c>
      <c r="AO57" s="19">
        <v>4</v>
      </c>
      <c r="AP57" s="19">
        <v>10</v>
      </c>
      <c r="AQ57">
        <v>21.5</v>
      </c>
      <c r="AR57" s="16">
        <v>78.400000000000006</v>
      </c>
      <c r="AS57" s="16">
        <v>80.400000000000006</v>
      </c>
      <c r="AT57" s="16">
        <v>9.6</v>
      </c>
      <c r="AU57">
        <v>84.68</v>
      </c>
      <c r="AV57">
        <v>14.18</v>
      </c>
      <c r="AW57">
        <v>1.1200000000000001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9.51</v>
      </c>
      <c r="BH57">
        <v>25.42</v>
      </c>
      <c r="BI57">
        <v>0</v>
      </c>
      <c r="BJ57">
        <v>0</v>
      </c>
      <c r="BK57">
        <v>0</v>
      </c>
      <c r="BL57">
        <v>2</v>
      </c>
      <c r="BM57">
        <v>3.2</v>
      </c>
      <c r="BN57">
        <v>1</v>
      </c>
      <c r="BO57">
        <v>0</v>
      </c>
      <c r="BP57" s="16">
        <v>0.36</v>
      </c>
      <c r="BQ57" s="16">
        <v>1</v>
      </c>
      <c r="BR57" s="16">
        <v>8.32</v>
      </c>
      <c r="BS57" s="16">
        <v>8.31</v>
      </c>
      <c r="BT57" s="16">
        <v>0</v>
      </c>
      <c r="BU57" s="16">
        <v>0</v>
      </c>
      <c r="BV57" s="16">
        <v>0</v>
      </c>
      <c r="BW57">
        <v>0</v>
      </c>
    </row>
    <row r="58" spans="1:75" x14ac:dyDescent="0.2">
      <c r="A58">
        <v>2</v>
      </c>
      <c r="B58">
        <v>42.102669404517499</v>
      </c>
      <c r="C58">
        <v>21.609856262833699</v>
      </c>
      <c r="D58">
        <v>8</v>
      </c>
      <c r="E58">
        <v>64</v>
      </c>
      <c r="F58">
        <v>1.8</v>
      </c>
      <c r="G58">
        <v>19.7530864197531</v>
      </c>
      <c r="H58">
        <v>0</v>
      </c>
      <c r="I58">
        <v>0</v>
      </c>
      <c r="J58" s="19">
        <v>1</v>
      </c>
      <c r="K58" s="19">
        <v>0</v>
      </c>
      <c r="L58" s="19">
        <v>0</v>
      </c>
      <c r="M58" s="19">
        <v>4</v>
      </c>
      <c r="N58">
        <v>4</v>
      </c>
      <c r="O58" s="19">
        <v>4</v>
      </c>
      <c r="P58" s="19">
        <v>0</v>
      </c>
      <c r="Q58" s="19">
        <v>0</v>
      </c>
      <c r="R58" s="19">
        <v>6</v>
      </c>
      <c r="S58" s="19"/>
      <c r="T58" s="19">
        <v>0</v>
      </c>
      <c r="U58" s="19">
        <v>9</v>
      </c>
      <c r="V58" s="15">
        <f t="shared" si="1"/>
        <v>3.375</v>
      </c>
      <c r="W58" s="19">
        <v>3</v>
      </c>
      <c r="X58" s="19">
        <v>3</v>
      </c>
      <c r="Y58" s="19">
        <v>4</v>
      </c>
      <c r="Z58" s="19">
        <v>5</v>
      </c>
      <c r="AA58" s="19">
        <v>3</v>
      </c>
      <c r="AB58" s="19">
        <v>2</v>
      </c>
      <c r="AC58" s="19">
        <v>2</v>
      </c>
      <c r="AD58" s="19">
        <v>2</v>
      </c>
      <c r="AE58" s="19">
        <v>3</v>
      </c>
      <c r="AF58" s="19">
        <v>3</v>
      </c>
      <c r="AG58" s="19">
        <v>4</v>
      </c>
      <c r="AH58" s="19">
        <v>4</v>
      </c>
      <c r="AI58" s="19">
        <v>3</v>
      </c>
      <c r="AJ58" s="19">
        <v>3</v>
      </c>
      <c r="AK58" s="19">
        <v>4</v>
      </c>
      <c r="AL58" s="19">
        <v>4</v>
      </c>
      <c r="AM58" s="19">
        <v>4</v>
      </c>
      <c r="AN58" s="19">
        <v>4</v>
      </c>
      <c r="AO58" s="19">
        <v>2</v>
      </c>
      <c r="AP58" s="19">
        <v>8</v>
      </c>
      <c r="AQ58">
        <v>21.5</v>
      </c>
      <c r="AR58" s="16">
        <v>78.400000000000006</v>
      </c>
      <c r="AS58" s="16">
        <v>80.400000000000006</v>
      </c>
      <c r="AT58" s="16">
        <v>9.6</v>
      </c>
      <c r="AU58">
        <v>84.68</v>
      </c>
      <c r="AV58">
        <v>14.18</v>
      </c>
      <c r="AW58">
        <v>1.1200000000000001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9.51</v>
      </c>
      <c r="BH58">
        <v>25.42</v>
      </c>
      <c r="BI58">
        <v>0</v>
      </c>
      <c r="BJ58">
        <v>0</v>
      </c>
      <c r="BK58">
        <v>0</v>
      </c>
      <c r="BL58">
        <v>2</v>
      </c>
      <c r="BM58">
        <v>3.2</v>
      </c>
      <c r="BN58">
        <v>1</v>
      </c>
      <c r="BO58">
        <v>0</v>
      </c>
      <c r="BP58" s="16">
        <v>0.36</v>
      </c>
      <c r="BQ58" s="16">
        <v>1</v>
      </c>
      <c r="BR58" s="16">
        <v>8.32</v>
      </c>
      <c r="BS58" s="16">
        <v>8.31</v>
      </c>
      <c r="BT58" s="16">
        <v>0</v>
      </c>
      <c r="BU58" s="16">
        <v>0</v>
      </c>
      <c r="BV58" s="16">
        <v>0</v>
      </c>
      <c r="BW58">
        <v>0</v>
      </c>
    </row>
    <row r="59" spans="1:75" x14ac:dyDescent="0.2">
      <c r="A59">
        <v>2</v>
      </c>
      <c r="B59">
        <v>21.7987679671458</v>
      </c>
      <c r="C59">
        <v>0.25462012320328498</v>
      </c>
      <c r="D59">
        <v>4</v>
      </c>
      <c r="E59">
        <v>70</v>
      </c>
      <c r="F59">
        <v>1.7</v>
      </c>
      <c r="G59">
        <v>24.2214532871972</v>
      </c>
      <c r="H59">
        <v>0</v>
      </c>
      <c r="I59">
        <v>0</v>
      </c>
      <c r="J59" s="19">
        <v>0</v>
      </c>
      <c r="K59" s="19">
        <v>1</v>
      </c>
      <c r="L59" s="19">
        <v>0</v>
      </c>
      <c r="M59" s="19">
        <v>0</v>
      </c>
      <c r="N59">
        <v>0</v>
      </c>
      <c r="O59" s="19">
        <v>0</v>
      </c>
      <c r="P59" s="19">
        <v>0</v>
      </c>
      <c r="Q59" s="19">
        <v>0</v>
      </c>
      <c r="R59" s="19">
        <v>0</v>
      </c>
      <c r="S59" s="19">
        <v>0</v>
      </c>
      <c r="T59" s="19">
        <v>0</v>
      </c>
      <c r="U59" s="19">
        <v>0</v>
      </c>
      <c r="V59" s="15">
        <f t="shared" si="1"/>
        <v>0</v>
      </c>
      <c r="W59" s="19">
        <v>2</v>
      </c>
      <c r="X59" s="19">
        <v>1</v>
      </c>
      <c r="Y59" s="19">
        <v>4</v>
      </c>
      <c r="Z59" s="19">
        <v>5</v>
      </c>
      <c r="AA59" s="19">
        <v>2</v>
      </c>
      <c r="AB59" s="19">
        <v>3</v>
      </c>
      <c r="AC59" s="19">
        <v>3</v>
      </c>
      <c r="AD59" s="19">
        <v>3</v>
      </c>
      <c r="AE59" s="19">
        <v>3</v>
      </c>
      <c r="AF59" s="19">
        <v>4</v>
      </c>
      <c r="AG59" s="19">
        <v>4</v>
      </c>
      <c r="AH59" s="19">
        <v>5</v>
      </c>
      <c r="AI59" s="19">
        <v>3</v>
      </c>
      <c r="AJ59" s="19">
        <v>3</v>
      </c>
      <c r="AK59" s="19">
        <v>4</v>
      </c>
      <c r="AL59" s="19">
        <v>3</v>
      </c>
      <c r="AM59" s="19">
        <v>2</v>
      </c>
      <c r="AN59" s="19">
        <v>3</v>
      </c>
      <c r="AO59" s="19">
        <v>4</v>
      </c>
      <c r="AP59" s="19">
        <v>8</v>
      </c>
      <c r="AQ59">
        <v>21.5</v>
      </c>
      <c r="AR59" s="16">
        <v>78.400000000000006</v>
      </c>
      <c r="AS59" s="16">
        <v>80.400000000000006</v>
      </c>
      <c r="AT59" s="16">
        <v>9.6</v>
      </c>
      <c r="AU59">
        <v>84.68</v>
      </c>
      <c r="AV59">
        <v>14.18</v>
      </c>
      <c r="AW59">
        <v>1.1200000000000001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9.51</v>
      </c>
      <c r="BH59">
        <v>25.42</v>
      </c>
      <c r="BI59">
        <v>0</v>
      </c>
      <c r="BJ59">
        <v>0</v>
      </c>
      <c r="BK59">
        <v>0</v>
      </c>
      <c r="BL59">
        <v>2</v>
      </c>
      <c r="BM59">
        <v>3.2</v>
      </c>
      <c r="BN59">
        <v>1</v>
      </c>
      <c r="BO59">
        <v>0</v>
      </c>
      <c r="BP59" s="16">
        <v>0.36</v>
      </c>
      <c r="BQ59" s="16">
        <v>1</v>
      </c>
      <c r="BR59" s="16">
        <v>8.32</v>
      </c>
      <c r="BS59" s="16">
        <v>8.31</v>
      </c>
      <c r="BT59" s="16">
        <v>0</v>
      </c>
      <c r="BU59" s="16">
        <v>0</v>
      </c>
      <c r="BV59" s="16">
        <v>0</v>
      </c>
      <c r="BW59">
        <v>0</v>
      </c>
    </row>
    <row r="60" spans="1:75" x14ac:dyDescent="0.2">
      <c r="A60">
        <v>2</v>
      </c>
      <c r="B60">
        <v>45.648186173853503</v>
      </c>
      <c r="C60">
        <v>15.750855578371</v>
      </c>
      <c r="D60">
        <v>4</v>
      </c>
      <c r="E60">
        <v>77</v>
      </c>
      <c r="F60">
        <v>1.7</v>
      </c>
      <c r="G60">
        <v>26.6435986159169</v>
      </c>
      <c r="H60">
        <v>0</v>
      </c>
      <c r="I60">
        <v>0</v>
      </c>
      <c r="J60" s="19">
        <v>1</v>
      </c>
      <c r="K60" s="19">
        <v>2</v>
      </c>
      <c r="L60" s="19">
        <v>0</v>
      </c>
      <c r="M60" s="19">
        <v>0</v>
      </c>
      <c r="N60">
        <v>9</v>
      </c>
      <c r="O60" s="19">
        <v>9</v>
      </c>
      <c r="P60" s="19">
        <v>0</v>
      </c>
      <c r="Q60" s="19">
        <v>0</v>
      </c>
      <c r="R60" s="19">
        <v>9</v>
      </c>
      <c r="S60" s="19">
        <v>5</v>
      </c>
      <c r="T60" s="19">
        <v>0</v>
      </c>
      <c r="U60" s="19">
        <v>0</v>
      </c>
      <c r="V60" s="15">
        <f t="shared" si="1"/>
        <v>3.5555555555555554</v>
      </c>
      <c r="W60" s="19">
        <v>5</v>
      </c>
      <c r="X60" s="19">
        <v>3</v>
      </c>
      <c r="Y60" s="19">
        <v>5</v>
      </c>
      <c r="Z60" s="19">
        <v>5</v>
      </c>
      <c r="AA60" s="19">
        <v>3</v>
      </c>
      <c r="AB60" s="19">
        <v>2</v>
      </c>
      <c r="AC60" s="19">
        <v>3</v>
      </c>
      <c r="AD60" s="19">
        <v>4</v>
      </c>
      <c r="AE60" s="19">
        <v>5</v>
      </c>
      <c r="AF60" s="19">
        <v>2</v>
      </c>
      <c r="AG60" s="19">
        <v>1</v>
      </c>
      <c r="AH60" s="19">
        <v>5</v>
      </c>
      <c r="AI60" s="19">
        <v>3</v>
      </c>
      <c r="AJ60" s="19">
        <v>3</v>
      </c>
      <c r="AK60" s="19">
        <v>4</v>
      </c>
      <c r="AL60" s="19">
        <v>4</v>
      </c>
      <c r="AM60" s="19">
        <v>4</v>
      </c>
      <c r="AN60" s="19">
        <v>3</v>
      </c>
      <c r="AO60" s="19">
        <v>3</v>
      </c>
      <c r="AP60" s="19">
        <v>7</v>
      </c>
      <c r="AQ60">
        <v>21.5</v>
      </c>
      <c r="AR60" s="16">
        <v>78.400000000000006</v>
      </c>
      <c r="AS60" s="16">
        <v>80.400000000000006</v>
      </c>
      <c r="AT60" s="16">
        <v>9.6</v>
      </c>
      <c r="AU60">
        <v>84.68</v>
      </c>
      <c r="AV60">
        <v>14.18</v>
      </c>
      <c r="AW60">
        <v>1.1200000000000001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9.51</v>
      </c>
      <c r="BH60">
        <v>25.42</v>
      </c>
      <c r="BI60">
        <v>0</v>
      </c>
      <c r="BJ60">
        <v>0</v>
      </c>
      <c r="BK60">
        <v>0</v>
      </c>
      <c r="BL60">
        <v>2</v>
      </c>
      <c r="BM60">
        <v>3.2</v>
      </c>
      <c r="BN60">
        <v>1</v>
      </c>
      <c r="BO60">
        <v>0</v>
      </c>
      <c r="BP60" s="16">
        <v>0.36</v>
      </c>
      <c r="BQ60" s="16">
        <v>1</v>
      </c>
      <c r="BR60" s="16">
        <v>8.32</v>
      </c>
      <c r="BS60" s="16">
        <v>8.31</v>
      </c>
      <c r="BT60" s="16">
        <v>0</v>
      </c>
      <c r="BU60" s="16">
        <v>0</v>
      </c>
      <c r="BV60" s="16">
        <v>0</v>
      </c>
      <c r="BW60">
        <v>0</v>
      </c>
    </row>
    <row r="61" spans="1:75" x14ac:dyDescent="0.2">
      <c r="A61" s="24">
        <v>2</v>
      </c>
      <c r="B61">
        <v>29.242984257358</v>
      </c>
      <c r="C61">
        <v>0.18343600273785099</v>
      </c>
      <c r="D61">
        <v>8</v>
      </c>
      <c r="E61">
        <v>68</v>
      </c>
      <c r="F61">
        <v>1.72</v>
      </c>
      <c r="G61">
        <v>22.985397512168699</v>
      </c>
      <c r="H61">
        <v>0</v>
      </c>
      <c r="I61">
        <v>0</v>
      </c>
      <c r="J61" s="26">
        <v>0</v>
      </c>
      <c r="K61" s="26">
        <v>1</v>
      </c>
      <c r="L61" s="26">
        <v>0</v>
      </c>
      <c r="M61" s="26">
        <v>0</v>
      </c>
      <c r="N61">
        <v>0</v>
      </c>
      <c r="O61" s="19">
        <v>0</v>
      </c>
      <c r="P61" s="26">
        <v>4</v>
      </c>
      <c r="Q61" s="26">
        <v>0</v>
      </c>
      <c r="R61" s="26">
        <v>0</v>
      </c>
      <c r="S61" s="26">
        <v>3</v>
      </c>
      <c r="T61" s="26">
        <v>0</v>
      </c>
      <c r="U61" s="26">
        <v>0</v>
      </c>
      <c r="V61" s="15">
        <f t="shared" si="1"/>
        <v>0.77777777777777779</v>
      </c>
      <c r="W61" s="26">
        <v>3</v>
      </c>
      <c r="X61" s="26">
        <v>2</v>
      </c>
      <c r="Y61" s="26">
        <v>3</v>
      </c>
      <c r="Z61" s="26">
        <v>5</v>
      </c>
      <c r="AA61" s="26">
        <v>3</v>
      </c>
      <c r="AB61" s="26">
        <v>1</v>
      </c>
      <c r="AC61" s="26">
        <v>4</v>
      </c>
      <c r="AD61" s="26">
        <v>5</v>
      </c>
      <c r="AE61" s="26">
        <v>5</v>
      </c>
      <c r="AF61" s="26">
        <v>5</v>
      </c>
      <c r="AG61" s="26">
        <v>3</v>
      </c>
      <c r="AH61" s="26">
        <v>4</v>
      </c>
      <c r="AI61" s="26">
        <v>2</v>
      </c>
      <c r="AJ61" s="26">
        <v>5</v>
      </c>
      <c r="AK61" s="26">
        <v>5</v>
      </c>
      <c r="AL61" s="26">
        <v>5</v>
      </c>
      <c r="AM61" s="26">
        <v>4</v>
      </c>
      <c r="AN61" s="26">
        <v>5</v>
      </c>
      <c r="AO61" s="26">
        <v>5</v>
      </c>
      <c r="AP61" s="26">
        <v>10</v>
      </c>
      <c r="AQ61" s="24">
        <v>36.5</v>
      </c>
      <c r="AR61" s="27">
        <v>88.3</v>
      </c>
      <c r="AS61" s="27">
        <v>80.400000000000006</v>
      </c>
      <c r="AT61" s="27">
        <v>28.2</v>
      </c>
      <c r="AU61" s="24">
        <v>73.819999999999993</v>
      </c>
      <c r="AV61" s="24">
        <v>0</v>
      </c>
      <c r="AW61" s="24">
        <v>25.61</v>
      </c>
      <c r="AX61" s="24">
        <v>0</v>
      </c>
      <c r="AY61" s="24">
        <v>0.56999999999999995</v>
      </c>
      <c r="AZ61" s="24">
        <v>0</v>
      </c>
      <c r="BA61" s="24">
        <v>0</v>
      </c>
      <c r="BB61" s="24">
        <v>0</v>
      </c>
      <c r="BC61" s="24">
        <v>0</v>
      </c>
      <c r="BD61" s="24">
        <v>0</v>
      </c>
      <c r="BE61" s="24">
        <v>0</v>
      </c>
      <c r="BF61" s="24">
        <v>1.17</v>
      </c>
      <c r="BG61" s="24">
        <v>31.76</v>
      </c>
      <c r="BH61" s="24">
        <v>23.3</v>
      </c>
      <c r="BI61" s="24">
        <v>26.08</v>
      </c>
      <c r="BJ61" s="24">
        <v>0</v>
      </c>
      <c r="BK61" s="24">
        <v>0</v>
      </c>
      <c r="BL61" s="24">
        <v>0</v>
      </c>
      <c r="BM61" s="24">
        <v>2.1</v>
      </c>
      <c r="BN61" s="24">
        <v>1</v>
      </c>
      <c r="BO61" s="24">
        <v>0</v>
      </c>
      <c r="BP61" s="27">
        <v>1.9</v>
      </c>
      <c r="BQ61" s="27">
        <v>1</v>
      </c>
      <c r="BR61" s="27">
        <v>0.56999999999999995</v>
      </c>
      <c r="BS61" s="27">
        <v>0.56000000000000005</v>
      </c>
      <c r="BT61" s="27">
        <v>0</v>
      </c>
      <c r="BU61" s="27">
        <v>0</v>
      </c>
      <c r="BV61" s="27">
        <v>0</v>
      </c>
      <c r="BW61" s="24">
        <v>0</v>
      </c>
    </row>
    <row r="62" spans="1:75" x14ac:dyDescent="0.2">
      <c r="A62">
        <v>2</v>
      </c>
      <c r="B62">
        <v>41.659137577002099</v>
      </c>
      <c r="C62">
        <v>0.27652292950034202</v>
      </c>
      <c r="D62">
        <v>8</v>
      </c>
      <c r="E62">
        <v>90</v>
      </c>
      <c r="F62">
        <v>1.73</v>
      </c>
      <c r="G62">
        <v>30.071168431955599</v>
      </c>
      <c r="H62">
        <v>0</v>
      </c>
      <c r="I62">
        <v>0</v>
      </c>
      <c r="J62" s="19">
        <v>0</v>
      </c>
      <c r="K62" s="19">
        <v>2</v>
      </c>
      <c r="L62" s="19">
        <v>1</v>
      </c>
      <c r="M62" s="19">
        <v>0</v>
      </c>
      <c r="N62">
        <v>0</v>
      </c>
      <c r="O62" s="19">
        <v>0</v>
      </c>
      <c r="P62" s="19">
        <v>0</v>
      </c>
      <c r="Q62" s="19">
        <v>0</v>
      </c>
      <c r="R62" s="19">
        <v>0</v>
      </c>
      <c r="S62" s="19">
        <v>0</v>
      </c>
      <c r="T62" s="19">
        <v>0</v>
      </c>
      <c r="U62" s="19">
        <v>0</v>
      </c>
      <c r="V62" s="15">
        <f t="shared" si="1"/>
        <v>0</v>
      </c>
      <c r="W62" s="19">
        <v>4</v>
      </c>
      <c r="X62" s="19">
        <v>1</v>
      </c>
      <c r="Y62" s="19">
        <v>3</v>
      </c>
      <c r="Z62" s="19">
        <v>4</v>
      </c>
      <c r="AA62" s="19">
        <v>3</v>
      </c>
      <c r="AB62" s="19">
        <v>2</v>
      </c>
      <c r="AC62" s="19">
        <v>2</v>
      </c>
      <c r="AD62" s="19">
        <v>3</v>
      </c>
      <c r="AE62" s="19">
        <v>3</v>
      </c>
      <c r="AF62" s="19">
        <v>3</v>
      </c>
      <c r="AG62" s="19">
        <v>4</v>
      </c>
      <c r="AH62" s="19">
        <v>4</v>
      </c>
      <c r="AI62" s="19">
        <v>2</v>
      </c>
      <c r="AJ62" s="19">
        <v>4</v>
      </c>
      <c r="AK62" s="19">
        <v>2</v>
      </c>
      <c r="AL62" s="19">
        <v>5</v>
      </c>
      <c r="AM62" s="19">
        <v>3</v>
      </c>
      <c r="AN62" s="19">
        <v>4</v>
      </c>
      <c r="AO62" s="19">
        <v>4</v>
      </c>
      <c r="AP62" s="19">
        <v>8</v>
      </c>
      <c r="AQ62" s="24">
        <v>36.5</v>
      </c>
      <c r="AR62" s="27">
        <v>88.3</v>
      </c>
      <c r="AS62" s="27">
        <v>80.400000000000006</v>
      </c>
      <c r="AT62" s="27">
        <v>28.2</v>
      </c>
      <c r="AU62" s="24">
        <v>73.819999999999993</v>
      </c>
      <c r="AV62" s="24">
        <v>0</v>
      </c>
      <c r="AW62" s="24">
        <v>25.61</v>
      </c>
      <c r="AX62" s="24">
        <v>0</v>
      </c>
      <c r="AY62" s="24">
        <v>0.56999999999999995</v>
      </c>
      <c r="AZ62" s="24">
        <v>0</v>
      </c>
      <c r="BA62" s="24">
        <v>0</v>
      </c>
      <c r="BB62" s="24">
        <v>0</v>
      </c>
      <c r="BC62" s="24">
        <v>0</v>
      </c>
      <c r="BD62" s="24">
        <v>0</v>
      </c>
      <c r="BE62" s="24">
        <v>0</v>
      </c>
      <c r="BF62" s="24">
        <v>1.17</v>
      </c>
      <c r="BG62" s="24">
        <v>31.76</v>
      </c>
      <c r="BH62" s="24">
        <v>23.3</v>
      </c>
      <c r="BI62" s="24">
        <v>26.08</v>
      </c>
      <c r="BJ62" s="24">
        <v>0</v>
      </c>
      <c r="BK62" s="24">
        <v>0</v>
      </c>
      <c r="BL62" s="24">
        <v>0</v>
      </c>
      <c r="BM62" s="24">
        <v>2.1</v>
      </c>
      <c r="BN62" s="24">
        <v>1</v>
      </c>
      <c r="BO62" s="24">
        <v>0</v>
      </c>
      <c r="BP62" s="27">
        <v>1.9</v>
      </c>
      <c r="BQ62" s="27">
        <v>1</v>
      </c>
      <c r="BR62" s="27">
        <v>0.56999999999999995</v>
      </c>
      <c r="BS62" s="27">
        <v>0.56000000000000005</v>
      </c>
      <c r="BT62" s="27">
        <v>0</v>
      </c>
      <c r="BU62" s="27">
        <v>0</v>
      </c>
      <c r="BV62" s="27">
        <v>0</v>
      </c>
      <c r="BW62" s="24">
        <v>0</v>
      </c>
    </row>
    <row r="63" spans="1:75" x14ac:dyDescent="0.2">
      <c r="A63">
        <v>2</v>
      </c>
      <c r="B63">
        <v>26.765229295003401</v>
      </c>
      <c r="C63">
        <v>6.5133470225872703</v>
      </c>
      <c r="D63">
        <v>8</v>
      </c>
      <c r="E63">
        <v>95</v>
      </c>
      <c r="F63">
        <v>1.82</v>
      </c>
      <c r="G63">
        <v>28.680111097693501</v>
      </c>
      <c r="H63">
        <v>0</v>
      </c>
      <c r="I63">
        <v>0</v>
      </c>
      <c r="J63" s="19">
        <v>0</v>
      </c>
      <c r="K63" s="19">
        <v>0</v>
      </c>
      <c r="L63" s="19">
        <v>1</v>
      </c>
      <c r="M63" s="19">
        <v>0</v>
      </c>
      <c r="N63">
        <v>7</v>
      </c>
      <c r="O63" s="19">
        <v>0</v>
      </c>
      <c r="P63" s="19">
        <v>0</v>
      </c>
      <c r="Q63" s="19">
        <v>0</v>
      </c>
      <c r="R63" s="19">
        <v>9</v>
      </c>
      <c r="S63" s="19">
        <v>9</v>
      </c>
      <c r="T63" s="19">
        <v>0</v>
      </c>
      <c r="U63" s="19">
        <v>3</v>
      </c>
      <c r="V63" s="15">
        <f t="shared" si="1"/>
        <v>3.1111111111111112</v>
      </c>
      <c r="W63" s="19">
        <v>3</v>
      </c>
      <c r="X63" s="19">
        <v>2</v>
      </c>
      <c r="Y63" s="19">
        <v>4</v>
      </c>
      <c r="Z63" s="19">
        <v>4</v>
      </c>
      <c r="AA63" s="19">
        <v>3</v>
      </c>
      <c r="AB63" s="19">
        <v>3</v>
      </c>
      <c r="AC63" s="19">
        <v>2</v>
      </c>
      <c r="AD63" s="19">
        <v>3</v>
      </c>
      <c r="AE63" s="19">
        <v>3</v>
      </c>
      <c r="AF63" s="19">
        <v>3</v>
      </c>
      <c r="AG63" s="19">
        <v>3</v>
      </c>
      <c r="AH63" s="19">
        <v>5</v>
      </c>
      <c r="AI63" s="19">
        <v>3</v>
      </c>
      <c r="AJ63" s="19">
        <v>5</v>
      </c>
      <c r="AK63" s="19">
        <v>3</v>
      </c>
      <c r="AL63" s="19">
        <v>4</v>
      </c>
      <c r="AM63" s="19">
        <v>3</v>
      </c>
      <c r="AN63" s="19">
        <v>3</v>
      </c>
      <c r="AO63" s="19">
        <v>4</v>
      </c>
      <c r="AP63" s="19">
        <v>10</v>
      </c>
      <c r="AQ63">
        <v>64</v>
      </c>
      <c r="AR63" s="16">
        <v>74.3</v>
      </c>
      <c r="AS63" s="16">
        <v>81</v>
      </c>
      <c r="AT63" s="16">
        <v>58.5</v>
      </c>
      <c r="AU63">
        <v>49.17</v>
      </c>
      <c r="AV63">
        <v>0</v>
      </c>
      <c r="AW63">
        <v>34.450000000000003</v>
      </c>
      <c r="AX63">
        <v>16.22</v>
      </c>
      <c r="AY63">
        <v>0.16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2.52</v>
      </c>
      <c r="BI63">
        <v>9.18</v>
      </c>
      <c r="BJ63">
        <v>0</v>
      </c>
      <c r="BK63">
        <v>0</v>
      </c>
      <c r="BL63">
        <v>0</v>
      </c>
      <c r="BM63">
        <v>0.3</v>
      </c>
      <c r="BN63">
        <v>1</v>
      </c>
      <c r="BO63">
        <v>0</v>
      </c>
      <c r="BP63" s="16">
        <v>2.89</v>
      </c>
      <c r="BQ63" s="16">
        <v>1</v>
      </c>
      <c r="BR63" s="16">
        <v>0</v>
      </c>
      <c r="BS63" s="16">
        <v>0</v>
      </c>
      <c r="BT63" s="16">
        <v>0</v>
      </c>
      <c r="BU63" s="16">
        <v>0</v>
      </c>
      <c r="BV63" s="16">
        <v>0</v>
      </c>
      <c r="BW63">
        <v>0</v>
      </c>
    </row>
    <row r="64" spans="1:75" x14ac:dyDescent="0.2">
      <c r="A64">
        <v>1</v>
      </c>
      <c r="B64">
        <v>33.639972621492099</v>
      </c>
      <c r="C64">
        <v>0.24640657084188899</v>
      </c>
      <c r="D64">
        <v>4</v>
      </c>
      <c r="F64">
        <v>1.71</v>
      </c>
      <c r="G64">
        <v>0</v>
      </c>
      <c r="H64">
        <v>0</v>
      </c>
      <c r="I64">
        <v>0</v>
      </c>
      <c r="J64" s="19">
        <v>0</v>
      </c>
      <c r="K64" s="19">
        <v>0</v>
      </c>
      <c r="L64" s="19">
        <v>1</v>
      </c>
      <c r="M64" s="19">
        <v>7</v>
      </c>
      <c r="N64">
        <v>4</v>
      </c>
      <c r="O64" s="19">
        <v>4</v>
      </c>
      <c r="P64" s="19">
        <v>2</v>
      </c>
      <c r="Q64" s="19">
        <v>0</v>
      </c>
      <c r="R64" s="19">
        <v>2</v>
      </c>
      <c r="S64" s="19">
        <v>2</v>
      </c>
      <c r="T64" s="19">
        <v>0</v>
      </c>
      <c r="U64" s="19"/>
      <c r="V64" s="15">
        <f t="shared" si="1"/>
        <v>2.625</v>
      </c>
      <c r="W64" s="19">
        <v>3</v>
      </c>
      <c r="X64" s="19">
        <v>2</v>
      </c>
      <c r="Y64" s="19">
        <v>3</v>
      </c>
      <c r="Z64" s="19">
        <v>5</v>
      </c>
      <c r="AA64" s="19">
        <v>1</v>
      </c>
      <c r="AB64" s="19">
        <v>2</v>
      </c>
      <c r="AC64" s="19">
        <v>4</v>
      </c>
      <c r="AD64" s="19">
        <v>3</v>
      </c>
      <c r="AE64" s="19">
        <v>2</v>
      </c>
      <c r="AF64" s="19">
        <v>5</v>
      </c>
      <c r="AG64" s="19">
        <v>5</v>
      </c>
      <c r="AH64" s="19">
        <v>5</v>
      </c>
      <c r="AI64" s="19">
        <v>5</v>
      </c>
      <c r="AJ64" s="19">
        <v>4</v>
      </c>
      <c r="AK64" s="19">
        <v>5</v>
      </c>
      <c r="AL64" s="19">
        <v>5</v>
      </c>
      <c r="AM64" s="19">
        <v>4</v>
      </c>
      <c r="AN64" s="19">
        <v>5</v>
      </c>
      <c r="AO64" s="19">
        <v>5</v>
      </c>
      <c r="AP64" s="19">
        <v>10</v>
      </c>
      <c r="AQ64" s="24">
        <v>36.5</v>
      </c>
      <c r="AR64" s="27">
        <v>88.3</v>
      </c>
      <c r="AS64" s="27">
        <v>80.400000000000006</v>
      </c>
      <c r="AT64" s="27">
        <v>28.2</v>
      </c>
      <c r="AU64" s="24">
        <v>73.819999999999993</v>
      </c>
      <c r="AV64" s="24">
        <v>0</v>
      </c>
      <c r="AW64" s="24">
        <v>25.61</v>
      </c>
      <c r="AX64" s="24">
        <v>0</v>
      </c>
      <c r="AY64" s="24">
        <v>0.56999999999999995</v>
      </c>
      <c r="AZ64" s="24">
        <v>0</v>
      </c>
      <c r="BA64" s="24">
        <v>0</v>
      </c>
      <c r="BB64" s="24">
        <v>0</v>
      </c>
      <c r="BC64" s="24">
        <v>0</v>
      </c>
      <c r="BD64" s="24">
        <v>0</v>
      </c>
      <c r="BE64" s="24">
        <v>0</v>
      </c>
      <c r="BF64" s="24">
        <v>1.17</v>
      </c>
      <c r="BG64" s="24">
        <v>31.76</v>
      </c>
      <c r="BH64" s="24">
        <v>23.3</v>
      </c>
      <c r="BI64" s="24">
        <v>26.08</v>
      </c>
      <c r="BJ64" s="24">
        <v>0</v>
      </c>
      <c r="BK64" s="24">
        <v>0</v>
      </c>
      <c r="BL64" s="24">
        <v>0</v>
      </c>
      <c r="BM64" s="24">
        <v>2.1</v>
      </c>
      <c r="BN64" s="24">
        <v>1</v>
      </c>
      <c r="BO64" s="24">
        <v>0</v>
      </c>
      <c r="BP64" s="27">
        <v>1.9</v>
      </c>
      <c r="BQ64" s="27">
        <v>1</v>
      </c>
      <c r="BR64" s="27">
        <v>0.56999999999999995</v>
      </c>
      <c r="BS64" s="27">
        <v>0.56000000000000005</v>
      </c>
      <c r="BT64" s="27">
        <v>0</v>
      </c>
      <c r="BU64" s="27">
        <v>0</v>
      </c>
      <c r="BV64" s="27">
        <v>0</v>
      </c>
      <c r="BW64" s="24">
        <v>0</v>
      </c>
    </row>
    <row r="65" spans="1:75" x14ac:dyDescent="0.2">
      <c r="A65">
        <v>2</v>
      </c>
      <c r="B65">
        <v>25.160848733744</v>
      </c>
      <c r="C65">
        <v>0.28747433264887101</v>
      </c>
      <c r="D65">
        <v>8</v>
      </c>
      <c r="E65">
        <v>79</v>
      </c>
      <c r="F65">
        <v>1.71</v>
      </c>
      <c r="G65">
        <v>27.016859888512698</v>
      </c>
      <c r="H65">
        <v>0</v>
      </c>
      <c r="I65">
        <v>0</v>
      </c>
      <c r="J65" s="19">
        <v>0</v>
      </c>
      <c r="K65" s="19">
        <v>1</v>
      </c>
      <c r="L65" s="19">
        <v>0</v>
      </c>
      <c r="M65" s="19">
        <v>0</v>
      </c>
      <c r="N65">
        <v>0</v>
      </c>
      <c r="O65" s="19">
        <v>0</v>
      </c>
      <c r="P65" s="19">
        <v>0</v>
      </c>
      <c r="Q65" s="19">
        <v>0</v>
      </c>
      <c r="R65" s="19">
        <v>0</v>
      </c>
      <c r="S65" s="19">
        <v>0</v>
      </c>
      <c r="T65" s="19">
        <v>0</v>
      </c>
      <c r="U65" s="19">
        <v>0</v>
      </c>
      <c r="V65" s="15">
        <f t="shared" si="1"/>
        <v>0</v>
      </c>
      <c r="W65" s="19">
        <v>3</v>
      </c>
      <c r="X65" s="19">
        <v>2</v>
      </c>
      <c r="Y65" s="19">
        <v>4</v>
      </c>
      <c r="Z65" s="19">
        <v>5</v>
      </c>
      <c r="AA65" s="19">
        <v>2</v>
      </c>
      <c r="AB65" s="19">
        <v>1</v>
      </c>
      <c r="AC65" s="19">
        <v>3</v>
      </c>
      <c r="AD65" s="19">
        <v>4</v>
      </c>
      <c r="AE65" s="19">
        <v>4</v>
      </c>
      <c r="AF65" s="19">
        <v>3</v>
      </c>
      <c r="AG65" s="19">
        <v>4</v>
      </c>
      <c r="AH65" s="19">
        <v>5</v>
      </c>
      <c r="AI65" s="19">
        <v>2</v>
      </c>
      <c r="AJ65" s="19">
        <v>4</v>
      </c>
      <c r="AK65" s="19">
        <v>2</v>
      </c>
      <c r="AL65" s="19">
        <v>4</v>
      </c>
      <c r="AM65" s="19"/>
      <c r="AN65" s="19">
        <v>3</v>
      </c>
      <c r="AO65" s="19">
        <v>2</v>
      </c>
      <c r="AP65" s="19">
        <v>8</v>
      </c>
      <c r="AQ65">
        <v>19.5</v>
      </c>
      <c r="AR65" s="16">
        <v>74.3</v>
      </c>
      <c r="AS65" s="16">
        <v>80.400000000000006</v>
      </c>
      <c r="AT65" s="16">
        <v>7.8</v>
      </c>
      <c r="AU65">
        <v>89.52</v>
      </c>
      <c r="AV65">
        <v>8.69</v>
      </c>
      <c r="AW65">
        <v>1.79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18.73</v>
      </c>
      <c r="BH65">
        <v>9.35</v>
      </c>
      <c r="BI65">
        <v>0</v>
      </c>
      <c r="BJ65">
        <v>0</v>
      </c>
      <c r="BK65">
        <v>0</v>
      </c>
      <c r="BL65"/>
      <c r="BM65">
        <v>3.92</v>
      </c>
      <c r="BN65">
        <v>1</v>
      </c>
      <c r="BO65">
        <v>1</v>
      </c>
      <c r="BP65" s="16">
        <v>2.2400000000000002</v>
      </c>
      <c r="BQ65" s="16">
        <v>1</v>
      </c>
      <c r="BR65" s="16">
        <v>5.49</v>
      </c>
      <c r="BS65" s="16">
        <v>7.22</v>
      </c>
      <c r="BT65" s="16">
        <v>0</v>
      </c>
      <c r="BU65" s="16">
        <v>0</v>
      </c>
      <c r="BV65" s="16">
        <v>0</v>
      </c>
      <c r="BW65">
        <v>0</v>
      </c>
    </row>
    <row r="66" spans="1:75" x14ac:dyDescent="0.2">
      <c r="A66">
        <v>2</v>
      </c>
      <c r="B66">
        <v>22.442162902121801</v>
      </c>
      <c r="C66">
        <v>0.24640657084188899</v>
      </c>
      <c r="D66">
        <v>8</v>
      </c>
      <c r="E66">
        <v>63</v>
      </c>
      <c r="F66">
        <v>1.8</v>
      </c>
      <c r="G66">
        <v>19.4444444444444</v>
      </c>
      <c r="H66">
        <v>0</v>
      </c>
      <c r="I66">
        <v>0</v>
      </c>
      <c r="J66" s="19">
        <v>0</v>
      </c>
      <c r="K66" s="19">
        <v>2</v>
      </c>
      <c r="L66" s="19">
        <v>1</v>
      </c>
      <c r="M66" s="19">
        <v>0</v>
      </c>
      <c r="N66">
        <v>0</v>
      </c>
      <c r="O66" s="19">
        <v>0</v>
      </c>
      <c r="P66" s="19">
        <v>0</v>
      </c>
      <c r="Q66" s="19">
        <v>0</v>
      </c>
      <c r="R66" s="19">
        <v>0</v>
      </c>
      <c r="S66" s="19">
        <v>0</v>
      </c>
      <c r="T66" s="19">
        <v>0</v>
      </c>
      <c r="U66" s="19">
        <v>0</v>
      </c>
      <c r="V66" s="15">
        <f t="shared" si="1"/>
        <v>0</v>
      </c>
      <c r="W66" s="19">
        <v>3</v>
      </c>
      <c r="X66" s="19">
        <v>3</v>
      </c>
      <c r="Y66" s="19">
        <v>4</v>
      </c>
      <c r="Z66" s="19">
        <v>5</v>
      </c>
      <c r="AA66" s="19">
        <v>3</v>
      </c>
      <c r="AB66" s="19">
        <v>3</v>
      </c>
      <c r="AC66" s="19">
        <v>2</v>
      </c>
      <c r="AD66" s="19">
        <v>4</v>
      </c>
      <c r="AE66" s="19">
        <v>5</v>
      </c>
      <c r="AF66" s="19">
        <v>3</v>
      </c>
      <c r="AG66" s="19">
        <v>3</v>
      </c>
      <c r="AH66" s="19">
        <v>4</v>
      </c>
      <c r="AI66" s="19">
        <v>3</v>
      </c>
      <c r="AJ66" s="19">
        <v>4</v>
      </c>
      <c r="AK66" s="19">
        <v>4</v>
      </c>
      <c r="AL66" s="19">
        <v>5</v>
      </c>
      <c r="AM66" s="19"/>
      <c r="AN66" s="19"/>
      <c r="AO66" s="19"/>
      <c r="AP66" s="19">
        <v>6</v>
      </c>
      <c r="AQ66">
        <v>19.5</v>
      </c>
      <c r="AR66" s="16">
        <v>74.3</v>
      </c>
      <c r="AS66" s="16">
        <v>80.400000000000006</v>
      </c>
      <c r="AT66" s="16">
        <v>7.8</v>
      </c>
      <c r="AU66">
        <v>89.52</v>
      </c>
      <c r="AV66">
        <v>8.69</v>
      </c>
      <c r="AW66">
        <v>1.79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18.73</v>
      </c>
      <c r="BH66">
        <v>9.35</v>
      </c>
      <c r="BI66">
        <v>0</v>
      </c>
      <c r="BJ66">
        <v>0</v>
      </c>
      <c r="BK66">
        <v>0</v>
      </c>
      <c r="BL66"/>
      <c r="BM66">
        <v>3.92</v>
      </c>
      <c r="BN66">
        <v>1</v>
      </c>
      <c r="BO66">
        <v>1</v>
      </c>
      <c r="BP66" s="16">
        <v>2.2400000000000002</v>
      </c>
      <c r="BQ66" s="16">
        <v>1</v>
      </c>
      <c r="BR66" s="16">
        <v>5.49</v>
      </c>
      <c r="BS66" s="16">
        <v>7.22</v>
      </c>
      <c r="BT66" s="16">
        <v>0</v>
      </c>
      <c r="BU66" s="16">
        <v>0</v>
      </c>
      <c r="BV66" s="16">
        <v>0</v>
      </c>
      <c r="BW66">
        <v>0</v>
      </c>
    </row>
    <row r="67" spans="1:75" x14ac:dyDescent="0.2">
      <c r="A67">
        <v>2</v>
      </c>
      <c r="B67">
        <v>32.755646817248497</v>
      </c>
      <c r="C67">
        <v>0.240930869267625</v>
      </c>
      <c r="D67">
        <v>8</v>
      </c>
      <c r="E67">
        <v>65</v>
      </c>
      <c r="F67">
        <v>1.74</v>
      </c>
      <c r="G67">
        <v>21.469150482230098</v>
      </c>
      <c r="H67">
        <v>0</v>
      </c>
      <c r="I67">
        <v>0</v>
      </c>
      <c r="J67" s="19">
        <v>0</v>
      </c>
      <c r="K67" s="19">
        <v>1</v>
      </c>
      <c r="L67" s="19">
        <v>1</v>
      </c>
      <c r="M67" s="19">
        <v>0</v>
      </c>
      <c r="N67">
        <v>0</v>
      </c>
      <c r="O67" s="19">
        <v>0</v>
      </c>
      <c r="P67" s="19">
        <v>0</v>
      </c>
      <c r="Q67" s="19">
        <v>0</v>
      </c>
      <c r="R67" s="19">
        <v>0</v>
      </c>
      <c r="S67" s="19">
        <v>0</v>
      </c>
      <c r="T67" s="19">
        <v>0</v>
      </c>
      <c r="U67" s="19">
        <v>0</v>
      </c>
      <c r="V67" s="15">
        <f t="shared" si="1"/>
        <v>0</v>
      </c>
      <c r="W67" s="19">
        <v>1</v>
      </c>
      <c r="X67" s="19">
        <v>1</v>
      </c>
      <c r="Y67" s="19">
        <v>2</v>
      </c>
      <c r="Z67" s="19">
        <v>3</v>
      </c>
      <c r="AA67" s="19">
        <v>2</v>
      </c>
      <c r="AB67" s="19">
        <v>2</v>
      </c>
      <c r="AC67" s="19">
        <v>3</v>
      </c>
      <c r="AD67" s="19">
        <v>4</v>
      </c>
      <c r="AE67" s="19">
        <v>3</v>
      </c>
      <c r="AF67" s="19">
        <v>3</v>
      </c>
      <c r="AG67" s="19">
        <v>3</v>
      </c>
      <c r="AH67" s="19">
        <v>5</v>
      </c>
      <c r="AI67" s="19">
        <v>5</v>
      </c>
      <c r="AJ67" s="19">
        <v>3</v>
      </c>
      <c r="AK67" s="19">
        <v>3</v>
      </c>
      <c r="AL67" s="19">
        <v>5</v>
      </c>
      <c r="AM67" s="19">
        <v>4</v>
      </c>
      <c r="AN67" s="19">
        <v>4</v>
      </c>
      <c r="AO67" s="19">
        <v>4</v>
      </c>
      <c r="AP67" s="19">
        <v>10</v>
      </c>
      <c r="AQ67">
        <v>19.5</v>
      </c>
      <c r="AR67" s="16">
        <v>74.3</v>
      </c>
      <c r="AS67" s="16">
        <v>80.400000000000006</v>
      </c>
      <c r="AT67" s="16">
        <v>7.8</v>
      </c>
      <c r="AU67">
        <v>89.52</v>
      </c>
      <c r="AV67">
        <v>8.69</v>
      </c>
      <c r="AW67">
        <v>1.79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18.73</v>
      </c>
      <c r="BH67">
        <v>9.35</v>
      </c>
      <c r="BI67">
        <v>0</v>
      </c>
      <c r="BJ67">
        <v>0</v>
      </c>
      <c r="BK67">
        <v>0</v>
      </c>
      <c r="BL67"/>
      <c r="BM67">
        <v>3.92</v>
      </c>
      <c r="BN67">
        <v>1</v>
      </c>
      <c r="BO67">
        <v>1</v>
      </c>
      <c r="BP67" s="16">
        <v>2.2400000000000002</v>
      </c>
      <c r="BQ67" s="16">
        <v>1</v>
      </c>
      <c r="BR67" s="16">
        <v>5.49</v>
      </c>
      <c r="BS67" s="16">
        <v>7.22</v>
      </c>
      <c r="BT67" s="16">
        <v>0</v>
      </c>
      <c r="BU67" s="16">
        <v>0</v>
      </c>
      <c r="BV67" s="16">
        <v>0</v>
      </c>
      <c r="BW67">
        <v>0</v>
      </c>
    </row>
    <row r="68" spans="1:75" x14ac:dyDescent="0.2">
      <c r="A68">
        <v>2</v>
      </c>
      <c r="B68">
        <v>45.103353867214203</v>
      </c>
      <c r="C68">
        <v>21.609856262833699</v>
      </c>
      <c r="D68">
        <v>8</v>
      </c>
      <c r="E68">
        <v>70</v>
      </c>
      <c r="F68">
        <v>1.72</v>
      </c>
      <c r="G68">
        <v>23.661438615467802</v>
      </c>
      <c r="H68">
        <v>0</v>
      </c>
      <c r="I68">
        <v>0</v>
      </c>
      <c r="J68" s="19">
        <v>1</v>
      </c>
      <c r="K68" s="19">
        <v>0</v>
      </c>
      <c r="L68" s="19">
        <v>1</v>
      </c>
      <c r="M68" s="19">
        <v>7</v>
      </c>
      <c r="N68">
        <v>8</v>
      </c>
      <c r="O68" s="19">
        <v>7</v>
      </c>
      <c r="P68" s="19">
        <v>5</v>
      </c>
      <c r="Q68" s="19">
        <v>5</v>
      </c>
      <c r="R68" s="19">
        <v>6</v>
      </c>
      <c r="S68" s="19">
        <v>7</v>
      </c>
      <c r="T68" s="19">
        <v>0</v>
      </c>
      <c r="U68" s="19">
        <v>6</v>
      </c>
      <c r="V68" s="15">
        <f t="shared" si="1"/>
        <v>5.666666666666667</v>
      </c>
      <c r="W68" s="19">
        <v>3</v>
      </c>
      <c r="X68" s="19">
        <v>1</v>
      </c>
      <c r="Y68" s="19">
        <v>3</v>
      </c>
      <c r="Z68" s="19">
        <v>3</v>
      </c>
      <c r="AA68" s="19">
        <v>1</v>
      </c>
      <c r="AB68" s="19">
        <v>1</v>
      </c>
      <c r="AC68" s="19">
        <v>1</v>
      </c>
      <c r="AD68" s="19">
        <v>3</v>
      </c>
      <c r="AE68" s="19">
        <v>1</v>
      </c>
      <c r="AF68" s="19">
        <v>1</v>
      </c>
      <c r="AG68" s="19">
        <v>3</v>
      </c>
      <c r="AH68" s="19">
        <v>4</v>
      </c>
      <c r="AI68" s="19">
        <v>1</v>
      </c>
      <c r="AJ68" s="19">
        <v>1</v>
      </c>
      <c r="AK68" s="19">
        <v>3</v>
      </c>
      <c r="AL68" s="19">
        <v>3</v>
      </c>
      <c r="AM68" s="19">
        <v>1</v>
      </c>
      <c r="AN68" s="19">
        <v>3</v>
      </c>
      <c r="AO68" s="19">
        <v>2</v>
      </c>
      <c r="AP68" s="19">
        <v>3</v>
      </c>
      <c r="AQ68">
        <v>17.5</v>
      </c>
      <c r="AR68" s="16">
        <v>81.900000000000006</v>
      </c>
      <c r="AS68" s="16">
        <v>80.400000000000006</v>
      </c>
      <c r="AT68" s="16">
        <v>12.5</v>
      </c>
      <c r="AU68">
        <v>85.79</v>
      </c>
      <c r="AV68" s="17">
        <v>0</v>
      </c>
      <c r="AW68">
        <v>10.02</v>
      </c>
      <c r="AX68">
        <v>0</v>
      </c>
      <c r="AY68">
        <v>0</v>
      </c>
      <c r="AZ68">
        <v>0</v>
      </c>
      <c r="BA68">
        <v>4.1900000000000004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53.51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 s="16">
        <v>3.38</v>
      </c>
      <c r="BQ68" s="16">
        <v>1</v>
      </c>
      <c r="BR68" s="16">
        <v>0</v>
      </c>
      <c r="BS68" s="16">
        <v>0</v>
      </c>
      <c r="BT68" s="16">
        <v>0</v>
      </c>
      <c r="BU68" s="16">
        <v>0</v>
      </c>
      <c r="BV68" s="16">
        <v>0</v>
      </c>
      <c r="BW68">
        <v>0</v>
      </c>
    </row>
    <row r="69" spans="1:75" x14ac:dyDescent="0.2">
      <c r="A69">
        <v>2</v>
      </c>
      <c r="B69">
        <v>37.867214236824097</v>
      </c>
      <c r="C69">
        <v>0.27104722792607799</v>
      </c>
      <c r="D69">
        <v>8</v>
      </c>
      <c r="E69">
        <v>80</v>
      </c>
      <c r="F69">
        <v>1.7</v>
      </c>
      <c r="G69">
        <v>27.681660899653998</v>
      </c>
      <c r="H69">
        <v>0</v>
      </c>
      <c r="I69">
        <v>0</v>
      </c>
      <c r="J69" s="19">
        <v>0</v>
      </c>
      <c r="K69" s="19">
        <v>0</v>
      </c>
      <c r="L69" s="19">
        <v>0</v>
      </c>
      <c r="M69" s="19">
        <v>0</v>
      </c>
      <c r="N69">
        <v>0</v>
      </c>
      <c r="O69" s="19">
        <v>0</v>
      </c>
      <c r="P69" s="19">
        <v>0</v>
      </c>
      <c r="Q69" s="19">
        <v>0</v>
      </c>
      <c r="R69" s="19">
        <v>0</v>
      </c>
      <c r="S69" s="19">
        <v>0</v>
      </c>
      <c r="T69" s="19">
        <v>0</v>
      </c>
      <c r="U69" s="19">
        <v>0</v>
      </c>
      <c r="V69" s="15">
        <f t="shared" si="1"/>
        <v>0</v>
      </c>
      <c r="W69" s="19">
        <v>2</v>
      </c>
      <c r="X69" s="19">
        <v>2</v>
      </c>
      <c r="Y69" s="19">
        <v>3</v>
      </c>
      <c r="Z69" s="19">
        <v>5</v>
      </c>
      <c r="AA69" s="19">
        <v>2</v>
      </c>
      <c r="AB69" s="19">
        <v>1</v>
      </c>
      <c r="AC69" s="19">
        <v>2</v>
      </c>
      <c r="AD69" s="19">
        <v>3</v>
      </c>
      <c r="AE69" s="19">
        <v>4</v>
      </c>
      <c r="AF69" s="19">
        <v>4</v>
      </c>
      <c r="AG69" s="19">
        <v>4</v>
      </c>
      <c r="AH69" s="19">
        <v>4</v>
      </c>
      <c r="AI69" s="19">
        <v>4</v>
      </c>
      <c r="AJ69" s="19">
        <v>4</v>
      </c>
      <c r="AK69" s="19">
        <v>4</v>
      </c>
      <c r="AL69" s="19">
        <v>5</v>
      </c>
      <c r="AM69" s="19">
        <v>4</v>
      </c>
      <c r="AN69" s="19">
        <v>4</v>
      </c>
      <c r="AO69" s="19">
        <v>4</v>
      </c>
      <c r="AP69" s="19">
        <v>7</v>
      </c>
      <c r="AQ69">
        <v>17.5</v>
      </c>
      <c r="AR69" s="16">
        <v>81.900000000000006</v>
      </c>
      <c r="AS69" s="16">
        <v>80.400000000000006</v>
      </c>
      <c r="AT69" s="16">
        <v>12.5</v>
      </c>
      <c r="AU69">
        <v>85.79</v>
      </c>
      <c r="AV69">
        <v>0</v>
      </c>
      <c r="AW69">
        <v>10.02</v>
      </c>
      <c r="AX69">
        <v>0</v>
      </c>
      <c r="AY69">
        <v>0</v>
      </c>
      <c r="AZ69">
        <v>0</v>
      </c>
      <c r="BA69">
        <v>4.1900000000000004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53.51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 s="16">
        <v>3.38</v>
      </c>
      <c r="BQ69" s="16">
        <v>1</v>
      </c>
      <c r="BR69" s="16">
        <v>0</v>
      </c>
      <c r="BS69" s="16">
        <v>0</v>
      </c>
      <c r="BT69" s="16">
        <v>0</v>
      </c>
      <c r="BU69" s="16">
        <v>0</v>
      </c>
      <c r="BV69" s="16">
        <v>0</v>
      </c>
      <c r="BW69">
        <v>0</v>
      </c>
    </row>
    <row r="70" spans="1:75" x14ac:dyDescent="0.2">
      <c r="A70">
        <v>2</v>
      </c>
      <c r="B70">
        <v>40.6078028747433</v>
      </c>
      <c r="C70">
        <v>20.0520191649555</v>
      </c>
      <c r="D70">
        <v>8</v>
      </c>
      <c r="E70">
        <v>73</v>
      </c>
      <c r="F70">
        <v>1.72</v>
      </c>
      <c r="G70">
        <v>24.6755002704164</v>
      </c>
      <c r="H70">
        <v>0</v>
      </c>
      <c r="I70">
        <v>0</v>
      </c>
      <c r="J70" s="19">
        <v>0</v>
      </c>
      <c r="K70" s="19">
        <v>2</v>
      </c>
      <c r="L70" s="19">
        <v>0</v>
      </c>
      <c r="M70" s="19"/>
      <c r="N70">
        <v>0</v>
      </c>
      <c r="O70" s="19">
        <v>6</v>
      </c>
      <c r="P70" s="19">
        <v>0</v>
      </c>
      <c r="Q70" s="19">
        <v>0</v>
      </c>
      <c r="R70" s="19">
        <v>7</v>
      </c>
      <c r="S70" s="19">
        <v>0</v>
      </c>
      <c r="T70" s="19">
        <v>0</v>
      </c>
      <c r="U70" s="19">
        <v>0</v>
      </c>
      <c r="V70" s="15">
        <f t="shared" si="1"/>
        <v>1.625</v>
      </c>
      <c r="W70" s="19">
        <v>3</v>
      </c>
      <c r="X70" s="19">
        <v>3</v>
      </c>
      <c r="Y70" s="19">
        <v>5</v>
      </c>
      <c r="Z70" s="19">
        <v>5</v>
      </c>
      <c r="AA70" s="19">
        <v>3</v>
      </c>
      <c r="AB70" s="19">
        <v>4</v>
      </c>
      <c r="AC70" s="19">
        <v>3</v>
      </c>
      <c r="AD70" s="19">
        <v>3</v>
      </c>
      <c r="AE70" s="19">
        <v>1</v>
      </c>
      <c r="AF70" s="19">
        <v>2</v>
      </c>
      <c r="AG70" s="19">
        <v>3</v>
      </c>
      <c r="AH70" s="19">
        <v>4</v>
      </c>
      <c r="AI70" s="19">
        <v>1</v>
      </c>
      <c r="AJ70" s="19">
        <v>2</v>
      </c>
      <c r="AK70" s="19">
        <v>4</v>
      </c>
      <c r="AL70" s="19">
        <v>3</v>
      </c>
      <c r="AM70" s="19">
        <v>2</v>
      </c>
      <c r="AN70" s="19">
        <v>3</v>
      </c>
      <c r="AO70" s="19">
        <v>1</v>
      </c>
      <c r="AP70" s="19">
        <v>10</v>
      </c>
      <c r="AQ70">
        <v>17.5</v>
      </c>
      <c r="AR70" s="16">
        <v>81.900000000000006</v>
      </c>
      <c r="AS70" s="16">
        <v>80.400000000000006</v>
      </c>
      <c r="AT70" s="16">
        <v>12.5</v>
      </c>
      <c r="AU70">
        <v>85.79</v>
      </c>
      <c r="AV70">
        <v>0</v>
      </c>
      <c r="AW70">
        <v>10.02</v>
      </c>
      <c r="AX70">
        <v>0</v>
      </c>
      <c r="AY70">
        <v>0</v>
      </c>
      <c r="AZ70">
        <v>0</v>
      </c>
      <c r="BA70">
        <v>4.1900000000000004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53.51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 s="16">
        <v>3.38</v>
      </c>
      <c r="BQ70" s="16">
        <v>1</v>
      </c>
      <c r="BR70" s="16">
        <v>0</v>
      </c>
      <c r="BS70" s="16">
        <v>0</v>
      </c>
      <c r="BT70" s="16">
        <v>0</v>
      </c>
      <c r="BU70" s="16">
        <v>0</v>
      </c>
      <c r="BV70" s="16">
        <v>0</v>
      </c>
      <c r="BW70">
        <v>0</v>
      </c>
    </row>
    <row r="71" spans="1:75" x14ac:dyDescent="0.2">
      <c r="A71">
        <v>2</v>
      </c>
      <c r="B71">
        <v>34.789869952087599</v>
      </c>
      <c r="C71">
        <v>14.628336755646799</v>
      </c>
      <c r="D71">
        <v>8</v>
      </c>
      <c r="E71">
        <v>70</v>
      </c>
      <c r="F71">
        <v>1.8</v>
      </c>
      <c r="G71">
        <v>21.604938271604901</v>
      </c>
      <c r="H71">
        <v>0</v>
      </c>
      <c r="I71">
        <v>0</v>
      </c>
      <c r="J71" s="19">
        <v>0</v>
      </c>
      <c r="K71" s="19">
        <v>2</v>
      </c>
      <c r="L71" s="19">
        <v>0</v>
      </c>
      <c r="M71" s="19">
        <v>0</v>
      </c>
      <c r="N71">
        <v>0</v>
      </c>
      <c r="O71" s="19">
        <v>0</v>
      </c>
      <c r="P71" s="19">
        <v>0</v>
      </c>
      <c r="Q71" s="19">
        <v>0</v>
      </c>
      <c r="R71" s="19">
        <v>4</v>
      </c>
      <c r="S71" s="19">
        <v>3</v>
      </c>
      <c r="T71" s="19">
        <v>0</v>
      </c>
      <c r="U71" s="19">
        <v>0</v>
      </c>
      <c r="V71" s="15">
        <f t="shared" si="1"/>
        <v>0.77777777777777779</v>
      </c>
      <c r="W71" s="19">
        <v>2</v>
      </c>
      <c r="X71" s="19">
        <v>2</v>
      </c>
      <c r="Y71" s="19">
        <v>4</v>
      </c>
      <c r="Z71" s="19">
        <v>4</v>
      </c>
      <c r="AA71" s="19">
        <v>3</v>
      </c>
      <c r="AB71" s="19">
        <v>2</v>
      </c>
      <c r="AC71" s="19">
        <v>3</v>
      </c>
      <c r="AD71" s="19">
        <v>3</v>
      </c>
      <c r="AE71" s="19">
        <v>2</v>
      </c>
      <c r="AF71" s="19">
        <v>2</v>
      </c>
      <c r="AG71" s="19">
        <v>3</v>
      </c>
      <c r="AH71" s="19">
        <v>5</v>
      </c>
      <c r="AI71" s="19">
        <v>2</v>
      </c>
      <c r="AJ71" s="19">
        <v>3</v>
      </c>
      <c r="AK71" s="19">
        <v>3</v>
      </c>
      <c r="AL71" s="19">
        <v>4</v>
      </c>
      <c r="AM71" s="19">
        <v>3</v>
      </c>
      <c r="AN71" s="19">
        <v>3</v>
      </c>
      <c r="AO71" s="19">
        <v>3</v>
      </c>
      <c r="AP71" s="19">
        <v>8</v>
      </c>
      <c r="AQ71">
        <v>17.5</v>
      </c>
      <c r="AR71" s="16">
        <v>81.900000000000006</v>
      </c>
      <c r="AS71" s="16">
        <v>80.400000000000006</v>
      </c>
      <c r="AT71" s="16">
        <v>12.5</v>
      </c>
      <c r="AU71">
        <v>85.79</v>
      </c>
      <c r="AV71">
        <v>0</v>
      </c>
      <c r="AW71">
        <v>10.02</v>
      </c>
      <c r="AX71">
        <v>0</v>
      </c>
      <c r="AY71">
        <v>0</v>
      </c>
      <c r="AZ71">
        <v>0</v>
      </c>
      <c r="BA71">
        <v>4.1900000000000004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53.51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 s="16">
        <v>3.38</v>
      </c>
      <c r="BQ71" s="16">
        <v>1</v>
      </c>
      <c r="BR71" s="16">
        <v>0</v>
      </c>
      <c r="BS71" s="16">
        <v>0</v>
      </c>
      <c r="BT71" s="16">
        <v>0</v>
      </c>
      <c r="BU71" s="16">
        <v>0</v>
      </c>
      <c r="BV71" s="16">
        <v>0</v>
      </c>
      <c r="BW71">
        <v>0</v>
      </c>
    </row>
    <row r="72" spans="1:75" x14ac:dyDescent="0.2">
      <c r="A72">
        <v>1</v>
      </c>
      <c r="B72">
        <v>40.219028062970601</v>
      </c>
      <c r="C72">
        <v>0.31759069130732398</v>
      </c>
      <c r="D72">
        <v>8</v>
      </c>
      <c r="E72">
        <v>43</v>
      </c>
      <c r="F72">
        <v>1.56</v>
      </c>
      <c r="G72">
        <v>17.669296515450402</v>
      </c>
      <c r="H72">
        <v>0</v>
      </c>
      <c r="I72">
        <v>0</v>
      </c>
      <c r="J72" s="19">
        <v>0</v>
      </c>
      <c r="K72" s="19">
        <v>0</v>
      </c>
      <c r="L72" s="19">
        <v>1</v>
      </c>
      <c r="M72" s="19">
        <v>0</v>
      </c>
      <c r="N72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5">
        <f t="shared" si="1"/>
        <v>0</v>
      </c>
      <c r="W72" s="19">
        <v>1</v>
      </c>
      <c r="X72" s="19">
        <v>2</v>
      </c>
      <c r="Y72" s="19">
        <v>4</v>
      </c>
      <c r="Z72" s="19">
        <v>5</v>
      </c>
      <c r="AA72" s="19">
        <v>2</v>
      </c>
      <c r="AB72" s="19">
        <v>2</v>
      </c>
      <c r="AC72" s="19">
        <v>2</v>
      </c>
      <c r="AD72" s="19">
        <v>3</v>
      </c>
      <c r="AE72" s="19">
        <v>4</v>
      </c>
      <c r="AF72" s="19">
        <v>4</v>
      </c>
      <c r="AG72" s="19">
        <v>4</v>
      </c>
      <c r="AH72" s="19">
        <v>4</v>
      </c>
      <c r="AI72" s="19">
        <v>4</v>
      </c>
      <c r="AJ72" s="19">
        <v>4</v>
      </c>
      <c r="AK72" s="19">
        <v>5</v>
      </c>
      <c r="AL72" s="19">
        <v>5</v>
      </c>
      <c r="AM72" s="19">
        <v>5</v>
      </c>
      <c r="AN72" s="19">
        <v>5</v>
      </c>
      <c r="AO72" s="19">
        <v>5</v>
      </c>
      <c r="AP72" s="19"/>
      <c r="AQ72">
        <v>17.5</v>
      </c>
      <c r="AR72" s="16">
        <v>81.900000000000006</v>
      </c>
      <c r="AS72" s="16">
        <v>80.400000000000006</v>
      </c>
      <c r="AT72" s="16">
        <v>12.5</v>
      </c>
      <c r="AU72">
        <v>85.79</v>
      </c>
      <c r="AV72">
        <v>0</v>
      </c>
      <c r="AW72">
        <v>10.02</v>
      </c>
      <c r="AX72">
        <v>0</v>
      </c>
      <c r="AY72">
        <v>0</v>
      </c>
      <c r="AZ72">
        <v>0</v>
      </c>
      <c r="BA72">
        <v>4.1900000000000004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53.51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 s="16">
        <v>3.38</v>
      </c>
      <c r="BQ72" s="16">
        <v>1</v>
      </c>
      <c r="BR72" s="16">
        <v>0</v>
      </c>
      <c r="BS72" s="16">
        <v>0</v>
      </c>
      <c r="BT72" s="16">
        <v>0</v>
      </c>
      <c r="BU72" s="16">
        <v>0</v>
      </c>
      <c r="BV72" s="16">
        <v>0</v>
      </c>
      <c r="BW72">
        <v>0</v>
      </c>
    </row>
    <row r="73" spans="1:75" x14ac:dyDescent="0.2">
      <c r="A73">
        <v>2</v>
      </c>
      <c r="B73">
        <v>35.167693360711802</v>
      </c>
      <c r="C73">
        <v>15.772758384668</v>
      </c>
      <c r="D73">
        <v>8</v>
      </c>
      <c r="E73">
        <v>70</v>
      </c>
      <c r="F73">
        <v>1.68</v>
      </c>
      <c r="G73">
        <v>24.801587301587301</v>
      </c>
      <c r="H73">
        <v>0</v>
      </c>
      <c r="I73">
        <v>0</v>
      </c>
      <c r="J73" s="19">
        <v>1</v>
      </c>
      <c r="K73" s="19">
        <v>0</v>
      </c>
      <c r="L73" s="19">
        <v>1</v>
      </c>
      <c r="M73" s="19">
        <v>0</v>
      </c>
      <c r="N73">
        <v>0</v>
      </c>
      <c r="O73" s="19">
        <v>0</v>
      </c>
      <c r="P73" s="19">
        <v>0</v>
      </c>
      <c r="Q73" s="19">
        <v>0</v>
      </c>
      <c r="R73" s="19">
        <v>10</v>
      </c>
      <c r="S73" s="19">
        <v>0</v>
      </c>
      <c r="T73" s="19">
        <v>0</v>
      </c>
      <c r="U73" s="19">
        <v>0</v>
      </c>
      <c r="V73" s="15">
        <f t="shared" si="1"/>
        <v>1.1111111111111112</v>
      </c>
      <c r="W73" s="19">
        <v>4</v>
      </c>
      <c r="X73" s="19">
        <v>3</v>
      </c>
      <c r="Y73" s="19">
        <v>5</v>
      </c>
      <c r="Z73" s="19">
        <v>5</v>
      </c>
      <c r="AA73" s="19">
        <v>5</v>
      </c>
      <c r="AB73" s="19">
        <v>5</v>
      </c>
      <c r="AC73" s="19">
        <v>5</v>
      </c>
      <c r="AD73" s="19">
        <v>3</v>
      </c>
      <c r="AE73" s="19">
        <v>1</v>
      </c>
      <c r="AF73" s="19">
        <v>3</v>
      </c>
      <c r="AG73" s="19">
        <v>2</v>
      </c>
      <c r="AH73" s="19">
        <v>4</v>
      </c>
      <c r="AI73" s="19">
        <v>1</v>
      </c>
      <c r="AJ73" s="19">
        <v>3</v>
      </c>
      <c r="AK73" s="19">
        <v>3</v>
      </c>
      <c r="AL73" s="19">
        <v>5</v>
      </c>
      <c r="AM73" s="19">
        <v>3</v>
      </c>
      <c r="AN73" s="19">
        <v>3</v>
      </c>
      <c r="AO73" s="19">
        <v>1</v>
      </c>
      <c r="AP73" s="19">
        <v>5</v>
      </c>
      <c r="AQ73">
        <v>30</v>
      </c>
      <c r="AR73" s="16">
        <v>85.5</v>
      </c>
      <c r="AS73" s="16">
        <v>81</v>
      </c>
      <c r="AT73" s="16">
        <v>15.2</v>
      </c>
      <c r="AU73">
        <v>87.44</v>
      </c>
      <c r="AV73">
        <v>0</v>
      </c>
      <c r="AW73">
        <v>0.94</v>
      </c>
      <c r="AX73">
        <v>1.97</v>
      </c>
      <c r="AY73">
        <v>9.65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2.71</v>
      </c>
      <c r="BG73">
        <v>0.6</v>
      </c>
      <c r="BH73">
        <v>2.17</v>
      </c>
      <c r="BI73">
        <v>5.97</v>
      </c>
      <c r="BJ73">
        <v>2.65</v>
      </c>
      <c r="BK73">
        <v>0</v>
      </c>
      <c r="BL73">
        <v>0</v>
      </c>
      <c r="BM73">
        <v>10.6</v>
      </c>
      <c r="BN73">
        <v>1</v>
      </c>
      <c r="BO73">
        <v>0</v>
      </c>
      <c r="BP73" s="16">
        <v>0</v>
      </c>
      <c r="BQ73" s="16">
        <v>0</v>
      </c>
      <c r="BR73" s="16">
        <v>4.17</v>
      </c>
      <c r="BS73" s="16">
        <v>2.54</v>
      </c>
      <c r="BT73" s="16">
        <v>0</v>
      </c>
      <c r="BU73" s="16">
        <v>0</v>
      </c>
      <c r="BV73" s="16">
        <v>0</v>
      </c>
      <c r="BW73">
        <v>0</v>
      </c>
    </row>
    <row r="74" spans="1:75" x14ac:dyDescent="0.2">
      <c r="A74">
        <v>2</v>
      </c>
      <c r="B74">
        <v>25.7166324435318</v>
      </c>
      <c r="C74">
        <v>0.34223134839151298</v>
      </c>
      <c r="D74">
        <v>8</v>
      </c>
      <c r="H74">
        <v>0</v>
      </c>
      <c r="I74">
        <v>0</v>
      </c>
      <c r="J74" s="19">
        <v>0</v>
      </c>
      <c r="K74" s="19">
        <v>1</v>
      </c>
      <c r="L74" s="19">
        <v>1</v>
      </c>
      <c r="M74" s="19">
        <v>0</v>
      </c>
      <c r="N74">
        <v>0</v>
      </c>
      <c r="O74" s="19">
        <v>0</v>
      </c>
      <c r="P74" s="19">
        <v>0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5">
        <f t="shared" si="1"/>
        <v>0</v>
      </c>
      <c r="W74" s="19">
        <v>1</v>
      </c>
      <c r="X74" s="19">
        <v>1</v>
      </c>
      <c r="Y74" s="19">
        <v>4</v>
      </c>
      <c r="Z74" s="19">
        <v>5</v>
      </c>
      <c r="AA74" s="19">
        <v>1</v>
      </c>
      <c r="AB74" s="19">
        <v>1</v>
      </c>
      <c r="AC74" s="19">
        <v>5</v>
      </c>
      <c r="AD74" s="19">
        <v>5</v>
      </c>
      <c r="AE74" s="19">
        <v>4</v>
      </c>
      <c r="AF74" s="19">
        <v>5</v>
      </c>
      <c r="AG74" s="19">
        <v>5</v>
      </c>
      <c r="AH74" s="19">
        <v>5</v>
      </c>
      <c r="AI74" s="19">
        <v>5</v>
      </c>
      <c r="AJ74" s="19">
        <v>5</v>
      </c>
      <c r="AK74" s="19">
        <v>2</v>
      </c>
      <c r="AL74" s="19">
        <v>5</v>
      </c>
      <c r="AM74" s="19">
        <v>5</v>
      </c>
      <c r="AN74" s="19">
        <v>5</v>
      </c>
      <c r="AO74" s="19">
        <v>5</v>
      </c>
      <c r="AP74" s="19">
        <v>10</v>
      </c>
      <c r="AQ74">
        <v>30</v>
      </c>
      <c r="AR74" s="16">
        <v>85.5</v>
      </c>
      <c r="AS74" s="16">
        <v>81</v>
      </c>
      <c r="AT74" s="16">
        <v>15.2</v>
      </c>
      <c r="AU74">
        <v>87.44</v>
      </c>
      <c r="AV74">
        <v>0</v>
      </c>
      <c r="AW74">
        <v>0.94</v>
      </c>
      <c r="AX74">
        <v>1.97</v>
      </c>
      <c r="AY74">
        <v>9.65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2.71</v>
      </c>
      <c r="BG74">
        <v>0.6</v>
      </c>
      <c r="BH74">
        <v>2.17</v>
      </c>
      <c r="BI74">
        <v>5.97</v>
      </c>
      <c r="BJ74">
        <v>2.65</v>
      </c>
      <c r="BK74">
        <v>0</v>
      </c>
      <c r="BL74">
        <v>0</v>
      </c>
      <c r="BM74">
        <v>10.6</v>
      </c>
      <c r="BN74">
        <v>1</v>
      </c>
      <c r="BO74">
        <v>0</v>
      </c>
      <c r="BP74" s="16">
        <v>0</v>
      </c>
      <c r="BQ74" s="16">
        <v>0</v>
      </c>
      <c r="BR74" s="16">
        <v>4.17</v>
      </c>
      <c r="BS74" s="16">
        <v>2.54</v>
      </c>
      <c r="BT74" s="16">
        <v>0</v>
      </c>
      <c r="BU74" s="16">
        <v>0</v>
      </c>
      <c r="BV74" s="16">
        <v>0</v>
      </c>
      <c r="BW74">
        <v>0</v>
      </c>
    </row>
    <row r="75" spans="1:75" x14ac:dyDescent="0.2">
      <c r="A75">
        <v>2</v>
      </c>
      <c r="B75">
        <v>44.054757015742602</v>
      </c>
      <c r="C75">
        <v>19.605749486653</v>
      </c>
      <c r="D75">
        <v>8</v>
      </c>
      <c r="E75">
        <v>80</v>
      </c>
      <c r="F75">
        <v>1.7</v>
      </c>
      <c r="G75">
        <v>27.681660899653998</v>
      </c>
      <c r="H75">
        <v>1</v>
      </c>
      <c r="I75">
        <v>1</v>
      </c>
      <c r="J75" s="19">
        <v>1</v>
      </c>
      <c r="K75" s="19">
        <v>0</v>
      </c>
      <c r="L75" s="19">
        <v>0</v>
      </c>
      <c r="M75" s="19">
        <v>8</v>
      </c>
      <c r="N75">
        <v>0</v>
      </c>
      <c r="O75" s="19">
        <v>0</v>
      </c>
      <c r="P75" s="19">
        <v>0</v>
      </c>
      <c r="Q75" s="19">
        <v>0</v>
      </c>
      <c r="R75" s="19">
        <v>0</v>
      </c>
      <c r="S75" s="19">
        <v>0</v>
      </c>
      <c r="T75" s="19">
        <v>0</v>
      </c>
      <c r="U75" s="19">
        <v>9</v>
      </c>
      <c r="V75" s="15">
        <f t="shared" si="1"/>
        <v>1.8888888888888888</v>
      </c>
      <c r="W75" s="19">
        <v>4</v>
      </c>
      <c r="X75" s="19">
        <v>3</v>
      </c>
      <c r="Y75" s="19">
        <v>5</v>
      </c>
      <c r="Z75" s="19">
        <v>5</v>
      </c>
      <c r="AA75" s="19">
        <v>3</v>
      </c>
      <c r="AB75" s="19">
        <v>4</v>
      </c>
      <c r="AC75" s="19">
        <v>3</v>
      </c>
      <c r="AD75" s="19">
        <v>3</v>
      </c>
      <c r="AE75" s="19">
        <v>2</v>
      </c>
      <c r="AF75" s="19">
        <v>2</v>
      </c>
      <c r="AG75" s="19">
        <v>4</v>
      </c>
      <c r="AH75" s="19">
        <v>5</v>
      </c>
      <c r="AI75" s="19">
        <v>4</v>
      </c>
      <c r="AJ75" s="19">
        <v>5</v>
      </c>
      <c r="AK75" s="19">
        <v>4</v>
      </c>
      <c r="AL75" s="19">
        <v>5</v>
      </c>
      <c r="AM75" s="19">
        <v>2</v>
      </c>
      <c r="AN75" s="19">
        <v>5</v>
      </c>
      <c r="AO75" s="19">
        <v>3</v>
      </c>
      <c r="AP75" s="19">
        <v>10</v>
      </c>
      <c r="AQ75">
        <v>30</v>
      </c>
      <c r="AR75" s="16">
        <v>85.5</v>
      </c>
      <c r="AS75" s="16">
        <v>81</v>
      </c>
      <c r="AT75" s="16">
        <v>15.2</v>
      </c>
      <c r="AU75">
        <v>87.44</v>
      </c>
      <c r="AV75">
        <v>0</v>
      </c>
      <c r="AW75">
        <v>0.94</v>
      </c>
      <c r="AX75">
        <v>1.97</v>
      </c>
      <c r="AY75">
        <v>9.65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2.71</v>
      </c>
      <c r="BG75">
        <v>0.6</v>
      </c>
      <c r="BH75">
        <v>2.17</v>
      </c>
      <c r="BI75">
        <v>5.97</v>
      </c>
      <c r="BJ75">
        <v>2.65</v>
      </c>
      <c r="BK75">
        <v>0</v>
      </c>
      <c r="BL75">
        <v>0</v>
      </c>
      <c r="BM75">
        <v>10.6</v>
      </c>
      <c r="BN75">
        <v>1</v>
      </c>
      <c r="BO75">
        <v>0</v>
      </c>
      <c r="BP75" s="16">
        <v>0</v>
      </c>
      <c r="BQ75" s="16">
        <v>0</v>
      </c>
      <c r="BR75" s="16">
        <v>4.17</v>
      </c>
      <c r="BS75" s="16">
        <v>2.54</v>
      </c>
      <c r="BT75" s="16">
        <v>0</v>
      </c>
      <c r="BU75" s="16">
        <v>0</v>
      </c>
      <c r="BV75" s="16">
        <v>0</v>
      </c>
      <c r="BW75">
        <v>0</v>
      </c>
    </row>
    <row r="76" spans="1:75" x14ac:dyDescent="0.2">
      <c r="A76">
        <v>1</v>
      </c>
      <c r="B76">
        <v>39.184120465434603</v>
      </c>
      <c r="C76">
        <v>0.30663928815879499</v>
      </c>
      <c r="D76">
        <v>8</v>
      </c>
      <c r="E76">
        <v>63</v>
      </c>
      <c r="F76">
        <v>1.61</v>
      </c>
      <c r="G76">
        <v>24.304617877396701</v>
      </c>
      <c r="H76">
        <v>0</v>
      </c>
      <c r="I76">
        <v>0</v>
      </c>
      <c r="J76" s="19">
        <v>0</v>
      </c>
      <c r="K76" s="19">
        <v>0</v>
      </c>
      <c r="L76" s="19">
        <v>1</v>
      </c>
      <c r="M76" s="19">
        <v>0</v>
      </c>
      <c r="N76">
        <v>0</v>
      </c>
      <c r="O76" s="19">
        <v>0</v>
      </c>
      <c r="P76" s="19">
        <v>0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5">
        <f t="shared" si="1"/>
        <v>0</v>
      </c>
      <c r="W76" s="19">
        <v>2</v>
      </c>
      <c r="X76" s="19">
        <v>1</v>
      </c>
      <c r="Y76" s="19">
        <v>2</v>
      </c>
      <c r="Z76" s="19">
        <v>5</v>
      </c>
      <c r="AA76" s="19">
        <v>2</v>
      </c>
      <c r="AB76" s="19">
        <v>1</v>
      </c>
      <c r="AC76" s="19">
        <v>2</v>
      </c>
      <c r="AD76" s="19">
        <v>5</v>
      </c>
      <c r="AE76" s="19">
        <v>5</v>
      </c>
      <c r="AF76" s="19">
        <v>4</v>
      </c>
      <c r="AG76" s="19">
        <v>5</v>
      </c>
      <c r="AH76" s="19">
        <v>5</v>
      </c>
      <c r="AI76" s="19">
        <v>5</v>
      </c>
      <c r="AJ76" s="19">
        <v>5</v>
      </c>
      <c r="AK76" s="19">
        <v>5</v>
      </c>
      <c r="AL76" s="19">
        <v>5</v>
      </c>
      <c r="AM76" s="19">
        <v>5</v>
      </c>
      <c r="AN76" s="19">
        <v>5</v>
      </c>
      <c r="AO76" s="19">
        <v>5</v>
      </c>
      <c r="AP76" s="19">
        <v>8</v>
      </c>
      <c r="AQ76">
        <v>30</v>
      </c>
      <c r="AR76" s="16">
        <v>85.5</v>
      </c>
      <c r="AS76" s="16">
        <v>81</v>
      </c>
      <c r="AT76" s="16">
        <v>15.2</v>
      </c>
      <c r="AU76">
        <v>87.44</v>
      </c>
      <c r="AV76">
        <v>0</v>
      </c>
      <c r="AW76">
        <v>0.94</v>
      </c>
      <c r="AX76">
        <v>1.97</v>
      </c>
      <c r="AY76">
        <v>9.65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2.71</v>
      </c>
      <c r="BG76">
        <v>0.6</v>
      </c>
      <c r="BH76">
        <v>2.17</v>
      </c>
      <c r="BI76">
        <v>5.97</v>
      </c>
      <c r="BJ76">
        <v>2.65</v>
      </c>
      <c r="BK76">
        <v>0</v>
      </c>
      <c r="BL76">
        <v>0</v>
      </c>
      <c r="BM76">
        <v>10.6</v>
      </c>
      <c r="BN76">
        <v>1</v>
      </c>
      <c r="BO76">
        <v>0</v>
      </c>
      <c r="BP76" s="16">
        <v>0</v>
      </c>
      <c r="BQ76" s="16">
        <v>0</v>
      </c>
      <c r="BR76" s="16">
        <v>4.17</v>
      </c>
      <c r="BS76" s="16">
        <v>2.54</v>
      </c>
      <c r="BT76" s="16">
        <v>0</v>
      </c>
      <c r="BU76" s="16">
        <v>0</v>
      </c>
      <c r="BV76" s="16">
        <v>0</v>
      </c>
      <c r="BW76">
        <v>0</v>
      </c>
    </row>
    <row r="77" spans="1:75" x14ac:dyDescent="0.2">
      <c r="A77">
        <v>2</v>
      </c>
      <c r="B77">
        <v>44.774811772758397</v>
      </c>
      <c r="C77">
        <v>0.31485284052019202</v>
      </c>
      <c r="D77">
        <v>8</v>
      </c>
      <c r="E77">
        <v>83</v>
      </c>
      <c r="F77">
        <v>1.76</v>
      </c>
      <c r="G77">
        <v>26.794938016528899</v>
      </c>
      <c r="H77">
        <v>0</v>
      </c>
      <c r="I77">
        <v>0</v>
      </c>
      <c r="J77" s="19">
        <v>1</v>
      </c>
      <c r="K77" s="19">
        <v>2</v>
      </c>
      <c r="L77" s="19">
        <v>0</v>
      </c>
      <c r="M77" s="19">
        <v>0</v>
      </c>
      <c r="N77">
        <v>0</v>
      </c>
      <c r="O77" s="19">
        <v>0</v>
      </c>
      <c r="P77" s="19">
        <v>0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5">
        <f t="shared" si="1"/>
        <v>0</v>
      </c>
      <c r="W77" s="19">
        <v>2</v>
      </c>
      <c r="X77" s="19">
        <v>2</v>
      </c>
      <c r="Y77" s="19">
        <v>3</v>
      </c>
      <c r="Z77" s="19">
        <v>5</v>
      </c>
      <c r="AA77" s="19">
        <v>2</v>
      </c>
      <c r="AB77" s="19">
        <v>3</v>
      </c>
      <c r="AC77" s="19">
        <v>5</v>
      </c>
      <c r="AD77" s="19">
        <v>3</v>
      </c>
      <c r="AE77" s="19">
        <v>4</v>
      </c>
      <c r="AF77" s="19">
        <v>5</v>
      </c>
      <c r="AG77" s="19">
        <v>5</v>
      </c>
      <c r="AH77" s="19">
        <v>5</v>
      </c>
      <c r="AI77" s="19">
        <v>5</v>
      </c>
      <c r="AJ77" s="19">
        <v>5</v>
      </c>
      <c r="AK77" s="19">
        <v>5</v>
      </c>
      <c r="AL77" s="19">
        <v>5</v>
      </c>
      <c r="AM77" s="19">
        <v>5</v>
      </c>
      <c r="AN77" s="19">
        <v>5</v>
      </c>
      <c r="AO77" s="19">
        <v>5</v>
      </c>
      <c r="AP77" s="19">
        <v>8</v>
      </c>
      <c r="AQ77">
        <v>30</v>
      </c>
      <c r="AR77" s="16">
        <v>85.5</v>
      </c>
      <c r="AS77" s="16">
        <v>81</v>
      </c>
      <c r="AT77" s="16">
        <v>15.2</v>
      </c>
      <c r="AU77">
        <v>87.44</v>
      </c>
      <c r="AV77">
        <v>0</v>
      </c>
      <c r="AW77">
        <v>0.94</v>
      </c>
      <c r="AX77">
        <v>1.97</v>
      </c>
      <c r="AY77">
        <v>9.65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2.71</v>
      </c>
      <c r="BG77">
        <v>0.6</v>
      </c>
      <c r="BH77">
        <v>2.17</v>
      </c>
      <c r="BI77">
        <v>5.97</v>
      </c>
      <c r="BJ77">
        <v>2.65</v>
      </c>
      <c r="BK77">
        <v>0</v>
      </c>
      <c r="BL77">
        <v>0</v>
      </c>
      <c r="BM77">
        <v>10.6</v>
      </c>
      <c r="BN77">
        <v>1</v>
      </c>
      <c r="BO77">
        <v>0</v>
      </c>
      <c r="BP77" s="16">
        <v>0</v>
      </c>
      <c r="BQ77" s="16">
        <v>0</v>
      </c>
      <c r="BR77" s="16">
        <v>4.17</v>
      </c>
      <c r="BS77" s="16">
        <v>2.54</v>
      </c>
      <c r="BT77" s="16">
        <v>0</v>
      </c>
      <c r="BU77" s="16">
        <v>0</v>
      </c>
      <c r="BV77" s="16">
        <v>0</v>
      </c>
      <c r="BW77">
        <v>0</v>
      </c>
    </row>
    <row r="78" spans="1:75" x14ac:dyDescent="0.2">
      <c r="A78">
        <v>1</v>
      </c>
      <c r="B78">
        <v>36.511978097193698</v>
      </c>
      <c r="C78">
        <v>0.25735797399041799</v>
      </c>
      <c r="D78">
        <v>8</v>
      </c>
      <c r="E78">
        <v>63</v>
      </c>
      <c r="F78">
        <v>1.65</v>
      </c>
      <c r="G78">
        <v>23.1404958677686</v>
      </c>
      <c r="H78">
        <v>0</v>
      </c>
      <c r="I78">
        <v>0</v>
      </c>
      <c r="J78" s="19">
        <v>1</v>
      </c>
      <c r="K78" s="19">
        <v>0</v>
      </c>
      <c r="L78" s="19">
        <v>0</v>
      </c>
      <c r="M78" s="19">
        <v>0</v>
      </c>
      <c r="N78">
        <v>0</v>
      </c>
      <c r="O78" s="19">
        <v>0</v>
      </c>
      <c r="P78" s="19">
        <v>0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5">
        <f t="shared" si="1"/>
        <v>0</v>
      </c>
      <c r="W78" s="19">
        <v>2</v>
      </c>
      <c r="X78" s="19">
        <v>3</v>
      </c>
      <c r="Y78" s="19">
        <v>4</v>
      </c>
      <c r="Z78" s="19">
        <v>1</v>
      </c>
      <c r="AA78" s="19">
        <v>1</v>
      </c>
      <c r="AB78" s="19">
        <v>1</v>
      </c>
      <c r="AC78" s="19">
        <v>1</v>
      </c>
      <c r="AD78" s="19">
        <v>3</v>
      </c>
      <c r="AE78" s="19">
        <v>2</v>
      </c>
      <c r="AF78" s="19">
        <v>2</v>
      </c>
      <c r="AG78" s="19">
        <v>3</v>
      </c>
      <c r="AH78" s="19">
        <v>3</v>
      </c>
      <c r="AI78" s="19">
        <v>2</v>
      </c>
      <c r="AJ78" s="19">
        <v>3</v>
      </c>
      <c r="AK78" s="19">
        <v>3</v>
      </c>
      <c r="AL78" s="19">
        <v>4</v>
      </c>
      <c r="AM78" s="19">
        <v>2</v>
      </c>
      <c r="AN78" s="19">
        <v>2</v>
      </c>
      <c r="AO78" s="19">
        <v>2</v>
      </c>
      <c r="AP78" s="19">
        <v>3</v>
      </c>
      <c r="AQ78">
        <v>30</v>
      </c>
      <c r="AR78" s="16">
        <v>85.5</v>
      </c>
      <c r="AS78" s="16">
        <v>81</v>
      </c>
      <c r="AT78" s="16">
        <v>15.2</v>
      </c>
      <c r="AU78">
        <v>87.44</v>
      </c>
      <c r="AV78">
        <v>0</v>
      </c>
      <c r="AW78">
        <v>0.94</v>
      </c>
      <c r="AX78">
        <v>1.97</v>
      </c>
      <c r="AY78">
        <v>9.65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2.71</v>
      </c>
      <c r="BG78">
        <v>0.6</v>
      </c>
      <c r="BH78">
        <v>2.17</v>
      </c>
      <c r="BI78">
        <v>5.97</v>
      </c>
      <c r="BJ78">
        <v>2.65</v>
      </c>
      <c r="BK78">
        <v>0</v>
      </c>
      <c r="BL78">
        <v>0</v>
      </c>
      <c r="BM78">
        <v>10.6</v>
      </c>
      <c r="BN78">
        <v>1</v>
      </c>
      <c r="BO78">
        <v>0</v>
      </c>
      <c r="BP78" s="16">
        <v>0</v>
      </c>
      <c r="BQ78" s="16">
        <v>0</v>
      </c>
      <c r="BR78" s="16">
        <v>4.17</v>
      </c>
      <c r="BS78" s="16">
        <v>2.54</v>
      </c>
      <c r="BT78" s="16">
        <v>0</v>
      </c>
      <c r="BU78" s="16">
        <v>0</v>
      </c>
      <c r="BV78" s="16">
        <v>0</v>
      </c>
      <c r="BW78">
        <v>0</v>
      </c>
    </row>
    <row r="79" spans="1:75" x14ac:dyDescent="0.2">
      <c r="A79">
        <v>2</v>
      </c>
      <c r="B79">
        <v>21.3744010951403</v>
      </c>
      <c r="C79">
        <v>0.25188227241615302</v>
      </c>
      <c r="D79">
        <v>8</v>
      </c>
      <c r="E79">
        <v>70</v>
      </c>
      <c r="F79">
        <v>1.74</v>
      </c>
      <c r="G79">
        <v>23.120623596247899</v>
      </c>
      <c r="H79">
        <v>0</v>
      </c>
      <c r="I79">
        <v>0</v>
      </c>
      <c r="J79" s="19">
        <v>0</v>
      </c>
      <c r="K79" s="19">
        <v>3</v>
      </c>
      <c r="L79" s="19">
        <v>0</v>
      </c>
      <c r="M79" s="19">
        <v>0</v>
      </c>
      <c r="N79">
        <v>0</v>
      </c>
      <c r="O79" s="19">
        <v>0</v>
      </c>
      <c r="P79" s="19">
        <v>0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5">
        <f t="shared" si="1"/>
        <v>0</v>
      </c>
      <c r="W79" s="19">
        <v>1</v>
      </c>
      <c r="X79" s="19">
        <v>3</v>
      </c>
      <c r="Y79" s="19">
        <v>5</v>
      </c>
      <c r="Z79" s="19">
        <v>5</v>
      </c>
      <c r="AA79" s="19">
        <v>3</v>
      </c>
      <c r="AB79" s="19">
        <v>5</v>
      </c>
      <c r="AC79" s="19">
        <v>3</v>
      </c>
      <c r="AD79" s="19">
        <v>4</v>
      </c>
      <c r="AE79" s="19">
        <v>4</v>
      </c>
      <c r="AF79" s="19">
        <v>4</v>
      </c>
      <c r="AG79" s="19">
        <v>4</v>
      </c>
      <c r="AH79" s="19">
        <v>5</v>
      </c>
      <c r="AI79" s="19">
        <v>3</v>
      </c>
      <c r="AJ79" s="19">
        <v>4</v>
      </c>
      <c r="AK79" s="19">
        <v>5</v>
      </c>
      <c r="AL79" s="19">
        <v>5</v>
      </c>
      <c r="AM79" s="19">
        <v>5</v>
      </c>
      <c r="AN79" s="19">
        <v>5</v>
      </c>
      <c r="AO79" s="19">
        <v>5</v>
      </c>
      <c r="AP79" s="19">
        <v>9</v>
      </c>
      <c r="AQ79">
        <v>30</v>
      </c>
      <c r="AR79" s="16">
        <v>85.5</v>
      </c>
      <c r="AS79" s="16">
        <v>81</v>
      </c>
      <c r="AT79" s="16">
        <v>15.2</v>
      </c>
      <c r="AU79">
        <v>87.44</v>
      </c>
      <c r="AV79">
        <v>0</v>
      </c>
      <c r="AW79">
        <v>0.94</v>
      </c>
      <c r="AX79">
        <v>1.97</v>
      </c>
      <c r="AY79">
        <v>9.65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2.71</v>
      </c>
      <c r="BG79">
        <v>0.6</v>
      </c>
      <c r="BH79">
        <v>2.17</v>
      </c>
      <c r="BI79">
        <v>5.97</v>
      </c>
      <c r="BJ79">
        <v>2.65</v>
      </c>
      <c r="BK79">
        <v>0</v>
      </c>
      <c r="BL79">
        <v>0</v>
      </c>
      <c r="BM79">
        <v>10.6</v>
      </c>
      <c r="BN79">
        <v>1</v>
      </c>
      <c r="BO79">
        <v>0</v>
      </c>
      <c r="BP79" s="16">
        <v>0</v>
      </c>
      <c r="BQ79" s="16">
        <v>0</v>
      </c>
      <c r="BR79" s="16">
        <v>4.17</v>
      </c>
      <c r="BS79" s="16">
        <v>2.54</v>
      </c>
      <c r="BT79" s="16">
        <v>0</v>
      </c>
      <c r="BU79" s="16">
        <v>0</v>
      </c>
      <c r="BV79" s="16">
        <v>0</v>
      </c>
      <c r="BW79">
        <v>0</v>
      </c>
    </row>
    <row r="80" spans="1:75" x14ac:dyDescent="0.2">
      <c r="A80">
        <v>2</v>
      </c>
      <c r="B80">
        <v>27.2443531827515</v>
      </c>
      <c r="C80">
        <v>0.29021218343600302</v>
      </c>
      <c r="D80">
        <v>4</v>
      </c>
      <c r="E80">
        <v>80</v>
      </c>
      <c r="F80">
        <v>1.78</v>
      </c>
      <c r="G80">
        <v>25.249337204898399</v>
      </c>
      <c r="H80">
        <v>0</v>
      </c>
      <c r="I80">
        <v>0</v>
      </c>
      <c r="J80" s="19">
        <v>0</v>
      </c>
      <c r="K80" s="19">
        <v>2</v>
      </c>
      <c r="L80" s="19">
        <v>0</v>
      </c>
      <c r="M80" s="19">
        <v>0</v>
      </c>
      <c r="N80">
        <v>0</v>
      </c>
      <c r="O80" s="19">
        <v>0</v>
      </c>
      <c r="P80" s="19">
        <v>0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5">
        <f t="shared" si="1"/>
        <v>0</v>
      </c>
      <c r="W80" s="19">
        <v>2</v>
      </c>
      <c r="X80" s="19">
        <v>1</v>
      </c>
      <c r="Y80" s="19">
        <v>4</v>
      </c>
      <c r="Z80" s="19">
        <v>4</v>
      </c>
      <c r="AA80" s="19">
        <v>3</v>
      </c>
      <c r="AB80" s="19">
        <v>3</v>
      </c>
      <c r="AC80" s="19">
        <v>3</v>
      </c>
      <c r="AD80" s="19">
        <v>5</v>
      </c>
      <c r="AE80" s="19">
        <v>5</v>
      </c>
      <c r="AF80" s="19">
        <v>5</v>
      </c>
      <c r="AG80" s="19">
        <v>4</v>
      </c>
      <c r="AH80" s="19">
        <v>4</v>
      </c>
      <c r="AI80" s="19">
        <v>3</v>
      </c>
      <c r="AJ80" s="19">
        <v>3</v>
      </c>
      <c r="AK80" s="19">
        <v>4</v>
      </c>
      <c r="AL80" s="19">
        <v>5</v>
      </c>
      <c r="AM80" s="19">
        <v>5</v>
      </c>
      <c r="AN80" s="19">
        <v>4</v>
      </c>
      <c r="AO80" s="19">
        <v>3</v>
      </c>
      <c r="AP80" s="19">
        <v>8</v>
      </c>
      <c r="AQ80">
        <v>30</v>
      </c>
      <c r="AR80" s="16">
        <v>85.5</v>
      </c>
      <c r="AS80" s="16">
        <v>81</v>
      </c>
      <c r="AT80" s="16">
        <v>15.2</v>
      </c>
      <c r="AU80">
        <v>87.44</v>
      </c>
      <c r="AV80">
        <v>0</v>
      </c>
      <c r="AW80">
        <v>0.94</v>
      </c>
      <c r="AX80">
        <v>1.97</v>
      </c>
      <c r="AY80">
        <v>9.65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2.71</v>
      </c>
      <c r="BG80">
        <v>0.6</v>
      </c>
      <c r="BH80">
        <v>2.17</v>
      </c>
      <c r="BI80">
        <v>5.97</v>
      </c>
      <c r="BJ80">
        <v>2.65</v>
      </c>
      <c r="BK80">
        <v>0</v>
      </c>
      <c r="BL80">
        <v>0</v>
      </c>
      <c r="BM80">
        <v>10.6</v>
      </c>
      <c r="BN80">
        <v>1</v>
      </c>
      <c r="BO80">
        <v>0</v>
      </c>
      <c r="BP80" s="16">
        <v>0</v>
      </c>
      <c r="BQ80" s="16">
        <v>0</v>
      </c>
      <c r="BR80" s="16">
        <v>4.17</v>
      </c>
      <c r="BS80" s="16">
        <v>2.54</v>
      </c>
      <c r="BT80" s="16">
        <v>0</v>
      </c>
      <c r="BU80" s="16">
        <v>0</v>
      </c>
      <c r="BV80" s="16">
        <v>0</v>
      </c>
      <c r="BW80">
        <v>0</v>
      </c>
    </row>
    <row r="81" spans="1:75" x14ac:dyDescent="0.2">
      <c r="A81">
        <v>1</v>
      </c>
      <c r="B81">
        <v>40.958247775496197</v>
      </c>
      <c r="C81">
        <v>0.30116358658453102</v>
      </c>
      <c r="D81">
        <v>8</v>
      </c>
      <c r="E81">
        <v>64</v>
      </c>
      <c r="F81">
        <v>1.55</v>
      </c>
      <c r="G81">
        <v>26.638917793964598</v>
      </c>
      <c r="H81">
        <v>0</v>
      </c>
      <c r="I81">
        <v>0</v>
      </c>
      <c r="J81" s="19">
        <v>0</v>
      </c>
      <c r="K81" s="19">
        <v>0</v>
      </c>
      <c r="L81" s="19">
        <v>0</v>
      </c>
      <c r="M81" s="19">
        <v>0</v>
      </c>
      <c r="N81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5">
        <f t="shared" si="1"/>
        <v>0</v>
      </c>
      <c r="W81" s="19">
        <v>1</v>
      </c>
      <c r="X81" s="19">
        <v>1</v>
      </c>
      <c r="Y81" s="19">
        <v>1</v>
      </c>
      <c r="Z81" s="19">
        <v>2</v>
      </c>
      <c r="AA81" s="19">
        <v>2</v>
      </c>
      <c r="AB81" s="19">
        <v>1</v>
      </c>
      <c r="AC81" s="19">
        <v>1</v>
      </c>
      <c r="AD81" s="19">
        <v>1</v>
      </c>
      <c r="AE81" s="19">
        <v>3</v>
      </c>
      <c r="AF81" s="19">
        <v>3</v>
      </c>
      <c r="AG81" s="19">
        <v>4</v>
      </c>
      <c r="AH81" s="19">
        <v>5</v>
      </c>
      <c r="AI81" s="19">
        <v>3</v>
      </c>
      <c r="AJ81" s="19">
        <v>5</v>
      </c>
      <c r="AK81" s="19">
        <v>4</v>
      </c>
      <c r="AL81" s="19">
        <v>5</v>
      </c>
      <c r="AM81" s="19">
        <v>3</v>
      </c>
      <c r="AN81" s="19">
        <v>3</v>
      </c>
      <c r="AO81" s="19">
        <v>4</v>
      </c>
      <c r="AP81" s="19">
        <v>10</v>
      </c>
      <c r="AQ81">
        <v>47</v>
      </c>
      <c r="AR81" s="16">
        <v>90.2</v>
      </c>
      <c r="AS81" s="16">
        <v>80.400000000000006</v>
      </c>
      <c r="AT81" s="16">
        <v>15.2</v>
      </c>
      <c r="AU81">
        <v>86.39</v>
      </c>
      <c r="AV81">
        <v>0</v>
      </c>
      <c r="AW81">
        <v>0</v>
      </c>
      <c r="AX81">
        <v>0</v>
      </c>
      <c r="AY81">
        <v>13.61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16.36</v>
      </c>
      <c r="BH81">
        <v>23.57</v>
      </c>
      <c r="BI81">
        <v>29.14</v>
      </c>
      <c r="BJ81">
        <v>0</v>
      </c>
      <c r="BK81">
        <v>0</v>
      </c>
      <c r="BL81">
        <v>0</v>
      </c>
      <c r="BM81">
        <v>23.6</v>
      </c>
      <c r="BN81">
        <v>1</v>
      </c>
      <c r="BO81">
        <v>1</v>
      </c>
      <c r="BP81" s="16">
        <v>0.4</v>
      </c>
      <c r="BQ81" s="16">
        <v>1</v>
      </c>
      <c r="BR81" s="16">
        <v>4.96</v>
      </c>
      <c r="BS81" s="16">
        <v>2.6</v>
      </c>
      <c r="BT81" s="16">
        <v>0</v>
      </c>
      <c r="BU81" s="16">
        <v>0</v>
      </c>
      <c r="BV81" s="16">
        <v>0</v>
      </c>
      <c r="BW81">
        <v>0</v>
      </c>
    </row>
    <row r="82" spans="1:75" x14ac:dyDescent="0.2">
      <c r="A82">
        <v>2</v>
      </c>
      <c r="B82">
        <v>39.6577686516085</v>
      </c>
      <c r="C82">
        <v>6.0205338809034901</v>
      </c>
      <c r="D82">
        <v>4</v>
      </c>
      <c r="E82">
        <v>68</v>
      </c>
      <c r="F82">
        <v>1.67</v>
      </c>
      <c r="G82">
        <v>24.3823729785937</v>
      </c>
      <c r="H82">
        <v>0</v>
      </c>
      <c r="I82">
        <v>0</v>
      </c>
      <c r="J82" s="19">
        <v>1</v>
      </c>
      <c r="K82" s="19">
        <v>0</v>
      </c>
      <c r="L82" s="19">
        <v>0</v>
      </c>
      <c r="M82" s="19">
        <v>0</v>
      </c>
      <c r="N82">
        <v>0</v>
      </c>
      <c r="O82" s="19">
        <v>0</v>
      </c>
      <c r="P82" s="19">
        <v>0</v>
      </c>
      <c r="Q82" s="19">
        <v>0</v>
      </c>
      <c r="R82" s="19">
        <v>3</v>
      </c>
      <c r="S82" s="19">
        <v>0</v>
      </c>
      <c r="T82" s="19">
        <v>0</v>
      </c>
      <c r="U82" s="19">
        <v>2</v>
      </c>
      <c r="V82" s="15">
        <f t="shared" si="1"/>
        <v>0.55555555555555558</v>
      </c>
      <c r="W82" s="19">
        <v>1</v>
      </c>
      <c r="X82" s="19">
        <v>1</v>
      </c>
      <c r="Y82" s="19">
        <v>1</v>
      </c>
      <c r="Z82" s="19">
        <v>3</v>
      </c>
      <c r="AA82" s="19">
        <v>1</v>
      </c>
      <c r="AB82" s="19">
        <v>1</v>
      </c>
      <c r="AC82" s="19">
        <v>1</v>
      </c>
      <c r="AD82" s="19">
        <v>3</v>
      </c>
      <c r="AE82" s="19">
        <v>3</v>
      </c>
      <c r="AF82" s="19">
        <v>3</v>
      </c>
      <c r="AG82" s="19">
        <v>5</v>
      </c>
      <c r="AH82" s="19">
        <v>5</v>
      </c>
      <c r="AI82" s="19">
        <v>3</v>
      </c>
      <c r="AJ82" s="19">
        <v>5</v>
      </c>
      <c r="AK82" s="19">
        <v>5</v>
      </c>
      <c r="AL82" s="19">
        <v>5</v>
      </c>
      <c r="AM82" s="19">
        <v>3</v>
      </c>
      <c r="AN82" s="19">
        <v>3</v>
      </c>
      <c r="AO82" s="19">
        <v>5</v>
      </c>
      <c r="AP82" s="19"/>
      <c r="AQ82">
        <v>24.5</v>
      </c>
      <c r="AR82" s="16">
        <v>70</v>
      </c>
      <c r="AS82" s="16">
        <v>80.400000000000006</v>
      </c>
      <c r="AT82" s="16">
        <v>15.5</v>
      </c>
      <c r="AU82">
        <v>85.6</v>
      </c>
      <c r="AV82">
        <v>0</v>
      </c>
      <c r="AW82">
        <v>0</v>
      </c>
      <c r="AX82">
        <v>0</v>
      </c>
      <c r="AY82">
        <v>14.4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6.46</v>
      </c>
      <c r="BH82">
        <v>24.97</v>
      </c>
      <c r="BI82">
        <v>15</v>
      </c>
      <c r="BJ82">
        <v>0</v>
      </c>
      <c r="BK82">
        <v>0</v>
      </c>
      <c r="BL82">
        <v>0</v>
      </c>
      <c r="BM82">
        <v>3.6</v>
      </c>
      <c r="BN82">
        <v>1</v>
      </c>
      <c r="BO82">
        <v>1</v>
      </c>
      <c r="BP82" s="16">
        <v>0.63</v>
      </c>
      <c r="BQ82" s="16">
        <v>1</v>
      </c>
      <c r="BR82" s="16">
        <v>3.25</v>
      </c>
      <c r="BS82" s="16">
        <v>3.26</v>
      </c>
      <c r="BT82" s="16">
        <v>0</v>
      </c>
      <c r="BU82" s="16">
        <v>0</v>
      </c>
      <c r="BV82" s="16">
        <v>0</v>
      </c>
      <c r="BW82">
        <v>0</v>
      </c>
    </row>
    <row r="83" spans="1:75" x14ac:dyDescent="0.2">
      <c r="A83">
        <v>2</v>
      </c>
      <c r="B83">
        <v>39.419575633127998</v>
      </c>
      <c r="C83">
        <v>17.557837097878199</v>
      </c>
      <c r="D83">
        <v>8</v>
      </c>
      <c r="E83">
        <v>75</v>
      </c>
      <c r="F83">
        <v>1.7</v>
      </c>
      <c r="G83">
        <v>25.951557093425599</v>
      </c>
      <c r="H83">
        <v>0</v>
      </c>
      <c r="I83">
        <v>0</v>
      </c>
      <c r="J83" s="19">
        <v>1</v>
      </c>
      <c r="K83" s="19">
        <v>1</v>
      </c>
      <c r="L83" s="19">
        <v>0</v>
      </c>
      <c r="M83" s="19">
        <v>0</v>
      </c>
      <c r="N83">
        <v>0</v>
      </c>
      <c r="O83" s="19">
        <v>0</v>
      </c>
      <c r="P83" s="19">
        <v>6</v>
      </c>
      <c r="Q83" s="19">
        <v>0</v>
      </c>
      <c r="R83" s="19"/>
      <c r="S83" s="19"/>
      <c r="T83" s="19">
        <v>0</v>
      </c>
      <c r="U83" s="19">
        <v>0</v>
      </c>
      <c r="V83" s="15">
        <f t="shared" si="1"/>
        <v>0.8571428571428571</v>
      </c>
      <c r="W83" s="19">
        <v>4</v>
      </c>
      <c r="X83" s="19">
        <v>3</v>
      </c>
      <c r="Y83" s="19">
        <v>3</v>
      </c>
      <c r="Z83" s="19">
        <v>5</v>
      </c>
      <c r="AA83" s="19">
        <v>3</v>
      </c>
      <c r="AB83" s="19">
        <v>3</v>
      </c>
      <c r="AC83" s="19">
        <v>2</v>
      </c>
      <c r="AD83" s="19">
        <v>1</v>
      </c>
      <c r="AE83" s="19">
        <v>1</v>
      </c>
      <c r="AF83" s="19">
        <v>1</v>
      </c>
      <c r="AG83" s="19">
        <v>3</v>
      </c>
      <c r="AH83" s="19">
        <v>5</v>
      </c>
      <c r="AI83" s="19">
        <v>3</v>
      </c>
      <c r="AJ83" s="19">
        <v>2</v>
      </c>
      <c r="AK83" s="19">
        <v>3</v>
      </c>
      <c r="AL83" s="19">
        <v>4</v>
      </c>
      <c r="AM83" s="19">
        <v>3</v>
      </c>
      <c r="AN83" s="19">
        <v>3</v>
      </c>
      <c r="AO83" s="19">
        <v>4</v>
      </c>
      <c r="AP83" s="19">
        <v>6</v>
      </c>
      <c r="AQ83">
        <v>24.5</v>
      </c>
      <c r="AR83" s="16">
        <v>70</v>
      </c>
      <c r="AS83" s="16">
        <v>80.400000000000006</v>
      </c>
      <c r="AT83" s="16">
        <v>15.5</v>
      </c>
      <c r="AU83">
        <v>85.6</v>
      </c>
      <c r="AV83">
        <v>0</v>
      </c>
      <c r="AW83">
        <v>0</v>
      </c>
      <c r="AX83">
        <v>0</v>
      </c>
      <c r="AY83">
        <v>14.4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6.46</v>
      </c>
      <c r="BH83">
        <v>24.97</v>
      </c>
      <c r="BI83">
        <v>15</v>
      </c>
      <c r="BJ83">
        <v>0</v>
      </c>
      <c r="BK83">
        <v>0</v>
      </c>
      <c r="BL83">
        <v>0</v>
      </c>
      <c r="BM83">
        <v>3.6</v>
      </c>
      <c r="BN83">
        <v>1</v>
      </c>
      <c r="BO83">
        <v>1</v>
      </c>
      <c r="BP83" s="16">
        <v>0.63</v>
      </c>
      <c r="BQ83" s="16">
        <v>1</v>
      </c>
      <c r="BR83" s="16">
        <v>3.25</v>
      </c>
      <c r="BS83" s="16">
        <v>3.26</v>
      </c>
      <c r="BT83" s="16">
        <v>0</v>
      </c>
      <c r="BU83" s="16">
        <v>0</v>
      </c>
      <c r="BV83" s="16">
        <v>0</v>
      </c>
      <c r="BW83">
        <v>0</v>
      </c>
    </row>
    <row r="84" spans="1:75" x14ac:dyDescent="0.2">
      <c r="A84">
        <v>2</v>
      </c>
      <c r="B84">
        <v>58.171115674195804</v>
      </c>
      <c r="C84">
        <v>21.347022587268999</v>
      </c>
      <c r="D84">
        <v>8</v>
      </c>
      <c r="E84">
        <v>68</v>
      </c>
      <c r="F84">
        <v>1.61</v>
      </c>
      <c r="G84">
        <v>26.233555804174198</v>
      </c>
      <c r="H84">
        <v>1</v>
      </c>
      <c r="I84">
        <v>1</v>
      </c>
      <c r="J84" s="19">
        <v>0</v>
      </c>
      <c r="K84" s="19">
        <v>0</v>
      </c>
      <c r="L84" s="19">
        <v>0</v>
      </c>
      <c r="M84" s="19"/>
      <c r="N84">
        <v>0</v>
      </c>
      <c r="O84" s="19"/>
      <c r="P84" s="19"/>
      <c r="Q84" s="19"/>
      <c r="R84" s="19"/>
      <c r="S84" s="19"/>
      <c r="T84" s="19"/>
      <c r="U84" s="19"/>
      <c r="V84" s="15"/>
      <c r="W84" s="19">
        <v>3</v>
      </c>
      <c r="X84" s="19">
        <v>3</v>
      </c>
      <c r="Y84" s="19">
        <v>4</v>
      </c>
      <c r="Z84" s="19">
        <v>4</v>
      </c>
      <c r="AA84" s="19">
        <v>1</v>
      </c>
      <c r="AB84" s="19">
        <v>1</v>
      </c>
      <c r="AC84" s="19">
        <v>3</v>
      </c>
      <c r="AD84" s="19">
        <v>1</v>
      </c>
      <c r="AE84" s="19">
        <v>1</v>
      </c>
      <c r="AF84" s="19">
        <v>1</v>
      </c>
      <c r="AG84" s="19">
        <v>1</v>
      </c>
      <c r="AH84" s="19">
        <v>4</v>
      </c>
      <c r="AI84" s="19">
        <v>1</v>
      </c>
      <c r="AJ84" s="19">
        <v>1</v>
      </c>
      <c r="AK84" s="19">
        <v>3</v>
      </c>
      <c r="AL84" s="19">
        <v>4</v>
      </c>
      <c r="AM84" s="19">
        <v>2</v>
      </c>
      <c r="AN84" s="19">
        <v>3</v>
      </c>
      <c r="AO84" s="19">
        <v>2</v>
      </c>
      <c r="AP84" s="19"/>
      <c r="AQ84">
        <v>64</v>
      </c>
      <c r="AR84" s="16">
        <v>74.3</v>
      </c>
      <c r="AS84" s="16">
        <v>81</v>
      </c>
      <c r="AT84" s="16">
        <v>58.5</v>
      </c>
      <c r="AU84">
        <v>49.17</v>
      </c>
      <c r="AV84">
        <v>0</v>
      </c>
      <c r="AW84">
        <v>34.450000000000003</v>
      </c>
      <c r="AX84">
        <v>16.22</v>
      </c>
      <c r="AY84">
        <v>0.16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2.52</v>
      </c>
      <c r="BI84">
        <v>9.18</v>
      </c>
      <c r="BJ84">
        <v>0</v>
      </c>
      <c r="BK84">
        <v>0</v>
      </c>
      <c r="BL84">
        <v>0</v>
      </c>
      <c r="BM84">
        <v>0.3</v>
      </c>
      <c r="BN84">
        <v>1</v>
      </c>
      <c r="BO84">
        <v>0</v>
      </c>
      <c r="BP84" s="16">
        <v>2.89</v>
      </c>
      <c r="BQ84" s="16">
        <v>1</v>
      </c>
      <c r="BR84" s="16">
        <v>0</v>
      </c>
      <c r="BS84" s="16">
        <v>0</v>
      </c>
      <c r="BT84" s="16">
        <v>0</v>
      </c>
      <c r="BU84" s="16">
        <v>0</v>
      </c>
      <c r="BV84" s="16">
        <v>0</v>
      </c>
      <c r="BW84">
        <v>0</v>
      </c>
    </row>
    <row r="85" spans="1:75" x14ac:dyDescent="0.2">
      <c r="A85">
        <v>2</v>
      </c>
      <c r="B85">
        <v>30.321697467488001</v>
      </c>
      <c r="C85">
        <v>0.23819301848049301</v>
      </c>
      <c r="D85">
        <v>8</v>
      </c>
      <c r="E85">
        <v>65</v>
      </c>
      <c r="F85">
        <v>1.78</v>
      </c>
      <c r="G85">
        <v>20.515086478979899</v>
      </c>
      <c r="H85">
        <v>0</v>
      </c>
      <c r="I85">
        <v>0</v>
      </c>
      <c r="J85" s="19">
        <v>0</v>
      </c>
      <c r="K85" s="19">
        <v>0</v>
      </c>
      <c r="L85" s="19">
        <v>0</v>
      </c>
      <c r="M85" s="19">
        <v>0</v>
      </c>
      <c r="N85">
        <v>0</v>
      </c>
      <c r="O85" s="19">
        <v>0</v>
      </c>
      <c r="P85" s="19">
        <v>0</v>
      </c>
      <c r="Q85" s="19">
        <v>0</v>
      </c>
      <c r="R85" s="19"/>
      <c r="S85" s="19"/>
      <c r="T85" s="19">
        <v>0</v>
      </c>
      <c r="U85" s="19">
        <v>0</v>
      </c>
      <c r="V85" s="15">
        <f t="shared" ref="V85:V97" si="2">AVERAGE(M85:U85)</f>
        <v>0</v>
      </c>
      <c r="W85" s="19">
        <v>3</v>
      </c>
      <c r="X85" s="19">
        <v>1</v>
      </c>
      <c r="Y85" s="19">
        <v>3</v>
      </c>
      <c r="Z85" s="19">
        <v>5</v>
      </c>
      <c r="AA85" s="19">
        <v>3</v>
      </c>
      <c r="AB85" s="19">
        <v>1</v>
      </c>
      <c r="AC85" s="19">
        <v>4</v>
      </c>
      <c r="AD85" s="19">
        <v>4</v>
      </c>
      <c r="AE85" s="19">
        <v>5</v>
      </c>
      <c r="AF85" s="19">
        <v>5</v>
      </c>
      <c r="AG85" s="19">
        <v>5</v>
      </c>
      <c r="AH85" s="19">
        <v>5</v>
      </c>
      <c r="AI85" s="19">
        <v>3</v>
      </c>
      <c r="AJ85" s="19">
        <v>3</v>
      </c>
      <c r="AK85" s="19">
        <v>3</v>
      </c>
      <c r="AL85" s="19">
        <v>5</v>
      </c>
      <c r="AM85" s="19">
        <v>5</v>
      </c>
      <c r="AN85" s="19">
        <v>4</v>
      </c>
      <c r="AO85" s="19">
        <v>4</v>
      </c>
      <c r="AP85" s="19">
        <v>10</v>
      </c>
      <c r="AQ85">
        <v>64</v>
      </c>
      <c r="AR85" s="16">
        <v>74.3</v>
      </c>
      <c r="AS85" s="16">
        <v>81</v>
      </c>
      <c r="AT85" s="16">
        <v>58.5</v>
      </c>
      <c r="AU85">
        <v>49.17</v>
      </c>
      <c r="AV85">
        <v>0</v>
      </c>
      <c r="AW85">
        <v>34.450000000000003</v>
      </c>
      <c r="AX85">
        <v>16.22</v>
      </c>
      <c r="AY85">
        <v>0.16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2.52</v>
      </c>
      <c r="BI85">
        <v>9.18</v>
      </c>
      <c r="BJ85">
        <v>0</v>
      </c>
      <c r="BK85">
        <v>0</v>
      </c>
      <c r="BL85">
        <v>0</v>
      </c>
      <c r="BM85">
        <v>0.3</v>
      </c>
      <c r="BN85">
        <v>1</v>
      </c>
      <c r="BO85">
        <v>0</v>
      </c>
      <c r="BP85" s="16">
        <v>2.89</v>
      </c>
      <c r="BQ85" s="16">
        <v>1</v>
      </c>
      <c r="BR85" s="16">
        <v>0</v>
      </c>
      <c r="BS85" s="16">
        <v>0</v>
      </c>
      <c r="BT85" s="16">
        <v>0</v>
      </c>
      <c r="BU85" s="16">
        <v>0</v>
      </c>
      <c r="BV85" s="16">
        <v>0</v>
      </c>
      <c r="BW85">
        <v>0</v>
      </c>
    </row>
    <row r="86" spans="1:75" x14ac:dyDescent="0.2">
      <c r="A86">
        <v>2</v>
      </c>
      <c r="B86">
        <v>48.002737850787099</v>
      </c>
      <c r="C86">
        <v>22.658453114305299</v>
      </c>
      <c r="D86">
        <v>8</v>
      </c>
      <c r="E86">
        <v>78</v>
      </c>
      <c r="F86">
        <v>1.72</v>
      </c>
      <c r="G86">
        <v>26.365603028664101</v>
      </c>
      <c r="H86">
        <v>0</v>
      </c>
      <c r="I86">
        <v>0</v>
      </c>
      <c r="J86" s="19">
        <v>1</v>
      </c>
      <c r="K86" s="19">
        <v>0</v>
      </c>
      <c r="L86" s="19">
        <v>0</v>
      </c>
      <c r="M86" s="19">
        <v>5</v>
      </c>
      <c r="N86">
        <v>0</v>
      </c>
      <c r="O86" s="19">
        <v>0</v>
      </c>
      <c r="P86" s="19">
        <v>0</v>
      </c>
      <c r="Q86" s="19">
        <v>0</v>
      </c>
      <c r="R86" s="19">
        <v>8</v>
      </c>
      <c r="S86" s="19">
        <v>8</v>
      </c>
      <c r="T86" s="19">
        <v>0</v>
      </c>
      <c r="U86" s="19">
        <v>8</v>
      </c>
      <c r="V86" s="15">
        <f t="shared" si="2"/>
        <v>3.2222222222222223</v>
      </c>
      <c r="W86" s="19">
        <v>3</v>
      </c>
      <c r="X86" s="19">
        <v>2</v>
      </c>
      <c r="Y86" s="19">
        <v>5</v>
      </c>
      <c r="Z86" s="19">
        <v>5</v>
      </c>
      <c r="AA86" s="19">
        <v>4</v>
      </c>
      <c r="AB86" s="19">
        <v>3</v>
      </c>
      <c r="AC86" s="19">
        <v>3</v>
      </c>
      <c r="AD86" s="19">
        <v>3</v>
      </c>
      <c r="AE86" s="19">
        <v>2</v>
      </c>
      <c r="AF86" s="19">
        <v>2</v>
      </c>
      <c r="AG86" s="19">
        <v>4</v>
      </c>
      <c r="AH86" s="19">
        <v>5</v>
      </c>
      <c r="AI86" s="19">
        <v>4</v>
      </c>
      <c r="AJ86" s="19">
        <v>2</v>
      </c>
      <c r="AK86" s="19">
        <v>5</v>
      </c>
      <c r="AL86" s="19">
        <v>4</v>
      </c>
      <c r="AM86" s="19">
        <v>4</v>
      </c>
      <c r="AN86" s="19">
        <v>4</v>
      </c>
      <c r="AO86" s="19">
        <v>4</v>
      </c>
      <c r="AP86" s="19">
        <v>4</v>
      </c>
      <c r="AQ86">
        <v>46.5</v>
      </c>
      <c r="AR86" s="16">
        <v>82.8</v>
      </c>
      <c r="AS86" s="16">
        <v>80.400000000000006</v>
      </c>
      <c r="AT86" s="16">
        <v>14.9</v>
      </c>
      <c r="AU86">
        <v>82.52</v>
      </c>
      <c r="AV86">
        <v>0</v>
      </c>
      <c r="AW86">
        <v>0</v>
      </c>
      <c r="AX86">
        <v>0</v>
      </c>
      <c r="AY86">
        <v>17.48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37.299999999999997</v>
      </c>
      <c r="BH86">
        <v>16.79</v>
      </c>
      <c r="BI86">
        <v>15.04</v>
      </c>
      <c r="BJ86">
        <v>0</v>
      </c>
      <c r="BK86">
        <v>0</v>
      </c>
      <c r="BL86">
        <v>0</v>
      </c>
      <c r="BM86">
        <v>18.899999999999999</v>
      </c>
      <c r="BN86">
        <v>1</v>
      </c>
      <c r="BO86">
        <v>1</v>
      </c>
      <c r="BP86" s="16">
        <v>1.1499999999999999</v>
      </c>
      <c r="BQ86" s="16">
        <v>1</v>
      </c>
      <c r="BR86" s="16">
        <v>9.75</v>
      </c>
      <c r="BS86" s="16">
        <v>11.26</v>
      </c>
      <c r="BT86" s="16">
        <v>0</v>
      </c>
      <c r="BU86" s="16">
        <v>0</v>
      </c>
      <c r="BV86" s="16">
        <v>0</v>
      </c>
      <c r="BW86">
        <v>0</v>
      </c>
    </row>
    <row r="87" spans="1:75" x14ac:dyDescent="0.2">
      <c r="A87">
        <v>2</v>
      </c>
      <c r="B87">
        <v>39.074606433949299</v>
      </c>
      <c r="C87">
        <v>0.19986310746064301</v>
      </c>
      <c r="D87">
        <v>8</v>
      </c>
      <c r="E87">
        <v>80</v>
      </c>
      <c r="F87">
        <v>1.8</v>
      </c>
      <c r="G87">
        <v>24.6913580246914</v>
      </c>
      <c r="H87">
        <v>0</v>
      </c>
      <c r="I87">
        <v>0</v>
      </c>
      <c r="J87" s="19">
        <v>1</v>
      </c>
      <c r="K87" s="19">
        <v>2</v>
      </c>
      <c r="L87" s="19">
        <v>0</v>
      </c>
      <c r="M87" s="19">
        <v>0</v>
      </c>
      <c r="N87">
        <v>0</v>
      </c>
      <c r="O87" s="19">
        <v>0</v>
      </c>
      <c r="P87" s="19">
        <v>0</v>
      </c>
      <c r="Q87" s="19">
        <v>0</v>
      </c>
      <c r="R87" s="19">
        <v>0</v>
      </c>
      <c r="S87" s="19">
        <v>0</v>
      </c>
      <c r="T87" s="19">
        <v>0</v>
      </c>
      <c r="U87" s="19">
        <v>0</v>
      </c>
      <c r="V87" s="15">
        <f t="shared" si="2"/>
        <v>0</v>
      </c>
      <c r="W87" s="19">
        <v>2</v>
      </c>
      <c r="X87" s="19">
        <v>2</v>
      </c>
      <c r="Y87" s="19">
        <v>4</v>
      </c>
      <c r="Z87" s="19">
        <v>4</v>
      </c>
      <c r="AA87" s="19">
        <v>2</v>
      </c>
      <c r="AB87" s="19">
        <v>2</v>
      </c>
      <c r="AC87" s="19">
        <v>2</v>
      </c>
      <c r="AD87" s="19">
        <v>2</v>
      </c>
      <c r="AE87" s="19">
        <v>2</v>
      </c>
      <c r="AF87" s="19">
        <v>4</v>
      </c>
      <c r="AG87" s="19">
        <v>4</v>
      </c>
      <c r="AH87" s="19">
        <v>4</v>
      </c>
      <c r="AI87" s="19">
        <v>3</v>
      </c>
      <c r="AJ87" s="19">
        <v>2</v>
      </c>
      <c r="AK87" s="19">
        <v>2</v>
      </c>
      <c r="AL87" s="19">
        <v>5</v>
      </c>
      <c r="AM87" s="19">
        <v>4</v>
      </c>
      <c r="AN87" s="19">
        <v>4</v>
      </c>
      <c r="AO87" s="19">
        <v>4</v>
      </c>
      <c r="AP87" s="19">
        <v>10</v>
      </c>
      <c r="AQ87">
        <v>32</v>
      </c>
      <c r="AR87" s="16">
        <v>75</v>
      </c>
      <c r="AS87" s="16">
        <v>80.400000000000006</v>
      </c>
      <c r="AT87" s="16">
        <v>22.6</v>
      </c>
      <c r="AU87">
        <v>76.239999999999995</v>
      </c>
      <c r="AV87">
        <v>0</v>
      </c>
      <c r="AW87">
        <v>15.36</v>
      </c>
      <c r="AX87">
        <v>1.93</v>
      </c>
      <c r="AY87">
        <v>6.47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32.86</v>
      </c>
      <c r="BH87">
        <v>26.39</v>
      </c>
      <c r="BI87">
        <v>0</v>
      </c>
      <c r="BJ87">
        <v>0</v>
      </c>
      <c r="BK87">
        <v>0</v>
      </c>
      <c r="BL87">
        <v>0</v>
      </c>
      <c r="BM87">
        <v>5.6</v>
      </c>
      <c r="BN87">
        <v>1</v>
      </c>
      <c r="BO87">
        <v>1</v>
      </c>
      <c r="BP87" s="16">
        <v>1.43</v>
      </c>
      <c r="BQ87" s="16">
        <v>1</v>
      </c>
      <c r="BR87" s="16">
        <v>1.7</v>
      </c>
      <c r="BS87" s="16">
        <v>1.7</v>
      </c>
      <c r="BT87" s="16">
        <v>0</v>
      </c>
      <c r="BU87" s="16">
        <v>0</v>
      </c>
      <c r="BV87" s="16">
        <v>0</v>
      </c>
      <c r="BW87">
        <v>0</v>
      </c>
    </row>
    <row r="88" spans="1:75" x14ac:dyDescent="0.2">
      <c r="A88">
        <v>2</v>
      </c>
      <c r="B88">
        <v>23.540041067761798</v>
      </c>
      <c r="C88">
        <v>0.30390143737166297</v>
      </c>
      <c r="D88">
        <v>8</v>
      </c>
      <c r="E88">
        <v>69</v>
      </c>
      <c r="F88">
        <v>1.73</v>
      </c>
      <c r="G88">
        <v>23.054562464499298</v>
      </c>
      <c r="H88">
        <v>0</v>
      </c>
      <c r="I88">
        <v>0</v>
      </c>
      <c r="J88" s="19">
        <v>1</v>
      </c>
      <c r="K88" s="19">
        <v>3</v>
      </c>
      <c r="L88" s="19">
        <v>0</v>
      </c>
      <c r="M88" s="19">
        <v>0</v>
      </c>
      <c r="N88">
        <v>0</v>
      </c>
      <c r="O88" s="19">
        <v>0</v>
      </c>
      <c r="P88" s="19">
        <v>4</v>
      </c>
      <c r="Q88" s="19">
        <v>0</v>
      </c>
      <c r="R88" s="19">
        <v>0</v>
      </c>
      <c r="S88" s="19">
        <v>0</v>
      </c>
      <c r="T88" s="19">
        <v>0</v>
      </c>
      <c r="U88" s="19">
        <v>0</v>
      </c>
      <c r="V88" s="15">
        <f t="shared" si="2"/>
        <v>0.44444444444444442</v>
      </c>
      <c r="W88" s="19">
        <v>3</v>
      </c>
      <c r="X88" s="19">
        <v>2</v>
      </c>
      <c r="Y88" s="19">
        <v>3</v>
      </c>
      <c r="Z88" s="19">
        <v>5</v>
      </c>
      <c r="AA88" s="19">
        <v>2</v>
      </c>
      <c r="AB88" s="19">
        <v>1</v>
      </c>
      <c r="AC88" s="19">
        <v>2</v>
      </c>
      <c r="AD88" s="19">
        <v>3</v>
      </c>
      <c r="AE88" s="19">
        <v>5</v>
      </c>
      <c r="AF88" s="19">
        <v>5</v>
      </c>
      <c r="AG88" s="19">
        <v>5</v>
      </c>
      <c r="AH88" s="19">
        <v>5</v>
      </c>
      <c r="AI88" s="19">
        <v>5</v>
      </c>
      <c r="AJ88" s="19">
        <v>5</v>
      </c>
      <c r="AK88" s="19">
        <v>5</v>
      </c>
      <c r="AL88" s="19">
        <v>5</v>
      </c>
      <c r="AM88" s="19">
        <v>4</v>
      </c>
      <c r="AN88" s="19">
        <v>4</v>
      </c>
      <c r="AO88" s="19">
        <v>4</v>
      </c>
      <c r="AP88" s="19">
        <v>8</v>
      </c>
      <c r="AQ88">
        <v>34.5</v>
      </c>
      <c r="AR88" s="16">
        <v>88.3</v>
      </c>
      <c r="AS88" s="16">
        <v>80.400000000000006</v>
      </c>
      <c r="AT88" s="16">
        <v>22.8</v>
      </c>
      <c r="AU88">
        <v>73.89</v>
      </c>
      <c r="AV88">
        <v>0</v>
      </c>
      <c r="AW88">
        <v>14.94</v>
      </c>
      <c r="AX88">
        <v>0.5</v>
      </c>
      <c r="AY88">
        <v>10.66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46.29</v>
      </c>
      <c r="BH88">
        <v>23.15</v>
      </c>
      <c r="BI88">
        <v>0</v>
      </c>
      <c r="BJ88">
        <v>0</v>
      </c>
      <c r="BK88">
        <v>0</v>
      </c>
      <c r="BL88">
        <v>0</v>
      </c>
      <c r="BM88">
        <v>2.8</v>
      </c>
      <c r="BN88">
        <v>1</v>
      </c>
      <c r="BO88">
        <v>1</v>
      </c>
      <c r="BP88" s="16">
        <v>3.05</v>
      </c>
      <c r="BQ88" s="16">
        <v>1</v>
      </c>
      <c r="BR88" s="16">
        <v>4.5</v>
      </c>
      <c r="BS88" s="16">
        <v>1.2</v>
      </c>
      <c r="BT88" s="16">
        <v>0</v>
      </c>
      <c r="BU88" s="16">
        <v>0</v>
      </c>
      <c r="BV88" s="16">
        <v>0</v>
      </c>
      <c r="BW88">
        <v>0</v>
      </c>
    </row>
    <row r="89" spans="1:75" x14ac:dyDescent="0.2">
      <c r="A89">
        <v>2</v>
      </c>
      <c r="B89">
        <v>18.896646132785801</v>
      </c>
      <c r="C89">
        <v>0.180698151950719</v>
      </c>
      <c r="D89">
        <v>8</v>
      </c>
      <c r="E89">
        <v>58</v>
      </c>
      <c r="F89">
        <v>1.75</v>
      </c>
      <c r="G89">
        <v>18.938775510204099</v>
      </c>
      <c r="H89">
        <v>0</v>
      </c>
      <c r="I89">
        <v>0</v>
      </c>
      <c r="J89" s="19">
        <v>1</v>
      </c>
      <c r="K89" s="19">
        <v>1</v>
      </c>
      <c r="L89" s="19">
        <v>0</v>
      </c>
      <c r="M89" s="19">
        <v>0</v>
      </c>
      <c r="O89" s="19"/>
      <c r="P89" s="19">
        <v>0</v>
      </c>
      <c r="Q89" s="19">
        <v>0</v>
      </c>
      <c r="R89" s="19"/>
      <c r="S89" s="19"/>
      <c r="T89" s="19">
        <v>0</v>
      </c>
      <c r="U89" s="19">
        <v>0</v>
      </c>
      <c r="V89" s="15">
        <f t="shared" si="2"/>
        <v>0</v>
      </c>
      <c r="W89" s="19">
        <v>3</v>
      </c>
      <c r="X89" s="19">
        <v>3</v>
      </c>
      <c r="Y89" s="19">
        <v>3</v>
      </c>
      <c r="Z89" s="19">
        <v>4</v>
      </c>
      <c r="AA89" s="19">
        <v>2</v>
      </c>
      <c r="AB89" s="19">
        <v>3</v>
      </c>
      <c r="AC89" s="19">
        <v>3</v>
      </c>
      <c r="AD89" s="19">
        <v>4</v>
      </c>
      <c r="AE89" s="19">
        <v>4</v>
      </c>
      <c r="AF89" s="19">
        <v>4</v>
      </c>
      <c r="AG89" s="19">
        <v>4</v>
      </c>
      <c r="AH89" s="19">
        <v>3</v>
      </c>
      <c r="AI89" s="19">
        <v>3</v>
      </c>
      <c r="AJ89" s="19">
        <v>4</v>
      </c>
      <c r="AK89" s="19">
        <v>4</v>
      </c>
      <c r="AL89" s="19">
        <v>4</v>
      </c>
      <c r="AM89" s="19">
        <v>3</v>
      </c>
      <c r="AN89" s="19">
        <v>4</v>
      </c>
      <c r="AO89" s="19">
        <v>4</v>
      </c>
      <c r="AP89" s="19">
        <v>9</v>
      </c>
      <c r="AQ89">
        <v>34.5</v>
      </c>
      <c r="AR89" s="16">
        <v>88.3</v>
      </c>
      <c r="AS89" s="16">
        <v>80.400000000000006</v>
      </c>
      <c r="AT89" s="16">
        <v>22.8</v>
      </c>
      <c r="AU89">
        <v>73.89</v>
      </c>
      <c r="AV89">
        <v>0</v>
      </c>
      <c r="AW89">
        <v>14.94</v>
      </c>
      <c r="AX89">
        <v>0.5</v>
      </c>
      <c r="AY89">
        <v>10.66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46.29</v>
      </c>
      <c r="BH89">
        <v>23.15</v>
      </c>
      <c r="BI89">
        <v>0</v>
      </c>
      <c r="BJ89">
        <v>0</v>
      </c>
      <c r="BK89">
        <v>0</v>
      </c>
      <c r="BL89">
        <v>0</v>
      </c>
      <c r="BM89">
        <v>2.8</v>
      </c>
      <c r="BN89">
        <v>1</v>
      </c>
      <c r="BO89">
        <v>1</v>
      </c>
      <c r="BP89" s="16">
        <v>3.05</v>
      </c>
      <c r="BQ89" s="16">
        <v>1</v>
      </c>
      <c r="BR89" s="16">
        <v>4.5</v>
      </c>
      <c r="BS89" s="16">
        <v>1.2</v>
      </c>
      <c r="BT89" s="16">
        <v>0</v>
      </c>
      <c r="BU89" s="16">
        <v>0</v>
      </c>
      <c r="BV89" s="16">
        <v>0</v>
      </c>
      <c r="BW89">
        <v>0</v>
      </c>
    </row>
    <row r="90" spans="1:75" x14ac:dyDescent="0.2">
      <c r="A90">
        <v>2</v>
      </c>
      <c r="B90">
        <v>29.292265571526301</v>
      </c>
      <c r="C90">
        <v>0.22724161533196399</v>
      </c>
      <c r="D90">
        <v>8</v>
      </c>
      <c r="E90">
        <v>71</v>
      </c>
      <c r="F90">
        <v>1.75</v>
      </c>
      <c r="G90">
        <v>23.183673469387799</v>
      </c>
      <c r="H90">
        <v>0</v>
      </c>
      <c r="I90">
        <v>0</v>
      </c>
      <c r="J90" s="19">
        <v>1</v>
      </c>
      <c r="K90" s="19">
        <v>1</v>
      </c>
      <c r="L90" s="19">
        <v>0</v>
      </c>
      <c r="M90" s="19">
        <v>0</v>
      </c>
      <c r="N90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5">
        <f t="shared" si="2"/>
        <v>0</v>
      </c>
      <c r="W90" s="19">
        <v>2</v>
      </c>
      <c r="X90" s="19">
        <v>1</v>
      </c>
      <c r="Y90" s="19">
        <v>3</v>
      </c>
      <c r="Z90" s="19">
        <v>2</v>
      </c>
      <c r="AA90" s="19">
        <v>2</v>
      </c>
      <c r="AB90" s="19">
        <v>1</v>
      </c>
      <c r="AC90" s="19">
        <v>1</v>
      </c>
      <c r="AD90" s="19">
        <v>1</v>
      </c>
      <c r="AE90" s="19">
        <v>3</v>
      </c>
      <c r="AF90" s="19">
        <v>5</v>
      </c>
      <c r="AG90" s="19">
        <v>5</v>
      </c>
      <c r="AH90" s="19">
        <v>5</v>
      </c>
      <c r="AI90" s="19">
        <v>1</v>
      </c>
      <c r="AJ90" s="19">
        <v>4</v>
      </c>
      <c r="AK90" s="19">
        <v>5</v>
      </c>
      <c r="AL90" s="19">
        <v>4</v>
      </c>
      <c r="AM90" s="19">
        <v>4</v>
      </c>
      <c r="AN90" s="19">
        <v>4</v>
      </c>
      <c r="AO90" s="19">
        <v>3</v>
      </c>
      <c r="AP90" s="19">
        <v>10</v>
      </c>
      <c r="AQ90">
        <v>32</v>
      </c>
      <c r="AR90" s="16">
        <v>75</v>
      </c>
      <c r="AS90" s="16">
        <v>80.400000000000006</v>
      </c>
      <c r="AT90" s="16">
        <v>22.6</v>
      </c>
      <c r="AU90">
        <v>76.239999999999995</v>
      </c>
      <c r="AV90">
        <v>0</v>
      </c>
      <c r="AW90">
        <v>15.36</v>
      </c>
      <c r="AX90">
        <v>1.93</v>
      </c>
      <c r="AY90">
        <v>6.47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32.86</v>
      </c>
      <c r="BH90">
        <v>26.39</v>
      </c>
      <c r="BI90">
        <v>0</v>
      </c>
      <c r="BJ90">
        <v>0</v>
      </c>
      <c r="BK90">
        <v>0</v>
      </c>
      <c r="BL90">
        <v>0</v>
      </c>
      <c r="BM90">
        <v>5.6</v>
      </c>
      <c r="BN90">
        <v>1</v>
      </c>
      <c r="BO90">
        <v>1</v>
      </c>
      <c r="BP90" s="16">
        <v>1.43</v>
      </c>
      <c r="BQ90" s="16">
        <v>1</v>
      </c>
      <c r="BR90" s="16">
        <v>1.7</v>
      </c>
      <c r="BS90" s="16">
        <v>1.7</v>
      </c>
      <c r="BT90" s="16">
        <v>0</v>
      </c>
      <c r="BU90" s="16">
        <v>0</v>
      </c>
      <c r="BV90" s="16">
        <v>0</v>
      </c>
      <c r="BW90">
        <v>0</v>
      </c>
    </row>
    <row r="91" spans="1:75" x14ac:dyDescent="0.2">
      <c r="A91">
        <v>2</v>
      </c>
      <c r="B91">
        <v>43.181382614647497</v>
      </c>
      <c r="C91">
        <v>22.2012320328542</v>
      </c>
      <c r="E91">
        <v>72</v>
      </c>
      <c r="F91">
        <v>1.81</v>
      </c>
      <c r="G91">
        <v>21.977351118708199</v>
      </c>
      <c r="H91">
        <v>0</v>
      </c>
      <c r="I91">
        <v>0</v>
      </c>
      <c r="J91" s="19">
        <v>0</v>
      </c>
      <c r="K91" s="19">
        <v>0</v>
      </c>
      <c r="L91" s="19">
        <v>0</v>
      </c>
      <c r="M91" s="19">
        <v>0</v>
      </c>
      <c r="N91">
        <v>0</v>
      </c>
      <c r="O91" s="19">
        <v>0</v>
      </c>
      <c r="P91" s="19">
        <v>0</v>
      </c>
      <c r="Q91" s="19">
        <v>0</v>
      </c>
      <c r="R91" s="19">
        <v>0</v>
      </c>
      <c r="S91" s="19">
        <v>0</v>
      </c>
      <c r="T91" s="19">
        <v>0</v>
      </c>
      <c r="U91" s="19">
        <v>0</v>
      </c>
      <c r="V91" s="15">
        <f t="shared" si="2"/>
        <v>0</v>
      </c>
      <c r="W91" s="19">
        <v>1</v>
      </c>
      <c r="X91" s="19">
        <v>2</v>
      </c>
      <c r="Y91" s="19">
        <v>2</v>
      </c>
      <c r="Z91" s="19">
        <v>5</v>
      </c>
      <c r="AA91" s="19">
        <v>5</v>
      </c>
      <c r="AB91" s="19">
        <v>5</v>
      </c>
      <c r="AC91" s="19">
        <v>4</v>
      </c>
      <c r="AD91" s="19">
        <v>5</v>
      </c>
      <c r="AE91" s="19">
        <v>4</v>
      </c>
      <c r="AF91" s="19">
        <v>4</v>
      </c>
      <c r="AG91" s="19">
        <v>4</v>
      </c>
      <c r="AH91" s="19">
        <v>5</v>
      </c>
      <c r="AI91" s="19">
        <v>4</v>
      </c>
      <c r="AJ91" s="19">
        <v>4</v>
      </c>
      <c r="AK91" s="19">
        <v>3</v>
      </c>
      <c r="AL91" s="19">
        <v>4</v>
      </c>
      <c r="AM91" s="19">
        <v>4</v>
      </c>
      <c r="AN91" s="19">
        <v>4</v>
      </c>
      <c r="AO91" s="19">
        <v>4</v>
      </c>
      <c r="AP91" s="19">
        <v>10</v>
      </c>
      <c r="AQ91" s="19"/>
      <c r="AR91" s="19"/>
      <c r="AS91" s="19"/>
      <c r="AT91" s="19"/>
      <c r="AU91" s="19"/>
      <c r="AV91">
        <v>0</v>
      </c>
      <c r="AW91" s="19"/>
      <c r="AX91" s="19"/>
      <c r="AY91" s="19"/>
      <c r="AZ91" s="19"/>
      <c r="BA91" s="19"/>
      <c r="BB91">
        <v>0</v>
      </c>
      <c r="BC91" s="19"/>
      <c r="BD91" s="19"/>
      <c r="BE91" s="19"/>
      <c r="BF91" s="19"/>
      <c r="BG91" s="19"/>
      <c r="BH91" s="19"/>
      <c r="BI91" s="19"/>
      <c r="BJ91" s="19"/>
      <c r="BK91" s="19"/>
      <c r="BL91" s="19"/>
      <c r="BM91"/>
      <c r="BP91"/>
      <c r="BQ91" s="15"/>
      <c r="BS91"/>
      <c r="BU91"/>
      <c r="BV91" s="15"/>
      <c r="BW91" s="15"/>
    </row>
    <row r="92" spans="1:75" x14ac:dyDescent="0.2">
      <c r="A92">
        <v>2</v>
      </c>
      <c r="B92">
        <v>23.2936344969199</v>
      </c>
      <c r="C92">
        <v>0.29568788501026699</v>
      </c>
      <c r="D92">
        <v>8</v>
      </c>
      <c r="E92">
        <v>70</v>
      </c>
      <c r="F92">
        <v>1.83</v>
      </c>
      <c r="G92">
        <v>20.902385858042901</v>
      </c>
      <c r="H92">
        <v>0</v>
      </c>
      <c r="I92">
        <v>0</v>
      </c>
      <c r="J92" s="19">
        <v>0</v>
      </c>
      <c r="K92" s="19">
        <v>1</v>
      </c>
      <c r="L92" s="19">
        <v>1</v>
      </c>
      <c r="M92" s="19">
        <v>0</v>
      </c>
      <c r="N92">
        <v>0</v>
      </c>
      <c r="O92" s="19">
        <v>0</v>
      </c>
      <c r="P92" s="19">
        <v>0</v>
      </c>
      <c r="Q92" s="19">
        <v>0</v>
      </c>
      <c r="R92" s="19">
        <v>0</v>
      </c>
      <c r="S92" s="19">
        <v>0</v>
      </c>
      <c r="T92" s="19">
        <v>0</v>
      </c>
      <c r="U92" s="19">
        <v>0</v>
      </c>
      <c r="V92" s="15">
        <f t="shared" si="2"/>
        <v>0</v>
      </c>
      <c r="W92" s="19">
        <v>2</v>
      </c>
      <c r="X92" s="19">
        <v>2</v>
      </c>
      <c r="Y92" s="19">
        <v>3</v>
      </c>
      <c r="Z92" s="19">
        <v>5</v>
      </c>
      <c r="AA92" s="19">
        <v>1</v>
      </c>
      <c r="AB92" s="19">
        <v>2</v>
      </c>
      <c r="AC92" s="19">
        <v>3</v>
      </c>
      <c r="AD92" s="19">
        <v>2</v>
      </c>
      <c r="AE92" s="19">
        <v>1</v>
      </c>
      <c r="AF92" s="19">
        <v>4</v>
      </c>
      <c r="AG92" s="19">
        <v>4</v>
      </c>
      <c r="AH92" s="19">
        <v>5</v>
      </c>
      <c r="AI92" s="19">
        <v>1</v>
      </c>
      <c r="AJ92" s="19">
        <v>3</v>
      </c>
      <c r="AK92" s="19">
        <v>2</v>
      </c>
      <c r="AL92" s="19">
        <v>5</v>
      </c>
      <c r="AM92" s="19">
        <v>2</v>
      </c>
      <c r="AN92" s="19">
        <v>2</v>
      </c>
      <c r="AO92" s="19">
        <v>4</v>
      </c>
      <c r="AP92" s="19">
        <v>7</v>
      </c>
      <c r="AQ92">
        <v>19.5</v>
      </c>
      <c r="AR92" s="16">
        <v>74.3</v>
      </c>
      <c r="AS92" s="16">
        <v>80.400000000000006</v>
      </c>
      <c r="AT92" s="16">
        <v>7.8</v>
      </c>
      <c r="AU92">
        <v>89.52</v>
      </c>
      <c r="AV92">
        <v>8.69</v>
      </c>
      <c r="AW92">
        <v>1.79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18.73</v>
      </c>
      <c r="BH92">
        <v>9.35</v>
      </c>
      <c r="BI92">
        <v>0</v>
      </c>
      <c r="BJ92">
        <v>0</v>
      </c>
      <c r="BK92">
        <v>0</v>
      </c>
      <c r="BL92"/>
      <c r="BM92">
        <v>3.92</v>
      </c>
      <c r="BN92">
        <v>1</v>
      </c>
      <c r="BO92">
        <v>1</v>
      </c>
      <c r="BP92" s="16">
        <v>2.2400000000000002</v>
      </c>
      <c r="BQ92" s="16">
        <v>1</v>
      </c>
      <c r="BR92" s="16">
        <v>5.49</v>
      </c>
      <c r="BS92" s="16">
        <v>7.22</v>
      </c>
      <c r="BT92" s="16">
        <v>0</v>
      </c>
      <c r="BU92" s="16">
        <v>0</v>
      </c>
      <c r="BV92" s="16">
        <v>0</v>
      </c>
      <c r="BW92">
        <v>0</v>
      </c>
    </row>
    <row r="93" spans="1:75" x14ac:dyDescent="0.2">
      <c r="A93">
        <v>2</v>
      </c>
      <c r="B93">
        <v>18.360027378507901</v>
      </c>
      <c r="C93">
        <v>0.25462012320328498</v>
      </c>
      <c r="D93">
        <v>8</v>
      </c>
      <c r="E93">
        <v>53</v>
      </c>
      <c r="F93">
        <v>1.64</v>
      </c>
      <c r="G93">
        <v>19.705532421177899</v>
      </c>
      <c r="H93">
        <v>0</v>
      </c>
      <c r="I93">
        <v>0</v>
      </c>
      <c r="J93" s="19">
        <v>1</v>
      </c>
      <c r="K93" s="19">
        <v>1</v>
      </c>
      <c r="L93" s="19">
        <v>1</v>
      </c>
      <c r="M93" s="19">
        <v>0</v>
      </c>
      <c r="N93">
        <v>0</v>
      </c>
      <c r="O93" s="19">
        <v>0</v>
      </c>
      <c r="P93" s="19">
        <v>0</v>
      </c>
      <c r="Q93" s="19">
        <v>0</v>
      </c>
      <c r="R93" s="19">
        <v>0</v>
      </c>
      <c r="S93" s="19">
        <v>0</v>
      </c>
      <c r="T93" s="19">
        <v>0</v>
      </c>
      <c r="U93" s="19">
        <v>0</v>
      </c>
      <c r="V93" s="15">
        <f t="shared" si="2"/>
        <v>0</v>
      </c>
      <c r="W93" s="19">
        <v>1</v>
      </c>
      <c r="X93" s="19">
        <v>2</v>
      </c>
      <c r="Y93" s="19">
        <v>2</v>
      </c>
      <c r="Z93" s="19">
        <v>3</v>
      </c>
      <c r="AA93" s="19">
        <v>2</v>
      </c>
      <c r="AB93" s="19">
        <v>2</v>
      </c>
      <c r="AC93" s="19">
        <v>1</v>
      </c>
      <c r="AD93" s="19">
        <v>2</v>
      </c>
      <c r="AE93" s="19">
        <v>3</v>
      </c>
      <c r="AF93" s="19">
        <v>4</v>
      </c>
      <c r="AG93" s="19">
        <v>5</v>
      </c>
      <c r="AH93" s="19">
        <v>5</v>
      </c>
      <c r="AI93" s="19">
        <v>3</v>
      </c>
      <c r="AJ93" s="19">
        <v>4</v>
      </c>
      <c r="AK93" s="19">
        <v>4</v>
      </c>
      <c r="AL93" s="19">
        <v>5</v>
      </c>
      <c r="AM93" s="19">
        <v>3</v>
      </c>
      <c r="AN93" s="19">
        <v>4</v>
      </c>
      <c r="AO93" s="19">
        <v>4</v>
      </c>
      <c r="AP93" s="19">
        <v>7</v>
      </c>
      <c r="AQ93">
        <v>34.5</v>
      </c>
      <c r="AR93" s="16">
        <v>88.3</v>
      </c>
      <c r="AS93" s="16">
        <v>80.400000000000006</v>
      </c>
      <c r="AT93" s="16">
        <v>22.8</v>
      </c>
      <c r="AU93">
        <v>73.89</v>
      </c>
      <c r="AV93">
        <v>0</v>
      </c>
      <c r="AW93">
        <v>14.94</v>
      </c>
      <c r="AX93">
        <v>0.5</v>
      </c>
      <c r="AY93">
        <v>10.66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46.29</v>
      </c>
      <c r="BH93">
        <v>23.15</v>
      </c>
      <c r="BI93">
        <v>0</v>
      </c>
      <c r="BJ93">
        <v>0</v>
      </c>
      <c r="BK93">
        <v>0</v>
      </c>
      <c r="BL93">
        <v>0</v>
      </c>
      <c r="BM93">
        <v>2.8</v>
      </c>
      <c r="BN93">
        <v>1</v>
      </c>
      <c r="BO93">
        <v>1</v>
      </c>
      <c r="BP93" s="16">
        <v>3.05</v>
      </c>
      <c r="BQ93" s="16">
        <v>1</v>
      </c>
      <c r="BR93" s="16">
        <v>4.5</v>
      </c>
      <c r="BS93" s="16">
        <v>1.2</v>
      </c>
      <c r="BT93" s="16">
        <v>0</v>
      </c>
      <c r="BU93" s="16">
        <v>0</v>
      </c>
      <c r="BV93" s="16">
        <v>0</v>
      </c>
      <c r="BW93">
        <v>0</v>
      </c>
    </row>
    <row r="94" spans="1:75" x14ac:dyDescent="0.2">
      <c r="A94">
        <v>1</v>
      </c>
      <c r="B94">
        <v>42.844626967830301</v>
      </c>
      <c r="C94">
        <v>8.9582477754962397</v>
      </c>
      <c r="D94">
        <v>8</v>
      </c>
      <c r="E94">
        <v>62</v>
      </c>
      <c r="F94">
        <v>1.67</v>
      </c>
      <c r="G94">
        <v>22.230987127541301</v>
      </c>
      <c r="H94">
        <v>0</v>
      </c>
      <c r="I94">
        <v>0</v>
      </c>
      <c r="J94" s="19">
        <v>0</v>
      </c>
      <c r="K94" s="19">
        <v>3</v>
      </c>
      <c r="L94" s="19">
        <v>0</v>
      </c>
      <c r="M94" s="19">
        <v>0</v>
      </c>
      <c r="N94">
        <v>4</v>
      </c>
      <c r="O94" s="19">
        <v>6</v>
      </c>
      <c r="P94" s="19">
        <v>8</v>
      </c>
      <c r="Q94" s="19">
        <v>6</v>
      </c>
      <c r="R94" s="19">
        <v>9</v>
      </c>
      <c r="S94" s="19">
        <v>7</v>
      </c>
      <c r="T94" s="19"/>
      <c r="U94" s="19"/>
      <c r="V94" s="15">
        <f t="shared" si="2"/>
        <v>5.7142857142857144</v>
      </c>
      <c r="W94" s="19">
        <v>3</v>
      </c>
      <c r="X94" s="19">
        <v>3</v>
      </c>
      <c r="Y94" s="19">
        <v>3</v>
      </c>
      <c r="Z94" s="19">
        <v>5</v>
      </c>
      <c r="AA94" s="19">
        <v>1</v>
      </c>
      <c r="AB94" s="19">
        <v>3</v>
      </c>
      <c r="AC94" s="19">
        <v>1</v>
      </c>
      <c r="AD94" s="19">
        <v>5</v>
      </c>
      <c r="AE94" s="19">
        <v>5</v>
      </c>
      <c r="AF94" s="19">
        <v>5</v>
      </c>
      <c r="AG94" s="19">
        <v>5</v>
      </c>
      <c r="AH94" s="19">
        <v>5</v>
      </c>
      <c r="AI94" s="19">
        <v>5</v>
      </c>
      <c r="AJ94" s="19">
        <v>5</v>
      </c>
      <c r="AK94" s="19">
        <v>4</v>
      </c>
      <c r="AL94" s="19">
        <v>4</v>
      </c>
      <c r="AM94" s="19">
        <v>5</v>
      </c>
      <c r="AN94" s="19">
        <v>4</v>
      </c>
      <c r="AO94" s="19">
        <v>5</v>
      </c>
      <c r="AP94" s="19">
        <v>6</v>
      </c>
      <c r="AQ94">
        <v>37</v>
      </c>
      <c r="AR94" s="16">
        <v>95.1</v>
      </c>
      <c r="AS94" s="16">
        <v>80.400000000000006</v>
      </c>
      <c r="AT94" s="16">
        <v>15.9</v>
      </c>
      <c r="AU94">
        <v>82.71</v>
      </c>
      <c r="AV94" s="17">
        <v>0</v>
      </c>
      <c r="AW94">
        <v>10.32</v>
      </c>
      <c r="AX94">
        <v>0.39</v>
      </c>
      <c r="AY94">
        <v>10.32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1.9</v>
      </c>
      <c r="BG94">
        <v>26.26</v>
      </c>
      <c r="BH94">
        <v>6.04</v>
      </c>
      <c r="BI94">
        <v>2.19</v>
      </c>
      <c r="BJ94">
        <v>0</v>
      </c>
      <c r="BK94">
        <v>0</v>
      </c>
      <c r="BL94">
        <v>0</v>
      </c>
      <c r="BM94">
        <v>14.7</v>
      </c>
      <c r="BN94">
        <v>1</v>
      </c>
      <c r="BO94">
        <v>1</v>
      </c>
      <c r="BP94">
        <v>0</v>
      </c>
      <c r="BQ94" s="19">
        <v>0</v>
      </c>
      <c r="BR94" s="16">
        <v>5.1100000000000003</v>
      </c>
      <c r="BS94">
        <v>4.8099999999999996</v>
      </c>
      <c r="BT94">
        <v>0</v>
      </c>
      <c r="BU94">
        <v>0</v>
      </c>
      <c r="BV94">
        <v>0</v>
      </c>
      <c r="BW94">
        <v>0</v>
      </c>
    </row>
    <row r="95" spans="1:75" x14ac:dyDescent="0.2">
      <c r="A95">
        <v>2</v>
      </c>
      <c r="B95">
        <v>29.850787132101299</v>
      </c>
      <c r="C95">
        <v>6.0835044490075303</v>
      </c>
      <c r="D95">
        <v>8</v>
      </c>
      <c r="E95">
        <v>83</v>
      </c>
      <c r="F95">
        <v>1.8</v>
      </c>
      <c r="G95">
        <v>25.617283950617299</v>
      </c>
      <c r="H95">
        <v>0</v>
      </c>
      <c r="I95">
        <v>0</v>
      </c>
      <c r="J95" s="19">
        <v>1</v>
      </c>
      <c r="K95" s="19">
        <v>2</v>
      </c>
      <c r="L95" s="19">
        <v>1</v>
      </c>
      <c r="M95" s="19">
        <v>3</v>
      </c>
      <c r="N95">
        <v>7</v>
      </c>
      <c r="O95" s="19">
        <v>0</v>
      </c>
      <c r="P95" s="19">
        <v>0</v>
      </c>
      <c r="Q95" s="19">
        <v>0</v>
      </c>
      <c r="R95" s="19">
        <v>0</v>
      </c>
      <c r="S95" s="19">
        <v>0</v>
      </c>
      <c r="T95" s="19">
        <v>0</v>
      </c>
      <c r="U95" s="19">
        <v>5</v>
      </c>
      <c r="V95" s="15">
        <f t="shared" si="2"/>
        <v>1.6666666666666667</v>
      </c>
      <c r="W95" s="19">
        <v>3</v>
      </c>
      <c r="X95" s="19">
        <v>2</v>
      </c>
      <c r="Y95" s="19">
        <v>3</v>
      </c>
      <c r="Z95" s="19">
        <v>3</v>
      </c>
      <c r="AA95" s="19">
        <v>1</v>
      </c>
      <c r="AB95" s="19">
        <v>1</v>
      </c>
      <c r="AC95" s="19">
        <v>1</v>
      </c>
      <c r="AD95" s="19">
        <v>3</v>
      </c>
      <c r="AE95" s="19">
        <v>2</v>
      </c>
      <c r="AF95" s="19">
        <v>1</v>
      </c>
      <c r="AG95" s="19">
        <v>3</v>
      </c>
      <c r="AH95" s="19">
        <v>4</v>
      </c>
      <c r="AI95" s="19">
        <v>2</v>
      </c>
      <c r="AJ95" s="19">
        <v>3</v>
      </c>
      <c r="AK95" s="19">
        <v>3</v>
      </c>
      <c r="AL95" s="19">
        <v>5</v>
      </c>
      <c r="AM95" s="19">
        <v>2</v>
      </c>
      <c r="AN95" s="19">
        <v>3</v>
      </c>
      <c r="AO95" s="19">
        <v>3</v>
      </c>
      <c r="AP95" s="19">
        <v>9</v>
      </c>
      <c r="AQ95">
        <v>75</v>
      </c>
      <c r="AR95" s="16">
        <v>87.9</v>
      </c>
      <c r="AS95" s="16">
        <v>80.400000000000006</v>
      </c>
      <c r="AT95" s="16">
        <v>45.2</v>
      </c>
      <c r="AU95">
        <v>50.83</v>
      </c>
      <c r="AV95">
        <v>0.05</v>
      </c>
      <c r="AW95">
        <v>46.44</v>
      </c>
      <c r="AX95">
        <v>2.67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25.21</v>
      </c>
      <c r="BH95">
        <v>43.57</v>
      </c>
      <c r="BI95">
        <v>6.27</v>
      </c>
      <c r="BJ95">
        <v>0</v>
      </c>
      <c r="BK95">
        <v>0</v>
      </c>
      <c r="BL95">
        <v>0</v>
      </c>
      <c r="BM95">
        <v>17.8</v>
      </c>
      <c r="BN95">
        <v>1</v>
      </c>
      <c r="BO95">
        <v>1</v>
      </c>
      <c r="BP95" s="16">
        <v>3.43</v>
      </c>
      <c r="BQ95" s="16">
        <v>1</v>
      </c>
      <c r="BR95" s="16">
        <v>6.39</v>
      </c>
      <c r="BS95" s="16">
        <v>3.31</v>
      </c>
      <c r="BT95" s="16">
        <v>0</v>
      </c>
      <c r="BU95" s="16">
        <v>0</v>
      </c>
      <c r="BV95" s="16">
        <v>0</v>
      </c>
      <c r="BW95">
        <v>0</v>
      </c>
    </row>
    <row r="96" spans="1:75" x14ac:dyDescent="0.2">
      <c r="A96">
        <v>2</v>
      </c>
      <c r="B96">
        <v>40.711841204654299</v>
      </c>
      <c r="C96">
        <v>6.5708418891170406E-2</v>
      </c>
      <c r="D96">
        <v>8</v>
      </c>
      <c r="E96">
        <v>70</v>
      </c>
      <c r="F96">
        <v>1.64</v>
      </c>
      <c r="G96">
        <v>26.026174895895299</v>
      </c>
      <c r="H96">
        <v>0</v>
      </c>
      <c r="I96">
        <v>0</v>
      </c>
      <c r="J96" s="19">
        <v>0</v>
      </c>
      <c r="K96" s="19">
        <v>2</v>
      </c>
      <c r="L96" s="19">
        <v>1</v>
      </c>
      <c r="M96" s="19">
        <v>0</v>
      </c>
      <c r="N96">
        <v>0</v>
      </c>
      <c r="O96" s="19">
        <v>0</v>
      </c>
      <c r="P96" s="19">
        <v>0</v>
      </c>
      <c r="Q96" s="19">
        <v>0</v>
      </c>
      <c r="R96" s="19">
        <v>0</v>
      </c>
      <c r="S96" s="19">
        <v>0</v>
      </c>
      <c r="T96" s="19">
        <v>0</v>
      </c>
      <c r="U96" s="19">
        <v>0</v>
      </c>
      <c r="V96" s="15">
        <f t="shared" si="2"/>
        <v>0</v>
      </c>
      <c r="W96" s="19">
        <v>3</v>
      </c>
      <c r="X96" s="19">
        <v>2</v>
      </c>
      <c r="Y96" s="19">
        <v>3</v>
      </c>
      <c r="Z96" s="19">
        <v>4</v>
      </c>
      <c r="AA96" s="19">
        <v>3</v>
      </c>
      <c r="AB96" s="19">
        <v>2</v>
      </c>
      <c r="AC96" s="19">
        <v>3</v>
      </c>
      <c r="AD96" s="19">
        <v>3</v>
      </c>
      <c r="AE96" s="19">
        <v>4</v>
      </c>
      <c r="AF96" s="19">
        <v>4</v>
      </c>
      <c r="AG96" s="19">
        <v>4</v>
      </c>
      <c r="AH96" s="19">
        <v>4</v>
      </c>
      <c r="AI96" s="19">
        <v>4</v>
      </c>
      <c r="AJ96" s="19">
        <v>4</v>
      </c>
      <c r="AK96" s="19">
        <v>5</v>
      </c>
      <c r="AL96" s="19">
        <v>5</v>
      </c>
      <c r="AM96" s="19">
        <v>3</v>
      </c>
      <c r="AN96" s="19">
        <v>5</v>
      </c>
      <c r="AO96" s="19">
        <v>4</v>
      </c>
      <c r="AP96" s="19">
        <v>8</v>
      </c>
      <c r="AQ96">
        <v>37</v>
      </c>
      <c r="AR96" s="16">
        <v>95.1</v>
      </c>
      <c r="AS96" s="16">
        <v>80.400000000000006</v>
      </c>
      <c r="AT96" s="16">
        <v>15.9</v>
      </c>
      <c r="AU96">
        <v>82.71</v>
      </c>
      <c r="AV96">
        <v>0</v>
      </c>
      <c r="AW96">
        <v>10.32</v>
      </c>
      <c r="AX96">
        <v>0.39</v>
      </c>
      <c r="AY96">
        <v>10.32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1.9</v>
      </c>
      <c r="BG96">
        <v>26.26</v>
      </c>
      <c r="BH96">
        <v>6.04</v>
      </c>
      <c r="BI96">
        <v>2.19</v>
      </c>
      <c r="BJ96">
        <v>0</v>
      </c>
      <c r="BK96">
        <v>0</v>
      </c>
      <c r="BL96">
        <v>0</v>
      </c>
      <c r="BM96">
        <v>14.7</v>
      </c>
      <c r="BN96">
        <v>1</v>
      </c>
      <c r="BO96">
        <v>1</v>
      </c>
      <c r="BP96">
        <v>0</v>
      </c>
      <c r="BQ96" s="19">
        <v>0</v>
      </c>
      <c r="BR96" s="16">
        <v>5.1100000000000003</v>
      </c>
      <c r="BS96">
        <v>4.8099999999999996</v>
      </c>
      <c r="BT96">
        <v>0</v>
      </c>
      <c r="BU96">
        <v>0</v>
      </c>
      <c r="BV96">
        <v>0</v>
      </c>
      <c r="BW96">
        <v>0</v>
      </c>
    </row>
    <row r="97" spans="1:75" x14ac:dyDescent="0.2">
      <c r="A97">
        <v>1</v>
      </c>
      <c r="B97">
        <v>24.9390828199863</v>
      </c>
      <c r="C97">
        <v>0.26557152635181402</v>
      </c>
      <c r="D97">
        <v>8</v>
      </c>
      <c r="E97">
        <v>68</v>
      </c>
      <c r="F97">
        <v>1.56</v>
      </c>
      <c r="G97">
        <v>27.9421433267587</v>
      </c>
      <c r="H97">
        <v>0</v>
      </c>
      <c r="I97">
        <v>0</v>
      </c>
      <c r="J97" s="19">
        <v>0</v>
      </c>
      <c r="K97" s="19">
        <v>2</v>
      </c>
      <c r="L97" s="19">
        <v>0</v>
      </c>
      <c r="M97" s="19">
        <v>0</v>
      </c>
      <c r="N97">
        <v>0</v>
      </c>
      <c r="O97" s="19">
        <v>0</v>
      </c>
      <c r="P97" s="19">
        <v>0</v>
      </c>
      <c r="Q97" s="19">
        <v>0</v>
      </c>
      <c r="R97" s="19">
        <v>0</v>
      </c>
      <c r="S97" s="19">
        <v>0</v>
      </c>
      <c r="T97" s="19">
        <v>0</v>
      </c>
      <c r="U97" s="19">
        <v>0</v>
      </c>
      <c r="V97" s="15">
        <f t="shared" si="2"/>
        <v>0</v>
      </c>
      <c r="W97" s="19">
        <v>2</v>
      </c>
      <c r="X97" s="19">
        <v>2</v>
      </c>
      <c r="Y97" s="19">
        <v>2</v>
      </c>
      <c r="Z97" s="19">
        <v>3</v>
      </c>
      <c r="AA97" s="19">
        <v>1</v>
      </c>
      <c r="AB97" s="19">
        <v>1</v>
      </c>
      <c r="AC97" s="19">
        <v>3</v>
      </c>
      <c r="AD97" s="19">
        <v>3</v>
      </c>
      <c r="AE97" s="19">
        <v>4</v>
      </c>
      <c r="AF97" s="19">
        <v>5</v>
      </c>
      <c r="AG97" s="19">
        <v>4</v>
      </c>
      <c r="AH97" s="19">
        <v>4</v>
      </c>
      <c r="AI97" s="19">
        <v>4</v>
      </c>
      <c r="AJ97" s="19">
        <v>5</v>
      </c>
      <c r="AK97" s="19">
        <v>3</v>
      </c>
      <c r="AL97" s="19">
        <v>5</v>
      </c>
      <c r="AM97" s="19">
        <v>4</v>
      </c>
      <c r="AN97" s="19">
        <v>5</v>
      </c>
      <c r="AO97" s="19">
        <v>5</v>
      </c>
      <c r="AP97" s="19">
        <v>8</v>
      </c>
      <c r="AQ97">
        <v>37</v>
      </c>
      <c r="AR97" s="16">
        <v>95.1</v>
      </c>
      <c r="AS97" s="16">
        <v>80.400000000000006</v>
      </c>
      <c r="AT97" s="16">
        <v>15.9</v>
      </c>
      <c r="AU97">
        <v>82.71</v>
      </c>
      <c r="AV97">
        <v>0</v>
      </c>
      <c r="AW97">
        <v>10.32</v>
      </c>
      <c r="AX97">
        <v>0.39</v>
      </c>
      <c r="AY97">
        <v>10.32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1.9</v>
      </c>
      <c r="BG97">
        <v>26.26</v>
      </c>
      <c r="BH97">
        <v>6.04</v>
      </c>
      <c r="BI97">
        <v>2.19</v>
      </c>
      <c r="BJ97">
        <v>0</v>
      </c>
      <c r="BK97">
        <v>0</v>
      </c>
      <c r="BL97">
        <v>0</v>
      </c>
      <c r="BM97">
        <v>14.7</v>
      </c>
      <c r="BN97">
        <v>1</v>
      </c>
      <c r="BO97">
        <v>1</v>
      </c>
      <c r="BP97">
        <v>0</v>
      </c>
      <c r="BQ97" s="19">
        <v>0</v>
      </c>
      <c r="BR97" s="16">
        <v>5.1100000000000003</v>
      </c>
      <c r="BS97">
        <v>4.8099999999999996</v>
      </c>
      <c r="BT97">
        <v>0</v>
      </c>
      <c r="BU97">
        <v>0</v>
      </c>
      <c r="BV97">
        <v>0</v>
      </c>
      <c r="BW97">
        <v>0</v>
      </c>
    </row>
    <row r="98" spans="1:75" x14ac:dyDescent="0.2">
      <c r="A98">
        <v>2</v>
      </c>
      <c r="B98">
        <v>53.3935660506502</v>
      </c>
      <c r="C98">
        <v>20.2819986310746</v>
      </c>
      <c r="D98">
        <v>8</v>
      </c>
      <c r="E98">
        <v>78</v>
      </c>
      <c r="F98">
        <v>1.82</v>
      </c>
      <c r="G98">
        <v>23.547880690737799</v>
      </c>
      <c r="H98">
        <v>0</v>
      </c>
      <c r="I98">
        <v>0</v>
      </c>
      <c r="J98" s="19">
        <v>0</v>
      </c>
      <c r="K98" s="19">
        <v>1</v>
      </c>
      <c r="L98" s="19">
        <v>1</v>
      </c>
      <c r="M98" s="19"/>
      <c r="O98" s="19"/>
      <c r="P98" s="19"/>
      <c r="Q98" s="19"/>
      <c r="R98" s="19"/>
      <c r="S98" s="19"/>
      <c r="T98" s="19"/>
      <c r="U98" s="19"/>
      <c r="V98" s="15"/>
      <c r="W98" s="19">
        <v>3</v>
      </c>
      <c r="X98" s="19">
        <v>3</v>
      </c>
      <c r="Y98" s="19">
        <v>5</v>
      </c>
      <c r="Z98" s="19">
        <v>5</v>
      </c>
      <c r="AA98" s="19">
        <v>3</v>
      </c>
      <c r="AB98" s="19">
        <v>4</v>
      </c>
      <c r="AC98" s="19">
        <v>3</v>
      </c>
      <c r="AD98" s="19">
        <v>3</v>
      </c>
      <c r="AE98" s="19">
        <v>2</v>
      </c>
      <c r="AF98" s="19">
        <v>3</v>
      </c>
      <c r="AG98" s="19">
        <v>5</v>
      </c>
      <c r="AH98" s="19">
        <v>5</v>
      </c>
      <c r="AI98" s="19">
        <v>3</v>
      </c>
      <c r="AJ98" s="19">
        <v>4</v>
      </c>
      <c r="AK98" s="19">
        <v>5</v>
      </c>
      <c r="AL98" s="19">
        <v>3</v>
      </c>
      <c r="AM98" s="19">
        <v>4</v>
      </c>
      <c r="AN98" s="19">
        <v>3</v>
      </c>
      <c r="AO98" s="19">
        <v>4</v>
      </c>
      <c r="AP98" s="19">
        <v>8</v>
      </c>
      <c r="AQ98">
        <v>37</v>
      </c>
      <c r="AR98" s="16">
        <v>95.1</v>
      </c>
      <c r="AS98" s="16">
        <v>80.400000000000006</v>
      </c>
      <c r="AT98" s="16">
        <v>15.9</v>
      </c>
      <c r="AU98">
        <v>82.71</v>
      </c>
      <c r="AV98" s="17">
        <v>0</v>
      </c>
      <c r="AW98">
        <v>10.32</v>
      </c>
      <c r="AX98">
        <v>0.39</v>
      </c>
      <c r="AY98">
        <v>10.32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1.9</v>
      </c>
      <c r="BG98">
        <v>26.26</v>
      </c>
      <c r="BH98">
        <v>6.04</v>
      </c>
      <c r="BI98">
        <v>2.19</v>
      </c>
      <c r="BJ98">
        <v>0</v>
      </c>
      <c r="BK98">
        <v>0</v>
      </c>
      <c r="BL98">
        <v>0</v>
      </c>
      <c r="BM98">
        <v>14.7</v>
      </c>
      <c r="BN98">
        <v>1</v>
      </c>
      <c r="BO98">
        <v>1</v>
      </c>
      <c r="BP98">
        <v>0</v>
      </c>
      <c r="BQ98" s="19">
        <v>0</v>
      </c>
      <c r="BR98" s="16">
        <v>5.1100000000000003</v>
      </c>
      <c r="BS98">
        <v>4.8099999999999996</v>
      </c>
      <c r="BT98">
        <v>0</v>
      </c>
      <c r="BU98">
        <v>0</v>
      </c>
      <c r="BV98">
        <v>0</v>
      </c>
      <c r="BW98">
        <v>0</v>
      </c>
    </row>
    <row r="99" spans="1:75" x14ac:dyDescent="0.2">
      <c r="A99">
        <v>1</v>
      </c>
      <c r="B99">
        <v>23.956194387405901</v>
      </c>
      <c r="C99">
        <v>0.24366872005475701</v>
      </c>
      <c r="D99">
        <v>4</v>
      </c>
      <c r="E99">
        <v>59</v>
      </c>
      <c r="F99">
        <v>1.58</v>
      </c>
      <c r="G99">
        <v>23.6340330075308</v>
      </c>
      <c r="H99">
        <v>0</v>
      </c>
      <c r="I99">
        <v>0</v>
      </c>
      <c r="J99" s="19">
        <v>0</v>
      </c>
      <c r="K99" s="19">
        <v>1</v>
      </c>
      <c r="L99" s="19">
        <v>0</v>
      </c>
      <c r="M99" s="19">
        <v>0</v>
      </c>
      <c r="N9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5">
        <f t="shared" ref="V99:V140" si="3">AVERAGE(M99:U99)</f>
        <v>0</v>
      </c>
      <c r="W99" s="19">
        <v>3</v>
      </c>
      <c r="X99" s="19">
        <v>3</v>
      </c>
      <c r="Y99" s="19">
        <v>3</v>
      </c>
      <c r="Z99" s="19">
        <v>5</v>
      </c>
      <c r="AA99" s="19">
        <v>1</v>
      </c>
      <c r="AB99" s="19">
        <v>1</v>
      </c>
      <c r="AC99" s="19">
        <v>3</v>
      </c>
      <c r="AD99" s="19">
        <v>5</v>
      </c>
      <c r="AE99" s="19">
        <v>3</v>
      </c>
      <c r="AF99" s="19">
        <v>4</v>
      </c>
      <c r="AG99" s="19">
        <v>5</v>
      </c>
      <c r="AH99" s="19">
        <v>5</v>
      </c>
      <c r="AI99" s="19">
        <v>4</v>
      </c>
      <c r="AJ99" s="19">
        <v>5</v>
      </c>
      <c r="AK99" s="19">
        <v>3</v>
      </c>
      <c r="AL99" s="19">
        <v>5</v>
      </c>
      <c r="AM99" s="19">
        <v>5</v>
      </c>
      <c r="AN99" s="19">
        <v>5</v>
      </c>
      <c r="AO99" s="19">
        <v>5</v>
      </c>
      <c r="AP99" s="19">
        <v>8</v>
      </c>
      <c r="AQ99">
        <v>37</v>
      </c>
      <c r="AR99" s="16">
        <v>95.1</v>
      </c>
      <c r="AS99" s="16">
        <v>80.400000000000006</v>
      </c>
      <c r="AT99" s="16">
        <v>15.9</v>
      </c>
      <c r="AU99">
        <v>82.71</v>
      </c>
      <c r="AV99" s="17">
        <v>0</v>
      </c>
      <c r="AW99">
        <v>10.32</v>
      </c>
      <c r="AX99">
        <v>0.39</v>
      </c>
      <c r="AY99">
        <v>10.32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1.9</v>
      </c>
      <c r="BG99">
        <v>26.26</v>
      </c>
      <c r="BH99">
        <v>6.04</v>
      </c>
      <c r="BI99">
        <v>2.19</v>
      </c>
      <c r="BJ99">
        <v>0</v>
      </c>
      <c r="BK99">
        <v>0</v>
      </c>
      <c r="BL99">
        <v>0</v>
      </c>
      <c r="BM99">
        <v>14.7</v>
      </c>
      <c r="BN99">
        <v>1</v>
      </c>
      <c r="BO99">
        <v>1</v>
      </c>
      <c r="BP99">
        <v>0</v>
      </c>
      <c r="BQ99" s="19">
        <v>0</v>
      </c>
      <c r="BR99" s="16">
        <v>5.1100000000000003</v>
      </c>
      <c r="BS99">
        <v>4.8099999999999996</v>
      </c>
      <c r="BT99">
        <v>0</v>
      </c>
      <c r="BU99">
        <v>0</v>
      </c>
      <c r="BV99">
        <v>0</v>
      </c>
      <c r="BW99">
        <v>0</v>
      </c>
    </row>
    <row r="100" spans="1:75" x14ac:dyDescent="0.2">
      <c r="A100">
        <v>1</v>
      </c>
      <c r="B100">
        <v>46.537987679671502</v>
      </c>
      <c r="C100">
        <v>22.718685831622199</v>
      </c>
      <c r="D100">
        <v>8</v>
      </c>
      <c r="E100">
        <v>75</v>
      </c>
      <c r="F100">
        <v>1.61</v>
      </c>
      <c r="G100">
        <v>28.934068901662702</v>
      </c>
      <c r="H100">
        <v>0</v>
      </c>
      <c r="I100">
        <v>0</v>
      </c>
      <c r="J100" s="19">
        <v>0</v>
      </c>
      <c r="K100" s="19">
        <v>0</v>
      </c>
      <c r="L100" s="19">
        <v>0</v>
      </c>
      <c r="M100" s="19">
        <v>0</v>
      </c>
      <c r="N100">
        <v>0</v>
      </c>
      <c r="O100" s="19">
        <v>0</v>
      </c>
      <c r="P100" s="19">
        <v>0</v>
      </c>
      <c r="Q100" s="19">
        <v>0</v>
      </c>
      <c r="R100" s="19">
        <v>0</v>
      </c>
      <c r="S100" s="19">
        <v>0</v>
      </c>
      <c r="T100" s="19">
        <v>0</v>
      </c>
      <c r="U100" s="19">
        <v>0</v>
      </c>
      <c r="V100" s="15">
        <f t="shared" si="3"/>
        <v>0</v>
      </c>
      <c r="W100" s="19">
        <v>3</v>
      </c>
      <c r="X100" s="19">
        <v>3</v>
      </c>
      <c r="Y100" s="19">
        <v>4</v>
      </c>
      <c r="Z100" s="19">
        <v>5</v>
      </c>
      <c r="AA100" s="19">
        <v>3</v>
      </c>
      <c r="AB100" s="19">
        <v>4</v>
      </c>
      <c r="AC100" s="19">
        <v>3</v>
      </c>
      <c r="AD100" s="19">
        <v>4</v>
      </c>
      <c r="AE100" s="19">
        <v>4</v>
      </c>
      <c r="AF100" s="19">
        <v>3</v>
      </c>
      <c r="AG100" s="19">
        <v>4</v>
      </c>
      <c r="AH100" s="19">
        <v>5</v>
      </c>
      <c r="AI100" s="19">
        <v>3</v>
      </c>
      <c r="AJ100" s="19">
        <v>3</v>
      </c>
      <c r="AK100" s="19">
        <v>4</v>
      </c>
      <c r="AL100" s="19">
        <v>4</v>
      </c>
      <c r="AM100" s="19">
        <v>2</v>
      </c>
      <c r="AN100" s="19">
        <v>3</v>
      </c>
      <c r="AO100" s="19">
        <v>3</v>
      </c>
      <c r="AP100" s="19">
        <v>10</v>
      </c>
      <c r="AQ100">
        <v>37</v>
      </c>
      <c r="AR100" s="16">
        <v>95.1</v>
      </c>
      <c r="AS100" s="16">
        <v>80.400000000000006</v>
      </c>
      <c r="AT100" s="16">
        <v>15.9</v>
      </c>
      <c r="AU100">
        <v>82.71</v>
      </c>
      <c r="AV100" s="17">
        <v>0</v>
      </c>
      <c r="AW100">
        <v>10.32</v>
      </c>
      <c r="AX100">
        <v>0.39</v>
      </c>
      <c r="AY100">
        <v>10.32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1.9</v>
      </c>
      <c r="BG100">
        <v>26.26</v>
      </c>
      <c r="BH100">
        <v>6.04</v>
      </c>
      <c r="BI100">
        <v>2.19</v>
      </c>
      <c r="BJ100">
        <v>0</v>
      </c>
      <c r="BK100">
        <v>0</v>
      </c>
      <c r="BL100">
        <v>0</v>
      </c>
      <c r="BM100">
        <v>14.7</v>
      </c>
      <c r="BN100">
        <v>1</v>
      </c>
      <c r="BO100">
        <v>1</v>
      </c>
      <c r="BP100">
        <v>0</v>
      </c>
      <c r="BQ100" s="19">
        <v>0</v>
      </c>
      <c r="BR100" s="16">
        <v>5.1100000000000003</v>
      </c>
      <c r="BS100">
        <v>4.8099999999999996</v>
      </c>
      <c r="BT100">
        <v>0</v>
      </c>
      <c r="BU100">
        <v>0</v>
      </c>
      <c r="BV100">
        <v>0</v>
      </c>
      <c r="BW100">
        <v>0</v>
      </c>
    </row>
    <row r="101" spans="1:75" x14ac:dyDescent="0.2">
      <c r="A101">
        <v>1</v>
      </c>
      <c r="B101">
        <v>34.806297056810401</v>
      </c>
      <c r="C101">
        <v>0.19986310746064301</v>
      </c>
      <c r="D101">
        <v>8</v>
      </c>
      <c r="E101">
        <v>65</v>
      </c>
      <c r="F101">
        <v>1.59</v>
      </c>
      <c r="G101">
        <v>25.711008267078</v>
      </c>
      <c r="H101">
        <v>0</v>
      </c>
      <c r="I101">
        <v>0</v>
      </c>
      <c r="J101" s="19">
        <v>0</v>
      </c>
      <c r="K101" s="19">
        <v>0</v>
      </c>
      <c r="L101" s="19">
        <v>0</v>
      </c>
      <c r="M101" s="19">
        <v>0</v>
      </c>
      <c r="N101">
        <v>0</v>
      </c>
      <c r="O101" s="19">
        <v>0</v>
      </c>
      <c r="P101" s="19">
        <v>0</v>
      </c>
      <c r="Q101" s="19">
        <v>0</v>
      </c>
      <c r="R101" s="19">
        <v>0</v>
      </c>
      <c r="S101" s="19">
        <v>0</v>
      </c>
      <c r="T101" s="19">
        <v>0</v>
      </c>
      <c r="U101" s="19">
        <v>0</v>
      </c>
      <c r="V101" s="15">
        <f t="shared" si="3"/>
        <v>0</v>
      </c>
      <c r="W101" s="19">
        <v>2</v>
      </c>
      <c r="X101" s="19">
        <v>2</v>
      </c>
      <c r="Y101" s="19">
        <v>3</v>
      </c>
      <c r="Z101" s="19">
        <v>5</v>
      </c>
      <c r="AA101" s="19">
        <v>1</v>
      </c>
      <c r="AB101" s="19">
        <v>1</v>
      </c>
      <c r="AC101" s="19">
        <v>1</v>
      </c>
      <c r="AD101" s="19">
        <v>2</v>
      </c>
      <c r="AE101" s="19">
        <v>3</v>
      </c>
      <c r="AF101" s="19">
        <v>4</v>
      </c>
      <c r="AG101" s="19">
        <v>4</v>
      </c>
      <c r="AH101" s="19">
        <v>4</v>
      </c>
      <c r="AI101" s="19"/>
      <c r="AJ101" s="19">
        <v>4</v>
      </c>
      <c r="AK101" s="19">
        <v>5</v>
      </c>
      <c r="AL101" s="19">
        <v>5</v>
      </c>
      <c r="AM101" s="19">
        <v>4</v>
      </c>
      <c r="AN101" s="19">
        <v>4</v>
      </c>
      <c r="AO101" s="19">
        <v>4</v>
      </c>
      <c r="AP101" s="19">
        <v>10</v>
      </c>
      <c r="AQ101">
        <v>37</v>
      </c>
      <c r="AR101" s="16">
        <v>95.1</v>
      </c>
      <c r="AS101" s="16">
        <v>80.400000000000006</v>
      </c>
      <c r="AT101" s="16">
        <v>15.9</v>
      </c>
      <c r="AU101">
        <v>82.71</v>
      </c>
      <c r="AV101">
        <v>0</v>
      </c>
      <c r="AW101">
        <v>10.32</v>
      </c>
      <c r="AX101">
        <v>0.39</v>
      </c>
      <c r="AY101">
        <v>10.32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1.9</v>
      </c>
      <c r="BG101">
        <v>26.26</v>
      </c>
      <c r="BH101">
        <v>6.04</v>
      </c>
      <c r="BI101">
        <v>2.19</v>
      </c>
      <c r="BJ101">
        <v>0</v>
      </c>
      <c r="BK101">
        <v>0</v>
      </c>
      <c r="BL101">
        <v>0</v>
      </c>
      <c r="BM101">
        <v>14.7</v>
      </c>
      <c r="BN101">
        <v>1</v>
      </c>
      <c r="BO101">
        <v>1</v>
      </c>
      <c r="BP101">
        <v>0</v>
      </c>
      <c r="BQ101" s="19">
        <v>0</v>
      </c>
      <c r="BR101" s="16">
        <v>5.1100000000000003</v>
      </c>
      <c r="BS101">
        <v>4.8099999999999996</v>
      </c>
      <c r="BT101">
        <v>0</v>
      </c>
      <c r="BU101">
        <v>0</v>
      </c>
      <c r="BV101">
        <v>0</v>
      </c>
      <c r="BW101">
        <v>0</v>
      </c>
    </row>
    <row r="102" spans="1:75" x14ac:dyDescent="0.2">
      <c r="A102">
        <v>2</v>
      </c>
      <c r="B102">
        <v>29.9794661190965</v>
      </c>
      <c r="C102">
        <v>0.24640657084188899</v>
      </c>
      <c r="D102">
        <v>8</v>
      </c>
      <c r="E102">
        <v>74</v>
      </c>
      <c r="F102">
        <v>1.74</v>
      </c>
      <c r="G102">
        <v>24.441802087462001</v>
      </c>
      <c r="H102">
        <v>0</v>
      </c>
      <c r="I102">
        <v>0</v>
      </c>
      <c r="J102" s="19">
        <v>0</v>
      </c>
      <c r="K102" s="19">
        <v>3</v>
      </c>
      <c r="L102" s="19">
        <v>0</v>
      </c>
      <c r="M102" s="19">
        <v>0</v>
      </c>
      <c r="N102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19">
        <v>0</v>
      </c>
      <c r="V102" s="15">
        <f t="shared" si="3"/>
        <v>0</v>
      </c>
      <c r="W102" s="19">
        <v>3</v>
      </c>
      <c r="X102" s="19">
        <v>3</v>
      </c>
      <c r="Y102" s="19">
        <v>3</v>
      </c>
      <c r="Z102" s="19">
        <v>5</v>
      </c>
      <c r="AA102" s="19">
        <v>1</v>
      </c>
      <c r="AB102" s="19">
        <v>1</v>
      </c>
      <c r="AC102" s="19">
        <v>1</v>
      </c>
      <c r="AD102" s="19">
        <v>4</v>
      </c>
      <c r="AE102" s="19">
        <v>1</v>
      </c>
      <c r="AF102" s="19">
        <v>4</v>
      </c>
      <c r="AG102" s="19">
        <v>4</v>
      </c>
      <c r="AH102" s="19">
        <v>5</v>
      </c>
      <c r="AI102" s="19">
        <v>1</v>
      </c>
      <c r="AJ102" s="19">
        <v>5</v>
      </c>
      <c r="AK102" s="19">
        <v>5</v>
      </c>
      <c r="AL102" s="19">
        <v>5</v>
      </c>
      <c r="AM102" s="19">
        <v>3</v>
      </c>
      <c r="AN102" s="19">
        <v>5</v>
      </c>
      <c r="AO102" s="19">
        <v>4</v>
      </c>
      <c r="AP102" s="19">
        <v>8</v>
      </c>
      <c r="AQ102">
        <v>37</v>
      </c>
      <c r="AR102" s="16">
        <v>95.1</v>
      </c>
      <c r="AS102" s="16">
        <v>80.400000000000006</v>
      </c>
      <c r="AT102" s="16">
        <v>15.9</v>
      </c>
      <c r="AU102">
        <v>82.71</v>
      </c>
      <c r="AV102" s="17">
        <v>0</v>
      </c>
      <c r="AW102">
        <v>10.32</v>
      </c>
      <c r="AX102">
        <v>0.39</v>
      </c>
      <c r="AY102">
        <v>10.32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1.9</v>
      </c>
      <c r="BG102">
        <v>26.26</v>
      </c>
      <c r="BH102">
        <v>6.04</v>
      </c>
      <c r="BI102">
        <v>2.19</v>
      </c>
      <c r="BJ102">
        <v>0</v>
      </c>
      <c r="BK102">
        <v>0</v>
      </c>
      <c r="BL102">
        <v>0</v>
      </c>
      <c r="BM102">
        <v>14.7</v>
      </c>
      <c r="BN102">
        <v>1</v>
      </c>
      <c r="BO102">
        <v>1</v>
      </c>
      <c r="BP102">
        <v>0</v>
      </c>
      <c r="BQ102" s="19">
        <v>0</v>
      </c>
      <c r="BR102" s="16">
        <v>5.1100000000000003</v>
      </c>
      <c r="BS102">
        <v>4.8099999999999996</v>
      </c>
      <c r="BT102">
        <v>0</v>
      </c>
      <c r="BU102">
        <v>0</v>
      </c>
      <c r="BV102">
        <v>0</v>
      </c>
      <c r="BW102">
        <v>0</v>
      </c>
    </row>
    <row r="103" spans="1:75" x14ac:dyDescent="0.2">
      <c r="A103">
        <v>1</v>
      </c>
      <c r="B103">
        <v>37.396303901437399</v>
      </c>
      <c r="C103">
        <v>7.1184120465434599</v>
      </c>
      <c r="D103">
        <v>8</v>
      </c>
      <c r="E103">
        <v>58</v>
      </c>
      <c r="F103">
        <v>1.6</v>
      </c>
      <c r="G103">
        <v>22.65625</v>
      </c>
      <c r="H103">
        <v>0</v>
      </c>
      <c r="I103">
        <v>0</v>
      </c>
      <c r="J103" s="19">
        <v>1</v>
      </c>
      <c r="K103" s="19">
        <v>2</v>
      </c>
      <c r="L103" s="19">
        <v>0</v>
      </c>
      <c r="M103" s="19">
        <v>7</v>
      </c>
      <c r="N103">
        <v>0</v>
      </c>
      <c r="O103" s="19">
        <v>5</v>
      </c>
      <c r="P103" s="19">
        <v>0</v>
      </c>
      <c r="Q103" s="19">
        <v>0</v>
      </c>
      <c r="R103" s="19">
        <v>0</v>
      </c>
      <c r="S103" s="19">
        <v>0</v>
      </c>
      <c r="T103" s="19">
        <v>0</v>
      </c>
      <c r="U103" s="19">
        <v>0</v>
      </c>
      <c r="V103" s="15">
        <f t="shared" si="3"/>
        <v>1.3333333333333333</v>
      </c>
      <c r="W103" s="19">
        <v>2</v>
      </c>
      <c r="X103" s="19">
        <v>2</v>
      </c>
      <c r="Y103" s="19">
        <v>5</v>
      </c>
      <c r="Z103" s="19">
        <v>5</v>
      </c>
      <c r="AA103" s="19">
        <v>3</v>
      </c>
      <c r="AB103" s="19">
        <v>5</v>
      </c>
      <c r="AC103" s="19">
        <v>3</v>
      </c>
      <c r="AD103" s="19">
        <v>5</v>
      </c>
      <c r="AE103" s="19">
        <v>2</v>
      </c>
      <c r="AF103" s="19">
        <v>3</v>
      </c>
      <c r="AG103" s="19">
        <v>3</v>
      </c>
      <c r="AH103" s="19">
        <v>5</v>
      </c>
      <c r="AI103" s="19">
        <v>2</v>
      </c>
      <c r="AJ103" s="19">
        <v>3</v>
      </c>
      <c r="AK103" s="19">
        <v>4</v>
      </c>
      <c r="AL103" s="19">
        <v>5</v>
      </c>
      <c r="AM103" s="19"/>
      <c r="AN103" s="19"/>
      <c r="AO103" s="19"/>
      <c r="AP103" s="19">
        <v>7</v>
      </c>
      <c r="AQ103">
        <v>19.5</v>
      </c>
      <c r="AR103" s="16">
        <v>74.3</v>
      </c>
      <c r="AS103" s="16">
        <v>80.400000000000006</v>
      </c>
      <c r="AT103" s="16">
        <v>7.8</v>
      </c>
      <c r="AU103">
        <v>89.52</v>
      </c>
      <c r="AV103">
        <v>8.69</v>
      </c>
      <c r="AW103">
        <v>1.79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18.73</v>
      </c>
      <c r="BH103">
        <v>9.35</v>
      </c>
      <c r="BI103">
        <v>0</v>
      </c>
      <c r="BJ103">
        <v>0</v>
      </c>
      <c r="BK103">
        <v>0</v>
      </c>
      <c r="BL103"/>
      <c r="BM103">
        <v>3.92</v>
      </c>
      <c r="BN103">
        <v>1</v>
      </c>
      <c r="BO103">
        <v>1</v>
      </c>
      <c r="BP103" s="16">
        <v>2.2400000000000002</v>
      </c>
      <c r="BQ103" s="16">
        <v>1</v>
      </c>
      <c r="BR103" s="16">
        <v>5.49</v>
      </c>
      <c r="BS103" s="16">
        <v>7.22</v>
      </c>
      <c r="BT103" s="16">
        <v>0</v>
      </c>
      <c r="BU103" s="16">
        <v>0</v>
      </c>
      <c r="BV103" s="16">
        <v>0</v>
      </c>
      <c r="BW103">
        <v>0</v>
      </c>
    </row>
    <row r="104" spans="1:75" x14ac:dyDescent="0.2">
      <c r="A104">
        <v>1</v>
      </c>
      <c r="B104">
        <v>35.274469541409999</v>
      </c>
      <c r="C104">
        <v>0.21902806297056801</v>
      </c>
      <c r="D104">
        <v>8</v>
      </c>
      <c r="E104">
        <v>64</v>
      </c>
      <c r="F104">
        <v>1.7</v>
      </c>
      <c r="G104">
        <v>22.145328719723199</v>
      </c>
      <c r="H104">
        <v>0</v>
      </c>
      <c r="I104">
        <v>0</v>
      </c>
      <c r="J104" s="19">
        <v>1</v>
      </c>
      <c r="K104" s="19">
        <v>0</v>
      </c>
      <c r="L104" s="19">
        <v>0</v>
      </c>
      <c r="M104" s="19"/>
      <c r="N104">
        <v>0</v>
      </c>
      <c r="O104" s="19">
        <v>0</v>
      </c>
      <c r="P104" s="19">
        <v>0</v>
      </c>
      <c r="Q104" s="19">
        <v>0</v>
      </c>
      <c r="R104" s="19">
        <v>0</v>
      </c>
      <c r="S104" s="19">
        <v>0</v>
      </c>
      <c r="T104" s="19">
        <v>0</v>
      </c>
      <c r="U104" s="19"/>
      <c r="V104" s="15">
        <f t="shared" si="3"/>
        <v>0</v>
      </c>
      <c r="W104" s="19">
        <v>1</v>
      </c>
      <c r="X104" s="19">
        <v>1</v>
      </c>
      <c r="Y104" s="19">
        <v>4</v>
      </c>
      <c r="Z104" s="19">
        <v>5</v>
      </c>
      <c r="AA104" s="19">
        <v>1</v>
      </c>
      <c r="AB104" s="19">
        <v>1</v>
      </c>
      <c r="AC104" s="19">
        <v>3</v>
      </c>
      <c r="AD104" s="19">
        <v>3</v>
      </c>
      <c r="AE104" s="19">
        <v>4</v>
      </c>
      <c r="AF104" s="19">
        <v>4</v>
      </c>
      <c r="AG104" s="19">
        <v>5</v>
      </c>
      <c r="AH104" s="19">
        <v>5</v>
      </c>
      <c r="AI104" s="19">
        <v>4</v>
      </c>
      <c r="AJ104" s="19">
        <v>4</v>
      </c>
      <c r="AK104" s="19">
        <v>5</v>
      </c>
      <c r="AL104" s="19">
        <v>4</v>
      </c>
      <c r="AM104" s="19">
        <v>5</v>
      </c>
      <c r="AN104" s="19">
        <v>4</v>
      </c>
      <c r="AO104" s="19">
        <v>5</v>
      </c>
      <c r="AP104" s="19">
        <v>10</v>
      </c>
      <c r="AQ104">
        <v>21.5</v>
      </c>
      <c r="AR104" s="16">
        <v>54.9</v>
      </c>
      <c r="AS104" s="16">
        <v>80.400000000000006</v>
      </c>
      <c r="AT104" s="16">
        <v>17.899999999999999</v>
      </c>
      <c r="AU104">
        <v>90.61</v>
      </c>
      <c r="AV104" s="17">
        <v>0</v>
      </c>
      <c r="AW104">
        <v>0</v>
      </c>
      <c r="AX104">
        <v>2.4500000000000002</v>
      </c>
      <c r="AY104">
        <v>6.94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12.16</v>
      </c>
      <c r="BG104">
        <v>24.45</v>
      </c>
      <c r="BH104">
        <v>4.8</v>
      </c>
      <c r="BI104">
        <v>5.1100000000000003</v>
      </c>
      <c r="BJ104">
        <v>0</v>
      </c>
      <c r="BK104">
        <v>0</v>
      </c>
      <c r="BL104">
        <v>0</v>
      </c>
      <c r="BM104">
        <v>2.9</v>
      </c>
      <c r="BN104">
        <v>1</v>
      </c>
      <c r="BO104">
        <v>1</v>
      </c>
      <c r="BP104" s="16">
        <v>0</v>
      </c>
      <c r="BQ104" s="16">
        <v>0</v>
      </c>
      <c r="BR104" s="16">
        <v>0.67</v>
      </c>
      <c r="BS104" s="16">
        <v>0.65</v>
      </c>
      <c r="BT104" s="16">
        <v>0</v>
      </c>
      <c r="BU104" s="16">
        <v>0</v>
      </c>
      <c r="BV104" s="16">
        <v>0</v>
      </c>
      <c r="BW104">
        <v>0</v>
      </c>
    </row>
    <row r="105" spans="1:75" x14ac:dyDescent="0.2">
      <c r="A105">
        <v>1</v>
      </c>
      <c r="B105">
        <v>29.9712525667351</v>
      </c>
      <c r="C105">
        <v>0.24640657084188899</v>
      </c>
      <c r="D105">
        <v>8</v>
      </c>
      <c r="E105">
        <v>55</v>
      </c>
      <c r="F105">
        <v>1.52</v>
      </c>
      <c r="G105">
        <v>23.805401662049899</v>
      </c>
      <c r="H105">
        <v>0</v>
      </c>
      <c r="I105">
        <v>0</v>
      </c>
      <c r="J105" s="19">
        <v>0</v>
      </c>
      <c r="K105" s="19">
        <v>0</v>
      </c>
      <c r="L105" s="19">
        <v>1</v>
      </c>
      <c r="M105" s="19">
        <v>0</v>
      </c>
      <c r="N105">
        <v>0</v>
      </c>
      <c r="O105" s="19">
        <v>0</v>
      </c>
      <c r="P105" s="19">
        <v>0</v>
      </c>
      <c r="Q105" s="19">
        <v>0</v>
      </c>
      <c r="R105" s="19">
        <v>0</v>
      </c>
      <c r="S105" s="19">
        <v>0</v>
      </c>
      <c r="T105" s="19">
        <v>0</v>
      </c>
      <c r="U105" s="19">
        <v>0</v>
      </c>
      <c r="V105" s="15">
        <f t="shared" si="3"/>
        <v>0</v>
      </c>
      <c r="W105" s="19">
        <v>1</v>
      </c>
      <c r="X105" s="19">
        <v>2</v>
      </c>
      <c r="Y105" s="19">
        <v>3</v>
      </c>
      <c r="Z105" s="19">
        <v>5</v>
      </c>
      <c r="AA105" s="19">
        <v>2</v>
      </c>
      <c r="AB105" s="19">
        <v>1</v>
      </c>
      <c r="AC105" s="19">
        <v>3</v>
      </c>
      <c r="AD105" s="19">
        <v>5</v>
      </c>
      <c r="AE105" s="19">
        <v>5</v>
      </c>
      <c r="AF105" s="19">
        <v>5</v>
      </c>
      <c r="AG105" s="19">
        <v>5</v>
      </c>
      <c r="AH105" s="19">
        <v>5</v>
      </c>
      <c r="AI105" s="19">
        <v>5</v>
      </c>
      <c r="AJ105" s="19">
        <v>5</v>
      </c>
      <c r="AK105" s="19">
        <v>5</v>
      </c>
      <c r="AL105" s="19">
        <v>5</v>
      </c>
      <c r="AM105" s="19">
        <v>5</v>
      </c>
      <c r="AN105" s="19">
        <v>5</v>
      </c>
      <c r="AO105" s="19">
        <v>5</v>
      </c>
      <c r="AP105" s="19">
        <v>7</v>
      </c>
      <c r="AQ105">
        <v>21.5</v>
      </c>
      <c r="AR105" s="16">
        <v>54.9</v>
      </c>
      <c r="AS105" s="16">
        <v>80.400000000000006</v>
      </c>
      <c r="AT105" s="16">
        <v>17.899999999999999</v>
      </c>
      <c r="AU105">
        <v>90.61</v>
      </c>
      <c r="AV105" s="17">
        <v>0</v>
      </c>
      <c r="AW105">
        <v>0</v>
      </c>
      <c r="AX105">
        <v>2.4500000000000002</v>
      </c>
      <c r="AY105">
        <v>6.94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12.16</v>
      </c>
      <c r="BG105">
        <v>24.45</v>
      </c>
      <c r="BH105">
        <v>4.8</v>
      </c>
      <c r="BI105">
        <v>5.1100000000000003</v>
      </c>
      <c r="BJ105">
        <v>0</v>
      </c>
      <c r="BK105">
        <v>0</v>
      </c>
      <c r="BL105">
        <v>0</v>
      </c>
      <c r="BM105">
        <v>2.9</v>
      </c>
      <c r="BN105">
        <v>1</v>
      </c>
      <c r="BO105">
        <v>1</v>
      </c>
      <c r="BP105" s="16">
        <v>0</v>
      </c>
      <c r="BQ105" s="16">
        <v>0</v>
      </c>
      <c r="BR105" s="16">
        <v>0.67</v>
      </c>
      <c r="BS105" s="16">
        <v>0.65</v>
      </c>
      <c r="BT105" s="16">
        <v>0</v>
      </c>
      <c r="BU105" s="16">
        <v>0</v>
      </c>
      <c r="BV105" s="16">
        <v>0</v>
      </c>
      <c r="BW105">
        <v>0</v>
      </c>
    </row>
    <row r="106" spans="1:75" x14ac:dyDescent="0.2">
      <c r="A106">
        <v>1</v>
      </c>
      <c r="B106">
        <v>24.6461327857632</v>
      </c>
      <c r="C106">
        <v>0.26283367556468201</v>
      </c>
      <c r="D106">
        <v>8</v>
      </c>
      <c r="E106">
        <v>69</v>
      </c>
      <c r="F106">
        <v>1.6</v>
      </c>
      <c r="G106">
        <v>26.953125</v>
      </c>
      <c r="H106">
        <v>0</v>
      </c>
      <c r="I106">
        <v>0</v>
      </c>
      <c r="J106" s="19">
        <v>0</v>
      </c>
      <c r="K106" s="19">
        <v>0</v>
      </c>
      <c r="L106" s="19">
        <v>0</v>
      </c>
      <c r="M106" s="19">
        <v>0</v>
      </c>
      <c r="N106">
        <v>0</v>
      </c>
      <c r="O106" s="19">
        <v>0</v>
      </c>
      <c r="P106" s="19">
        <v>0</v>
      </c>
      <c r="Q106" s="19">
        <v>0</v>
      </c>
      <c r="R106" s="19">
        <v>0</v>
      </c>
      <c r="S106" s="19">
        <v>0</v>
      </c>
      <c r="T106" s="19">
        <v>0</v>
      </c>
      <c r="U106" s="19">
        <v>0</v>
      </c>
      <c r="V106" s="15">
        <f t="shared" si="3"/>
        <v>0</v>
      </c>
      <c r="W106" s="19">
        <v>1</v>
      </c>
      <c r="X106" s="19">
        <v>1</v>
      </c>
      <c r="Y106" s="19">
        <v>2</v>
      </c>
      <c r="Z106" s="19">
        <v>5</v>
      </c>
      <c r="AA106" s="19">
        <v>2</v>
      </c>
      <c r="AB106" s="19">
        <v>2</v>
      </c>
      <c r="AC106" s="19">
        <v>3</v>
      </c>
      <c r="AD106" s="19">
        <v>4</v>
      </c>
      <c r="AE106" s="19">
        <v>5</v>
      </c>
      <c r="AF106" s="19">
        <v>5</v>
      </c>
      <c r="AG106" s="19">
        <v>5</v>
      </c>
      <c r="AH106" s="19">
        <v>5</v>
      </c>
      <c r="AI106" s="19">
        <v>4</v>
      </c>
      <c r="AJ106" s="19">
        <v>4</v>
      </c>
      <c r="AK106" s="19">
        <v>4</v>
      </c>
      <c r="AL106" s="19">
        <v>4</v>
      </c>
      <c r="AM106" s="19">
        <v>5</v>
      </c>
      <c r="AN106" s="19">
        <v>5</v>
      </c>
      <c r="AO106" s="19">
        <v>5</v>
      </c>
      <c r="AP106" s="19">
        <v>8</v>
      </c>
      <c r="AQ106">
        <v>21.5</v>
      </c>
      <c r="AR106" s="16">
        <v>54.9</v>
      </c>
      <c r="AS106" s="16">
        <v>80.400000000000006</v>
      </c>
      <c r="AT106" s="16">
        <v>17.899999999999999</v>
      </c>
      <c r="AU106">
        <v>90.61</v>
      </c>
      <c r="AV106" s="17">
        <v>0</v>
      </c>
      <c r="AW106">
        <v>0</v>
      </c>
      <c r="AX106">
        <v>2.4500000000000002</v>
      </c>
      <c r="AY106">
        <v>6.94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12.16</v>
      </c>
      <c r="BG106">
        <v>24.45</v>
      </c>
      <c r="BH106">
        <v>4.8</v>
      </c>
      <c r="BI106">
        <v>5.1100000000000003</v>
      </c>
      <c r="BJ106">
        <v>0</v>
      </c>
      <c r="BK106">
        <v>0</v>
      </c>
      <c r="BL106">
        <v>0</v>
      </c>
      <c r="BM106">
        <v>2.9</v>
      </c>
      <c r="BN106">
        <v>1</v>
      </c>
      <c r="BO106">
        <v>1</v>
      </c>
      <c r="BP106" s="16">
        <v>0</v>
      </c>
      <c r="BQ106" s="16">
        <v>0</v>
      </c>
      <c r="BR106" s="16">
        <v>0.67</v>
      </c>
      <c r="BS106" s="16">
        <v>0.65</v>
      </c>
      <c r="BT106" s="16">
        <v>0</v>
      </c>
      <c r="BU106" s="16">
        <v>0</v>
      </c>
      <c r="BV106" s="16">
        <v>0</v>
      </c>
      <c r="BW106">
        <v>0</v>
      </c>
    </row>
    <row r="107" spans="1:75" x14ac:dyDescent="0.2">
      <c r="A107">
        <v>2</v>
      </c>
      <c r="B107">
        <v>23.178644763860401</v>
      </c>
      <c r="C107">
        <v>0.24914442162902101</v>
      </c>
      <c r="D107">
        <v>4</v>
      </c>
      <c r="E107">
        <v>70</v>
      </c>
      <c r="F107">
        <v>1.84</v>
      </c>
      <c r="G107">
        <v>20.675803402646501</v>
      </c>
      <c r="H107">
        <v>0</v>
      </c>
      <c r="I107">
        <v>0</v>
      </c>
      <c r="J107" s="19">
        <v>0</v>
      </c>
      <c r="K107" s="19">
        <v>1</v>
      </c>
      <c r="L107" s="19">
        <v>0</v>
      </c>
      <c r="M107" s="19">
        <v>0</v>
      </c>
      <c r="N107">
        <v>0</v>
      </c>
      <c r="O107" s="19">
        <v>0</v>
      </c>
      <c r="P107" s="19">
        <v>0</v>
      </c>
      <c r="Q107" s="19">
        <v>0</v>
      </c>
      <c r="R107" s="19">
        <v>0</v>
      </c>
      <c r="S107" s="19">
        <v>0</v>
      </c>
      <c r="T107" s="19">
        <v>0</v>
      </c>
      <c r="U107" s="19">
        <v>0</v>
      </c>
      <c r="V107" s="15">
        <f t="shared" si="3"/>
        <v>0</v>
      </c>
      <c r="W107" s="19">
        <v>1</v>
      </c>
      <c r="X107" s="19">
        <v>2</v>
      </c>
      <c r="Y107" s="19">
        <v>4</v>
      </c>
      <c r="Z107" s="19">
        <v>5</v>
      </c>
      <c r="AA107" s="19">
        <v>2</v>
      </c>
      <c r="AB107" s="19">
        <v>3</v>
      </c>
      <c r="AC107" s="19">
        <v>2</v>
      </c>
      <c r="AD107" s="19">
        <v>3</v>
      </c>
      <c r="AE107" s="19">
        <v>4</v>
      </c>
      <c r="AF107" s="19">
        <v>3</v>
      </c>
      <c r="AG107" s="19">
        <v>4</v>
      </c>
      <c r="AH107" s="19">
        <v>4</v>
      </c>
      <c r="AI107" s="19">
        <v>1</v>
      </c>
      <c r="AJ107" s="19">
        <v>4</v>
      </c>
      <c r="AK107" s="19">
        <v>5</v>
      </c>
      <c r="AL107" s="19">
        <v>4</v>
      </c>
      <c r="AM107" s="19">
        <v>4</v>
      </c>
      <c r="AN107" s="19">
        <v>4</v>
      </c>
      <c r="AO107" s="19">
        <v>4</v>
      </c>
      <c r="AP107" s="19">
        <v>9</v>
      </c>
      <c r="AQ107">
        <v>33</v>
      </c>
      <c r="AR107" s="16">
        <v>71.2</v>
      </c>
      <c r="AS107" s="16">
        <v>80.400000000000006</v>
      </c>
      <c r="AT107" s="16">
        <v>16.3</v>
      </c>
      <c r="AU107">
        <v>83.24</v>
      </c>
      <c r="AV107" s="17">
        <v>0</v>
      </c>
      <c r="AW107">
        <v>0</v>
      </c>
      <c r="AX107">
        <v>0</v>
      </c>
      <c r="AY107">
        <v>14.14</v>
      </c>
      <c r="AZ107">
        <v>0</v>
      </c>
      <c r="BA107">
        <v>2.63</v>
      </c>
      <c r="BB107">
        <v>0</v>
      </c>
      <c r="BC107">
        <v>0</v>
      </c>
      <c r="BD107">
        <v>0</v>
      </c>
      <c r="BE107">
        <v>0</v>
      </c>
      <c r="BF107">
        <v>2.63</v>
      </c>
      <c r="BG107">
        <v>10.16</v>
      </c>
      <c r="BH107">
        <v>20.83</v>
      </c>
      <c r="BI107">
        <v>24.81</v>
      </c>
      <c r="BJ107">
        <v>0</v>
      </c>
      <c r="BK107">
        <v>11.2</v>
      </c>
      <c r="BL107">
        <v>1</v>
      </c>
      <c r="BM107">
        <v>0</v>
      </c>
      <c r="BN107">
        <v>0</v>
      </c>
      <c r="BO107">
        <v>0</v>
      </c>
      <c r="BP107" s="16">
        <v>2.71</v>
      </c>
      <c r="BQ107" s="16">
        <v>1</v>
      </c>
      <c r="BR107" s="16">
        <v>2.63</v>
      </c>
      <c r="BS107" s="16">
        <v>2.6</v>
      </c>
      <c r="BT107" s="16">
        <v>0</v>
      </c>
      <c r="BU107" s="16">
        <v>0</v>
      </c>
      <c r="BV107" s="16">
        <v>0</v>
      </c>
      <c r="BW107">
        <v>0</v>
      </c>
    </row>
    <row r="108" spans="1:75" x14ac:dyDescent="0.2">
      <c r="A108">
        <v>2</v>
      </c>
      <c r="B108">
        <v>33.806981519507197</v>
      </c>
      <c r="C108">
        <v>9.5824777549623597E-2</v>
      </c>
      <c r="D108">
        <v>8</v>
      </c>
      <c r="E108">
        <v>70</v>
      </c>
      <c r="F108">
        <v>1.67</v>
      </c>
      <c r="G108">
        <v>25.099501595611201</v>
      </c>
      <c r="H108">
        <v>0</v>
      </c>
      <c r="I108">
        <v>0</v>
      </c>
      <c r="J108" s="19">
        <v>1</v>
      </c>
      <c r="K108" s="19">
        <v>2</v>
      </c>
      <c r="L108" s="19">
        <v>0</v>
      </c>
      <c r="M108" s="19">
        <v>0</v>
      </c>
      <c r="N108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5">
        <f t="shared" si="3"/>
        <v>0</v>
      </c>
      <c r="W108" s="19">
        <v>3</v>
      </c>
      <c r="X108" s="19">
        <v>2</v>
      </c>
      <c r="Y108" s="19">
        <v>4</v>
      </c>
      <c r="Z108" s="19">
        <v>5</v>
      </c>
      <c r="AA108" s="19">
        <v>2</v>
      </c>
      <c r="AB108" s="19">
        <v>2</v>
      </c>
      <c r="AC108" s="19">
        <v>3</v>
      </c>
      <c r="AD108" s="19">
        <v>3</v>
      </c>
      <c r="AE108" s="19">
        <v>2</v>
      </c>
      <c r="AF108" s="19">
        <v>4</v>
      </c>
      <c r="AG108" s="19">
        <v>4</v>
      </c>
      <c r="AH108" s="19">
        <v>4</v>
      </c>
      <c r="AI108" s="19">
        <v>2</v>
      </c>
      <c r="AJ108" s="19">
        <v>3</v>
      </c>
      <c r="AK108" s="19">
        <v>3</v>
      </c>
      <c r="AL108" s="19">
        <v>5</v>
      </c>
      <c r="AM108" s="19">
        <v>3</v>
      </c>
      <c r="AN108" s="19">
        <v>3</v>
      </c>
      <c r="AO108" s="19">
        <v>3</v>
      </c>
      <c r="AP108" s="19">
        <v>9</v>
      </c>
      <c r="AQ108">
        <v>30</v>
      </c>
      <c r="AR108" s="16">
        <v>86.6</v>
      </c>
      <c r="AS108" s="16">
        <v>80.400000000000006</v>
      </c>
      <c r="AT108" s="16">
        <v>20.399999999999999</v>
      </c>
      <c r="AU108">
        <v>82.62</v>
      </c>
      <c r="AV108" s="17">
        <v>0</v>
      </c>
      <c r="AW108">
        <v>15.49</v>
      </c>
      <c r="AX108">
        <v>1.49</v>
      </c>
      <c r="AY108">
        <v>0.4</v>
      </c>
      <c r="AZ108">
        <v>0</v>
      </c>
      <c r="BA108">
        <v>0</v>
      </c>
      <c r="BC108">
        <v>0</v>
      </c>
      <c r="BD108">
        <v>0</v>
      </c>
      <c r="BE108">
        <v>0</v>
      </c>
      <c r="BF108">
        <v>6.38</v>
      </c>
      <c r="BG108">
        <v>56.11</v>
      </c>
      <c r="BH108">
        <v>8.4600000000000009</v>
      </c>
      <c r="BI108">
        <v>1.21</v>
      </c>
      <c r="BJ108">
        <v>0</v>
      </c>
      <c r="BK108">
        <v>0</v>
      </c>
      <c r="BL108">
        <v>0</v>
      </c>
      <c r="BM108">
        <v>0.5</v>
      </c>
      <c r="BN108">
        <v>0</v>
      </c>
      <c r="BO108">
        <v>1</v>
      </c>
      <c r="BP108" s="16">
        <v>0.62</v>
      </c>
      <c r="BQ108" s="16">
        <v>1</v>
      </c>
      <c r="BR108" s="16">
        <v>0</v>
      </c>
      <c r="BS108" s="16">
        <v>0</v>
      </c>
      <c r="BT108" s="16">
        <v>5.97</v>
      </c>
      <c r="BU108" s="16">
        <v>0</v>
      </c>
      <c r="BV108" s="16">
        <v>0</v>
      </c>
      <c r="BW108">
        <v>2</v>
      </c>
    </row>
    <row r="109" spans="1:75" x14ac:dyDescent="0.2">
      <c r="A109">
        <v>2</v>
      </c>
      <c r="B109">
        <v>45.2320328542094</v>
      </c>
      <c r="C109">
        <v>22.661190965092398</v>
      </c>
      <c r="D109">
        <v>8</v>
      </c>
      <c r="E109">
        <v>78</v>
      </c>
      <c r="F109">
        <v>1.72</v>
      </c>
      <c r="G109">
        <v>26.365603028664101</v>
      </c>
      <c r="H109">
        <v>0</v>
      </c>
      <c r="I109">
        <v>0</v>
      </c>
      <c r="J109" s="19">
        <v>1</v>
      </c>
      <c r="K109" s="19">
        <v>2</v>
      </c>
      <c r="L109" s="19">
        <v>0</v>
      </c>
      <c r="M109" s="19">
        <v>0</v>
      </c>
      <c r="N109">
        <v>3</v>
      </c>
      <c r="O109" s="19">
        <v>0</v>
      </c>
      <c r="P109" s="19">
        <v>0</v>
      </c>
      <c r="Q109" s="19">
        <v>2</v>
      </c>
      <c r="R109" s="19">
        <v>2</v>
      </c>
      <c r="S109" s="19">
        <v>2</v>
      </c>
      <c r="T109" s="19">
        <v>0</v>
      </c>
      <c r="U109" s="19">
        <v>0</v>
      </c>
      <c r="V109" s="15">
        <f t="shared" si="3"/>
        <v>1</v>
      </c>
      <c r="W109" s="19">
        <v>3</v>
      </c>
      <c r="X109" s="19">
        <v>2</v>
      </c>
      <c r="Y109" s="19">
        <v>3</v>
      </c>
      <c r="Z109" s="19">
        <v>4</v>
      </c>
      <c r="AA109" s="19">
        <v>1</v>
      </c>
      <c r="AB109" s="19">
        <v>1</v>
      </c>
      <c r="AC109" s="19">
        <v>4</v>
      </c>
      <c r="AD109" s="19">
        <v>1</v>
      </c>
      <c r="AE109" s="19">
        <v>1</v>
      </c>
      <c r="AF109" s="19">
        <v>2</v>
      </c>
      <c r="AG109" s="19">
        <v>3</v>
      </c>
      <c r="AH109" s="19">
        <v>5</v>
      </c>
      <c r="AI109" s="19">
        <v>2</v>
      </c>
      <c r="AJ109" s="19">
        <v>4</v>
      </c>
      <c r="AK109" s="19">
        <v>5</v>
      </c>
      <c r="AL109" s="19">
        <v>4</v>
      </c>
      <c r="AM109" s="19">
        <v>4</v>
      </c>
      <c r="AN109" s="19">
        <v>4</v>
      </c>
      <c r="AO109" s="19">
        <v>4</v>
      </c>
      <c r="AP109" s="19">
        <v>9</v>
      </c>
      <c r="AQ109">
        <v>17.5</v>
      </c>
      <c r="AR109" s="16">
        <v>81.900000000000006</v>
      </c>
      <c r="AS109" s="16">
        <v>80.400000000000006</v>
      </c>
      <c r="AT109" s="16">
        <v>12.5</v>
      </c>
      <c r="AU109">
        <v>85.79</v>
      </c>
      <c r="AV109"/>
      <c r="AW109">
        <v>10.02</v>
      </c>
      <c r="AX109">
        <v>0</v>
      </c>
      <c r="AY109">
        <v>0</v>
      </c>
      <c r="AZ109">
        <v>0</v>
      </c>
      <c r="BA109">
        <v>4.1900000000000004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53.51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 s="16">
        <v>3.38</v>
      </c>
      <c r="BQ109" s="16">
        <v>1</v>
      </c>
      <c r="BR109" s="16">
        <v>0</v>
      </c>
      <c r="BS109" s="16">
        <v>0</v>
      </c>
      <c r="BT109" s="16">
        <v>0</v>
      </c>
      <c r="BU109" s="16">
        <v>0</v>
      </c>
      <c r="BV109" s="16">
        <v>0</v>
      </c>
      <c r="BW109">
        <v>0</v>
      </c>
    </row>
    <row r="110" spans="1:75" x14ac:dyDescent="0.2">
      <c r="A110">
        <v>2</v>
      </c>
      <c r="B110">
        <v>21.826146475017101</v>
      </c>
      <c r="C110">
        <v>0.26009582477755</v>
      </c>
      <c r="D110">
        <v>4</v>
      </c>
      <c r="H110">
        <v>0</v>
      </c>
      <c r="I110">
        <v>0</v>
      </c>
      <c r="J110" s="19">
        <v>0</v>
      </c>
      <c r="K110" s="19">
        <v>0</v>
      </c>
      <c r="L110" s="19">
        <v>1</v>
      </c>
      <c r="M110" s="19">
        <v>0</v>
      </c>
      <c r="N110">
        <v>0</v>
      </c>
      <c r="O110" s="19">
        <v>0</v>
      </c>
      <c r="P110" s="19">
        <v>0</v>
      </c>
      <c r="Q110" s="19">
        <v>0</v>
      </c>
      <c r="R110" s="19">
        <v>0</v>
      </c>
      <c r="S110" s="19">
        <v>0</v>
      </c>
      <c r="T110" s="19">
        <v>0</v>
      </c>
      <c r="U110" s="19">
        <v>0</v>
      </c>
      <c r="V110" s="15">
        <f t="shared" si="3"/>
        <v>0</v>
      </c>
      <c r="W110" s="19">
        <v>2</v>
      </c>
      <c r="X110" s="19">
        <v>2</v>
      </c>
      <c r="Y110" s="19">
        <v>3</v>
      </c>
      <c r="Z110" s="19">
        <v>5</v>
      </c>
      <c r="AA110" s="19">
        <v>3</v>
      </c>
      <c r="AB110" s="19"/>
      <c r="AC110" s="19">
        <v>5</v>
      </c>
      <c r="AD110" s="19">
        <v>5</v>
      </c>
      <c r="AE110" s="19">
        <v>5</v>
      </c>
      <c r="AF110" s="19">
        <v>5</v>
      </c>
      <c r="AG110" s="19">
        <v>5</v>
      </c>
      <c r="AH110" s="19">
        <v>5</v>
      </c>
      <c r="AI110" s="19"/>
      <c r="AJ110" s="19">
        <v>5</v>
      </c>
      <c r="AK110" s="19">
        <v>5</v>
      </c>
      <c r="AL110" s="19">
        <v>5</v>
      </c>
      <c r="AM110" s="19">
        <v>5</v>
      </c>
      <c r="AN110" s="19">
        <v>5</v>
      </c>
      <c r="AO110" s="19">
        <v>5</v>
      </c>
      <c r="AP110" s="19">
        <v>10</v>
      </c>
      <c r="AQ110">
        <v>33.5</v>
      </c>
      <c r="AR110" s="16">
        <v>91.5</v>
      </c>
      <c r="AS110" s="16">
        <v>80.400000000000006</v>
      </c>
      <c r="AT110" s="16">
        <v>20</v>
      </c>
      <c r="AU110">
        <v>84.58</v>
      </c>
      <c r="AV110" s="17">
        <v>0</v>
      </c>
      <c r="AW110">
        <v>15.42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13.79</v>
      </c>
      <c r="BH110">
        <v>2.67</v>
      </c>
      <c r="BI110">
        <v>11.54</v>
      </c>
      <c r="BJ110">
        <v>0</v>
      </c>
      <c r="BK110">
        <v>12.3</v>
      </c>
      <c r="BL110">
        <v>2</v>
      </c>
      <c r="BM110">
        <v>0</v>
      </c>
      <c r="BN110">
        <v>1</v>
      </c>
      <c r="BO110">
        <v>0</v>
      </c>
      <c r="BP110" s="16">
        <v>0.25</v>
      </c>
      <c r="BQ110" s="16">
        <v>1</v>
      </c>
      <c r="BR110" s="16">
        <v>0.55000000000000004</v>
      </c>
      <c r="BS110" s="16">
        <v>0.55000000000000004</v>
      </c>
      <c r="BT110" s="16">
        <v>0</v>
      </c>
      <c r="BU110" s="16">
        <v>0</v>
      </c>
      <c r="BV110" s="16">
        <v>0</v>
      </c>
      <c r="BW110">
        <v>0</v>
      </c>
    </row>
    <row r="111" spans="1:75" x14ac:dyDescent="0.2">
      <c r="A111">
        <v>1</v>
      </c>
      <c r="B111">
        <v>29.308692676249098</v>
      </c>
      <c r="C111">
        <v>0.29842573579739901</v>
      </c>
      <c r="D111">
        <v>8</v>
      </c>
      <c r="E111">
        <v>70</v>
      </c>
      <c r="F111">
        <v>1.69</v>
      </c>
      <c r="G111">
        <v>24.508945765204299</v>
      </c>
      <c r="H111">
        <v>0</v>
      </c>
      <c r="I111">
        <v>0</v>
      </c>
      <c r="J111" s="19">
        <v>0</v>
      </c>
      <c r="K111" s="19">
        <v>1</v>
      </c>
      <c r="L111" s="19">
        <v>1</v>
      </c>
      <c r="M111" s="19">
        <v>0</v>
      </c>
      <c r="N111">
        <v>0</v>
      </c>
      <c r="O111" s="19">
        <v>0</v>
      </c>
      <c r="P111" s="19">
        <v>0</v>
      </c>
      <c r="Q111" s="19">
        <v>0</v>
      </c>
      <c r="R111" s="19">
        <v>0</v>
      </c>
      <c r="S111" s="19">
        <v>0</v>
      </c>
      <c r="T111" s="19">
        <v>0</v>
      </c>
      <c r="U111" s="19">
        <v>0</v>
      </c>
      <c r="V111" s="15">
        <f t="shared" si="3"/>
        <v>0</v>
      </c>
      <c r="W111" s="19">
        <v>2</v>
      </c>
      <c r="X111" s="19">
        <v>2</v>
      </c>
      <c r="Y111" s="19">
        <v>3</v>
      </c>
      <c r="Z111" s="19">
        <v>5</v>
      </c>
      <c r="AA111" s="19">
        <v>2</v>
      </c>
      <c r="AB111" s="19">
        <v>2</v>
      </c>
      <c r="AC111" s="19">
        <v>3</v>
      </c>
      <c r="AD111" s="19">
        <v>3</v>
      </c>
      <c r="AE111" s="19">
        <v>4</v>
      </c>
      <c r="AF111" s="19">
        <v>4</v>
      </c>
      <c r="AG111" s="19">
        <v>4</v>
      </c>
      <c r="AH111" s="19">
        <v>5</v>
      </c>
      <c r="AI111" s="19">
        <v>4</v>
      </c>
      <c r="AJ111" s="19">
        <v>5</v>
      </c>
      <c r="AK111" s="19">
        <v>5</v>
      </c>
      <c r="AL111" s="19">
        <v>5</v>
      </c>
      <c r="AM111" s="19">
        <v>4</v>
      </c>
      <c r="AN111" s="19">
        <v>4</v>
      </c>
      <c r="AO111" s="19">
        <v>5</v>
      </c>
      <c r="AP111" s="19">
        <v>10</v>
      </c>
      <c r="AQ111">
        <v>27</v>
      </c>
      <c r="AR111" s="16">
        <v>54.4</v>
      </c>
      <c r="AS111" s="16">
        <v>80.400000000000006</v>
      </c>
      <c r="AT111" s="16">
        <v>18.100000000000001</v>
      </c>
      <c r="AU111">
        <v>81.88</v>
      </c>
      <c r="AV111" s="17">
        <v>0</v>
      </c>
      <c r="AW111">
        <v>9.83</v>
      </c>
      <c r="AX111">
        <v>0</v>
      </c>
      <c r="AY111">
        <v>2.14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2.3199999999999998</v>
      </c>
      <c r="BH111">
        <v>19.66</v>
      </c>
      <c r="BI111">
        <v>3.64</v>
      </c>
      <c r="BJ111">
        <v>0</v>
      </c>
      <c r="BK111">
        <v>0</v>
      </c>
      <c r="BL111">
        <v>0</v>
      </c>
      <c r="BM111">
        <v>0</v>
      </c>
      <c r="BN111">
        <v>1</v>
      </c>
      <c r="BO111">
        <v>0</v>
      </c>
      <c r="BP111" s="16">
        <v>2.1</v>
      </c>
      <c r="BQ111" s="16">
        <v>1</v>
      </c>
      <c r="BR111" s="16">
        <v>6.35</v>
      </c>
      <c r="BS111" s="16">
        <v>14.8</v>
      </c>
      <c r="BT111" s="16">
        <v>0</v>
      </c>
      <c r="BU111" s="16">
        <v>0</v>
      </c>
      <c r="BV111" s="16">
        <v>0</v>
      </c>
      <c r="BW111">
        <v>0</v>
      </c>
    </row>
    <row r="112" spans="1:75" x14ac:dyDescent="0.2">
      <c r="A112">
        <v>2</v>
      </c>
      <c r="B112">
        <v>40.958247775496197</v>
      </c>
      <c r="C112">
        <v>0.28199863107460599</v>
      </c>
      <c r="D112">
        <v>8</v>
      </c>
      <c r="E112">
        <v>67</v>
      </c>
      <c r="F112">
        <v>1.76</v>
      </c>
      <c r="G112">
        <v>21.6296487603306</v>
      </c>
      <c r="H112">
        <v>0</v>
      </c>
      <c r="I112">
        <v>0</v>
      </c>
      <c r="J112" s="19">
        <v>0</v>
      </c>
      <c r="K112" s="19">
        <v>2</v>
      </c>
      <c r="L112" s="19">
        <v>0</v>
      </c>
      <c r="M112" s="19">
        <v>0</v>
      </c>
      <c r="N112">
        <v>0</v>
      </c>
      <c r="O112" s="19">
        <v>0</v>
      </c>
      <c r="P112" s="19">
        <v>0</v>
      </c>
      <c r="Q112" s="19">
        <v>0</v>
      </c>
      <c r="R112" s="19">
        <v>0</v>
      </c>
      <c r="S112" s="19">
        <v>0</v>
      </c>
      <c r="T112" s="19">
        <v>0</v>
      </c>
      <c r="U112" s="19">
        <v>0</v>
      </c>
      <c r="V112" s="15">
        <f t="shared" si="3"/>
        <v>0</v>
      </c>
      <c r="W112" s="19">
        <v>1</v>
      </c>
      <c r="X112" s="19">
        <v>2</v>
      </c>
      <c r="Y112" s="19">
        <v>3</v>
      </c>
      <c r="Z112" s="19">
        <v>5</v>
      </c>
      <c r="AA112" s="19">
        <v>2</v>
      </c>
      <c r="AB112" s="19">
        <v>1</v>
      </c>
      <c r="AC112" s="19">
        <v>1</v>
      </c>
      <c r="AD112" s="19">
        <v>3</v>
      </c>
      <c r="AE112" s="19">
        <v>4</v>
      </c>
      <c r="AF112" s="19">
        <v>2</v>
      </c>
      <c r="AG112" s="19">
        <v>5</v>
      </c>
      <c r="AH112" s="19">
        <v>5</v>
      </c>
      <c r="AI112" s="19">
        <v>5</v>
      </c>
      <c r="AJ112" s="19">
        <v>5</v>
      </c>
      <c r="AK112" s="19">
        <v>5</v>
      </c>
      <c r="AL112" s="19">
        <v>5</v>
      </c>
      <c r="AM112" s="19">
        <v>5</v>
      </c>
      <c r="AN112" s="19">
        <v>5</v>
      </c>
      <c r="AO112" s="19">
        <v>4</v>
      </c>
      <c r="AP112" s="19">
        <v>10</v>
      </c>
      <c r="AQ112">
        <v>30</v>
      </c>
      <c r="AR112" s="16">
        <v>86.6</v>
      </c>
      <c r="AS112" s="16">
        <v>80.400000000000006</v>
      </c>
      <c r="AT112" s="16">
        <v>20.399999999999999</v>
      </c>
      <c r="AU112">
        <v>82.62</v>
      </c>
      <c r="AV112" s="17">
        <v>0</v>
      </c>
      <c r="AW112">
        <v>15.49</v>
      </c>
      <c r="AX112">
        <v>1.49</v>
      </c>
      <c r="AY112">
        <v>0.4</v>
      </c>
      <c r="AZ112">
        <v>0</v>
      </c>
      <c r="BA112">
        <v>0</v>
      </c>
      <c r="BC112">
        <v>0</v>
      </c>
      <c r="BD112">
        <v>0</v>
      </c>
      <c r="BE112">
        <v>0</v>
      </c>
      <c r="BF112">
        <v>6.38</v>
      </c>
      <c r="BG112">
        <v>56.11</v>
      </c>
      <c r="BH112">
        <v>8.4600000000000009</v>
      </c>
      <c r="BI112">
        <v>1.21</v>
      </c>
      <c r="BJ112">
        <v>0</v>
      </c>
      <c r="BK112">
        <v>0</v>
      </c>
      <c r="BL112">
        <v>0</v>
      </c>
      <c r="BM112">
        <v>0.5</v>
      </c>
      <c r="BN112">
        <v>0</v>
      </c>
      <c r="BO112">
        <v>1</v>
      </c>
      <c r="BP112" s="16">
        <v>0.62</v>
      </c>
      <c r="BQ112" s="16">
        <v>1</v>
      </c>
      <c r="BR112" s="16">
        <v>0</v>
      </c>
      <c r="BS112" s="16">
        <v>0</v>
      </c>
      <c r="BT112" s="16">
        <v>5.97</v>
      </c>
      <c r="BU112" s="16">
        <v>0</v>
      </c>
      <c r="BV112" s="16">
        <v>0</v>
      </c>
      <c r="BW112">
        <v>2</v>
      </c>
    </row>
    <row r="113" spans="1:75" x14ac:dyDescent="0.2">
      <c r="A113">
        <v>2</v>
      </c>
      <c r="B113">
        <v>40.3039014373717</v>
      </c>
      <c r="C113">
        <v>15.906913073237501</v>
      </c>
      <c r="D113">
        <v>8</v>
      </c>
      <c r="E113">
        <v>68</v>
      </c>
      <c r="F113">
        <v>1.67</v>
      </c>
      <c r="G113">
        <v>24.3823729785937</v>
      </c>
      <c r="H113">
        <v>0</v>
      </c>
      <c r="I113">
        <v>0</v>
      </c>
      <c r="J113" s="19">
        <v>1</v>
      </c>
      <c r="K113" s="19">
        <v>0</v>
      </c>
      <c r="L113" s="19">
        <v>0</v>
      </c>
      <c r="M113" s="19">
        <v>0</v>
      </c>
      <c r="N113">
        <v>0</v>
      </c>
      <c r="O113" s="19">
        <v>0</v>
      </c>
      <c r="P113" s="19">
        <v>0</v>
      </c>
      <c r="Q113" s="19">
        <v>0</v>
      </c>
      <c r="R113" s="19">
        <v>0</v>
      </c>
      <c r="S113" s="19">
        <v>0</v>
      </c>
      <c r="T113" s="19">
        <v>0</v>
      </c>
      <c r="U113" s="19">
        <v>0</v>
      </c>
      <c r="V113" s="15">
        <f t="shared" si="3"/>
        <v>0</v>
      </c>
      <c r="W113" s="19">
        <v>3</v>
      </c>
      <c r="X113" s="19">
        <v>3</v>
      </c>
      <c r="Y113" s="19">
        <v>5</v>
      </c>
      <c r="Z113" s="19">
        <v>5</v>
      </c>
      <c r="AA113" s="19">
        <v>1</v>
      </c>
      <c r="AB113" s="19">
        <v>1</v>
      </c>
      <c r="AC113" s="19">
        <v>1</v>
      </c>
      <c r="AD113" s="19">
        <v>2</v>
      </c>
      <c r="AE113" s="19">
        <v>1</v>
      </c>
      <c r="AF113" s="19">
        <v>3</v>
      </c>
      <c r="AG113" s="19">
        <v>4</v>
      </c>
      <c r="AH113" s="19">
        <v>4</v>
      </c>
      <c r="AI113" s="19">
        <v>4</v>
      </c>
      <c r="AJ113" s="19">
        <v>5</v>
      </c>
      <c r="AK113" s="19">
        <v>2</v>
      </c>
      <c r="AL113" s="19">
        <v>5</v>
      </c>
      <c r="AM113" s="19">
        <v>5</v>
      </c>
      <c r="AN113" s="19">
        <v>5</v>
      </c>
      <c r="AO113" s="19">
        <v>5</v>
      </c>
      <c r="AP113" s="19">
        <v>9</v>
      </c>
      <c r="AQ113">
        <v>42.5</v>
      </c>
      <c r="AR113" s="16">
        <v>81.7</v>
      </c>
      <c r="AS113" s="16">
        <v>80.400000000000006</v>
      </c>
      <c r="AT113" s="16">
        <v>18.399999999999999</v>
      </c>
      <c r="AU113">
        <v>80.680000000000007</v>
      </c>
      <c r="AV113" s="17">
        <v>0</v>
      </c>
      <c r="AW113">
        <v>8.41</v>
      </c>
      <c r="AX113">
        <v>1.93</v>
      </c>
      <c r="AY113">
        <v>8.98</v>
      </c>
      <c r="AZ113">
        <v>0</v>
      </c>
      <c r="BA113">
        <v>0</v>
      </c>
      <c r="BC113">
        <v>0</v>
      </c>
      <c r="BD113">
        <v>0</v>
      </c>
      <c r="BE113">
        <v>0</v>
      </c>
      <c r="BF113">
        <v>7.0000000000000007E-2</v>
      </c>
      <c r="BG113">
        <v>26.86</v>
      </c>
      <c r="BH113">
        <v>25.47</v>
      </c>
      <c r="BI113">
        <v>0</v>
      </c>
      <c r="BJ113">
        <v>0</v>
      </c>
      <c r="BK113">
        <v>0</v>
      </c>
      <c r="BL113">
        <v>0</v>
      </c>
      <c r="BM113">
        <v>17.899999999999999</v>
      </c>
      <c r="BN113">
        <v>1</v>
      </c>
      <c r="BO113">
        <v>0</v>
      </c>
      <c r="BP113" s="16">
        <v>0</v>
      </c>
      <c r="BQ113" s="16">
        <v>0</v>
      </c>
      <c r="BR113" s="16">
        <v>4.29</v>
      </c>
      <c r="BS113" s="16">
        <v>2.66</v>
      </c>
      <c r="BT113" s="16">
        <v>0</v>
      </c>
      <c r="BU113" s="16">
        <v>0</v>
      </c>
      <c r="BV113" s="16">
        <v>0</v>
      </c>
      <c r="BW113">
        <v>0</v>
      </c>
    </row>
    <row r="114" spans="1:75" x14ac:dyDescent="0.2">
      <c r="A114">
        <v>2</v>
      </c>
      <c r="B114">
        <v>42.617385352498303</v>
      </c>
      <c r="C114">
        <v>0.24914442162902101</v>
      </c>
      <c r="D114">
        <v>8</v>
      </c>
      <c r="E114">
        <v>67</v>
      </c>
      <c r="F114">
        <v>1.7</v>
      </c>
      <c r="G114">
        <v>23.183391003460201</v>
      </c>
      <c r="H114">
        <v>0</v>
      </c>
      <c r="I114">
        <v>0</v>
      </c>
      <c r="J114" s="19">
        <v>1</v>
      </c>
      <c r="K114" s="19">
        <v>2</v>
      </c>
      <c r="L114" s="19">
        <v>1</v>
      </c>
      <c r="M114" s="19">
        <v>0</v>
      </c>
      <c r="N114">
        <v>0</v>
      </c>
      <c r="O114" s="19">
        <v>0</v>
      </c>
      <c r="P114" s="19">
        <v>0</v>
      </c>
      <c r="Q114" s="19">
        <v>0</v>
      </c>
      <c r="R114" s="19">
        <v>0</v>
      </c>
      <c r="S114" s="19">
        <v>0</v>
      </c>
      <c r="T114" s="19">
        <v>0</v>
      </c>
      <c r="U114" s="19">
        <v>0</v>
      </c>
      <c r="V114" s="15">
        <f t="shared" si="3"/>
        <v>0</v>
      </c>
      <c r="W114" s="19">
        <v>2</v>
      </c>
      <c r="X114" s="19">
        <v>2</v>
      </c>
      <c r="Y114" s="19">
        <v>3</v>
      </c>
      <c r="Z114" s="19">
        <v>5</v>
      </c>
      <c r="AA114" s="19">
        <v>2</v>
      </c>
      <c r="AB114" s="19">
        <v>2</v>
      </c>
      <c r="AC114" s="19">
        <v>5</v>
      </c>
      <c r="AD114" s="19">
        <v>3</v>
      </c>
      <c r="AE114" s="19">
        <v>2</v>
      </c>
      <c r="AF114" s="19">
        <v>4</v>
      </c>
      <c r="AG114" s="19">
        <v>4</v>
      </c>
      <c r="AH114" s="19">
        <v>5</v>
      </c>
      <c r="AI114" s="19">
        <v>1</v>
      </c>
      <c r="AJ114" s="19">
        <v>5</v>
      </c>
      <c r="AK114" s="19">
        <v>5</v>
      </c>
      <c r="AL114" s="19">
        <v>5</v>
      </c>
      <c r="AM114" s="19">
        <v>4</v>
      </c>
      <c r="AN114" s="19">
        <v>5</v>
      </c>
      <c r="AO114" s="19">
        <v>4</v>
      </c>
      <c r="AP114" s="19">
        <v>10</v>
      </c>
      <c r="AQ114">
        <v>30</v>
      </c>
      <c r="AR114" s="16">
        <v>86.6</v>
      </c>
      <c r="AS114" s="16">
        <v>80.400000000000006</v>
      </c>
      <c r="AT114" s="16">
        <v>20.399999999999999</v>
      </c>
      <c r="AU114">
        <v>82.62</v>
      </c>
      <c r="AV114" s="17">
        <v>0</v>
      </c>
      <c r="AW114">
        <v>15.49</v>
      </c>
      <c r="AX114">
        <v>1.49</v>
      </c>
      <c r="AY114">
        <v>0.4</v>
      </c>
      <c r="AZ114">
        <v>0</v>
      </c>
      <c r="BA114">
        <v>0</v>
      </c>
      <c r="BC114">
        <v>0</v>
      </c>
      <c r="BD114">
        <v>0</v>
      </c>
      <c r="BE114">
        <v>0</v>
      </c>
      <c r="BF114">
        <v>6.38</v>
      </c>
      <c r="BG114">
        <v>56.11</v>
      </c>
      <c r="BH114">
        <v>8.4600000000000009</v>
      </c>
      <c r="BI114">
        <v>1.21</v>
      </c>
      <c r="BJ114">
        <v>0</v>
      </c>
      <c r="BK114">
        <v>0</v>
      </c>
      <c r="BL114">
        <v>0</v>
      </c>
      <c r="BM114">
        <v>0.5</v>
      </c>
      <c r="BN114">
        <v>0</v>
      </c>
      <c r="BO114">
        <v>1</v>
      </c>
      <c r="BP114" s="16">
        <v>0.62</v>
      </c>
      <c r="BQ114" s="16">
        <v>1</v>
      </c>
      <c r="BR114" s="16">
        <v>0</v>
      </c>
      <c r="BS114" s="16">
        <v>0</v>
      </c>
      <c r="BT114" s="16">
        <v>5.97</v>
      </c>
      <c r="BU114" s="16">
        <v>0</v>
      </c>
      <c r="BV114" s="16">
        <v>0</v>
      </c>
      <c r="BW114">
        <v>2</v>
      </c>
    </row>
    <row r="115" spans="1:75" x14ac:dyDescent="0.2">
      <c r="A115">
        <v>1</v>
      </c>
      <c r="B115">
        <v>27.2416153319644</v>
      </c>
      <c r="C115">
        <v>0.31485284052019202</v>
      </c>
      <c r="D115">
        <v>8</v>
      </c>
      <c r="E115">
        <v>55</v>
      </c>
      <c r="F115">
        <v>1.56</v>
      </c>
      <c r="G115">
        <v>22.600262984878398</v>
      </c>
      <c r="H115">
        <v>0</v>
      </c>
      <c r="I115">
        <v>0</v>
      </c>
      <c r="J115" s="19">
        <v>0</v>
      </c>
      <c r="K115" s="19">
        <v>0</v>
      </c>
      <c r="L115" s="19">
        <v>1</v>
      </c>
      <c r="M115" s="19">
        <v>0</v>
      </c>
      <c r="N115">
        <v>0</v>
      </c>
      <c r="O115" s="19">
        <v>0</v>
      </c>
      <c r="P115" s="19">
        <v>0</v>
      </c>
      <c r="Q115" s="19">
        <v>0</v>
      </c>
      <c r="R115" s="19">
        <v>0</v>
      </c>
      <c r="S115" s="19">
        <v>0</v>
      </c>
      <c r="T115" s="19">
        <v>0</v>
      </c>
      <c r="U115" s="19">
        <v>0</v>
      </c>
      <c r="V115" s="15">
        <f t="shared" si="3"/>
        <v>0</v>
      </c>
      <c r="W115" s="19">
        <v>2</v>
      </c>
      <c r="X115" s="19">
        <v>1</v>
      </c>
      <c r="Y115" s="19">
        <v>3</v>
      </c>
      <c r="Z115" s="19">
        <v>5</v>
      </c>
      <c r="AA115" s="19">
        <v>2</v>
      </c>
      <c r="AB115" s="19">
        <v>2</v>
      </c>
      <c r="AC115" s="19">
        <v>3</v>
      </c>
      <c r="AD115" s="19">
        <v>5</v>
      </c>
      <c r="AE115" s="19">
        <v>5</v>
      </c>
      <c r="AF115" s="19">
        <v>5</v>
      </c>
      <c r="AG115" s="19">
        <v>5</v>
      </c>
      <c r="AH115" s="19">
        <v>5</v>
      </c>
      <c r="AI115" s="19">
        <v>5</v>
      </c>
      <c r="AJ115" s="19">
        <v>5</v>
      </c>
      <c r="AK115" s="19">
        <v>5</v>
      </c>
      <c r="AL115" s="19">
        <v>5</v>
      </c>
      <c r="AM115" s="19">
        <v>5</v>
      </c>
      <c r="AN115" s="19">
        <v>5</v>
      </c>
      <c r="AO115" s="19">
        <v>5</v>
      </c>
      <c r="AP115" s="19">
        <v>10</v>
      </c>
      <c r="AQ115">
        <v>30</v>
      </c>
      <c r="AR115" s="16">
        <v>86.6</v>
      </c>
      <c r="AS115" s="16">
        <v>80.400000000000006</v>
      </c>
      <c r="AT115" s="16">
        <v>20.399999999999999</v>
      </c>
      <c r="AU115">
        <v>82.62</v>
      </c>
      <c r="AV115" s="17">
        <v>0</v>
      </c>
      <c r="AW115">
        <v>15.49</v>
      </c>
      <c r="AX115">
        <v>1.49</v>
      </c>
      <c r="AY115">
        <v>0.4</v>
      </c>
      <c r="AZ115">
        <v>0</v>
      </c>
      <c r="BA115">
        <v>0</v>
      </c>
      <c r="BC115">
        <v>0</v>
      </c>
      <c r="BD115">
        <v>0</v>
      </c>
      <c r="BE115">
        <v>0</v>
      </c>
      <c r="BF115">
        <v>6.38</v>
      </c>
      <c r="BG115">
        <v>56.11</v>
      </c>
      <c r="BH115">
        <v>8.4600000000000009</v>
      </c>
      <c r="BI115">
        <v>1.21</v>
      </c>
      <c r="BJ115">
        <v>0</v>
      </c>
      <c r="BK115">
        <v>0</v>
      </c>
      <c r="BL115">
        <v>0</v>
      </c>
      <c r="BM115">
        <v>0.5</v>
      </c>
      <c r="BN115">
        <v>0</v>
      </c>
      <c r="BO115">
        <v>1</v>
      </c>
      <c r="BP115" s="16">
        <v>0.62</v>
      </c>
      <c r="BQ115" s="16">
        <v>1</v>
      </c>
      <c r="BR115" s="16">
        <v>0</v>
      </c>
      <c r="BS115" s="16">
        <v>0</v>
      </c>
      <c r="BT115" s="16">
        <v>5.97</v>
      </c>
      <c r="BU115" s="16">
        <v>0</v>
      </c>
      <c r="BV115" s="16">
        <v>0</v>
      </c>
      <c r="BW115">
        <v>2</v>
      </c>
    </row>
    <row r="116" spans="1:75" x14ac:dyDescent="0.2">
      <c r="A116">
        <v>2</v>
      </c>
      <c r="B116">
        <v>24.079397672826801</v>
      </c>
      <c r="C116">
        <v>0.26009582477755</v>
      </c>
      <c r="D116">
        <v>8</v>
      </c>
      <c r="E116">
        <v>84</v>
      </c>
      <c r="F116">
        <v>1.8</v>
      </c>
      <c r="G116">
        <v>25.925925925925899</v>
      </c>
      <c r="H116">
        <v>0</v>
      </c>
      <c r="I116">
        <v>0</v>
      </c>
      <c r="J116" s="19">
        <v>0</v>
      </c>
      <c r="K116" s="19">
        <v>2</v>
      </c>
      <c r="L116" s="19">
        <v>0</v>
      </c>
      <c r="M116" s="19">
        <v>0</v>
      </c>
      <c r="N116">
        <v>0</v>
      </c>
      <c r="O116" s="19">
        <v>0</v>
      </c>
      <c r="P116" s="19">
        <v>0</v>
      </c>
      <c r="Q116" s="19">
        <v>0</v>
      </c>
      <c r="R116" s="19">
        <v>0</v>
      </c>
      <c r="S116" s="19">
        <v>0</v>
      </c>
      <c r="T116" s="19">
        <v>0</v>
      </c>
      <c r="U116" s="19">
        <v>0</v>
      </c>
      <c r="V116" s="15">
        <f t="shared" si="3"/>
        <v>0</v>
      </c>
      <c r="W116" s="19">
        <v>1</v>
      </c>
      <c r="X116" s="19">
        <v>1</v>
      </c>
      <c r="Y116" s="19">
        <v>1</v>
      </c>
      <c r="Z116" s="19">
        <v>5</v>
      </c>
      <c r="AA116" s="19">
        <v>2</v>
      </c>
      <c r="AB116" s="19">
        <v>1</v>
      </c>
      <c r="AC116" s="19">
        <v>3</v>
      </c>
      <c r="AD116" s="19">
        <v>3</v>
      </c>
      <c r="AE116" s="19">
        <v>5</v>
      </c>
      <c r="AF116" s="19">
        <v>5</v>
      </c>
      <c r="AG116" s="19">
        <v>5</v>
      </c>
      <c r="AH116" s="19">
        <v>5</v>
      </c>
      <c r="AI116" s="19">
        <v>5</v>
      </c>
      <c r="AJ116" s="19">
        <v>5</v>
      </c>
      <c r="AK116" s="19">
        <v>5</v>
      </c>
      <c r="AL116" s="19">
        <v>5</v>
      </c>
      <c r="AM116" s="19">
        <v>5</v>
      </c>
      <c r="AN116" s="19">
        <v>5</v>
      </c>
      <c r="AO116" s="19">
        <v>5</v>
      </c>
      <c r="AP116" s="19">
        <v>10</v>
      </c>
      <c r="AQ116">
        <v>30</v>
      </c>
      <c r="AR116" s="16">
        <v>86.6</v>
      </c>
      <c r="AS116" s="16">
        <v>80.400000000000006</v>
      </c>
      <c r="AT116" s="16">
        <v>20.399999999999999</v>
      </c>
      <c r="AU116">
        <v>82.62</v>
      </c>
      <c r="AV116" s="17">
        <v>0</v>
      </c>
      <c r="AW116">
        <v>15.49</v>
      </c>
      <c r="AX116">
        <v>1.49</v>
      </c>
      <c r="AY116">
        <v>0.4</v>
      </c>
      <c r="AZ116">
        <v>0</v>
      </c>
      <c r="BA116">
        <v>0</v>
      </c>
      <c r="BC116">
        <v>0</v>
      </c>
      <c r="BD116">
        <v>0</v>
      </c>
      <c r="BE116">
        <v>0</v>
      </c>
      <c r="BF116">
        <v>6.38</v>
      </c>
      <c r="BG116">
        <v>56.11</v>
      </c>
      <c r="BH116">
        <v>8.4600000000000009</v>
      </c>
      <c r="BI116">
        <v>1.21</v>
      </c>
      <c r="BJ116">
        <v>0</v>
      </c>
      <c r="BK116">
        <v>0</v>
      </c>
      <c r="BL116">
        <v>0</v>
      </c>
      <c r="BM116">
        <v>0.5</v>
      </c>
      <c r="BN116">
        <v>0</v>
      </c>
      <c r="BO116">
        <v>1</v>
      </c>
      <c r="BP116" s="16">
        <v>0.62</v>
      </c>
      <c r="BQ116" s="16">
        <v>1</v>
      </c>
      <c r="BR116" s="16">
        <v>0</v>
      </c>
      <c r="BS116" s="16">
        <v>0</v>
      </c>
      <c r="BT116" s="16">
        <v>5.97</v>
      </c>
      <c r="BU116" s="16">
        <v>0</v>
      </c>
      <c r="BV116" s="16">
        <v>0</v>
      </c>
      <c r="BW116">
        <v>2</v>
      </c>
    </row>
    <row r="117" spans="1:75" x14ac:dyDescent="0.2">
      <c r="A117">
        <v>2</v>
      </c>
      <c r="B117">
        <v>25.4647501711157</v>
      </c>
      <c r="C117">
        <v>0.27652292950034202</v>
      </c>
      <c r="D117">
        <v>8</v>
      </c>
      <c r="E117">
        <v>96</v>
      </c>
      <c r="F117">
        <v>1.77</v>
      </c>
      <c r="G117">
        <v>30.6425356698267</v>
      </c>
      <c r="H117">
        <v>0</v>
      </c>
      <c r="I117">
        <v>0</v>
      </c>
      <c r="J117" s="19">
        <v>0</v>
      </c>
      <c r="K117" s="19">
        <v>1</v>
      </c>
      <c r="L117" s="19">
        <v>0</v>
      </c>
      <c r="M117" s="19">
        <v>0</v>
      </c>
      <c r="N117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5">
        <f t="shared" si="3"/>
        <v>0</v>
      </c>
      <c r="W117" s="19">
        <v>1</v>
      </c>
      <c r="X117" s="19">
        <v>1</v>
      </c>
      <c r="Y117" s="19">
        <v>2</v>
      </c>
      <c r="Z117" s="19">
        <v>5</v>
      </c>
      <c r="AA117" s="19">
        <v>3</v>
      </c>
      <c r="AB117" s="19">
        <v>1</v>
      </c>
      <c r="AC117" s="19">
        <v>3</v>
      </c>
      <c r="AD117" s="19">
        <v>5</v>
      </c>
      <c r="AE117" s="19">
        <v>5</v>
      </c>
      <c r="AF117" s="19">
        <v>5</v>
      </c>
      <c r="AG117" s="19">
        <v>5</v>
      </c>
      <c r="AH117" s="19">
        <v>5</v>
      </c>
      <c r="AI117" s="19">
        <v>5</v>
      </c>
      <c r="AJ117" s="19">
        <v>5</v>
      </c>
      <c r="AK117" s="19">
        <v>5</v>
      </c>
      <c r="AL117" s="19">
        <v>5</v>
      </c>
      <c r="AM117" s="19">
        <v>5</v>
      </c>
      <c r="AN117" s="19">
        <v>5</v>
      </c>
      <c r="AO117" s="19">
        <v>5</v>
      </c>
      <c r="AP117" s="19">
        <v>8</v>
      </c>
      <c r="AQ117">
        <v>30.5</v>
      </c>
      <c r="AR117" s="16">
        <v>84.8</v>
      </c>
      <c r="AS117" s="16">
        <v>80.400000000000006</v>
      </c>
      <c r="AT117" s="16">
        <v>23.9</v>
      </c>
      <c r="AU117">
        <v>79.319999999999993</v>
      </c>
      <c r="AV117" s="17">
        <v>0</v>
      </c>
      <c r="AW117">
        <v>18.78</v>
      </c>
      <c r="AX117">
        <v>1.49</v>
      </c>
      <c r="AY117">
        <v>0.4</v>
      </c>
      <c r="AZ117">
        <v>0</v>
      </c>
      <c r="BA117">
        <v>0</v>
      </c>
      <c r="BC117">
        <v>0</v>
      </c>
      <c r="BD117">
        <v>0</v>
      </c>
      <c r="BE117">
        <v>0</v>
      </c>
      <c r="BF117">
        <v>6.38</v>
      </c>
      <c r="BG117">
        <v>49.21</v>
      </c>
      <c r="BH117">
        <v>12.84</v>
      </c>
      <c r="BI117">
        <v>1.21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</v>
      </c>
      <c r="BP117" s="16">
        <v>0.62</v>
      </c>
      <c r="BQ117" s="16">
        <v>1</v>
      </c>
      <c r="BR117" s="16">
        <v>0</v>
      </c>
      <c r="BS117" s="16">
        <v>0</v>
      </c>
      <c r="BT117" s="16">
        <v>0</v>
      </c>
      <c r="BU117" s="16">
        <v>0</v>
      </c>
      <c r="BV117" s="16">
        <v>3.21</v>
      </c>
      <c r="BW117">
        <v>0</v>
      </c>
    </row>
    <row r="118" spans="1:75" x14ac:dyDescent="0.2">
      <c r="A118">
        <v>1</v>
      </c>
      <c r="B118">
        <v>46.294318959616703</v>
      </c>
      <c r="C118">
        <v>6.1163586584531098</v>
      </c>
      <c r="D118">
        <v>8</v>
      </c>
      <c r="E118">
        <v>74</v>
      </c>
      <c r="F118">
        <v>1.67</v>
      </c>
      <c r="G118">
        <v>26.5337588296461</v>
      </c>
      <c r="H118">
        <v>0</v>
      </c>
      <c r="I118">
        <v>0</v>
      </c>
      <c r="J118" s="19">
        <v>1</v>
      </c>
      <c r="K118" s="19">
        <v>2</v>
      </c>
      <c r="L118" s="19">
        <v>0</v>
      </c>
      <c r="M118" s="19">
        <v>0</v>
      </c>
      <c r="P118" s="19">
        <v>0</v>
      </c>
      <c r="Q118" s="19">
        <v>0</v>
      </c>
      <c r="R118" s="19">
        <v>0</v>
      </c>
      <c r="S118" s="19">
        <v>0</v>
      </c>
      <c r="T118" s="19">
        <v>0</v>
      </c>
      <c r="U118" s="19">
        <v>0</v>
      </c>
      <c r="V118" s="15">
        <f t="shared" si="3"/>
        <v>0</v>
      </c>
      <c r="W118" s="19">
        <v>1</v>
      </c>
      <c r="X118" s="19">
        <v>1</v>
      </c>
      <c r="Y118" s="19">
        <v>3</v>
      </c>
      <c r="Z118" s="19">
        <v>5</v>
      </c>
      <c r="AA118" s="19">
        <v>3</v>
      </c>
      <c r="AB118" s="19">
        <v>3</v>
      </c>
      <c r="AC118" s="19">
        <v>4</v>
      </c>
      <c r="AD118" s="19"/>
      <c r="AE118" s="19"/>
      <c r="AF118" s="19"/>
      <c r="AG118" s="19">
        <v>3</v>
      </c>
      <c r="AH118" s="19">
        <v>4</v>
      </c>
      <c r="AI118" s="19">
        <v>4</v>
      </c>
      <c r="AJ118" s="19">
        <v>3</v>
      </c>
      <c r="AK118" s="19">
        <v>3</v>
      </c>
      <c r="AL118" s="19">
        <v>4</v>
      </c>
      <c r="AM118" s="19">
        <v>4</v>
      </c>
      <c r="AN118" s="19">
        <v>4</v>
      </c>
      <c r="AO118" s="19">
        <v>4</v>
      </c>
      <c r="AP118" s="19">
        <v>8</v>
      </c>
      <c r="AQ118">
        <v>70.5</v>
      </c>
      <c r="AR118" s="16">
        <v>88.2</v>
      </c>
      <c r="AS118" s="16">
        <v>80.400000000000006</v>
      </c>
      <c r="AT118" s="16">
        <v>36.299999999999997</v>
      </c>
      <c r="AU118">
        <v>72.69</v>
      </c>
      <c r="AV118" s="17">
        <v>0</v>
      </c>
      <c r="AW118">
        <v>10.32</v>
      </c>
      <c r="AX118">
        <v>16.989999999999998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36.659999999999997</v>
      </c>
      <c r="BH118">
        <v>7.54</v>
      </c>
      <c r="BI118">
        <v>10.32</v>
      </c>
      <c r="BJ118">
        <v>0</v>
      </c>
      <c r="BK118">
        <v>0</v>
      </c>
      <c r="BL118">
        <v>0</v>
      </c>
      <c r="BM118">
        <v>21.2</v>
      </c>
      <c r="BN118">
        <v>1</v>
      </c>
      <c r="BO118">
        <v>0</v>
      </c>
      <c r="BP118" s="16">
        <v>11.58</v>
      </c>
      <c r="BQ118" s="16">
        <v>1</v>
      </c>
      <c r="BR118" s="16">
        <v>0.27</v>
      </c>
      <c r="BS118" s="16">
        <v>0.27</v>
      </c>
      <c r="BT118" s="16">
        <v>0</v>
      </c>
      <c r="BU118" s="16">
        <v>0</v>
      </c>
      <c r="BV118" s="16">
        <v>0</v>
      </c>
      <c r="BW118">
        <v>0</v>
      </c>
    </row>
    <row r="119" spans="1:75" x14ac:dyDescent="0.2">
      <c r="A119">
        <v>2</v>
      </c>
      <c r="B119">
        <v>18.915811088295701</v>
      </c>
      <c r="C119">
        <v>0.35318275154004097</v>
      </c>
      <c r="D119">
        <v>8</v>
      </c>
      <c r="E119">
        <v>80</v>
      </c>
      <c r="F119">
        <v>1.75</v>
      </c>
      <c r="G119">
        <v>26.122448979591798</v>
      </c>
      <c r="H119">
        <v>0</v>
      </c>
      <c r="I119">
        <v>0</v>
      </c>
      <c r="J119" s="19">
        <v>0</v>
      </c>
      <c r="K119" s="19">
        <v>1</v>
      </c>
      <c r="L119" s="19">
        <v>1</v>
      </c>
      <c r="M119" s="19">
        <v>0</v>
      </c>
      <c r="N1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  <c r="T119" s="19">
        <v>0</v>
      </c>
      <c r="U119" s="19">
        <v>0</v>
      </c>
      <c r="V119" s="15">
        <f t="shared" si="3"/>
        <v>0</v>
      </c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>
        <v>4</v>
      </c>
      <c r="AN119" s="19">
        <v>5</v>
      </c>
      <c r="AO119" s="19">
        <v>5</v>
      </c>
      <c r="AP119" s="19">
        <v>9</v>
      </c>
      <c r="AQ119">
        <v>16.5</v>
      </c>
      <c r="AR119" s="16">
        <v>35.299999999999997</v>
      </c>
      <c r="AS119" s="16">
        <v>80.400000000000006</v>
      </c>
      <c r="AT119" s="16">
        <v>9.6999999999999993</v>
      </c>
      <c r="AU119">
        <v>86.56</v>
      </c>
      <c r="AV119">
        <v>12.61</v>
      </c>
      <c r="AW119">
        <v>0</v>
      </c>
      <c r="AX119">
        <v>0</v>
      </c>
      <c r="AY119">
        <v>0.83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2.2200000000000002</v>
      </c>
      <c r="BH119">
        <v>20.83</v>
      </c>
      <c r="BI119">
        <v>0</v>
      </c>
      <c r="BJ119">
        <v>0</v>
      </c>
      <c r="BK119">
        <v>0</v>
      </c>
      <c r="BL119">
        <v>0</v>
      </c>
      <c r="BM119">
        <v>0.3</v>
      </c>
      <c r="BN119">
        <v>1</v>
      </c>
      <c r="BO119">
        <v>0</v>
      </c>
      <c r="BP119" s="16">
        <v>0.28000000000000003</v>
      </c>
      <c r="BQ119" s="16">
        <v>1</v>
      </c>
      <c r="BR119" s="16">
        <v>5.99</v>
      </c>
      <c r="BS119" s="16">
        <v>5.34</v>
      </c>
      <c r="BT119" s="16">
        <v>0</v>
      </c>
      <c r="BU119" s="16">
        <v>0</v>
      </c>
      <c r="BV119" s="16">
        <v>0</v>
      </c>
      <c r="BW119">
        <v>0</v>
      </c>
    </row>
    <row r="120" spans="1:75" x14ac:dyDescent="0.2">
      <c r="A120">
        <v>1</v>
      </c>
      <c r="B120">
        <v>36.054757015742602</v>
      </c>
      <c r="C120">
        <v>0.29568788501026699</v>
      </c>
      <c r="D120">
        <v>8</v>
      </c>
      <c r="E120">
        <v>57</v>
      </c>
      <c r="F120">
        <v>1.61</v>
      </c>
      <c r="G120">
        <v>21.9898923652637</v>
      </c>
      <c r="H120">
        <v>0</v>
      </c>
      <c r="I120">
        <v>0</v>
      </c>
      <c r="J120" s="19">
        <v>0</v>
      </c>
      <c r="K120" s="19">
        <v>0</v>
      </c>
      <c r="L120" s="19">
        <v>0</v>
      </c>
      <c r="M120" s="19">
        <v>0</v>
      </c>
      <c r="N120">
        <v>0</v>
      </c>
      <c r="O120" s="19">
        <v>0</v>
      </c>
      <c r="P120" s="19">
        <v>6</v>
      </c>
      <c r="Q120" s="19">
        <v>0</v>
      </c>
      <c r="R120" s="19">
        <v>6</v>
      </c>
      <c r="S120" s="19">
        <v>0</v>
      </c>
      <c r="T120" s="19">
        <v>0</v>
      </c>
      <c r="U120" s="19">
        <v>5</v>
      </c>
      <c r="V120" s="15">
        <f t="shared" si="3"/>
        <v>1.8888888888888888</v>
      </c>
      <c r="W120" s="19">
        <v>2</v>
      </c>
      <c r="X120" s="19">
        <v>1</v>
      </c>
      <c r="Y120" s="19">
        <v>3</v>
      </c>
      <c r="Z120" s="19">
        <v>5</v>
      </c>
      <c r="AA120" s="19">
        <v>1</v>
      </c>
      <c r="AB120" s="19">
        <v>1</v>
      </c>
      <c r="AC120" s="19">
        <v>3</v>
      </c>
      <c r="AD120" s="19">
        <v>3</v>
      </c>
      <c r="AE120" s="19">
        <v>5</v>
      </c>
      <c r="AF120" s="19">
        <v>5</v>
      </c>
      <c r="AG120" s="19">
        <v>4</v>
      </c>
      <c r="AH120" s="19">
        <v>5</v>
      </c>
      <c r="AI120" s="19">
        <v>4</v>
      </c>
      <c r="AJ120" s="19">
        <v>5</v>
      </c>
      <c r="AK120" s="19">
        <v>5</v>
      </c>
      <c r="AL120" s="19">
        <v>5</v>
      </c>
      <c r="AM120" s="19">
        <v>4</v>
      </c>
      <c r="AN120" s="19">
        <v>4</v>
      </c>
      <c r="AO120" s="19">
        <v>5</v>
      </c>
      <c r="AP120" s="19">
        <v>9</v>
      </c>
      <c r="AQ120">
        <v>35</v>
      </c>
      <c r="AR120" s="16">
        <v>78.8</v>
      </c>
      <c r="AS120" s="16">
        <v>80.400000000000006</v>
      </c>
      <c r="AT120" s="16">
        <v>17.2</v>
      </c>
      <c r="AU120">
        <v>72.069999999999993</v>
      </c>
      <c r="AV120">
        <v>11.09</v>
      </c>
      <c r="AW120">
        <v>1.1200000000000001</v>
      </c>
      <c r="AX120">
        <v>0</v>
      </c>
      <c r="AY120">
        <v>15.71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1.66</v>
      </c>
      <c r="BH120">
        <v>34.99</v>
      </c>
      <c r="BI120">
        <v>0</v>
      </c>
      <c r="BJ120">
        <v>0</v>
      </c>
      <c r="BK120">
        <v>0</v>
      </c>
      <c r="BL120">
        <v>0</v>
      </c>
      <c r="BM120">
        <v>11.2</v>
      </c>
      <c r="BN120">
        <v>1</v>
      </c>
      <c r="BO120">
        <v>0</v>
      </c>
      <c r="BP120" s="16">
        <v>0</v>
      </c>
      <c r="BQ120" s="16">
        <v>0</v>
      </c>
      <c r="BR120" s="16">
        <v>6.16</v>
      </c>
      <c r="BS120" s="16">
        <v>7.21</v>
      </c>
      <c r="BT120" s="16">
        <v>0</v>
      </c>
      <c r="BU120" s="16">
        <v>0</v>
      </c>
      <c r="BV120" s="16">
        <v>0</v>
      </c>
      <c r="BW120">
        <v>0</v>
      </c>
    </row>
    <row r="121" spans="1:75" x14ac:dyDescent="0.2">
      <c r="A121">
        <v>2</v>
      </c>
      <c r="B121">
        <v>33.218343600273798</v>
      </c>
      <c r="C121">
        <v>0.29568788501026699</v>
      </c>
      <c r="D121">
        <v>8</v>
      </c>
      <c r="E121">
        <v>78</v>
      </c>
      <c r="F121">
        <v>1.78</v>
      </c>
      <c r="G121">
        <v>24.6181037747759</v>
      </c>
      <c r="H121">
        <v>0</v>
      </c>
      <c r="I121">
        <v>0</v>
      </c>
      <c r="J121" s="19">
        <v>0</v>
      </c>
      <c r="K121" s="19">
        <v>0</v>
      </c>
      <c r="L121" s="19">
        <v>0</v>
      </c>
      <c r="M121" s="19">
        <v>0</v>
      </c>
      <c r="N121">
        <v>0</v>
      </c>
      <c r="O121" s="19">
        <v>0</v>
      </c>
      <c r="P121" s="19">
        <v>0</v>
      </c>
      <c r="Q121" s="19">
        <v>0</v>
      </c>
      <c r="R121" s="19">
        <v>4</v>
      </c>
      <c r="S121" s="19">
        <v>0</v>
      </c>
      <c r="T121" s="19">
        <v>0</v>
      </c>
      <c r="U121" s="19">
        <v>0</v>
      </c>
      <c r="V121" s="15">
        <f t="shared" si="3"/>
        <v>0.44444444444444442</v>
      </c>
      <c r="W121" s="19">
        <v>1</v>
      </c>
      <c r="X121" s="19">
        <v>2</v>
      </c>
      <c r="Y121" s="19">
        <v>2</v>
      </c>
      <c r="Z121" s="19">
        <v>5</v>
      </c>
      <c r="AA121" s="19">
        <v>3</v>
      </c>
      <c r="AB121" s="19">
        <v>1</v>
      </c>
      <c r="AC121" s="19">
        <v>3</v>
      </c>
      <c r="AD121" s="19">
        <v>3</v>
      </c>
      <c r="AE121" s="19">
        <v>3</v>
      </c>
      <c r="AF121" s="19">
        <v>4</v>
      </c>
      <c r="AG121" s="19">
        <v>5</v>
      </c>
      <c r="AH121" s="19">
        <v>5</v>
      </c>
      <c r="AI121" s="19">
        <v>4</v>
      </c>
      <c r="AJ121" s="19">
        <v>4</v>
      </c>
      <c r="AK121" s="19">
        <v>5</v>
      </c>
      <c r="AL121" s="19">
        <v>5</v>
      </c>
      <c r="AM121" s="19">
        <v>4</v>
      </c>
      <c r="AN121" s="19">
        <v>5</v>
      </c>
      <c r="AO121" s="19">
        <v>4</v>
      </c>
      <c r="AP121" s="19">
        <v>9</v>
      </c>
      <c r="AQ121">
        <v>35</v>
      </c>
      <c r="AR121" s="16">
        <v>78.8</v>
      </c>
      <c r="AS121" s="16">
        <v>80.400000000000006</v>
      </c>
      <c r="AT121" s="16">
        <v>17.2</v>
      </c>
      <c r="AU121">
        <v>72.069999999999993</v>
      </c>
      <c r="AV121">
        <v>11.09</v>
      </c>
      <c r="AW121">
        <v>1.1200000000000001</v>
      </c>
      <c r="AX121">
        <v>0</v>
      </c>
      <c r="AY121">
        <v>15.71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1.66</v>
      </c>
      <c r="BH121">
        <v>34.99</v>
      </c>
      <c r="BI121">
        <v>0</v>
      </c>
      <c r="BJ121">
        <v>0</v>
      </c>
      <c r="BK121">
        <v>0</v>
      </c>
      <c r="BL121">
        <v>0</v>
      </c>
      <c r="BM121">
        <v>11.2</v>
      </c>
      <c r="BN121">
        <v>1</v>
      </c>
      <c r="BO121">
        <v>0</v>
      </c>
      <c r="BP121" s="16">
        <v>0</v>
      </c>
      <c r="BQ121" s="16">
        <v>0</v>
      </c>
      <c r="BR121" s="16">
        <v>6.16</v>
      </c>
      <c r="BS121" s="16">
        <v>7.21</v>
      </c>
      <c r="BT121" s="16">
        <v>0</v>
      </c>
      <c r="BU121" s="16">
        <v>0</v>
      </c>
      <c r="BV121" s="16">
        <v>0</v>
      </c>
      <c r="BW121">
        <v>0</v>
      </c>
    </row>
    <row r="122" spans="1:75" x14ac:dyDescent="0.2">
      <c r="A122">
        <v>2</v>
      </c>
      <c r="B122">
        <v>23.249828884325801</v>
      </c>
      <c r="C122">
        <v>0.32580424366872002</v>
      </c>
      <c r="D122">
        <v>8</v>
      </c>
      <c r="E122">
        <v>55</v>
      </c>
      <c r="F122">
        <v>1.66</v>
      </c>
      <c r="G122">
        <v>19.959355494266202</v>
      </c>
      <c r="H122">
        <v>0</v>
      </c>
      <c r="I122">
        <v>0</v>
      </c>
      <c r="J122" s="19">
        <v>0</v>
      </c>
      <c r="K122" s="19">
        <v>0</v>
      </c>
      <c r="L122" s="19">
        <v>1</v>
      </c>
      <c r="M122" s="19">
        <v>0</v>
      </c>
      <c r="N122">
        <v>0</v>
      </c>
      <c r="O122" s="19">
        <v>0</v>
      </c>
      <c r="P122" s="19">
        <v>0</v>
      </c>
      <c r="Q122" s="19">
        <v>0</v>
      </c>
      <c r="R122" s="19">
        <v>0</v>
      </c>
      <c r="S122" s="19">
        <v>0</v>
      </c>
      <c r="T122" s="19">
        <v>0</v>
      </c>
      <c r="U122" s="19">
        <v>0</v>
      </c>
      <c r="V122" s="15">
        <f t="shared" si="3"/>
        <v>0</v>
      </c>
      <c r="W122" s="19">
        <v>2</v>
      </c>
      <c r="X122" s="19">
        <v>2</v>
      </c>
      <c r="Y122" s="19">
        <v>5</v>
      </c>
      <c r="Z122" s="19">
        <v>5</v>
      </c>
      <c r="AA122" s="19">
        <v>3</v>
      </c>
      <c r="AB122" s="19">
        <v>1</v>
      </c>
      <c r="AC122" s="19">
        <v>3</v>
      </c>
      <c r="AD122" s="19">
        <v>5</v>
      </c>
      <c r="AE122" s="19">
        <v>5</v>
      </c>
      <c r="AF122" s="19">
        <v>5</v>
      </c>
      <c r="AG122" s="19">
        <v>5</v>
      </c>
      <c r="AH122" s="19">
        <v>5</v>
      </c>
      <c r="AI122" s="19">
        <v>5</v>
      </c>
      <c r="AJ122" s="19">
        <v>5</v>
      </c>
      <c r="AK122" s="19">
        <v>4</v>
      </c>
      <c r="AL122" s="19">
        <v>5</v>
      </c>
      <c r="AM122" s="19">
        <v>5</v>
      </c>
      <c r="AN122" s="19">
        <v>5</v>
      </c>
      <c r="AO122" s="19">
        <v>5</v>
      </c>
      <c r="AP122" s="19">
        <v>10</v>
      </c>
      <c r="AQ122">
        <v>35</v>
      </c>
      <c r="AR122" s="16">
        <v>78.8</v>
      </c>
      <c r="AS122" s="16">
        <v>80.400000000000006</v>
      </c>
      <c r="AT122" s="16">
        <v>17.2</v>
      </c>
      <c r="AU122">
        <v>72.069999999999993</v>
      </c>
      <c r="AV122">
        <v>11.09</v>
      </c>
      <c r="AW122">
        <v>1.1200000000000001</v>
      </c>
      <c r="AX122">
        <v>0</v>
      </c>
      <c r="AY122">
        <v>15.71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1.66</v>
      </c>
      <c r="BH122">
        <v>34.99</v>
      </c>
      <c r="BI122">
        <v>0</v>
      </c>
      <c r="BJ122">
        <v>0</v>
      </c>
      <c r="BK122">
        <v>0</v>
      </c>
      <c r="BL122">
        <v>0</v>
      </c>
      <c r="BM122">
        <v>11.2</v>
      </c>
      <c r="BN122">
        <v>1</v>
      </c>
      <c r="BO122">
        <v>0</v>
      </c>
      <c r="BP122" s="16">
        <v>0</v>
      </c>
      <c r="BQ122" s="16">
        <v>0</v>
      </c>
      <c r="BR122" s="16">
        <v>6.16</v>
      </c>
      <c r="BS122" s="16">
        <v>7.21</v>
      </c>
      <c r="BT122" s="16">
        <v>0</v>
      </c>
      <c r="BU122" s="16">
        <v>0</v>
      </c>
      <c r="BV122" s="16">
        <v>0</v>
      </c>
      <c r="BW122">
        <v>0</v>
      </c>
    </row>
    <row r="123" spans="1:75" x14ac:dyDescent="0.2">
      <c r="A123">
        <v>2</v>
      </c>
      <c r="B123">
        <v>34.0424366872005</v>
      </c>
      <c r="C123">
        <v>0.24914442162902101</v>
      </c>
      <c r="D123">
        <v>8</v>
      </c>
      <c r="E123">
        <v>74</v>
      </c>
      <c r="F123">
        <v>1.82</v>
      </c>
      <c r="G123">
        <v>22.3402970655718</v>
      </c>
      <c r="H123">
        <v>0</v>
      </c>
      <c r="I123">
        <v>0</v>
      </c>
      <c r="J123" s="19">
        <v>0</v>
      </c>
      <c r="K123" s="19">
        <v>3</v>
      </c>
      <c r="L123" s="19">
        <v>1</v>
      </c>
      <c r="M123" s="19">
        <v>0</v>
      </c>
      <c r="N123">
        <v>0</v>
      </c>
      <c r="O123" s="19">
        <v>0</v>
      </c>
      <c r="P123" s="19">
        <v>0</v>
      </c>
      <c r="Q123" s="19">
        <v>0</v>
      </c>
      <c r="R123" s="19">
        <v>0</v>
      </c>
      <c r="S123" s="19">
        <v>0</v>
      </c>
      <c r="T123" s="19">
        <v>0</v>
      </c>
      <c r="U123" s="19">
        <v>0</v>
      </c>
      <c r="V123" s="15">
        <f t="shared" si="3"/>
        <v>0</v>
      </c>
      <c r="W123" s="19">
        <v>1</v>
      </c>
      <c r="X123" s="19">
        <v>5</v>
      </c>
      <c r="Y123" s="19">
        <v>3</v>
      </c>
      <c r="Z123" s="19">
        <v>5</v>
      </c>
      <c r="AA123" s="19">
        <v>1</v>
      </c>
      <c r="AB123" s="19">
        <v>1</v>
      </c>
      <c r="AC123" s="19">
        <v>1</v>
      </c>
      <c r="AD123" s="19">
        <v>3</v>
      </c>
      <c r="AE123" s="19">
        <v>4</v>
      </c>
      <c r="AF123" s="19">
        <v>4</v>
      </c>
      <c r="AG123" s="19">
        <v>4</v>
      </c>
      <c r="AH123" s="19">
        <v>5</v>
      </c>
      <c r="AI123" s="19">
        <v>4</v>
      </c>
      <c r="AJ123" s="19">
        <v>4</v>
      </c>
      <c r="AK123" s="19">
        <v>5</v>
      </c>
      <c r="AL123" s="19">
        <v>5</v>
      </c>
      <c r="AM123" s="19">
        <v>5</v>
      </c>
      <c r="AN123" s="19">
        <v>5</v>
      </c>
      <c r="AO123" s="19">
        <v>4</v>
      </c>
      <c r="AP123" s="19">
        <v>7</v>
      </c>
      <c r="AQ123">
        <v>35</v>
      </c>
      <c r="AR123" s="16">
        <v>78.8</v>
      </c>
      <c r="AS123" s="16">
        <v>80.400000000000006</v>
      </c>
      <c r="AT123" s="16">
        <v>17.2</v>
      </c>
      <c r="AU123">
        <v>72.069999999999993</v>
      </c>
      <c r="AV123">
        <v>11.09</v>
      </c>
      <c r="AW123">
        <v>1.1200000000000001</v>
      </c>
      <c r="AX123">
        <v>0</v>
      </c>
      <c r="AY123">
        <v>15.71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1.66</v>
      </c>
      <c r="BH123">
        <v>34.99</v>
      </c>
      <c r="BI123">
        <v>0</v>
      </c>
      <c r="BJ123">
        <v>0</v>
      </c>
      <c r="BK123">
        <v>0</v>
      </c>
      <c r="BL123">
        <v>0</v>
      </c>
      <c r="BM123">
        <v>11.2</v>
      </c>
      <c r="BN123">
        <v>1</v>
      </c>
      <c r="BO123">
        <v>0</v>
      </c>
      <c r="BP123" s="16">
        <v>0</v>
      </c>
      <c r="BQ123" s="16">
        <v>0</v>
      </c>
      <c r="BR123" s="16">
        <v>6.16</v>
      </c>
      <c r="BS123" s="16">
        <v>7.21</v>
      </c>
      <c r="BT123" s="16">
        <v>0</v>
      </c>
      <c r="BU123" s="16">
        <v>0</v>
      </c>
      <c r="BV123" s="16">
        <v>0</v>
      </c>
      <c r="BW123">
        <v>0</v>
      </c>
    </row>
    <row r="124" spans="1:75" x14ac:dyDescent="0.2">
      <c r="A124">
        <v>2</v>
      </c>
      <c r="B124">
        <v>31.321013004791201</v>
      </c>
      <c r="C124">
        <v>0.21902806297056801</v>
      </c>
      <c r="D124">
        <v>8</v>
      </c>
      <c r="E124">
        <v>126</v>
      </c>
      <c r="F124">
        <v>1.78</v>
      </c>
      <c r="G124">
        <v>39.7677060977149</v>
      </c>
      <c r="H124">
        <v>0</v>
      </c>
      <c r="I124">
        <v>0</v>
      </c>
      <c r="J124" s="19">
        <v>0</v>
      </c>
      <c r="K124" s="19">
        <v>0</v>
      </c>
      <c r="L124" s="19">
        <v>0</v>
      </c>
      <c r="M124" s="19">
        <v>0</v>
      </c>
      <c r="N124">
        <v>0</v>
      </c>
      <c r="O124" s="19">
        <v>0</v>
      </c>
      <c r="P124" s="19">
        <v>0</v>
      </c>
      <c r="Q124" s="19">
        <v>0</v>
      </c>
      <c r="R124" s="19">
        <v>0</v>
      </c>
      <c r="S124" s="19">
        <v>0</v>
      </c>
      <c r="T124" s="19">
        <v>0</v>
      </c>
      <c r="U124" s="19">
        <v>0</v>
      </c>
      <c r="V124" s="15">
        <f t="shared" si="3"/>
        <v>0</v>
      </c>
      <c r="W124" s="19">
        <v>1</v>
      </c>
      <c r="X124" s="19">
        <v>1</v>
      </c>
      <c r="Y124" s="19">
        <v>2</v>
      </c>
      <c r="Z124" s="19">
        <v>5</v>
      </c>
      <c r="AA124" s="19">
        <v>2</v>
      </c>
      <c r="AB124" s="19">
        <v>5</v>
      </c>
      <c r="AC124" s="19"/>
      <c r="AD124" s="19">
        <v>4</v>
      </c>
      <c r="AE124" s="19">
        <v>5</v>
      </c>
      <c r="AF124" s="19">
        <v>4</v>
      </c>
      <c r="AG124" s="19">
        <v>4</v>
      </c>
      <c r="AH124" s="19">
        <v>4</v>
      </c>
      <c r="AI124" s="19">
        <v>4</v>
      </c>
      <c r="AJ124" s="19">
        <v>5</v>
      </c>
      <c r="AK124" s="19">
        <v>5</v>
      </c>
      <c r="AL124" s="19">
        <v>5</v>
      </c>
      <c r="AM124" s="19">
        <v>5</v>
      </c>
      <c r="AN124" s="19">
        <v>5</v>
      </c>
      <c r="AO124" s="19">
        <v>4</v>
      </c>
      <c r="AP124" s="19">
        <v>9</v>
      </c>
      <c r="AQ124">
        <v>35</v>
      </c>
      <c r="AR124" s="16">
        <v>78.8</v>
      </c>
      <c r="AS124" s="16">
        <v>80.400000000000006</v>
      </c>
      <c r="AT124" s="16">
        <v>17.2</v>
      </c>
      <c r="AU124">
        <v>72.069999999999993</v>
      </c>
      <c r="AV124">
        <v>11.09</v>
      </c>
      <c r="AW124">
        <v>1.1200000000000001</v>
      </c>
      <c r="AX124">
        <v>0</v>
      </c>
      <c r="AY124">
        <v>15.71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1.66</v>
      </c>
      <c r="BH124">
        <v>34.99</v>
      </c>
      <c r="BI124">
        <v>0</v>
      </c>
      <c r="BJ124">
        <v>0</v>
      </c>
      <c r="BK124">
        <v>0</v>
      </c>
      <c r="BL124">
        <v>0</v>
      </c>
      <c r="BM124">
        <v>11.2</v>
      </c>
      <c r="BN124">
        <v>1</v>
      </c>
      <c r="BO124">
        <v>0</v>
      </c>
      <c r="BP124" s="16">
        <v>0</v>
      </c>
      <c r="BQ124" s="16">
        <v>0</v>
      </c>
      <c r="BR124" s="16">
        <v>6.16</v>
      </c>
      <c r="BS124" s="16">
        <v>7.21</v>
      </c>
      <c r="BT124" s="16">
        <v>0</v>
      </c>
      <c r="BU124" s="16">
        <v>0</v>
      </c>
      <c r="BV124" s="16">
        <v>0</v>
      </c>
      <c r="BW124">
        <v>0</v>
      </c>
    </row>
    <row r="125" spans="1:75" x14ac:dyDescent="0.2">
      <c r="A125">
        <v>2</v>
      </c>
      <c r="B125">
        <v>42.368240930869298</v>
      </c>
      <c r="C125">
        <v>22.4339493497604</v>
      </c>
      <c r="D125">
        <v>8</v>
      </c>
      <c r="E125">
        <v>64</v>
      </c>
      <c r="F125">
        <v>1.73</v>
      </c>
      <c r="G125">
        <v>21.383941996057299</v>
      </c>
      <c r="H125">
        <v>0</v>
      </c>
      <c r="I125">
        <v>0</v>
      </c>
      <c r="J125" s="19">
        <v>1</v>
      </c>
      <c r="K125" s="19">
        <v>0</v>
      </c>
      <c r="L125" s="19">
        <v>0</v>
      </c>
      <c r="M125" s="19">
        <v>0</v>
      </c>
      <c r="N125">
        <v>0</v>
      </c>
      <c r="O125" s="19">
        <v>0</v>
      </c>
      <c r="P125" s="19">
        <v>0</v>
      </c>
      <c r="Q125" s="19">
        <v>8</v>
      </c>
      <c r="R125" s="19">
        <v>10</v>
      </c>
      <c r="S125" s="19">
        <v>0</v>
      </c>
      <c r="T125" s="19">
        <v>0</v>
      </c>
      <c r="U125" s="19">
        <v>5</v>
      </c>
      <c r="V125" s="15">
        <f t="shared" si="3"/>
        <v>2.5555555555555554</v>
      </c>
      <c r="W125" s="19">
        <v>4</v>
      </c>
      <c r="X125" s="19">
        <v>3</v>
      </c>
      <c r="Y125" s="19">
        <v>3</v>
      </c>
      <c r="Z125" s="19">
        <v>3</v>
      </c>
      <c r="AA125" s="19">
        <v>2</v>
      </c>
      <c r="AB125" s="19">
        <v>2</v>
      </c>
      <c r="AC125" s="19">
        <v>1</v>
      </c>
      <c r="AD125" s="19">
        <v>1</v>
      </c>
      <c r="AE125" s="19">
        <v>1</v>
      </c>
      <c r="AF125" s="19">
        <v>1</v>
      </c>
      <c r="AG125" s="19">
        <v>1</v>
      </c>
      <c r="AH125" s="19">
        <v>4</v>
      </c>
      <c r="AI125" s="19">
        <v>1</v>
      </c>
      <c r="AJ125" s="19">
        <v>1</v>
      </c>
      <c r="AK125" s="19">
        <v>3</v>
      </c>
      <c r="AL125" s="19">
        <v>4</v>
      </c>
      <c r="AM125" s="19">
        <v>1</v>
      </c>
      <c r="AN125" s="19">
        <v>2</v>
      </c>
      <c r="AO125" s="19">
        <v>1</v>
      </c>
      <c r="AP125" s="19">
        <v>2</v>
      </c>
      <c r="AQ125" s="15">
        <v>28.5</v>
      </c>
      <c r="AR125" s="17">
        <v>69.3</v>
      </c>
      <c r="AS125" s="17">
        <v>114</v>
      </c>
      <c r="AT125" s="17">
        <v>19.5</v>
      </c>
      <c r="AU125" s="17">
        <v>79.150000000000006</v>
      </c>
      <c r="AV125" s="17">
        <v>0</v>
      </c>
      <c r="AW125" s="17">
        <v>3.87</v>
      </c>
      <c r="AX125" s="17">
        <v>2.86</v>
      </c>
      <c r="AY125" s="17">
        <v>14.12</v>
      </c>
      <c r="AZ125" s="17">
        <v>0</v>
      </c>
      <c r="BA125" s="17">
        <v>0</v>
      </c>
      <c r="BB125" s="17">
        <v>0</v>
      </c>
      <c r="BC125" s="17">
        <v>0</v>
      </c>
      <c r="BD125" s="17">
        <v>0</v>
      </c>
      <c r="BE125" s="17">
        <v>0</v>
      </c>
      <c r="BF125" s="17">
        <v>0.82</v>
      </c>
      <c r="BG125" s="17">
        <v>11.71</v>
      </c>
      <c r="BH125" s="17">
        <v>15.43</v>
      </c>
      <c r="BI125" s="17">
        <v>4.91</v>
      </c>
      <c r="BJ125" s="17">
        <v>0</v>
      </c>
      <c r="BK125" s="17">
        <v>0</v>
      </c>
      <c r="BL125" s="17">
        <v>0</v>
      </c>
      <c r="BM125" s="17">
        <v>0</v>
      </c>
      <c r="BN125" s="17">
        <v>0</v>
      </c>
      <c r="BO125" s="15">
        <v>0</v>
      </c>
      <c r="BP125" s="15">
        <v>0</v>
      </c>
      <c r="BQ125" s="15">
        <v>0</v>
      </c>
      <c r="BR125" s="15">
        <v>8.6999999999999993</v>
      </c>
      <c r="BS125" s="15">
        <v>15.43</v>
      </c>
      <c r="BT125" s="15">
        <v>0</v>
      </c>
      <c r="BU125" s="15">
        <v>0</v>
      </c>
      <c r="BV125" s="15">
        <v>0</v>
      </c>
      <c r="BW125" s="15">
        <v>0</v>
      </c>
    </row>
    <row r="126" spans="1:75" x14ac:dyDescent="0.2">
      <c r="A126">
        <v>2</v>
      </c>
      <c r="B126">
        <v>45.1498973305955</v>
      </c>
      <c r="C126">
        <v>21.623545516769301</v>
      </c>
      <c r="D126">
        <v>4</v>
      </c>
      <c r="E126">
        <v>100</v>
      </c>
      <c r="F126">
        <v>1.81</v>
      </c>
      <c r="G126">
        <v>30.5240987759836</v>
      </c>
      <c r="H126">
        <v>0</v>
      </c>
      <c r="I126">
        <v>0</v>
      </c>
      <c r="J126" s="19">
        <v>1</v>
      </c>
      <c r="K126" s="19">
        <v>0</v>
      </c>
      <c r="L126" s="19">
        <v>1</v>
      </c>
      <c r="M126" s="19">
        <v>0</v>
      </c>
      <c r="N126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3</v>
      </c>
      <c r="V126" s="15">
        <f t="shared" si="3"/>
        <v>0.33333333333333331</v>
      </c>
      <c r="W126" s="19">
        <v>4</v>
      </c>
      <c r="X126" s="19">
        <v>4</v>
      </c>
      <c r="Y126" s="19">
        <v>4</v>
      </c>
      <c r="Z126" s="19">
        <v>3</v>
      </c>
      <c r="AA126" s="19">
        <v>2</v>
      </c>
      <c r="AB126" s="19">
        <v>2</v>
      </c>
      <c r="AC126" s="19">
        <v>2</v>
      </c>
      <c r="AD126" s="19">
        <v>2</v>
      </c>
      <c r="AE126" s="19">
        <v>1</v>
      </c>
      <c r="AF126" s="19">
        <v>1</v>
      </c>
      <c r="AG126" s="19">
        <v>4</v>
      </c>
      <c r="AH126" s="19">
        <v>5</v>
      </c>
      <c r="AI126" s="19">
        <v>1</v>
      </c>
      <c r="AJ126" s="19">
        <v>2</v>
      </c>
      <c r="AK126" s="19">
        <v>4</v>
      </c>
      <c r="AL126" s="19">
        <v>4</v>
      </c>
      <c r="AM126" s="19">
        <v>1</v>
      </c>
      <c r="AN126" s="19">
        <v>3</v>
      </c>
      <c r="AO126" s="19">
        <v>4</v>
      </c>
      <c r="AP126" s="19">
        <v>9</v>
      </c>
      <c r="AQ126" s="15">
        <v>28.5</v>
      </c>
      <c r="AR126" s="17">
        <v>69.3</v>
      </c>
      <c r="AS126" s="17">
        <v>114</v>
      </c>
      <c r="AT126" s="17">
        <v>19.5</v>
      </c>
      <c r="AU126" s="17">
        <v>79.150000000000006</v>
      </c>
      <c r="AV126" s="17">
        <v>0</v>
      </c>
      <c r="AW126" s="17">
        <v>3.87</v>
      </c>
      <c r="AX126" s="17">
        <v>2.86</v>
      </c>
      <c r="AY126" s="17">
        <v>14.12</v>
      </c>
      <c r="AZ126" s="17">
        <v>0</v>
      </c>
      <c r="BA126" s="17">
        <v>0</v>
      </c>
      <c r="BB126" s="17">
        <v>0</v>
      </c>
      <c r="BC126" s="17">
        <v>0</v>
      </c>
      <c r="BD126" s="17">
        <v>0</v>
      </c>
      <c r="BE126" s="17">
        <v>0</v>
      </c>
      <c r="BF126" s="17">
        <v>0.82</v>
      </c>
      <c r="BG126" s="17">
        <v>11.71</v>
      </c>
      <c r="BH126" s="17">
        <v>15.43</v>
      </c>
      <c r="BI126" s="17">
        <v>4.91</v>
      </c>
      <c r="BJ126" s="17">
        <v>0</v>
      </c>
      <c r="BK126" s="17">
        <v>0</v>
      </c>
      <c r="BL126" s="17">
        <v>0</v>
      </c>
      <c r="BM126" s="17">
        <v>0</v>
      </c>
      <c r="BN126" s="17">
        <v>0</v>
      </c>
      <c r="BO126" s="15">
        <v>0</v>
      </c>
      <c r="BP126" s="15">
        <v>0</v>
      </c>
      <c r="BQ126" s="15">
        <v>0</v>
      </c>
      <c r="BR126" s="15">
        <v>8.6999999999999993</v>
      </c>
      <c r="BS126" s="15">
        <v>15.43</v>
      </c>
      <c r="BT126" s="15">
        <v>0</v>
      </c>
      <c r="BU126" s="15">
        <v>0</v>
      </c>
      <c r="BV126" s="15">
        <v>0</v>
      </c>
      <c r="BW126" s="15">
        <v>0</v>
      </c>
    </row>
    <row r="127" spans="1:75" x14ac:dyDescent="0.2">
      <c r="A127">
        <v>2</v>
      </c>
      <c r="B127">
        <v>50.034223134839202</v>
      </c>
      <c r="C127">
        <v>22.8501026694045</v>
      </c>
      <c r="D127">
        <v>4</v>
      </c>
      <c r="E127">
        <v>80</v>
      </c>
      <c r="F127">
        <v>1.75</v>
      </c>
      <c r="G127">
        <v>26.122448979591798</v>
      </c>
      <c r="H127">
        <v>0</v>
      </c>
      <c r="I127">
        <v>0</v>
      </c>
      <c r="J127" s="19">
        <v>1</v>
      </c>
      <c r="K127" s="19">
        <v>0</v>
      </c>
      <c r="L127" s="19">
        <v>1</v>
      </c>
      <c r="M127" s="19">
        <v>0</v>
      </c>
      <c r="N127">
        <v>0</v>
      </c>
      <c r="O127" s="19">
        <v>7</v>
      </c>
      <c r="P127" s="19">
        <v>0</v>
      </c>
      <c r="Q127" s="19">
        <v>0</v>
      </c>
      <c r="R127" s="19">
        <v>9</v>
      </c>
      <c r="S127" s="19">
        <v>7</v>
      </c>
      <c r="T127" s="19">
        <v>0</v>
      </c>
      <c r="U127" s="19">
        <v>0</v>
      </c>
      <c r="V127" s="15">
        <f t="shared" si="3"/>
        <v>2.5555555555555554</v>
      </c>
      <c r="W127" s="19">
        <v>4</v>
      </c>
      <c r="X127" s="19">
        <v>3</v>
      </c>
      <c r="Y127" s="19">
        <v>5</v>
      </c>
      <c r="Z127" s="19">
        <v>4</v>
      </c>
      <c r="AA127" s="19">
        <v>3</v>
      </c>
      <c r="AB127" s="19">
        <v>3</v>
      </c>
      <c r="AC127" s="19">
        <v>3</v>
      </c>
      <c r="AD127" s="19">
        <v>3</v>
      </c>
      <c r="AE127" s="19">
        <v>1</v>
      </c>
      <c r="AF127" s="19">
        <v>1</v>
      </c>
      <c r="AG127" s="19">
        <v>3</v>
      </c>
      <c r="AH127" s="19">
        <v>5</v>
      </c>
      <c r="AI127" s="19">
        <v>1</v>
      </c>
      <c r="AJ127" s="19">
        <v>1</v>
      </c>
      <c r="AK127" s="19">
        <v>4</v>
      </c>
      <c r="AL127" s="19">
        <v>4</v>
      </c>
      <c r="AM127" s="19">
        <v>2</v>
      </c>
      <c r="AN127" s="19">
        <v>4</v>
      </c>
      <c r="AO127" s="19">
        <v>1</v>
      </c>
      <c r="AP127" s="19">
        <v>5</v>
      </c>
      <c r="AQ127" s="15">
        <v>28.5</v>
      </c>
      <c r="AR127" s="17">
        <v>69.3</v>
      </c>
      <c r="AS127" s="17">
        <v>114</v>
      </c>
      <c r="AT127" s="17">
        <v>19.5</v>
      </c>
      <c r="AU127" s="17">
        <v>79.150000000000006</v>
      </c>
      <c r="AV127" s="17">
        <v>0</v>
      </c>
      <c r="AW127" s="17">
        <v>3.87</v>
      </c>
      <c r="AX127" s="17">
        <v>2.86</v>
      </c>
      <c r="AY127" s="17">
        <v>14.12</v>
      </c>
      <c r="AZ127" s="17">
        <v>0</v>
      </c>
      <c r="BA127" s="17">
        <v>0</v>
      </c>
      <c r="BB127" s="17">
        <v>0</v>
      </c>
      <c r="BC127" s="17">
        <v>0</v>
      </c>
      <c r="BD127" s="17">
        <v>0</v>
      </c>
      <c r="BE127" s="17">
        <v>0</v>
      </c>
      <c r="BF127" s="17">
        <v>0.82</v>
      </c>
      <c r="BG127" s="17">
        <v>11.71</v>
      </c>
      <c r="BH127" s="17">
        <v>15.43</v>
      </c>
      <c r="BI127" s="17">
        <v>4.91</v>
      </c>
      <c r="BJ127" s="17">
        <v>0</v>
      </c>
      <c r="BK127" s="17">
        <v>0</v>
      </c>
      <c r="BL127" s="17">
        <v>0</v>
      </c>
      <c r="BM127" s="17">
        <v>0</v>
      </c>
      <c r="BN127" s="17">
        <v>0</v>
      </c>
      <c r="BO127" s="15">
        <v>0</v>
      </c>
      <c r="BP127" s="15">
        <v>0</v>
      </c>
      <c r="BQ127" s="15">
        <v>0</v>
      </c>
      <c r="BR127" s="15">
        <v>8.6999999999999993</v>
      </c>
      <c r="BS127" s="15">
        <v>15.43</v>
      </c>
      <c r="BT127" s="15">
        <v>0</v>
      </c>
      <c r="BU127" s="15">
        <v>0</v>
      </c>
      <c r="BV127" s="15">
        <v>0</v>
      </c>
      <c r="BW127" s="15">
        <v>0</v>
      </c>
    </row>
    <row r="128" spans="1:75" x14ac:dyDescent="0.2">
      <c r="A128">
        <v>2</v>
      </c>
      <c r="B128">
        <v>49.968514715947997</v>
      </c>
      <c r="C128">
        <v>21.952087611225199</v>
      </c>
      <c r="D128">
        <v>8</v>
      </c>
      <c r="J128" s="19"/>
      <c r="K128" s="19"/>
      <c r="L128" s="19"/>
      <c r="M128" s="19">
        <v>0</v>
      </c>
      <c r="N128">
        <v>0</v>
      </c>
      <c r="O128" s="19">
        <v>0</v>
      </c>
      <c r="P128" s="19">
        <v>0</v>
      </c>
      <c r="Q128" s="19">
        <v>0</v>
      </c>
      <c r="R128" s="19">
        <v>0</v>
      </c>
      <c r="S128" s="19">
        <v>0</v>
      </c>
      <c r="T128" s="19">
        <v>0</v>
      </c>
      <c r="U128" s="19">
        <v>0</v>
      </c>
      <c r="V128" s="15">
        <f t="shared" si="3"/>
        <v>0</v>
      </c>
      <c r="W128" s="19">
        <v>1</v>
      </c>
      <c r="X128" s="19">
        <v>1</v>
      </c>
      <c r="Y128" s="19">
        <v>3</v>
      </c>
      <c r="Z128" s="19">
        <v>5</v>
      </c>
      <c r="AA128" s="19">
        <v>2</v>
      </c>
      <c r="AB128" s="19">
        <v>1</v>
      </c>
      <c r="AC128" s="19">
        <v>5</v>
      </c>
      <c r="AD128" s="19">
        <v>1</v>
      </c>
      <c r="AE128" s="19">
        <v>1</v>
      </c>
      <c r="AF128" s="19">
        <v>5</v>
      </c>
      <c r="AG128" s="19">
        <v>5</v>
      </c>
      <c r="AH128" s="19">
        <v>5</v>
      </c>
      <c r="AI128" s="19">
        <v>3</v>
      </c>
      <c r="AJ128" s="19">
        <v>5</v>
      </c>
      <c r="AK128" s="19">
        <v>3</v>
      </c>
      <c r="AL128" s="19">
        <v>5</v>
      </c>
      <c r="AM128" s="19">
        <v>5</v>
      </c>
      <c r="AN128" s="19">
        <v>5</v>
      </c>
      <c r="AO128" s="19">
        <v>5</v>
      </c>
      <c r="AP128" s="19">
        <v>7</v>
      </c>
      <c r="AQ128" s="15">
        <v>28.5</v>
      </c>
      <c r="AR128" s="17">
        <v>69.3</v>
      </c>
      <c r="AS128" s="17">
        <v>114</v>
      </c>
      <c r="AT128" s="17">
        <v>19.5</v>
      </c>
      <c r="AU128" s="17">
        <v>79.150000000000006</v>
      </c>
      <c r="AV128" s="17">
        <v>0</v>
      </c>
      <c r="AW128" s="17">
        <v>3.87</v>
      </c>
      <c r="AX128" s="17">
        <v>2.86</v>
      </c>
      <c r="AY128" s="17">
        <v>14.12</v>
      </c>
      <c r="AZ128" s="17">
        <v>0</v>
      </c>
      <c r="BA128" s="17">
        <v>0</v>
      </c>
      <c r="BB128" s="17">
        <v>0</v>
      </c>
      <c r="BC128" s="17">
        <v>0</v>
      </c>
      <c r="BD128" s="17">
        <v>0</v>
      </c>
      <c r="BE128" s="17">
        <v>0</v>
      </c>
      <c r="BF128" s="17">
        <v>0.82</v>
      </c>
      <c r="BG128" s="17">
        <v>11.71</v>
      </c>
      <c r="BH128" s="17">
        <v>15.43</v>
      </c>
      <c r="BI128" s="17">
        <v>4.91</v>
      </c>
      <c r="BJ128" s="17">
        <v>0</v>
      </c>
      <c r="BK128" s="17">
        <v>0</v>
      </c>
      <c r="BL128" s="17">
        <v>0</v>
      </c>
      <c r="BM128" s="17">
        <v>0</v>
      </c>
      <c r="BN128" s="17">
        <v>0</v>
      </c>
      <c r="BO128" s="15">
        <v>0</v>
      </c>
      <c r="BP128" s="15">
        <v>0</v>
      </c>
      <c r="BQ128" s="15">
        <v>0</v>
      </c>
      <c r="BR128" s="15">
        <v>8.6999999999999993</v>
      </c>
      <c r="BS128" s="15">
        <v>15.43</v>
      </c>
      <c r="BT128" s="15">
        <v>0</v>
      </c>
      <c r="BU128" s="15">
        <v>0</v>
      </c>
      <c r="BV128" s="15">
        <v>0</v>
      </c>
      <c r="BW128" s="15">
        <v>0</v>
      </c>
    </row>
    <row r="129" spans="1:75" x14ac:dyDescent="0.2">
      <c r="A129">
        <v>1</v>
      </c>
      <c r="B129">
        <v>48.3422313483915</v>
      </c>
      <c r="C129">
        <v>19.920602327173199</v>
      </c>
      <c r="D129">
        <v>8</v>
      </c>
      <c r="E129">
        <v>55</v>
      </c>
      <c r="F129">
        <v>1.61</v>
      </c>
      <c r="G129">
        <v>21.2183171945527</v>
      </c>
      <c r="H129">
        <v>1</v>
      </c>
      <c r="I129">
        <v>1</v>
      </c>
      <c r="J129" s="19">
        <v>1</v>
      </c>
      <c r="K129" s="19">
        <v>0</v>
      </c>
      <c r="L129" s="19">
        <v>1</v>
      </c>
      <c r="M129" s="19">
        <v>8</v>
      </c>
      <c r="N129">
        <v>10</v>
      </c>
      <c r="O129" s="19"/>
      <c r="P129" s="19">
        <v>0</v>
      </c>
      <c r="Q129" s="19">
        <v>0</v>
      </c>
      <c r="R129" s="19">
        <v>7</v>
      </c>
      <c r="S129" s="19">
        <v>7</v>
      </c>
      <c r="T129" s="19">
        <v>0</v>
      </c>
      <c r="U129" s="19">
        <v>9</v>
      </c>
      <c r="V129" s="15">
        <f t="shared" si="3"/>
        <v>5.125</v>
      </c>
      <c r="W129" s="19">
        <v>4</v>
      </c>
      <c r="X129" s="19">
        <v>3</v>
      </c>
      <c r="Y129" s="19">
        <v>4</v>
      </c>
      <c r="Z129" s="19">
        <v>4</v>
      </c>
      <c r="AA129" s="19">
        <v>3</v>
      </c>
      <c r="AB129" s="19">
        <v>3</v>
      </c>
      <c r="AC129" s="19">
        <v>2</v>
      </c>
      <c r="AD129" s="19">
        <v>3</v>
      </c>
      <c r="AE129" s="19">
        <v>1</v>
      </c>
      <c r="AF129" s="19">
        <v>1</v>
      </c>
      <c r="AG129" s="19">
        <v>3</v>
      </c>
      <c r="AH129" s="19">
        <v>2</v>
      </c>
      <c r="AI129" s="19">
        <v>3</v>
      </c>
      <c r="AJ129" s="19">
        <v>4</v>
      </c>
      <c r="AK129" s="19">
        <v>4</v>
      </c>
      <c r="AL129" s="19">
        <v>4</v>
      </c>
      <c r="AM129" s="19">
        <v>1</v>
      </c>
      <c r="AN129" s="19">
        <v>4</v>
      </c>
      <c r="AO129" s="19">
        <v>5</v>
      </c>
      <c r="AP129" s="19">
        <v>6</v>
      </c>
      <c r="AQ129" s="15">
        <v>28.5</v>
      </c>
      <c r="AR129" s="17">
        <v>69.3</v>
      </c>
      <c r="AS129" s="17">
        <v>114</v>
      </c>
      <c r="AT129" s="17">
        <v>19.5</v>
      </c>
      <c r="AU129" s="17">
        <v>79.150000000000006</v>
      </c>
      <c r="AV129" s="17">
        <v>0</v>
      </c>
      <c r="AW129" s="17">
        <v>3.87</v>
      </c>
      <c r="AX129" s="17">
        <v>2.86</v>
      </c>
      <c r="AY129" s="17">
        <v>14.12</v>
      </c>
      <c r="AZ129" s="17">
        <v>0</v>
      </c>
      <c r="BA129" s="17">
        <v>0</v>
      </c>
      <c r="BB129" s="17">
        <v>0</v>
      </c>
      <c r="BC129" s="17">
        <v>0</v>
      </c>
      <c r="BD129" s="17">
        <v>0</v>
      </c>
      <c r="BE129" s="17">
        <v>0</v>
      </c>
      <c r="BF129" s="17">
        <v>0.82</v>
      </c>
      <c r="BG129" s="17">
        <v>11.71</v>
      </c>
      <c r="BH129" s="17">
        <v>15.43</v>
      </c>
      <c r="BI129" s="17">
        <v>4.91</v>
      </c>
      <c r="BJ129" s="17">
        <v>0</v>
      </c>
      <c r="BK129" s="17">
        <v>0</v>
      </c>
      <c r="BL129" s="17">
        <v>0</v>
      </c>
      <c r="BM129" s="17">
        <v>0</v>
      </c>
      <c r="BN129" s="17">
        <v>0</v>
      </c>
      <c r="BO129" s="15">
        <v>0</v>
      </c>
      <c r="BP129" s="15">
        <v>0</v>
      </c>
      <c r="BQ129" s="15">
        <v>0</v>
      </c>
      <c r="BR129" s="15">
        <v>8.6999999999999993</v>
      </c>
      <c r="BS129" s="15">
        <v>15.43</v>
      </c>
      <c r="BT129" s="15">
        <v>0</v>
      </c>
      <c r="BU129" s="15">
        <v>0</v>
      </c>
      <c r="BV129" s="15">
        <v>0</v>
      </c>
      <c r="BW129" s="15">
        <v>0</v>
      </c>
    </row>
    <row r="130" spans="1:75" x14ac:dyDescent="0.2">
      <c r="A130">
        <v>2</v>
      </c>
      <c r="B130">
        <v>55.060917180013703</v>
      </c>
      <c r="C130">
        <v>17.117043121149901</v>
      </c>
      <c r="D130">
        <v>8</v>
      </c>
      <c r="E130">
        <v>68</v>
      </c>
      <c r="F130">
        <v>1.76</v>
      </c>
      <c r="G130">
        <v>21.952479338842998</v>
      </c>
      <c r="H130">
        <v>1</v>
      </c>
      <c r="I130">
        <v>0</v>
      </c>
      <c r="J130" s="19">
        <v>1</v>
      </c>
      <c r="K130" s="19">
        <v>2</v>
      </c>
      <c r="L130" s="19">
        <v>1</v>
      </c>
      <c r="M130" s="19"/>
      <c r="N130">
        <v>4</v>
      </c>
      <c r="O130" s="19">
        <v>0</v>
      </c>
      <c r="P130" s="19"/>
      <c r="Q130" s="19"/>
      <c r="R130" s="19">
        <v>5</v>
      </c>
      <c r="S130" s="19"/>
      <c r="T130" s="19">
        <v>0</v>
      </c>
      <c r="U130" s="19">
        <v>3</v>
      </c>
      <c r="V130" s="15">
        <f t="shared" si="3"/>
        <v>2.4</v>
      </c>
      <c r="W130" s="19">
        <v>3</v>
      </c>
      <c r="X130" s="19">
        <v>5</v>
      </c>
      <c r="Y130" s="19">
        <v>5</v>
      </c>
      <c r="Z130" s="19">
        <v>5</v>
      </c>
      <c r="AA130" s="19">
        <v>5</v>
      </c>
      <c r="AB130" s="19">
        <v>5</v>
      </c>
      <c r="AC130" s="19">
        <v>5</v>
      </c>
      <c r="AD130" s="19">
        <v>5</v>
      </c>
      <c r="AE130" s="19">
        <v>2</v>
      </c>
      <c r="AF130" s="19">
        <v>4</v>
      </c>
      <c r="AG130" s="19">
        <v>4</v>
      </c>
      <c r="AH130" s="19">
        <v>5</v>
      </c>
      <c r="AI130" s="19">
        <v>2</v>
      </c>
      <c r="AJ130" s="19">
        <v>4</v>
      </c>
      <c r="AK130" s="19">
        <v>5</v>
      </c>
      <c r="AL130" s="19">
        <v>5</v>
      </c>
      <c r="AM130" s="19">
        <v>4</v>
      </c>
      <c r="AN130" s="19">
        <v>5</v>
      </c>
      <c r="AO130" s="19">
        <v>3</v>
      </c>
      <c r="AP130" s="19">
        <v>8</v>
      </c>
      <c r="AQ130" s="15">
        <v>28.5</v>
      </c>
      <c r="AR130" s="17">
        <v>69.3</v>
      </c>
      <c r="AS130" s="17">
        <v>114</v>
      </c>
      <c r="AT130" s="17">
        <v>19.5</v>
      </c>
      <c r="AU130" s="17">
        <v>79.150000000000006</v>
      </c>
      <c r="AV130" s="17">
        <v>0</v>
      </c>
      <c r="AW130" s="17">
        <v>3.87</v>
      </c>
      <c r="AX130" s="17">
        <v>2.86</v>
      </c>
      <c r="AY130" s="17">
        <v>14.12</v>
      </c>
      <c r="AZ130" s="17">
        <v>0</v>
      </c>
      <c r="BA130" s="17">
        <v>0</v>
      </c>
      <c r="BB130" s="17">
        <v>0</v>
      </c>
      <c r="BC130" s="17">
        <v>0</v>
      </c>
      <c r="BD130" s="17">
        <v>0</v>
      </c>
      <c r="BE130" s="17">
        <v>0</v>
      </c>
      <c r="BF130" s="17">
        <v>0.82</v>
      </c>
      <c r="BG130" s="17">
        <v>11.71</v>
      </c>
      <c r="BH130" s="17">
        <v>15.43</v>
      </c>
      <c r="BI130" s="17">
        <v>4.91</v>
      </c>
      <c r="BJ130" s="17">
        <v>0</v>
      </c>
      <c r="BK130" s="17">
        <v>0</v>
      </c>
      <c r="BL130" s="17">
        <v>0</v>
      </c>
      <c r="BM130" s="17">
        <v>0</v>
      </c>
      <c r="BN130" s="17">
        <v>0</v>
      </c>
      <c r="BO130" s="15">
        <v>0</v>
      </c>
      <c r="BP130" s="15">
        <v>0</v>
      </c>
      <c r="BQ130" s="15">
        <v>0</v>
      </c>
      <c r="BR130" s="15">
        <v>8.6999999999999993</v>
      </c>
      <c r="BS130" s="15">
        <v>15.43</v>
      </c>
      <c r="BT130" s="15">
        <v>0</v>
      </c>
      <c r="BU130" s="15">
        <v>0</v>
      </c>
      <c r="BV130" s="15">
        <v>0</v>
      </c>
      <c r="BW130" s="15">
        <v>0</v>
      </c>
    </row>
    <row r="131" spans="1:75" x14ac:dyDescent="0.2">
      <c r="A131">
        <v>1</v>
      </c>
      <c r="B131">
        <v>41.215605749486699</v>
      </c>
      <c r="C131">
        <v>0.30390143737166297</v>
      </c>
      <c r="D131">
        <v>8</v>
      </c>
      <c r="E131">
        <v>58</v>
      </c>
      <c r="F131">
        <v>1.62</v>
      </c>
      <c r="G131">
        <v>22.100289590001498</v>
      </c>
      <c r="H131">
        <v>0</v>
      </c>
      <c r="I131">
        <v>0</v>
      </c>
      <c r="J131" s="19">
        <v>0</v>
      </c>
      <c r="K131" s="19">
        <v>2</v>
      </c>
      <c r="L131" s="19">
        <v>1</v>
      </c>
      <c r="M131" s="19">
        <v>0</v>
      </c>
      <c r="N131">
        <v>0</v>
      </c>
      <c r="O131" s="19">
        <v>0</v>
      </c>
      <c r="P131" s="19">
        <v>0</v>
      </c>
      <c r="Q131" s="19">
        <v>0</v>
      </c>
      <c r="R131" s="19">
        <v>0</v>
      </c>
      <c r="S131" s="19">
        <v>0</v>
      </c>
      <c r="T131" s="19">
        <v>0</v>
      </c>
      <c r="U131" s="19">
        <v>0</v>
      </c>
      <c r="V131" s="15">
        <f t="shared" si="3"/>
        <v>0</v>
      </c>
      <c r="W131" s="19">
        <v>2</v>
      </c>
      <c r="X131" s="19">
        <v>2</v>
      </c>
      <c r="Y131" s="19">
        <v>2</v>
      </c>
      <c r="Z131" s="19">
        <v>5</v>
      </c>
      <c r="AA131" s="19">
        <v>2</v>
      </c>
      <c r="AB131" s="19">
        <v>2</v>
      </c>
      <c r="AC131" s="19">
        <v>3</v>
      </c>
      <c r="AD131" s="19">
        <v>3</v>
      </c>
      <c r="AE131" s="19">
        <v>5</v>
      </c>
      <c r="AF131" s="19">
        <v>3</v>
      </c>
      <c r="AG131" s="19">
        <v>5</v>
      </c>
      <c r="AH131" s="19">
        <v>5</v>
      </c>
      <c r="AI131" s="19">
        <v>4</v>
      </c>
      <c r="AJ131" s="19">
        <v>5</v>
      </c>
      <c r="AK131" s="19">
        <v>5</v>
      </c>
      <c r="AL131" s="19">
        <v>5</v>
      </c>
      <c r="AM131" s="19">
        <v>4</v>
      </c>
      <c r="AN131" s="19">
        <v>5</v>
      </c>
      <c r="AO131" s="19">
        <v>5</v>
      </c>
      <c r="AP131" s="19">
        <v>10</v>
      </c>
      <c r="AQ131">
        <v>70.5</v>
      </c>
      <c r="AR131" s="16">
        <v>88.2</v>
      </c>
      <c r="AS131" s="16">
        <v>80.400000000000006</v>
      </c>
      <c r="AT131" s="16">
        <v>36.299999999999997</v>
      </c>
      <c r="AU131">
        <v>72.69</v>
      </c>
      <c r="AV131" s="17">
        <v>0</v>
      </c>
      <c r="AW131">
        <v>10.32</v>
      </c>
      <c r="AX131">
        <v>16.989999999999998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36.659999999999997</v>
      </c>
      <c r="BH131">
        <v>7.54</v>
      </c>
      <c r="BI131">
        <v>10.32</v>
      </c>
      <c r="BJ131">
        <v>0</v>
      </c>
      <c r="BK131">
        <v>0</v>
      </c>
      <c r="BL131">
        <v>0</v>
      </c>
      <c r="BM131">
        <v>21.2</v>
      </c>
      <c r="BN131">
        <v>1</v>
      </c>
      <c r="BO131">
        <v>0</v>
      </c>
      <c r="BP131" s="16">
        <v>11.58</v>
      </c>
      <c r="BQ131" s="16">
        <v>1</v>
      </c>
      <c r="BR131" s="16">
        <v>0.27</v>
      </c>
      <c r="BS131" s="16">
        <v>0.27</v>
      </c>
      <c r="BT131" s="16">
        <v>0</v>
      </c>
      <c r="BU131" s="16">
        <v>0</v>
      </c>
      <c r="BV131" s="16">
        <v>0</v>
      </c>
      <c r="BW131">
        <v>0</v>
      </c>
    </row>
    <row r="132" spans="1:75" x14ac:dyDescent="0.2">
      <c r="A132">
        <v>2</v>
      </c>
      <c r="B132">
        <v>0.323066392881588</v>
      </c>
      <c r="C132">
        <v>0.323066392881588</v>
      </c>
      <c r="D132">
        <v>8</v>
      </c>
      <c r="E132">
        <v>98</v>
      </c>
      <c r="F132">
        <v>1.83</v>
      </c>
      <c r="G132">
        <v>29.2633402012601</v>
      </c>
      <c r="H132">
        <v>0</v>
      </c>
      <c r="I132">
        <v>0</v>
      </c>
      <c r="J132" s="19">
        <v>0</v>
      </c>
      <c r="K132" s="19">
        <v>0</v>
      </c>
      <c r="L132" s="19">
        <v>1</v>
      </c>
      <c r="M132" s="19">
        <v>0</v>
      </c>
      <c r="N132">
        <v>0</v>
      </c>
      <c r="O132" s="19">
        <v>0</v>
      </c>
      <c r="P132" s="19">
        <v>0</v>
      </c>
      <c r="Q132" s="19">
        <v>0</v>
      </c>
      <c r="R132" s="19">
        <v>0</v>
      </c>
      <c r="S132" s="19">
        <v>0</v>
      </c>
      <c r="T132" s="19">
        <v>0</v>
      </c>
      <c r="U132" s="19">
        <v>0</v>
      </c>
      <c r="V132" s="15">
        <f t="shared" si="3"/>
        <v>0</v>
      </c>
      <c r="W132" s="19">
        <v>1</v>
      </c>
      <c r="X132" s="19">
        <v>2</v>
      </c>
      <c r="Y132" s="19">
        <v>2</v>
      </c>
      <c r="Z132" s="19">
        <v>3</v>
      </c>
      <c r="AA132" s="19">
        <v>2</v>
      </c>
      <c r="AB132" s="19">
        <v>1</v>
      </c>
      <c r="AC132" s="19">
        <v>5</v>
      </c>
      <c r="AD132" s="19">
        <v>3</v>
      </c>
      <c r="AE132" s="19">
        <v>4</v>
      </c>
      <c r="AF132" s="19">
        <v>4</v>
      </c>
      <c r="AG132" s="19">
        <v>5</v>
      </c>
      <c r="AH132" s="19">
        <v>5</v>
      </c>
      <c r="AI132" s="19">
        <v>3</v>
      </c>
      <c r="AJ132" s="19">
        <v>4</v>
      </c>
      <c r="AK132" s="19">
        <v>4</v>
      </c>
      <c r="AL132" s="19">
        <v>4</v>
      </c>
      <c r="AM132" s="19">
        <v>4</v>
      </c>
      <c r="AN132" s="19">
        <v>4</v>
      </c>
      <c r="AO132" s="19">
        <v>4</v>
      </c>
      <c r="AP132" s="19">
        <v>10</v>
      </c>
      <c r="AQ132">
        <v>70.5</v>
      </c>
      <c r="AR132" s="16">
        <v>88.2</v>
      </c>
      <c r="AS132" s="16">
        <v>80.400000000000006</v>
      </c>
      <c r="AT132" s="16">
        <v>36.299999999999997</v>
      </c>
      <c r="AU132">
        <v>72.69</v>
      </c>
      <c r="AV132" s="17">
        <v>0</v>
      </c>
      <c r="AW132">
        <v>10.32</v>
      </c>
      <c r="AX132">
        <v>16.989999999999998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36.659999999999997</v>
      </c>
      <c r="BH132">
        <v>7.54</v>
      </c>
      <c r="BI132">
        <v>10.32</v>
      </c>
      <c r="BJ132">
        <v>0</v>
      </c>
      <c r="BK132">
        <v>0</v>
      </c>
      <c r="BL132">
        <v>0</v>
      </c>
      <c r="BM132">
        <v>21.2</v>
      </c>
      <c r="BN132">
        <v>1</v>
      </c>
      <c r="BO132">
        <v>0</v>
      </c>
      <c r="BP132" s="16">
        <v>11.58</v>
      </c>
      <c r="BQ132" s="16">
        <v>1</v>
      </c>
      <c r="BR132" s="16">
        <v>0.27</v>
      </c>
      <c r="BS132" s="16">
        <v>0.27</v>
      </c>
      <c r="BT132" s="16">
        <v>0</v>
      </c>
      <c r="BU132" s="16">
        <v>0</v>
      </c>
      <c r="BV132" s="16">
        <v>0</v>
      </c>
      <c r="BW132">
        <v>0</v>
      </c>
    </row>
    <row r="133" spans="1:75" x14ac:dyDescent="0.2">
      <c r="A133">
        <v>2</v>
      </c>
      <c r="B133">
        <v>20.076659822039701</v>
      </c>
      <c r="C133">
        <v>0.180698151950719</v>
      </c>
      <c r="D133">
        <v>8</v>
      </c>
      <c r="E133">
        <v>76</v>
      </c>
      <c r="F133">
        <v>1.82</v>
      </c>
      <c r="G133">
        <v>22.944088878154801</v>
      </c>
      <c r="H133">
        <v>0</v>
      </c>
      <c r="I133">
        <v>0</v>
      </c>
      <c r="J133" s="19">
        <v>1</v>
      </c>
      <c r="K133" s="19">
        <v>1</v>
      </c>
      <c r="L133" s="19">
        <v>0</v>
      </c>
      <c r="M133" s="19">
        <v>8</v>
      </c>
      <c r="N133">
        <v>8</v>
      </c>
      <c r="O133" s="19">
        <v>0</v>
      </c>
      <c r="P133" s="19">
        <v>0</v>
      </c>
      <c r="Q133" s="19">
        <v>0</v>
      </c>
      <c r="R133" s="19">
        <v>6</v>
      </c>
      <c r="S133" s="19">
        <v>6</v>
      </c>
      <c r="T133" s="19">
        <v>0</v>
      </c>
      <c r="U133" s="19">
        <v>6</v>
      </c>
      <c r="V133" s="15">
        <f t="shared" si="3"/>
        <v>3.7777777777777777</v>
      </c>
      <c r="W133" s="19">
        <v>2</v>
      </c>
      <c r="X133" s="19">
        <v>2</v>
      </c>
      <c r="Y133" s="19">
        <v>3</v>
      </c>
      <c r="Z133" s="19">
        <v>5</v>
      </c>
      <c r="AA133" s="19">
        <v>2</v>
      </c>
      <c r="AB133" s="19">
        <v>2</v>
      </c>
      <c r="AC133" s="19">
        <v>4</v>
      </c>
      <c r="AD133" s="19">
        <v>3</v>
      </c>
      <c r="AE133" s="19">
        <v>5</v>
      </c>
      <c r="AF133" s="19">
        <v>4</v>
      </c>
      <c r="AG133" s="19">
        <v>5</v>
      </c>
      <c r="AH133" s="19">
        <v>5</v>
      </c>
      <c r="AI133" s="19">
        <v>3</v>
      </c>
      <c r="AJ133" s="19">
        <v>5</v>
      </c>
      <c r="AK133" s="19">
        <v>4</v>
      </c>
      <c r="AL133" s="19">
        <v>5</v>
      </c>
      <c r="AM133" s="19">
        <v>4</v>
      </c>
      <c r="AN133" s="19">
        <v>4</v>
      </c>
      <c r="AO133" s="19">
        <v>4</v>
      </c>
      <c r="AP133" s="19">
        <v>9</v>
      </c>
      <c r="AQ133">
        <v>70.5</v>
      </c>
      <c r="AR133" s="16">
        <v>88.2</v>
      </c>
      <c r="AS133" s="16">
        <v>80.400000000000006</v>
      </c>
      <c r="AT133" s="16">
        <v>36.299999999999997</v>
      </c>
      <c r="AU133">
        <v>72.69</v>
      </c>
      <c r="AV133" s="17">
        <v>0</v>
      </c>
      <c r="AW133">
        <v>10.32</v>
      </c>
      <c r="AX133">
        <v>16.989999999999998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36.659999999999997</v>
      </c>
      <c r="BH133">
        <v>7.54</v>
      </c>
      <c r="BI133">
        <v>10.32</v>
      </c>
      <c r="BJ133">
        <v>0</v>
      </c>
      <c r="BK133">
        <v>0</v>
      </c>
      <c r="BL133">
        <v>0</v>
      </c>
      <c r="BM133">
        <v>21.2</v>
      </c>
      <c r="BN133">
        <v>1</v>
      </c>
      <c r="BO133">
        <v>0</v>
      </c>
      <c r="BP133" s="16">
        <v>11.58</v>
      </c>
      <c r="BQ133" s="16">
        <v>1</v>
      </c>
      <c r="BR133" s="16">
        <v>0.27</v>
      </c>
      <c r="BS133" s="16">
        <v>0.27</v>
      </c>
      <c r="BT133" s="16">
        <v>0</v>
      </c>
      <c r="BU133" s="16">
        <v>0</v>
      </c>
      <c r="BV133" s="16">
        <v>0</v>
      </c>
      <c r="BW133">
        <v>0</v>
      </c>
    </row>
    <row r="134" spans="1:75" x14ac:dyDescent="0.2">
      <c r="A134">
        <v>2</v>
      </c>
      <c r="B134">
        <v>49.117043121149898</v>
      </c>
      <c r="C134">
        <v>21.355236139630399</v>
      </c>
      <c r="D134">
        <v>8</v>
      </c>
      <c r="E134">
        <v>77</v>
      </c>
      <c r="F134">
        <v>1.8</v>
      </c>
      <c r="G134">
        <v>23.765432098765402</v>
      </c>
      <c r="H134">
        <v>0</v>
      </c>
      <c r="I134">
        <v>0</v>
      </c>
      <c r="J134" s="19">
        <v>0</v>
      </c>
      <c r="K134" s="19">
        <v>2</v>
      </c>
      <c r="L134" s="19">
        <v>0</v>
      </c>
      <c r="M134" s="19">
        <v>9</v>
      </c>
      <c r="N134">
        <v>0</v>
      </c>
      <c r="O134" s="19">
        <v>8</v>
      </c>
      <c r="P134" s="19">
        <v>1</v>
      </c>
      <c r="Q134" s="19">
        <v>0</v>
      </c>
      <c r="R134" s="19">
        <v>0</v>
      </c>
      <c r="S134" s="19">
        <v>0</v>
      </c>
      <c r="T134" s="19">
        <v>0</v>
      </c>
      <c r="U134" s="19">
        <v>0</v>
      </c>
      <c r="V134" s="15">
        <f t="shared" si="3"/>
        <v>2</v>
      </c>
      <c r="W134" s="19">
        <v>3</v>
      </c>
      <c r="X134" s="19">
        <v>1</v>
      </c>
      <c r="Y134" s="19">
        <v>4</v>
      </c>
      <c r="Z134" s="19">
        <v>5</v>
      </c>
      <c r="AA134" s="19">
        <v>3</v>
      </c>
      <c r="AB134" s="19">
        <v>3</v>
      </c>
      <c r="AC134" s="19">
        <v>4</v>
      </c>
      <c r="AD134" s="19">
        <v>3</v>
      </c>
      <c r="AE134" s="19">
        <v>4</v>
      </c>
      <c r="AF134" s="19">
        <v>4</v>
      </c>
      <c r="AG134" s="19">
        <v>4</v>
      </c>
      <c r="AH134" s="19">
        <v>5</v>
      </c>
      <c r="AI134" s="19">
        <v>3</v>
      </c>
      <c r="AJ134" s="19">
        <v>4</v>
      </c>
      <c r="AK134" s="19">
        <v>4</v>
      </c>
      <c r="AL134" s="19">
        <v>4</v>
      </c>
      <c r="AM134" s="19">
        <v>3</v>
      </c>
      <c r="AN134" s="19">
        <v>4</v>
      </c>
      <c r="AO134" s="19">
        <v>4</v>
      </c>
      <c r="AP134" s="19">
        <v>6</v>
      </c>
      <c r="AQ134">
        <v>70.5</v>
      </c>
      <c r="AR134" s="16">
        <v>88.2</v>
      </c>
      <c r="AS134" s="16">
        <v>80.400000000000006</v>
      </c>
      <c r="AT134" s="16">
        <v>36.299999999999997</v>
      </c>
      <c r="AU134">
        <v>72.69</v>
      </c>
      <c r="AV134" s="17">
        <v>0</v>
      </c>
      <c r="AW134">
        <v>10.32</v>
      </c>
      <c r="AX134">
        <v>16.989999999999998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36.659999999999997</v>
      </c>
      <c r="BH134">
        <v>7.54</v>
      </c>
      <c r="BI134">
        <v>10.32</v>
      </c>
      <c r="BJ134">
        <v>0</v>
      </c>
      <c r="BK134">
        <v>0</v>
      </c>
      <c r="BL134">
        <v>0</v>
      </c>
      <c r="BM134">
        <v>21.2</v>
      </c>
      <c r="BN134">
        <v>1</v>
      </c>
      <c r="BO134">
        <v>0</v>
      </c>
      <c r="BP134" s="16">
        <v>11.58</v>
      </c>
      <c r="BQ134" s="16">
        <v>1</v>
      </c>
      <c r="BR134" s="16">
        <v>0.27</v>
      </c>
      <c r="BS134" s="16">
        <v>0.27</v>
      </c>
      <c r="BT134" s="16">
        <v>0</v>
      </c>
      <c r="BU134" s="16">
        <v>0</v>
      </c>
      <c r="BV134" s="16">
        <v>0</v>
      </c>
      <c r="BW134">
        <v>0</v>
      </c>
    </row>
    <row r="135" spans="1:75" x14ac:dyDescent="0.2">
      <c r="A135">
        <v>2</v>
      </c>
      <c r="B135">
        <v>24.873374401095099</v>
      </c>
      <c r="C135">
        <v>0.19986310746064301</v>
      </c>
      <c r="D135">
        <v>8</v>
      </c>
      <c r="E135">
        <v>90</v>
      </c>
      <c r="F135">
        <v>1.89</v>
      </c>
      <c r="G135">
        <v>25.195263290501401</v>
      </c>
      <c r="H135">
        <v>0</v>
      </c>
      <c r="I135">
        <v>0</v>
      </c>
      <c r="J135" s="19">
        <v>1</v>
      </c>
      <c r="K135" s="19">
        <v>3</v>
      </c>
      <c r="L135" s="19">
        <v>0</v>
      </c>
      <c r="M135" s="19">
        <v>2</v>
      </c>
      <c r="N135">
        <v>0</v>
      </c>
      <c r="O135" s="19">
        <v>2</v>
      </c>
      <c r="P135" s="19">
        <v>0</v>
      </c>
      <c r="Q135" s="19">
        <v>0</v>
      </c>
      <c r="R135" s="19">
        <v>3</v>
      </c>
      <c r="S135" s="19">
        <v>3</v>
      </c>
      <c r="T135" s="19">
        <v>0</v>
      </c>
      <c r="U135" s="19">
        <v>2</v>
      </c>
      <c r="V135" s="15">
        <f t="shared" si="3"/>
        <v>1.3333333333333333</v>
      </c>
      <c r="W135" s="19">
        <v>1</v>
      </c>
      <c r="X135" s="19">
        <v>1</v>
      </c>
      <c r="Y135" s="19">
        <v>3</v>
      </c>
      <c r="Z135" s="19">
        <v>5</v>
      </c>
      <c r="AA135" s="19">
        <v>2</v>
      </c>
      <c r="AB135" s="19">
        <v>1</v>
      </c>
      <c r="AC135" s="19">
        <v>1</v>
      </c>
      <c r="AD135" s="19">
        <v>3</v>
      </c>
      <c r="AE135" s="19">
        <v>2</v>
      </c>
      <c r="AF135" s="19">
        <v>5</v>
      </c>
      <c r="AG135" s="19">
        <v>5</v>
      </c>
      <c r="AH135" s="19">
        <v>5</v>
      </c>
      <c r="AI135" s="19">
        <v>3</v>
      </c>
      <c r="AJ135" s="19">
        <v>5</v>
      </c>
      <c r="AK135" s="19">
        <v>4</v>
      </c>
      <c r="AL135" s="19">
        <v>5</v>
      </c>
      <c r="AM135" s="19">
        <v>1</v>
      </c>
      <c r="AN135" s="19">
        <v>4</v>
      </c>
      <c r="AO135" s="19">
        <v>4</v>
      </c>
      <c r="AP135" s="19">
        <v>10</v>
      </c>
      <c r="AQ135">
        <v>70.5</v>
      </c>
      <c r="AR135" s="16">
        <v>88.2</v>
      </c>
      <c r="AS135" s="16">
        <v>80.400000000000006</v>
      </c>
      <c r="AT135" s="16">
        <v>36.299999999999997</v>
      </c>
      <c r="AU135">
        <v>72.69</v>
      </c>
      <c r="AV135" s="17">
        <v>0</v>
      </c>
      <c r="AW135">
        <v>10.32</v>
      </c>
      <c r="AX135">
        <v>16.989999999999998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36.659999999999997</v>
      </c>
      <c r="BH135">
        <v>7.54</v>
      </c>
      <c r="BI135">
        <v>10.32</v>
      </c>
      <c r="BJ135">
        <v>0</v>
      </c>
      <c r="BK135">
        <v>0</v>
      </c>
      <c r="BL135">
        <v>0</v>
      </c>
      <c r="BM135">
        <v>21.2</v>
      </c>
      <c r="BN135">
        <v>1</v>
      </c>
      <c r="BO135">
        <v>0</v>
      </c>
      <c r="BP135" s="16">
        <v>11.58</v>
      </c>
      <c r="BQ135" s="16">
        <v>1</v>
      </c>
      <c r="BR135" s="16">
        <v>0.27</v>
      </c>
      <c r="BS135" s="16">
        <v>0.27</v>
      </c>
      <c r="BT135" s="16">
        <v>0</v>
      </c>
      <c r="BU135" s="16">
        <v>0</v>
      </c>
      <c r="BV135" s="16">
        <v>0</v>
      </c>
      <c r="BW135">
        <v>0</v>
      </c>
    </row>
    <row r="136" spans="1:75" x14ac:dyDescent="0.2">
      <c r="A136">
        <v>2</v>
      </c>
      <c r="B136">
        <v>53.497604380561299</v>
      </c>
      <c r="C136">
        <v>19.017111567419601</v>
      </c>
      <c r="D136">
        <v>8</v>
      </c>
      <c r="E136">
        <v>66</v>
      </c>
      <c r="F136">
        <v>1.68</v>
      </c>
      <c r="G136">
        <v>23.3843537414966</v>
      </c>
      <c r="H136">
        <v>0</v>
      </c>
      <c r="I136">
        <v>0</v>
      </c>
      <c r="J136" s="19">
        <v>0</v>
      </c>
      <c r="K136" s="19">
        <v>1</v>
      </c>
      <c r="L136" s="19">
        <v>0</v>
      </c>
      <c r="M136" s="19">
        <v>3</v>
      </c>
      <c r="N136">
        <v>0</v>
      </c>
      <c r="O136" s="19">
        <v>5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19">
        <v>0</v>
      </c>
      <c r="V136" s="15">
        <f t="shared" si="3"/>
        <v>0.88888888888888884</v>
      </c>
      <c r="W136" s="19">
        <v>3</v>
      </c>
      <c r="X136" s="19">
        <v>3</v>
      </c>
      <c r="Y136" s="19">
        <v>3</v>
      </c>
      <c r="Z136" s="19">
        <v>5</v>
      </c>
      <c r="AA136" s="19">
        <v>2</v>
      </c>
      <c r="AB136" s="19">
        <v>3</v>
      </c>
      <c r="AC136" s="19">
        <v>3</v>
      </c>
      <c r="AD136" s="19">
        <v>2</v>
      </c>
      <c r="AE136" s="19">
        <v>2</v>
      </c>
      <c r="AF136" s="19">
        <v>4</v>
      </c>
      <c r="AG136" s="19">
        <v>4</v>
      </c>
      <c r="AH136" s="19">
        <v>5</v>
      </c>
      <c r="AI136" s="19">
        <v>3</v>
      </c>
      <c r="AJ136" s="19">
        <v>4</v>
      </c>
      <c r="AK136" s="19">
        <v>4</v>
      </c>
      <c r="AL136" s="19">
        <v>5</v>
      </c>
      <c r="AM136" s="19">
        <v>1</v>
      </c>
      <c r="AN136" s="19">
        <v>4</v>
      </c>
      <c r="AO136" s="19">
        <v>4</v>
      </c>
      <c r="AP136" s="19">
        <v>10</v>
      </c>
      <c r="AQ136">
        <v>70.5</v>
      </c>
      <c r="AR136" s="16">
        <v>88.2</v>
      </c>
      <c r="AS136" s="16">
        <v>80.400000000000006</v>
      </c>
      <c r="AT136" s="16">
        <v>36.299999999999997</v>
      </c>
      <c r="AU136">
        <v>72.69</v>
      </c>
      <c r="AV136" s="17">
        <v>0</v>
      </c>
      <c r="AW136">
        <v>10.32</v>
      </c>
      <c r="AX136">
        <v>16.989999999999998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36.659999999999997</v>
      </c>
      <c r="BH136">
        <v>7.54</v>
      </c>
      <c r="BI136">
        <v>10.32</v>
      </c>
      <c r="BJ136">
        <v>0</v>
      </c>
      <c r="BK136">
        <v>0</v>
      </c>
      <c r="BL136">
        <v>0</v>
      </c>
      <c r="BM136">
        <v>21.2</v>
      </c>
      <c r="BN136">
        <v>1</v>
      </c>
      <c r="BO136">
        <v>0</v>
      </c>
      <c r="BP136" s="16">
        <v>11.58</v>
      </c>
      <c r="BQ136" s="16">
        <v>1</v>
      </c>
      <c r="BR136" s="16">
        <v>0.27</v>
      </c>
      <c r="BS136" s="16">
        <v>0.27</v>
      </c>
      <c r="BT136" s="16">
        <v>0</v>
      </c>
      <c r="BU136" s="16">
        <v>0</v>
      </c>
      <c r="BV136" s="16">
        <v>0</v>
      </c>
      <c r="BW136">
        <v>0</v>
      </c>
    </row>
    <row r="137" spans="1:75" x14ac:dyDescent="0.2">
      <c r="A137" s="24">
        <v>2</v>
      </c>
      <c r="B137">
        <v>32.785763175906901</v>
      </c>
      <c r="C137">
        <v>0.29568788501026699</v>
      </c>
      <c r="D137">
        <v>4</v>
      </c>
      <c r="E137">
        <v>80</v>
      </c>
      <c r="F137">
        <v>1.82</v>
      </c>
      <c r="G137">
        <v>24.151672503320899</v>
      </c>
      <c r="H137">
        <v>0</v>
      </c>
      <c r="I137">
        <v>0</v>
      </c>
      <c r="J137" s="19">
        <v>0</v>
      </c>
      <c r="K137" s="19">
        <v>2</v>
      </c>
      <c r="L137" s="19">
        <v>1</v>
      </c>
      <c r="M137" s="19">
        <v>0</v>
      </c>
      <c r="N137">
        <v>0</v>
      </c>
      <c r="O137" s="19">
        <v>0</v>
      </c>
      <c r="P137" s="19">
        <v>0</v>
      </c>
      <c r="Q137" s="19">
        <v>0</v>
      </c>
      <c r="R137" s="19">
        <v>0</v>
      </c>
      <c r="S137" s="19">
        <v>0</v>
      </c>
      <c r="T137" s="19">
        <v>0</v>
      </c>
      <c r="U137" s="19">
        <v>0</v>
      </c>
      <c r="V137" s="15">
        <f t="shared" si="3"/>
        <v>0</v>
      </c>
      <c r="W137" s="19">
        <v>1</v>
      </c>
      <c r="X137" s="19">
        <v>1</v>
      </c>
      <c r="Y137" s="19">
        <v>1</v>
      </c>
      <c r="Z137" s="19">
        <v>5</v>
      </c>
      <c r="AA137" s="19">
        <v>1</v>
      </c>
      <c r="AB137" s="19">
        <v>1</v>
      </c>
      <c r="AC137" s="19">
        <v>5</v>
      </c>
      <c r="AD137" s="19">
        <v>5</v>
      </c>
      <c r="AE137" s="19">
        <v>3</v>
      </c>
      <c r="AF137" s="19">
        <v>5</v>
      </c>
      <c r="AG137" s="19">
        <v>5</v>
      </c>
      <c r="AH137" s="19">
        <v>5</v>
      </c>
      <c r="AI137" s="19">
        <v>4</v>
      </c>
      <c r="AJ137" s="19">
        <v>5</v>
      </c>
      <c r="AK137" s="19">
        <v>5</v>
      </c>
      <c r="AL137" s="19">
        <v>5</v>
      </c>
      <c r="AM137" s="19">
        <v>5</v>
      </c>
      <c r="AN137" s="19">
        <v>5</v>
      </c>
      <c r="AO137" s="19">
        <v>5</v>
      </c>
      <c r="AP137" s="19">
        <v>10</v>
      </c>
      <c r="AQ137" s="24">
        <v>70.5</v>
      </c>
      <c r="AR137" s="27">
        <v>88.2</v>
      </c>
      <c r="AS137" s="27">
        <v>80.400000000000006</v>
      </c>
      <c r="AT137" s="27">
        <v>36.299999999999997</v>
      </c>
      <c r="AU137" s="24">
        <v>72.69</v>
      </c>
      <c r="AV137" s="29">
        <v>0</v>
      </c>
      <c r="AW137" s="24">
        <v>10.32</v>
      </c>
      <c r="AX137" s="24">
        <v>16.989999999999998</v>
      </c>
      <c r="AY137" s="24">
        <v>0</v>
      </c>
      <c r="AZ137" s="24">
        <v>0</v>
      </c>
      <c r="BA137" s="24">
        <v>0</v>
      </c>
      <c r="BB137" s="24">
        <v>0</v>
      </c>
      <c r="BC137" s="24">
        <v>0</v>
      </c>
      <c r="BD137" s="24">
        <v>0</v>
      </c>
      <c r="BE137" s="24">
        <v>0</v>
      </c>
      <c r="BF137" s="24">
        <v>0</v>
      </c>
      <c r="BG137" s="24">
        <v>36.659999999999997</v>
      </c>
      <c r="BH137" s="24">
        <v>7.54</v>
      </c>
      <c r="BI137" s="24">
        <v>10.32</v>
      </c>
      <c r="BJ137" s="24">
        <v>0</v>
      </c>
      <c r="BK137" s="24">
        <v>0</v>
      </c>
      <c r="BL137" s="24">
        <v>0</v>
      </c>
      <c r="BM137" s="24">
        <v>21.2</v>
      </c>
      <c r="BN137" s="24">
        <v>1</v>
      </c>
      <c r="BO137" s="24">
        <v>0</v>
      </c>
      <c r="BP137" s="27">
        <v>11.58</v>
      </c>
      <c r="BQ137" s="27">
        <v>1</v>
      </c>
      <c r="BR137" s="27">
        <v>0.27</v>
      </c>
      <c r="BS137" s="27">
        <v>0.27</v>
      </c>
      <c r="BT137" s="27">
        <v>0</v>
      </c>
      <c r="BU137" s="27">
        <v>0</v>
      </c>
      <c r="BV137" s="27">
        <v>0</v>
      </c>
      <c r="BW137" s="24">
        <v>0</v>
      </c>
    </row>
    <row r="138" spans="1:75" x14ac:dyDescent="0.2">
      <c r="A138">
        <v>2</v>
      </c>
      <c r="B138">
        <v>35.827515400410697</v>
      </c>
      <c r="C138">
        <v>0.25462012320328498</v>
      </c>
      <c r="D138">
        <v>8</v>
      </c>
      <c r="E138">
        <v>78</v>
      </c>
      <c r="F138">
        <v>1.74</v>
      </c>
      <c r="G138">
        <v>25.762980578676199</v>
      </c>
      <c r="H138">
        <v>0</v>
      </c>
      <c r="I138">
        <v>0</v>
      </c>
      <c r="J138" s="19">
        <v>0</v>
      </c>
      <c r="K138" s="19">
        <v>1</v>
      </c>
      <c r="L138" s="19">
        <v>1</v>
      </c>
      <c r="M138" s="19">
        <v>0</v>
      </c>
      <c r="N138">
        <v>0</v>
      </c>
      <c r="O138" s="19">
        <v>0</v>
      </c>
      <c r="P138" s="19">
        <v>0</v>
      </c>
      <c r="Q138" s="19">
        <v>0</v>
      </c>
      <c r="R138" s="19">
        <v>0</v>
      </c>
      <c r="S138" s="19">
        <v>0</v>
      </c>
      <c r="T138" s="19">
        <v>0</v>
      </c>
      <c r="U138" s="19">
        <v>0</v>
      </c>
      <c r="V138" s="15">
        <f t="shared" si="3"/>
        <v>0</v>
      </c>
      <c r="W138" s="19">
        <v>2</v>
      </c>
      <c r="X138" s="19">
        <v>2</v>
      </c>
      <c r="Y138" s="19">
        <v>3</v>
      </c>
      <c r="Z138" s="19">
        <v>5</v>
      </c>
      <c r="AA138" s="19">
        <v>3</v>
      </c>
      <c r="AB138" s="19">
        <v>2</v>
      </c>
      <c r="AC138" s="19">
        <v>4</v>
      </c>
      <c r="AD138" s="19">
        <v>4</v>
      </c>
      <c r="AE138" s="19">
        <v>4</v>
      </c>
      <c r="AF138" s="19">
        <v>4</v>
      </c>
      <c r="AG138" s="19">
        <v>4</v>
      </c>
      <c r="AH138" s="19">
        <v>5</v>
      </c>
      <c r="AI138" s="19">
        <v>4</v>
      </c>
      <c r="AJ138" s="19">
        <v>4</v>
      </c>
      <c r="AK138" s="19">
        <v>3</v>
      </c>
      <c r="AL138" s="19">
        <v>4</v>
      </c>
      <c r="AM138" s="19">
        <v>4</v>
      </c>
      <c r="AN138" s="19">
        <v>3</v>
      </c>
      <c r="AO138" s="19">
        <v>4</v>
      </c>
      <c r="AP138" s="19">
        <v>8</v>
      </c>
      <c r="AQ138">
        <v>70.5</v>
      </c>
      <c r="AR138" s="16">
        <v>88.2</v>
      </c>
      <c r="AS138" s="16">
        <v>80.400000000000006</v>
      </c>
      <c r="AT138" s="16">
        <v>36.299999999999997</v>
      </c>
      <c r="AU138">
        <v>72.69</v>
      </c>
      <c r="AV138" s="17">
        <v>0</v>
      </c>
      <c r="AW138">
        <v>10.32</v>
      </c>
      <c r="AX138">
        <v>16.989999999999998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36.659999999999997</v>
      </c>
      <c r="BH138">
        <v>7.54</v>
      </c>
      <c r="BI138">
        <v>10.32</v>
      </c>
      <c r="BJ138">
        <v>0</v>
      </c>
      <c r="BK138">
        <v>0</v>
      </c>
      <c r="BL138">
        <v>0</v>
      </c>
      <c r="BM138">
        <v>21.2</v>
      </c>
      <c r="BN138">
        <v>1</v>
      </c>
      <c r="BO138">
        <v>0</v>
      </c>
      <c r="BP138" s="16">
        <v>11.58</v>
      </c>
      <c r="BQ138" s="16">
        <v>1</v>
      </c>
      <c r="BR138" s="16">
        <v>0.27</v>
      </c>
      <c r="BS138" s="16">
        <v>0.27</v>
      </c>
      <c r="BT138" s="16">
        <v>0</v>
      </c>
      <c r="BU138" s="16">
        <v>0</v>
      </c>
      <c r="BV138" s="16">
        <v>0</v>
      </c>
      <c r="BW138">
        <v>0</v>
      </c>
    </row>
    <row r="139" spans="1:75" x14ac:dyDescent="0.2">
      <c r="A139" s="24">
        <v>2</v>
      </c>
      <c r="B139">
        <v>26.4229979466119</v>
      </c>
      <c r="C139">
        <v>6.5352498288843304</v>
      </c>
      <c r="D139">
        <v>8</v>
      </c>
      <c r="E139">
        <v>65</v>
      </c>
      <c r="F139">
        <v>1.91</v>
      </c>
      <c r="G139">
        <v>17.8174940379924</v>
      </c>
      <c r="H139">
        <v>0</v>
      </c>
      <c r="I139">
        <v>0</v>
      </c>
      <c r="J139" s="26">
        <v>0</v>
      </c>
      <c r="K139" s="26">
        <v>3</v>
      </c>
      <c r="L139" s="26">
        <v>1</v>
      </c>
      <c r="M139" s="26">
        <v>0</v>
      </c>
      <c r="N139">
        <v>0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  <c r="T139" s="26">
        <v>0</v>
      </c>
      <c r="U139" s="26">
        <v>0</v>
      </c>
      <c r="V139" s="15">
        <f t="shared" si="3"/>
        <v>0</v>
      </c>
      <c r="W139" s="26">
        <v>2</v>
      </c>
      <c r="X139" s="26">
        <v>2</v>
      </c>
      <c r="Y139" s="26">
        <v>5</v>
      </c>
      <c r="Z139" s="26">
        <v>5</v>
      </c>
      <c r="AA139" s="26">
        <v>4</v>
      </c>
      <c r="AB139" s="26">
        <v>4</v>
      </c>
      <c r="AC139" s="26">
        <v>4</v>
      </c>
      <c r="AD139" s="26">
        <v>4</v>
      </c>
      <c r="AE139" s="26">
        <v>5</v>
      </c>
      <c r="AF139" s="26">
        <v>4</v>
      </c>
      <c r="AG139" s="26">
        <v>4</v>
      </c>
      <c r="AH139" s="26">
        <v>5</v>
      </c>
      <c r="AI139" s="26">
        <v>5</v>
      </c>
      <c r="AJ139" s="26">
        <v>5</v>
      </c>
      <c r="AK139" s="26">
        <v>5</v>
      </c>
      <c r="AL139" s="26">
        <v>5</v>
      </c>
      <c r="AM139" s="26">
        <v>5</v>
      </c>
      <c r="AN139" s="26">
        <v>4</v>
      </c>
      <c r="AO139" s="26">
        <v>4</v>
      </c>
      <c r="AP139" s="26">
        <v>7</v>
      </c>
      <c r="AQ139" s="24">
        <v>36.5</v>
      </c>
      <c r="AR139" s="27">
        <v>88.3</v>
      </c>
      <c r="AS139" s="27">
        <v>80.400000000000006</v>
      </c>
      <c r="AT139" s="27">
        <v>28.2</v>
      </c>
      <c r="AU139" s="24">
        <v>73.819999999999993</v>
      </c>
      <c r="AV139" s="24">
        <v>0</v>
      </c>
      <c r="AW139" s="24">
        <v>25.61</v>
      </c>
      <c r="AX139" s="24">
        <v>0</v>
      </c>
      <c r="AY139" s="24">
        <v>0.56999999999999995</v>
      </c>
      <c r="AZ139" s="24">
        <v>0</v>
      </c>
      <c r="BA139" s="24">
        <v>0</v>
      </c>
      <c r="BB139" s="24">
        <v>0</v>
      </c>
      <c r="BC139" s="24">
        <v>0</v>
      </c>
      <c r="BD139" s="24">
        <v>0</v>
      </c>
      <c r="BE139" s="24">
        <v>0</v>
      </c>
      <c r="BF139" s="24">
        <v>1.17</v>
      </c>
      <c r="BG139" s="24">
        <v>31.76</v>
      </c>
      <c r="BH139" s="24">
        <v>23.3</v>
      </c>
      <c r="BI139" s="24">
        <v>26.08</v>
      </c>
      <c r="BJ139" s="24">
        <v>0</v>
      </c>
      <c r="BK139" s="24">
        <v>0</v>
      </c>
      <c r="BL139" s="24">
        <v>0</v>
      </c>
      <c r="BM139" s="24">
        <v>2.1</v>
      </c>
      <c r="BN139" s="24">
        <v>1</v>
      </c>
      <c r="BO139" s="24">
        <v>0</v>
      </c>
      <c r="BP139" s="27">
        <v>1.9</v>
      </c>
      <c r="BQ139" s="27">
        <v>1</v>
      </c>
      <c r="BR139" s="27">
        <v>0.56999999999999995</v>
      </c>
      <c r="BS139" s="27">
        <v>0.56000000000000005</v>
      </c>
      <c r="BT139" s="27">
        <v>0</v>
      </c>
      <c r="BU139" s="27">
        <v>0</v>
      </c>
      <c r="BV139" s="27">
        <v>0</v>
      </c>
      <c r="BW139" s="24">
        <v>0</v>
      </c>
    </row>
    <row r="140" spans="1:75" x14ac:dyDescent="0.2">
      <c r="A140" s="24">
        <v>2</v>
      </c>
      <c r="B140">
        <v>43.310061601642701</v>
      </c>
      <c r="C140">
        <v>10.7816563997262</v>
      </c>
      <c r="D140">
        <v>8</v>
      </c>
      <c r="E140">
        <v>73</v>
      </c>
      <c r="F140">
        <v>1.74</v>
      </c>
      <c r="G140">
        <v>24.111507464658501</v>
      </c>
      <c r="H140">
        <v>0</v>
      </c>
      <c r="I140">
        <v>0</v>
      </c>
      <c r="J140" s="26">
        <v>0</v>
      </c>
      <c r="K140" s="26">
        <v>1</v>
      </c>
      <c r="L140" s="26">
        <v>1</v>
      </c>
      <c r="M140" s="26"/>
      <c r="N140">
        <v>0</v>
      </c>
      <c r="O140" s="26">
        <v>0</v>
      </c>
      <c r="P140" s="26"/>
      <c r="Q140" s="26"/>
      <c r="R140" s="26"/>
      <c r="S140" s="26"/>
      <c r="T140" s="26"/>
      <c r="U140" s="26"/>
      <c r="V140" s="15">
        <f t="shared" si="3"/>
        <v>0</v>
      </c>
      <c r="W140" s="26">
        <v>3</v>
      </c>
      <c r="X140" s="26">
        <v>3</v>
      </c>
      <c r="Y140" s="26">
        <v>4</v>
      </c>
      <c r="Z140" s="26">
        <v>5</v>
      </c>
      <c r="AA140" s="26">
        <v>3</v>
      </c>
      <c r="AB140" s="26">
        <v>5</v>
      </c>
      <c r="AC140" s="26">
        <v>3</v>
      </c>
      <c r="AD140" s="26">
        <v>3</v>
      </c>
      <c r="AE140" s="26">
        <v>5</v>
      </c>
      <c r="AF140" s="26">
        <v>3</v>
      </c>
      <c r="AG140" s="26">
        <v>3</v>
      </c>
      <c r="AH140" s="26">
        <v>5</v>
      </c>
      <c r="AI140" s="26">
        <v>3</v>
      </c>
      <c r="AJ140" s="26">
        <v>3</v>
      </c>
      <c r="AK140" s="26">
        <v>3</v>
      </c>
      <c r="AL140" s="26">
        <v>5</v>
      </c>
      <c r="AM140" s="26">
        <v>5</v>
      </c>
      <c r="AN140" s="26">
        <v>5</v>
      </c>
      <c r="AO140" s="26">
        <v>4</v>
      </c>
      <c r="AP140" s="26">
        <v>10</v>
      </c>
      <c r="AQ140" s="24">
        <v>36.5</v>
      </c>
      <c r="AR140" s="27">
        <v>88.3</v>
      </c>
      <c r="AS140" s="27">
        <v>80.400000000000006</v>
      </c>
      <c r="AT140" s="27">
        <v>28.2</v>
      </c>
      <c r="AU140" s="24">
        <v>73.819999999999993</v>
      </c>
      <c r="AV140" s="24">
        <v>0</v>
      </c>
      <c r="AW140" s="24">
        <v>25.61</v>
      </c>
      <c r="AX140" s="24">
        <v>0</v>
      </c>
      <c r="AY140" s="24">
        <v>0.56999999999999995</v>
      </c>
      <c r="AZ140" s="24">
        <v>0</v>
      </c>
      <c r="BA140" s="24">
        <v>0</v>
      </c>
      <c r="BB140" s="24">
        <v>0</v>
      </c>
      <c r="BC140" s="24">
        <v>0</v>
      </c>
      <c r="BD140" s="24">
        <v>0</v>
      </c>
      <c r="BE140" s="24">
        <v>0</v>
      </c>
      <c r="BF140" s="24">
        <v>1.17</v>
      </c>
      <c r="BG140" s="24">
        <v>31.76</v>
      </c>
      <c r="BH140" s="24">
        <v>23.3</v>
      </c>
      <c r="BI140" s="24">
        <v>26.08</v>
      </c>
      <c r="BJ140" s="24">
        <v>0</v>
      </c>
      <c r="BK140" s="24">
        <v>0</v>
      </c>
      <c r="BL140" s="24">
        <v>0</v>
      </c>
      <c r="BM140" s="24">
        <v>2.1</v>
      </c>
      <c r="BN140" s="24">
        <v>1</v>
      </c>
      <c r="BO140" s="24">
        <v>0</v>
      </c>
      <c r="BP140" s="27">
        <v>1.9</v>
      </c>
      <c r="BQ140" s="27">
        <v>1</v>
      </c>
      <c r="BR140" s="27">
        <v>0.56999999999999995</v>
      </c>
      <c r="BS140" s="27">
        <v>0.56000000000000005</v>
      </c>
      <c r="BT140" s="27">
        <v>0</v>
      </c>
      <c r="BU140" s="27">
        <v>0</v>
      </c>
      <c r="BV140" s="27">
        <v>0</v>
      </c>
      <c r="BW140" s="24">
        <v>0</v>
      </c>
    </row>
    <row r="141" spans="1:75" x14ac:dyDescent="0.2">
      <c r="A141">
        <v>2</v>
      </c>
      <c r="B141">
        <v>24.624229979466101</v>
      </c>
      <c r="C141">
        <v>0.30116358658453102</v>
      </c>
      <c r="D141">
        <v>8</v>
      </c>
      <c r="E141">
        <v>65</v>
      </c>
      <c r="F141">
        <v>1.72</v>
      </c>
      <c r="G141">
        <v>21.971335857220101</v>
      </c>
      <c r="H141">
        <v>0</v>
      </c>
      <c r="I141">
        <v>0</v>
      </c>
      <c r="J141" s="19">
        <v>0</v>
      </c>
      <c r="K141" s="19">
        <v>0</v>
      </c>
      <c r="L141" s="19">
        <v>1</v>
      </c>
      <c r="M141" s="19"/>
      <c r="O141" s="19"/>
      <c r="P141" s="19"/>
      <c r="Q141" s="19"/>
      <c r="R141" s="19"/>
      <c r="S141" s="19"/>
      <c r="T141" s="19"/>
      <c r="U141" s="19"/>
      <c r="V141" s="15"/>
      <c r="W141" s="19">
        <v>2</v>
      </c>
      <c r="X141" s="19">
        <v>2</v>
      </c>
      <c r="Y141" s="19">
        <v>3</v>
      </c>
      <c r="Z141" s="19">
        <v>4</v>
      </c>
      <c r="AA141" s="19">
        <v>2</v>
      </c>
      <c r="AB141" s="19">
        <v>1</v>
      </c>
      <c r="AC141" s="19">
        <v>1</v>
      </c>
      <c r="AD141" s="19">
        <v>5</v>
      </c>
      <c r="AE141" s="19">
        <v>3</v>
      </c>
      <c r="AF141" s="19">
        <v>5</v>
      </c>
      <c r="AG141" s="19">
        <v>3</v>
      </c>
      <c r="AH141" s="19">
        <v>4</v>
      </c>
      <c r="AI141" s="19">
        <v>4</v>
      </c>
      <c r="AJ141" s="19">
        <v>5</v>
      </c>
      <c r="AK141" s="19">
        <v>4</v>
      </c>
      <c r="AL141" s="19">
        <v>5</v>
      </c>
      <c r="AM141" s="19">
        <v>4</v>
      </c>
      <c r="AN141" s="19">
        <v>4</v>
      </c>
      <c r="AO141" s="19">
        <v>4</v>
      </c>
      <c r="AP141" s="19">
        <v>8</v>
      </c>
      <c r="AQ141">
        <v>30</v>
      </c>
      <c r="AR141" s="16">
        <v>85.5</v>
      </c>
      <c r="AS141" s="16">
        <v>81</v>
      </c>
      <c r="AT141" s="16">
        <v>15.2</v>
      </c>
      <c r="AU141">
        <v>87.44</v>
      </c>
      <c r="AV141">
        <v>0</v>
      </c>
      <c r="AW141">
        <v>0.94</v>
      </c>
      <c r="AX141">
        <v>1.97</v>
      </c>
      <c r="AY141">
        <v>9.65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2.71</v>
      </c>
      <c r="BG141">
        <v>0.6</v>
      </c>
      <c r="BH141">
        <v>2.17</v>
      </c>
      <c r="BI141">
        <v>5.97</v>
      </c>
      <c r="BJ141">
        <v>2.65</v>
      </c>
      <c r="BK141">
        <v>0</v>
      </c>
      <c r="BL141">
        <v>0</v>
      </c>
      <c r="BM141">
        <v>10.6</v>
      </c>
      <c r="BN141">
        <v>1</v>
      </c>
      <c r="BO141">
        <v>0</v>
      </c>
      <c r="BP141" s="16">
        <v>0</v>
      </c>
      <c r="BQ141" s="16">
        <v>0</v>
      </c>
      <c r="BR141" s="16">
        <v>4.17</v>
      </c>
      <c r="BS141" s="16">
        <v>2.54</v>
      </c>
      <c r="BT141" s="16">
        <v>0</v>
      </c>
      <c r="BU141" s="16">
        <v>0</v>
      </c>
      <c r="BV141" s="16">
        <v>0</v>
      </c>
      <c r="BW141">
        <v>0</v>
      </c>
    </row>
    <row r="142" spans="1:75" x14ac:dyDescent="0.2">
      <c r="A142">
        <v>2</v>
      </c>
      <c r="B142">
        <v>20.257357973990398</v>
      </c>
      <c r="C142">
        <v>0.21355236139630401</v>
      </c>
      <c r="D142">
        <v>8</v>
      </c>
      <c r="E142">
        <v>70</v>
      </c>
      <c r="F142">
        <v>1.78</v>
      </c>
      <c r="G142">
        <v>22.093170054286102</v>
      </c>
      <c r="H142">
        <v>0</v>
      </c>
      <c r="I142">
        <v>0</v>
      </c>
      <c r="J142" s="19">
        <v>0</v>
      </c>
      <c r="K142" s="19">
        <v>2</v>
      </c>
      <c r="L142" s="19">
        <v>0</v>
      </c>
      <c r="M142" s="19"/>
      <c r="O142" s="19"/>
      <c r="P142" s="19"/>
      <c r="Q142" s="19"/>
      <c r="R142" s="19">
        <v>0</v>
      </c>
      <c r="S142" s="19">
        <v>0</v>
      </c>
      <c r="T142" s="19">
        <v>0</v>
      </c>
      <c r="U142" s="19">
        <v>0</v>
      </c>
      <c r="V142" s="15">
        <f>AVERAGE(M142:U142)</f>
        <v>0</v>
      </c>
      <c r="W142" s="19">
        <v>2</v>
      </c>
      <c r="X142" s="19">
        <v>3</v>
      </c>
      <c r="Y142" s="19">
        <v>1</v>
      </c>
      <c r="Z142" s="19">
        <v>5</v>
      </c>
      <c r="AA142" s="19">
        <v>1</v>
      </c>
      <c r="AB142" s="19">
        <v>5</v>
      </c>
      <c r="AC142" s="19">
        <v>1</v>
      </c>
      <c r="AD142" s="19">
        <v>5</v>
      </c>
      <c r="AE142" s="19">
        <v>4</v>
      </c>
      <c r="AF142" s="19">
        <v>5</v>
      </c>
      <c r="AG142" s="19">
        <v>5</v>
      </c>
      <c r="AH142" s="19">
        <v>5</v>
      </c>
      <c r="AI142" s="19">
        <v>3</v>
      </c>
      <c r="AJ142" s="19">
        <v>5</v>
      </c>
      <c r="AK142" s="19">
        <v>5</v>
      </c>
      <c r="AL142" s="19">
        <v>5</v>
      </c>
      <c r="AM142" s="19">
        <v>4</v>
      </c>
      <c r="AN142" s="19">
        <v>5</v>
      </c>
      <c r="AO142" s="19">
        <v>4</v>
      </c>
      <c r="AP142" s="19">
        <v>7</v>
      </c>
      <c r="AQ142">
        <v>30</v>
      </c>
      <c r="AR142" s="16">
        <v>85.5</v>
      </c>
      <c r="AS142" s="16">
        <v>81</v>
      </c>
      <c r="AT142" s="16">
        <v>15.2</v>
      </c>
      <c r="AU142">
        <v>87.44</v>
      </c>
      <c r="AV142">
        <v>0</v>
      </c>
      <c r="AW142">
        <v>0.94</v>
      </c>
      <c r="AX142">
        <v>1.97</v>
      </c>
      <c r="AY142">
        <v>9.65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2.71</v>
      </c>
      <c r="BG142">
        <v>0.6</v>
      </c>
      <c r="BH142">
        <v>2.17</v>
      </c>
      <c r="BI142">
        <v>5.97</v>
      </c>
      <c r="BJ142">
        <v>2.65</v>
      </c>
      <c r="BK142">
        <v>0</v>
      </c>
      <c r="BL142">
        <v>0</v>
      </c>
      <c r="BM142">
        <v>10.6</v>
      </c>
      <c r="BN142">
        <v>1</v>
      </c>
      <c r="BO142">
        <v>0</v>
      </c>
      <c r="BP142" s="16">
        <v>0</v>
      </c>
      <c r="BQ142" s="16">
        <v>0</v>
      </c>
      <c r="BR142" s="16">
        <v>4.17</v>
      </c>
      <c r="BS142" s="16">
        <v>2.54</v>
      </c>
      <c r="BT142" s="16">
        <v>0</v>
      </c>
      <c r="BU142" s="16">
        <v>0</v>
      </c>
      <c r="BV142" s="16">
        <v>0</v>
      </c>
      <c r="BW142">
        <v>0</v>
      </c>
    </row>
    <row r="143" spans="1:75" x14ac:dyDescent="0.2">
      <c r="A143">
        <v>2</v>
      </c>
      <c r="B143">
        <v>43.482546201231997</v>
      </c>
      <c r="C143">
        <v>0.28199863107460599</v>
      </c>
      <c r="D143">
        <v>8</v>
      </c>
      <c r="E143">
        <v>69</v>
      </c>
      <c r="F143">
        <v>1.75</v>
      </c>
      <c r="G143">
        <v>22.530612244897998</v>
      </c>
      <c r="H143">
        <v>0</v>
      </c>
      <c r="I143">
        <v>0</v>
      </c>
      <c r="J143" s="19">
        <v>1</v>
      </c>
      <c r="K143" s="19">
        <v>0</v>
      </c>
      <c r="L143" s="19">
        <v>1</v>
      </c>
      <c r="M143" s="19"/>
      <c r="N143">
        <v>0</v>
      </c>
      <c r="O143" s="19">
        <v>0</v>
      </c>
      <c r="P143" s="19">
        <v>0</v>
      </c>
      <c r="Q143" s="19">
        <v>0</v>
      </c>
      <c r="R143" s="19">
        <v>7</v>
      </c>
      <c r="S143" s="19">
        <v>7</v>
      </c>
      <c r="T143" s="19">
        <v>0</v>
      </c>
      <c r="U143" s="19">
        <v>0</v>
      </c>
      <c r="V143" s="15">
        <f>AVERAGE(M143:U143)</f>
        <v>1.75</v>
      </c>
      <c r="W143" s="19">
        <v>1</v>
      </c>
      <c r="X143" s="19">
        <v>1</v>
      </c>
      <c r="Y143" s="19">
        <v>2</v>
      </c>
      <c r="Z143" s="19">
        <v>5</v>
      </c>
      <c r="AA143" s="19">
        <v>1</v>
      </c>
      <c r="AB143" s="19">
        <v>1</v>
      </c>
      <c r="AC143" s="19">
        <v>1</v>
      </c>
      <c r="AD143" s="19">
        <v>3</v>
      </c>
      <c r="AE143" s="19">
        <v>5</v>
      </c>
      <c r="AF143" s="19">
        <v>3</v>
      </c>
      <c r="AG143" s="19">
        <v>5</v>
      </c>
      <c r="AH143" s="19">
        <v>5</v>
      </c>
      <c r="AI143" s="19">
        <v>3</v>
      </c>
      <c r="AJ143" s="19">
        <v>3</v>
      </c>
      <c r="AK143" s="19">
        <v>3</v>
      </c>
      <c r="AL143" s="19">
        <v>5</v>
      </c>
      <c r="AM143" s="19">
        <v>2</v>
      </c>
      <c r="AN143" s="19">
        <v>3</v>
      </c>
      <c r="AO143" s="19">
        <v>4</v>
      </c>
      <c r="AP143" s="19">
        <v>8</v>
      </c>
      <c r="AQ143">
        <v>30</v>
      </c>
      <c r="AR143" s="16">
        <v>85.5</v>
      </c>
      <c r="AS143" s="16">
        <v>81</v>
      </c>
      <c r="AT143" s="16">
        <v>15.2</v>
      </c>
      <c r="AU143">
        <v>87.44</v>
      </c>
      <c r="AV143">
        <v>0</v>
      </c>
      <c r="AW143">
        <v>0.94</v>
      </c>
      <c r="AX143">
        <v>1.97</v>
      </c>
      <c r="AY143">
        <v>9.65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2.71</v>
      </c>
      <c r="BG143">
        <v>0.6</v>
      </c>
      <c r="BH143">
        <v>2.17</v>
      </c>
      <c r="BI143">
        <v>5.97</v>
      </c>
      <c r="BJ143">
        <v>2.65</v>
      </c>
      <c r="BK143">
        <v>0</v>
      </c>
      <c r="BL143">
        <v>0</v>
      </c>
      <c r="BM143">
        <v>10.6</v>
      </c>
      <c r="BN143">
        <v>1</v>
      </c>
      <c r="BO143">
        <v>0</v>
      </c>
      <c r="BP143" s="16">
        <v>0</v>
      </c>
      <c r="BQ143" s="16">
        <v>0</v>
      </c>
      <c r="BR143" s="16">
        <v>4.17</v>
      </c>
      <c r="BS143" s="16">
        <v>2.54</v>
      </c>
      <c r="BT143" s="16">
        <v>0</v>
      </c>
      <c r="BU143" s="16">
        <v>0</v>
      </c>
      <c r="BV143" s="16">
        <v>0</v>
      </c>
      <c r="BW143">
        <v>0</v>
      </c>
    </row>
    <row r="144" spans="1:75" x14ac:dyDescent="0.2">
      <c r="A144">
        <v>2</v>
      </c>
      <c r="B144">
        <v>24.947296372347701</v>
      </c>
      <c r="C144">
        <v>0.29295003422313498</v>
      </c>
      <c r="D144">
        <v>8</v>
      </c>
      <c r="E144">
        <v>64</v>
      </c>
      <c r="F144">
        <v>1.75</v>
      </c>
      <c r="G144">
        <v>20.8979591836735</v>
      </c>
      <c r="H144">
        <v>0</v>
      </c>
      <c r="I144">
        <v>0</v>
      </c>
      <c r="J144" s="19">
        <v>0</v>
      </c>
      <c r="K144" s="19">
        <v>2</v>
      </c>
      <c r="L144" s="19">
        <v>1</v>
      </c>
      <c r="M144" s="19">
        <v>0</v>
      </c>
      <c r="N144">
        <v>0</v>
      </c>
      <c r="O144" s="19">
        <v>0</v>
      </c>
      <c r="P144" s="19">
        <v>0</v>
      </c>
      <c r="Q144" s="19">
        <v>0</v>
      </c>
      <c r="R144" s="19">
        <v>3</v>
      </c>
      <c r="S144" s="19">
        <v>0</v>
      </c>
      <c r="T144" s="19">
        <v>0</v>
      </c>
      <c r="U144" s="19">
        <v>0</v>
      </c>
      <c r="V144" s="15">
        <f>AVERAGE(M144:U144)</f>
        <v>0.33333333333333331</v>
      </c>
      <c r="W144" s="19">
        <v>2</v>
      </c>
      <c r="X144" s="19">
        <v>2</v>
      </c>
      <c r="Y144" s="19">
        <v>2</v>
      </c>
      <c r="Z144" s="19">
        <v>2</v>
      </c>
      <c r="AA144" s="19">
        <v>2</v>
      </c>
      <c r="AB144" s="19">
        <v>2</v>
      </c>
      <c r="AC144" s="19">
        <v>2</v>
      </c>
      <c r="AD144" s="19">
        <v>4</v>
      </c>
      <c r="AE144" s="19">
        <v>4</v>
      </c>
      <c r="AF144" s="19">
        <v>5</v>
      </c>
      <c r="AG144" s="19">
        <v>5</v>
      </c>
      <c r="AH144" s="19">
        <v>5</v>
      </c>
      <c r="AI144" s="19">
        <v>5</v>
      </c>
      <c r="AJ144" s="19">
        <v>4</v>
      </c>
      <c r="AK144" s="19">
        <v>4</v>
      </c>
      <c r="AL144" s="19">
        <v>5</v>
      </c>
      <c r="AM144" s="19">
        <v>5</v>
      </c>
      <c r="AN144" s="19">
        <v>4</v>
      </c>
      <c r="AO144" s="19">
        <v>5</v>
      </c>
      <c r="AP144" s="19">
        <v>7</v>
      </c>
      <c r="AQ144">
        <v>30</v>
      </c>
      <c r="AR144" s="16">
        <v>85.5</v>
      </c>
      <c r="AS144" s="16">
        <v>81</v>
      </c>
      <c r="AT144" s="16">
        <v>15.2</v>
      </c>
      <c r="AU144">
        <v>87.44</v>
      </c>
      <c r="AV144">
        <v>0</v>
      </c>
      <c r="AW144">
        <v>0.94</v>
      </c>
      <c r="AX144">
        <v>1.97</v>
      </c>
      <c r="AY144">
        <v>9.65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2.71</v>
      </c>
      <c r="BG144">
        <v>0.6</v>
      </c>
      <c r="BH144">
        <v>2.17</v>
      </c>
      <c r="BI144">
        <v>5.97</v>
      </c>
      <c r="BJ144">
        <v>2.65</v>
      </c>
      <c r="BK144">
        <v>0</v>
      </c>
      <c r="BL144">
        <v>0</v>
      </c>
      <c r="BM144">
        <v>10.6</v>
      </c>
      <c r="BN144">
        <v>1</v>
      </c>
      <c r="BO144">
        <v>0</v>
      </c>
      <c r="BP144" s="16">
        <v>0</v>
      </c>
      <c r="BQ144" s="16">
        <v>0</v>
      </c>
      <c r="BR144" s="16">
        <v>4.17</v>
      </c>
      <c r="BS144" s="16">
        <v>2.54</v>
      </c>
      <c r="BT144" s="16">
        <v>0</v>
      </c>
      <c r="BU144" s="16">
        <v>0</v>
      </c>
      <c r="BV144" s="16">
        <v>0</v>
      </c>
      <c r="BW144">
        <v>0</v>
      </c>
    </row>
    <row r="145" spans="1:75" x14ac:dyDescent="0.2">
      <c r="A145">
        <v>2</v>
      </c>
      <c r="B145">
        <v>26.839151266256</v>
      </c>
      <c r="C145">
        <v>0.26283367556468201</v>
      </c>
      <c r="D145">
        <v>8</v>
      </c>
      <c r="E145">
        <v>74</v>
      </c>
      <c r="F145">
        <v>1.82</v>
      </c>
      <c r="G145">
        <v>22.3402970655718</v>
      </c>
      <c r="H145">
        <v>0</v>
      </c>
      <c r="I145">
        <v>0</v>
      </c>
      <c r="J145" s="19">
        <v>0</v>
      </c>
      <c r="K145" s="19">
        <v>2</v>
      </c>
      <c r="L145" s="19">
        <v>1</v>
      </c>
      <c r="M145" s="19">
        <v>0</v>
      </c>
      <c r="N145">
        <v>0</v>
      </c>
      <c r="O145" s="19">
        <v>0</v>
      </c>
      <c r="P145" s="19">
        <v>0</v>
      </c>
      <c r="Q145" s="19">
        <v>0</v>
      </c>
      <c r="R145" s="19">
        <v>0</v>
      </c>
      <c r="S145" s="19">
        <v>0</v>
      </c>
      <c r="T145" s="19">
        <v>0</v>
      </c>
      <c r="U145" s="19">
        <v>0</v>
      </c>
      <c r="V145" s="15">
        <f>AVERAGE(M145:U145)</f>
        <v>0</v>
      </c>
      <c r="W145" s="19">
        <v>1</v>
      </c>
      <c r="X145" s="19">
        <v>2</v>
      </c>
      <c r="Y145" s="19">
        <v>1</v>
      </c>
      <c r="Z145" s="19">
        <v>5</v>
      </c>
      <c r="AA145" s="19">
        <v>1</v>
      </c>
      <c r="AB145" s="19">
        <v>1</v>
      </c>
      <c r="AC145" s="19">
        <v>5</v>
      </c>
      <c r="AD145" s="19">
        <v>5</v>
      </c>
      <c r="AE145" s="19">
        <v>5</v>
      </c>
      <c r="AF145" s="19">
        <v>5</v>
      </c>
      <c r="AG145" s="19">
        <v>5</v>
      </c>
      <c r="AH145" s="19">
        <v>5</v>
      </c>
      <c r="AI145" s="19">
        <v>5</v>
      </c>
      <c r="AJ145" s="19">
        <v>5</v>
      </c>
      <c r="AK145" s="19">
        <v>5</v>
      </c>
      <c r="AL145" s="19">
        <v>5</v>
      </c>
      <c r="AM145" s="19">
        <v>5</v>
      </c>
      <c r="AN145" s="19">
        <v>5</v>
      </c>
      <c r="AO145" s="19">
        <v>5</v>
      </c>
      <c r="AP145" s="19">
        <v>10</v>
      </c>
      <c r="AQ145">
        <v>30</v>
      </c>
      <c r="AR145" s="16">
        <v>85.5</v>
      </c>
      <c r="AS145" s="16">
        <v>81</v>
      </c>
      <c r="AT145" s="16">
        <v>15.2</v>
      </c>
      <c r="AU145">
        <v>87.44</v>
      </c>
      <c r="AV145">
        <v>0</v>
      </c>
      <c r="AW145">
        <v>0.94</v>
      </c>
      <c r="AX145">
        <v>1.97</v>
      </c>
      <c r="AY145">
        <v>9.65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2.71</v>
      </c>
      <c r="BG145">
        <v>0.6</v>
      </c>
      <c r="BH145">
        <v>2.17</v>
      </c>
      <c r="BI145">
        <v>5.97</v>
      </c>
      <c r="BJ145">
        <v>2.65</v>
      </c>
      <c r="BK145">
        <v>0</v>
      </c>
      <c r="BL145">
        <v>0</v>
      </c>
      <c r="BM145">
        <v>10.6</v>
      </c>
      <c r="BN145">
        <v>1</v>
      </c>
      <c r="BO145">
        <v>0</v>
      </c>
      <c r="BP145" s="16">
        <v>0</v>
      </c>
      <c r="BQ145" s="16">
        <v>0</v>
      </c>
      <c r="BR145" s="16">
        <v>4.17</v>
      </c>
      <c r="BS145" s="16">
        <v>2.54</v>
      </c>
      <c r="BT145" s="16">
        <v>0</v>
      </c>
      <c r="BU145" s="16">
        <v>0</v>
      </c>
      <c r="BV145" s="16">
        <v>0</v>
      </c>
      <c r="BW145">
        <v>0</v>
      </c>
    </row>
    <row r="146" spans="1:75" x14ac:dyDescent="0.2">
      <c r="A146">
        <v>2</v>
      </c>
      <c r="B146">
        <v>40.0602327173169</v>
      </c>
      <c r="C146">
        <v>0.22450376454483201</v>
      </c>
      <c r="D146">
        <v>8</v>
      </c>
      <c r="E146">
        <v>96</v>
      </c>
      <c r="F146">
        <v>1.85</v>
      </c>
      <c r="G146">
        <v>28.0496712929145</v>
      </c>
      <c r="H146">
        <v>0</v>
      </c>
      <c r="I146">
        <v>0</v>
      </c>
      <c r="J146" s="19">
        <v>0</v>
      </c>
      <c r="K146" s="19">
        <v>0</v>
      </c>
      <c r="L146" s="19">
        <v>0</v>
      </c>
      <c r="M146" s="19">
        <v>0</v>
      </c>
      <c r="N146">
        <v>0</v>
      </c>
      <c r="O146" s="19">
        <v>0</v>
      </c>
      <c r="P146" s="19">
        <v>0</v>
      </c>
      <c r="Q146" s="19">
        <v>0</v>
      </c>
      <c r="R146" s="19">
        <v>0</v>
      </c>
      <c r="S146" s="19">
        <v>0</v>
      </c>
      <c r="T146" s="19">
        <v>0</v>
      </c>
      <c r="U146" s="19">
        <v>0</v>
      </c>
      <c r="V146" s="15">
        <f>AVERAGE(M146:U146)</f>
        <v>0</v>
      </c>
      <c r="W146" s="19">
        <v>2</v>
      </c>
      <c r="X146" s="19">
        <v>2</v>
      </c>
      <c r="Y146" s="19">
        <v>3</v>
      </c>
      <c r="Z146" s="19">
        <v>4</v>
      </c>
      <c r="AA146" s="19">
        <v>2</v>
      </c>
      <c r="AB146" s="19">
        <v>3</v>
      </c>
      <c r="AC146" s="19">
        <v>3</v>
      </c>
      <c r="AD146" s="19">
        <v>2</v>
      </c>
      <c r="AE146" s="19">
        <v>3</v>
      </c>
      <c r="AF146" s="19">
        <v>4</v>
      </c>
      <c r="AG146" s="19">
        <v>3</v>
      </c>
      <c r="AH146" s="19">
        <v>4</v>
      </c>
      <c r="AI146" s="19">
        <v>2</v>
      </c>
      <c r="AJ146" s="19">
        <v>3</v>
      </c>
      <c r="AK146" s="19">
        <v>5</v>
      </c>
      <c r="AL146" s="19">
        <v>5</v>
      </c>
      <c r="AM146" s="19">
        <v>4</v>
      </c>
      <c r="AN146" s="19">
        <v>4</v>
      </c>
      <c r="AO146" s="19">
        <v>4</v>
      </c>
      <c r="AP146" s="19">
        <v>8</v>
      </c>
      <c r="AQ146">
        <v>22.5</v>
      </c>
      <c r="AR146" s="16">
        <v>60.3</v>
      </c>
      <c r="AS146" s="16">
        <v>81</v>
      </c>
      <c r="AT146" s="16">
        <v>13.3</v>
      </c>
      <c r="AU146">
        <v>92.98</v>
      </c>
      <c r="AV146">
        <v>0</v>
      </c>
      <c r="AW146">
        <v>0</v>
      </c>
      <c r="AX146">
        <v>0</v>
      </c>
      <c r="AY146">
        <v>7.02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0.72</v>
      </c>
      <c r="BH146">
        <v>23.12</v>
      </c>
      <c r="BI146">
        <v>24.81</v>
      </c>
      <c r="BJ146">
        <v>0</v>
      </c>
      <c r="BK146">
        <v>0</v>
      </c>
      <c r="BL146">
        <v>0</v>
      </c>
      <c r="BM146">
        <v>0</v>
      </c>
      <c r="BN146">
        <v>1</v>
      </c>
      <c r="BO146">
        <v>0</v>
      </c>
      <c r="BP146" s="16">
        <v>1.26</v>
      </c>
      <c r="BQ146" s="16">
        <v>1</v>
      </c>
      <c r="BR146" s="16">
        <v>6.24</v>
      </c>
      <c r="BS146" s="16">
        <v>6.99</v>
      </c>
      <c r="BT146" s="16">
        <v>0</v>
      </c>
      <c r="BU146" s="16">
        <v>0</v>
      </c>
      <c r="BV146" s="16">
        <v>0</v>
      </c>
      <c r="BW146">
        <v>0</v>
      </c>
    </row>
    <row r="147" spans="1:75" x14ac:dyDescent="0.2">
      <c r="A147">
        <v>1</v>
      </c>
      <c r="B147">
        <v>46.403832991102</v>
      </c>
      <c r="C147">
        <v>7.1211498973306</v>
      </c>
      <c r="D147">
        <v>4</v>
      </c>
      <c r="E147">
        <v>64</v>
      </c>
      <c r="F147">
        <v>1.62</v>
      </c>
      <c r="G147">
        <v>24.386526444139601</v>
      </c>
      <c r="H147">
        <v>0</v>
      </c>
      <c r="I147">
        <v>0</v>
      </c>
      <c r="J147" s="19">
        <v>0</v>
      </c>
      <c r="K147" s="19">
        <v>0</v>
      </c>
      <c r="L147" s="19">
        <v>0</v>
      </c>
      <c r="M147" s="19"/>
      <c r="O147" s="19"/>
      <c r="P147" s="19"/>
      <c r="Q147" s="19"/>
      <c r="R147" s="19"/>
      <c r="S147" s="19"/>
      <c r="T147" s="19"/>
      <c r="U147" s="19"/>
      <c r="V147" s="15"/>
      <c r="W147" s="19">
        <v>3</v>
      </c>
      <c r="X147" s="19">
        <v>1</v>
      </c>
      <c r="Y147" s="19">
        <v>3</v>
      </c>
      <c r="Z147" s="19">
        <v>5</v>
      </c>
      <c r="AA147" s="19">
        <v>2</v>
      </c>
      <c r="AB147" s="19">
        <v>2</v>
      </c>
      <c r="AC147" s="19">
        <v>5</v>
      </c>
      <c r="AD147" s="19">
        <v>3</v>
      </c>
      <c r="AE147" s="19">
        <v>3</v>
      </c>
      <c r="AF147" s="19">
        <v>3</v>
      </c>
      <c r="AG147" s="19">
        <v>5</v>
      </c>
      <c r="AH147" s="19">
        <v>5</v>
      </c>
      <c r="AI147" s="19">
        <v>5</v>
      </c>
      <c r="AJ147" s="19">
        <v>5</v>
      </c>
      <c r="AK147" s="19">
        <v>3</v>
      </c>
      <c r="AL147" s="19">
        <v>5</v>
      </c>
      <c r="AM147" s="19">
        <v>5</v>
      </c>
      <c r="AN147" s="19">
        <v>5</v>
      </c>
      <c r="AO147" s="19">
        <v>5</v>
      </c>
      <c r="AP147" s="19">
        <v>10</v>
      </c>
      <c r="AQ147">
        <v>40</v>
      </c>
      <c r="AR147" s="16">
        <v>84.9</v>
      </c>
      <c r="AS147" s="16">
        <v>81</v>
      </c>
      <c r="AT147" s="16">
        <v>13.2</v>
      </c>
      <c r="AU147">
        <v>93.04</v>
      </c>
      <c r="AV147">
        <v>0</v>
      </c>
      <c r="AW147">
        <v>0</v>
      </c>
      <c r="AX147">
        <v>3.59</v>
      </c>
      <c r="AY147">
        <v>3.38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1.7</v>
      </c>
      <c r="BG147">
        <v>3.97</v>
      </c>
      <c r="BH147">
        <v>39.76</v>
      </c>
      <c r="BI147">
        <v>0.13</v>
      </c>
      <c r="BJ147">
        <v>0</v>
      </c>
      <c r="BK147">
        <v>0</v>
      </c>
      <c r="BL147">
        <v>0</v>
      </c>
      <c r="BM147">
        <v>15.9</v>
      </c>
      <c r="BN147">
        <v>1</v>
      </c>
      <c r="BO147">
        <v>1</v>
      </c>
      <c r="BP147" s="16">
        <v>1.48</v>
      </c>
      <c r="BQ147" s="16">
        <v>1</v>
      </c>
      <c r="BR147" s="16">
        <v>7.34</v>
      </c>
      <c r="BS147" s="16">
        <v>5.01</v>
      </c>
      <c r="BT147" s="16">
        <v>0</v>
      </c>
      <c r="BU147" s="16">
        <v>0</v>
      </c>
      <c r="BV147" s="16">
        <v>0</v>
      </c>
      <c r="BW147">
        <v>0</v>
      </c>
    </row>
    <row r="148" spans="1:75" x14ac:dyDescent="0.2">
      <c r="A148">
        <v>2</v>
      </c>
      <c r="B148">
        <v>42.617385352498303</v>
      </c>
      <c r="C148">
        <v>0.33949349760438102</v>
      </c>
      <c r="D148">
        <v>8</v>
      </c>
      <c r="E148">
        <v>70</v>
      </c>
      <c r="F148">
        <v>1.7</v>
      </c>
      <c r="G148">
        <v>24.2214532871972</v>
      </c>
      <c r="H148">
        <v>0</v>
      </c>
      <c r="I148">
        <v>0</v>
      </c>
      <c r="J148" s="19">
        <v>0</v>
      </c>
      <c r="K148" s="19">
        <v>0</v>
      </c>
      <c r="L148" s="19">
        <v>0</v>
      </c>
      <c r="M148" s="19"/>
      <c r="O148" s="19"/>
      <c r="P148" s="19">
        <v>0</v>
      </c>
      <c r="Q148" s="19">
        <v>0</v>
      </c>
      <c r="R148" s="19">
        <v>0</v>
      </c>
      <c r="S148" s="19">
        <v>0</v>
      </c>
      <c r="T148" s="19">
        <v>0</v>
      </c>
      <c r="U148" s="19"/>
      <c r="V148" s="15">
        <f t="shared" ref="V148:V155" si="4">AVERAGE(M148:U148)</f>
        <v>0</v>
      </c>
      <c r="W148" s="19">
        <v>1</v>
      </c>
      <c r="X148" s="19">
        <v>1</v>
      </c>
      <c r="Y148" s="19">
        <v>3</v>
      </c>
      <c r="Z148" s="19">
        <v>5</v>
      </c>
      <c r="AA148" s="19">
        <v>1</v>
      </c>
      <c r="AB148" s="19">
        <v>1</v>
      </c>
      <c r="AC148" s="19">
        <v>1</v>
      </c>
      <c r="AD148" s="19">
        <v>1</v>
      </c>
      <c r="AE148" s="19">
        <v>5</v>
      </c>
      <c r="AF148" s="19">
        <v>5</v>
      </c>
      <c r="AG148" s="19">
        <v>5</v>
      </c>
      <c r="AH148" s="19">
        <v>5</v>
      </c>
      <c r="AI148" s="19">
        <v>5</v>
      </c>
      <c r="AJ148" s="19">
        <v>5</v>
      </c>
      <c r="AK148" s="19">
        <v>3</v>
      </c>
      <c r="AL148" s="19">
        <v>5</v>
      </c>
      <c r="AM148" s="19">
        <v>5</v>
      </c>
      <c r="AN148" s="19">
        <v>5</v>
      </c>
      <c r="AO148" s="19">
        <v>4</v>
      </c>
      <c r="AP148" s="19">
        <v>10</v>
      </c>
      <c r="AQ148">
        <v>64</v>
      </c>
      <c r="AR148" s="16">
        <v>74.3</v>
      </c>
      <c r="AS148" s="16">
        <v>81</v>
      </c>
      <c r="AT148" s="16">
        <v>58.5</v>
      </c>
      <c r="AU148">
        <v>49.17</v>
      </c>
      <c r="AV148">
        <v>0</v>
      </c>
      <c r="AW148">
        <v>34.450000000000003</v>
      </c>
      <c r="AX148">
        <v>16.22</v>
      </c>
      <c r="AY148">
        <v>0.16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2.52</v>
      </c>
      <c r="BI148">
        <v>9.18</v>
      </c>
      <c r="BJ148">
        <v>0</v>
      </c>
      <c r="BK148">
        <v>0</v>
      </c>
      <c r="BL148">
        <v>0</v>
      </c>
      <c r="BM148">
        <v>0.3</v>
      </c>
      <c r="BN148">
        <v>1</v>
      </c>
      <c r="BO148">
        <v>0</v>
      </c>
      <c r="BP148" s="16">
        <v>2.89</v>
      </c>
      <c r="BQ148" s="16">
        <v>1</v>
      </c>
      <c r="BR148" s="16">
        <v>0</v>
      </c>
      <c r="BS148" s="16">
        <v>0</v>
      </c>
      <c r="BT148" s="16">
        <v>0</v>
      </c>
      <c r="BU148" s="16">
        <v>0</v>
      </c>
      <c r="BV148" s="16">
        <v>0</v>
      </c>
      <c r="BW148">
        <v>0</v>
      </c>
    </row>
    <row r="149" spans="1:75" x14ac:dyDescent="0.2">
      <c r="A149">
        <v>2</v>
      </c>
      <c r="B149">
        <v>32.5256673511294</v>
      </c>
      <c r="C149">
        <v>9.9164955509924706</v>
      </c>
      <c r="D149">
        <v>8</v>
      </c>
      <c r="E149">
        <v>70</v>
      </c>
      <c r="F149">
        <v>1.78</v>
      </c>
      <c r="G149">
        <v>22.093170054286102</v>
      </c>
      <c r="H149">
        <v>0</v>
      </c>
      <c r="I149">
        <v>0</v>
      </c>
      <c r="J149" s="19">
        <v>0</v>
      </c>
      <c r="K149" s="19">
        <v>1</v>
      </c>
      <c r="L149" s="19">
        <v>0</v>
      </c>
      <c r="M149" s="19">
        <v>0</v>
      </c>
      <c r="N149">
        <v>0</v>
      </c>
      <c r="O149" s="19">
        <v>0</v>
      </c>
      <c r="P149" s="19">
        <v>0</v>
      </c>
      <c r="Q149" s="19">
        <v>0</v>
      </c>
      <c r="R149" s="19">
        <v>0</v>
      </c>
      <c r="S149" s="19">
        <v>0</v>
      </c>
      <c r="T149" s="19">
        <v>0</v>
      </c>
      <c r="U149" s="19">
        <v>0</v>
      </c>
      <c r="V149" s="15">
        <f t="shared" si="4"/>
        <v>0</v>
      </c>
      <c r="W149" s="19">
        <v>2</v>
      </c>
      <c r="X149" s="19">
        <v>1</v>
      </c>
      <c r="Y149" s="19">
        <v>4</v>
      </c>
      <c r="Z149" s="19">
        <v>5</v>
      </c>
      <c r="AA149" s="19">
        <v>3</v>
      </c>
      <c r="AB149" s="19">
        <v>4</v>
      </c>
      <c r="AC149" s="19">
        <v>3</v>
      </c>
      <c r="AD149" s="19">
        <v>4</v>
      </c>
      <c r="AE149" s="19">
        <v>3</v>
      </c>
      <c r="AF149" s="19">
        <v>2</v>
      </c>
      <c r="AG149" s="19">
        <v>3</v>
      </c>
      <c r="AH149" s="19">
        <v>4</v>
      </c>
      <c r="AI149" s="19">
        <v>1</v>
      </c>
      <c r="AJ149" s="19">
        <v>1</v>
      </c>
      <c r="AK149" s="19">
        <v>4</v>
      </c>
      <c r="AL149" s="19">
        <v>4</v>
      </c>
      <c r="AM149" s="19">
        <v>4</v>
      </c>
      <c r="AN149" s="19">
        <v>4</v>
      </c>
      <c r="AO149" s="19">
        <v>4</v>
      </c>
      <c r="AP149" s="19">
        <v>9</v>
      </c>
      <c r="AQ149">
        <v>64</v>
      </c>
      <c r="AR149" s="16">
        <v>74.3</v>
      </c>
      <c r="AS149" s="16">
        <v>81</v>
      </c>
      <c r="AT149" s="16">
        <v>58.5</v>
      </c>
      <c r="AU149">
        <v>49.17</v>
      </c>
      <c r="AV149">
        <v>0</v>
      </c>
      <c r="AW149">
        <v>34.450000000000003</v>
      </c>
      <c r="AX149">
        <v>16.22</v>
      </c>
      <c r="AY149">
        <v>0.16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2.52</v>
      </c>
      <c r="BI149">
        <v>9.18</v>
      </c>
      <c r="BJ149">
        <v>0</v>
      </c>
      <c r="BK149">
        <v>0</v>
      </c>
      <c r="BL149">
        <v>0</v>
      </c>
      <c r="BM149">
        <v>0.3</v>
      </c>
      <c r="BN149">
        <v>1</v>
      </c>
      <c r="BO149">
        <v>0</v>
      </c>
      <c r="BP149" s="16">
        <v>2.89</v>
      </c>
      <c r="BQ149" s="16">
        <v>1</v>
      </c>
      <c r="BR149" s="16">
        <v>0</v>
      </c>
      <c r="BS149" s="16">
        <v>0</v>
      </c>
      <c r="BT149" s="16">
        <v>0</v>
      </c>
      <c r="BU149" s="16">
        <v>0</v>
      </c>
      <c r="BV149" s="16">
        <v>0</v>
      </c>
      <c r="BW149">
        <v>0</v>
      </c>
    </row>
    <row r="150" spans="1:75" x14ac:dyDescent="0.2">
      <c r="A150">
        <v>2</v>
      </c>
      <c r="B150">
        <v>26.5653661875428</v>
      </c>
      <c r="C150">
        <v>0.29295003422313498</v>
      </c>
      <c r="D150">
        <v>8</v>
      </c>
      <c r="E150">
        <v>76</v>
      </c>
      <c r="F150">
        <v>1.81</v>
      </c>
      <c r="G150">
        <v>23.198315069747601</v>
      </c>
      <c r="H150">
        <v>0</v>
      </c>
      <c r="I150">
        <v>0</v>
      </c>
      <c r="J150" s="19">
        <v>0</v>
      </c>
      <c r="K150" s="19">
        <v>1</v>
      </c>
      <c r="L150" s="19">
        <v>1</v>
      </c>
      <c r="M150" s="19">
        <v>0</v>
      </c>
      <c r="N150">
        <v>0</v>
      </c>
      <c r="O150" s="19">
        <v>0</v>
      </c>
      <c r="P150" s="19">
        <v>0</v>
      </c>
      <c r="Q150" s="19">
        <v>0</v>
      </c>
      <c r="R150" s="19">
        <v>0</v>
      </c>
      <c r="S150" s="19">
        <v>0</v>
      </c>
      <c r="T150" s="19">
        <v>0</v>
      </c>
      <c r="U150" s="19">
        <v>0</v>
      </c>
      <c r="V150" s="15">
        <f t="shared" si="4"/>
        <v>0</v>
      </c>
      <c r="W150" s="19">
        <v>1</v>
      </c>
      <c r="X150" s="19">
        <v>1</v>
      </c>
      <c r="Y150" s="19">
        <v>3</v>
      </c>
      <c r="Z150" s="19">
        <v>4</v>
      </c>
      <c r="AA150" s="19">
        <v>3</v>
      </c>
      <c r="AB150" s="19">
        <v>2</v>
      </c>
      <c r="AC150" s="19">
        <v>4</v>
      </c>
      <c r="AD150" s="19">
        <v>3</v>
      </c>
      <c r="AE150" s="19">
        <v>4</v>
      </c>
      <c r="AF150" s="19">
        <v>3</v>
      </c>
      <c r="AG150" s="19">
        <v>3</v>
      </c>
      <c r="AH150" s="19">
        <v>5</v>
      </c>
      <c r="AI150" s="19">
        <v>3</v>
      </c>
      <c r="AJ150" s="19">
        <v>4</v>
      </c>
      <c r="AK150" s="19">
        <v>3</v>
      </c>
      <c r="AL150" s="19">
        <v>4</v>
      </c>
      <c r="AM150" s="19">
        <v>3</v>
      </c>
      <c r="AN150" s="19">
        <v>3</v>
      </c>
      <c r="AO150" s="19">
        <v>3</v>
      </c>
      <c r="AP150" s="19">
        <v>10</v>
      </c>
      <c r="AQ150">
        <v>30</v>
      </c>
      <c r="AR150" s="16">
        <v>85.5</v>
      </c>
      <c r="AS150" s="16">
        <v>81</v>
      </c>
      <c r="AT150" s="16">
        <v>15.2</v>
      </c>
      <c r="AU150">
        <v>87.44</v>
      </c>
      <c r="AV150">
        <v>0</v>
      </c>
      <c r="AW150">
        <v>0.94</v>
      </c>
      <c r="AX150">
        <v>1.97</v>
      </c>
      <c r="AY150">
        <v>9.65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2.71</v>
      </c>
      <c r="BG150">
        <v>0.6</v>
      </c>
      <c r="BH150">
        <v>2.17</v>
      </c>
      <c r="BI150">
        <v>5.97</v>
      </c>
      <c r="BJ150">
        <v>2.65</v>
      </c>
      <c r="BK150">
        <v>0</v>
      </c>
      <c r="BL150">
        <v>0</v>
      </c>
      <c r="BM150">
        <v>10.6</v>
      </c>
      <c r="BN150">
        <v>1</v>
      </c>
      <c r="BO150">
        <v>0</v>
      </c>
      <c r="BP150" s="16">
        <v>0</v>
      </c>
      <c r="BQ150" s="16">
        <v>0</v>
      </c>
      <c r="BR150" s="16">
        <v>4.17</v>
      </c>
      <c r="BS150" s="16">
        <v>2.54</v>
      </c>
      <c r="BT150" s="16">
        <v>0</v>
      </c>
      <c r="BU150" s="16">
        <v>0</v>
      </c>
      <c r="BV150" s="16">
        <v>0</v>
      </c>
      <c r="BW150">
        <v>0</v>
      </c>
    </row>
    <row r="151" spans="1:75" x14ac:dyDescent="0.2">
      <c r="A151">
        <v>2</v>
      </c>
      <c r="B151">
        <v>49.897330595482501</v>
      </c>
      <c r="C151">
        <v>15.9151266255989</v>
      </c>
      <c r="D151">
        <v>4</v>
      </c>
      <c r="E151">
        <v>72</v>
      </c>
      <c r="F151">
        <v>1.74</v>
      </c>
      <c r="G151">
        <v>23.781212841854899</v>
      </c>
      <c r="H151">
        <v>1</v>
      </c>
      <c r="I151">
        <v>0</v>
      </c>
      <c r="J151" s="19">
        <v>1</v>
      </c>
      <c r="K151" s="19">
        <v>0</v>
      </c>
      <c r="L151" s="19">
        <v>1</v>
      </c>
      <c r="M151" s="19">
        <v>6</v>
      </c>
      <c r="N151">
        <v>5</v>
      </c>
      <c r="O151" s="19">
        <v>5</v>
      </c>
      <c r="P151" s="19">
        <v>0</v>
      </c>
      <c r="Q151" s="19">
        <v>0</v>
      </c>
      <c r="R151" s="19">
        <v>0</v>
      </c>
      <c r="S151" s="19">
        <v>0</v>
      </c>
      <c r="T151" s="19"/>
      <c r="U151" s="19">
        <v>6</v>
      </c>
      <c r="V151" s="15">
        <f t="shared" si="4"/>
        <v>2.75</v>
      </c>
      <c r="W151" s="19">
        <v>3</v>
      </c>
      <c r="X151" s="19">
        <v>1</v>
      </c>
      <c r="Y151" s="19">
        <v>3</v>
      </c>
      <c r="Z151" s="19">
        <v>5</v>
      </c>
      <c r="AA151" s="19">
        <v>2</v>
      </c>
      <c r="AB151" s="19">
        <v>3</v>
      </c>
      <c r="AC151" s="19">
        <v>3</v>
      </c>
      <c r="AD151" s="19">
        <v>3</v>
      </c>
      <c r="AE151" s="19">
        <v>2</v>
      </c>
      <c r="AF151" s="19">
        <v>3</v>
      </c>
      <c r="AG151" s="19">
        <v>5</v>
      </c>
      <c r="AH151" s="19">
        <v>5</v>
      </c>
      <c r="AI151" s="19">
        <v>5</v>
      </c>
      <c r="AJ151" s="19">
        <v>3</v>
      </c>
      <c r="AK151" s="19">
        <v>3</v>
      </c>
      <c r="AL151" s="19">
        <v>5</v>
      </c>
      <c r="AM151" s="19">
        <v>5</v>
      </c>
      <c r="AN151" s="19">
        <v>5</v>
      </c>
      <c r="AO151" s="19">
        <v>5</v>
      </c>
      <c r="AP151" s="19">
        <v>7</v>
      </c>
      <c r="AQ151">
        <v>40</v>
      </c>
      <c r="AR151" s="16">
        <v>89.1</v>
      </c>
      <c r="AS151" s="16">
        <v>81</v>
      </c>
      <c r="AT151" s="16">
        <v>5.4</v>
      </c>
      <c r="AU151">
        <v>99.83</v>
      </c>
      <c r="AV151">
        <v>0</v>
      </c>
      <c r="AW151">
        <v>0</v>
      </c>
      <c r="AX151">
        <v>0.17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19.8</v>
      </c>
      <c r="BH151">
        <v>8.9499999999999993</v>
      </c>
      <c r="BI151">
        <v>0</v>
      </c>
      <c r="BJ151">
        <v>0</v>
      </c>
      <c r="BK151">
        <v>22.5</v>
      </c>
      <c r="BL151">
        <v>1</v>
      </c>
      <c r="BM151">
        <v>0</v>
      </c>
      <c r="BN151">
        <v>0</v>
      </c>
      <c r="BO151">
        <v>1</v>
      </c>
      <c r="BP151" s="16">
        <v>1.48</v>
      </c>
      <c r="BQ151" s="16">
        <v>1</v>
      </c>
      <c r="BR151" s="16">
        <v>7.71</v>
      </c>
      <c r="BS151" s="16">
        <v>4.3499999999999996</v>
      </c>
      <c r="BT151" s="16">
        <v>0</v>
      </c>
      <c r="BU151" s="16">
        <v>0</v>
      </c>
      <c r="BV151" s="16">
        <v>0</v>
      </c>
      <c r="BW151">
        <v>0</v>
      </c>
    </row>
    <row r="152" spans="1:75" x14ac:dyDescent="0.2">
      <c r="A152">
        <v>1</v>
      </c>
      <c r="B152">
        <v>22.721423682409299</v>
      </c>
      <c r="C152">
        <v>0.31759069130732398</v>
      </c>
      <c r="D152">
        <v>4</v>
      </c>
      <c r="H152">
        <v>0</v>
      </c>
      <c r="I152">
        <v>0</v>
      </c>
      <c r="J152" s="19">
        <v>0</v>
      </c>
      <c r="K152" s="19">
        <v>2</v>
      </c>
      <c r="L152" s="19">
        <v>0</v>
      </c>
      <c r="M152" s="19"/>
      <c r="N152">
        <v>0</v>
      </c>
      <c r="O152" s="19">
        <v>0</v>
      </c>
      <c r="P152" s="19">
        <v>0</v>
      </c>
      <c r="Q152" s="19">
        <v>0</v>
      </c>
      <c r="R152" s="19">
        <v>0</v>
      </c>
      <c r="S152" s="19">
        <v>0</v>
      </c>
      <c r="T152" s="19">
        <v>0</v>
      </c>
      <c r="U152" s="19">
        <v>0</v>
      </c>
      <c r="V152" s="15">
        <f t="shared" si="4"/>
        <v>0</v>
      </c>
      <c r="W152" s="19">
        <v>1</v>
      </c>
      <c r="X152" s="19">
        <v>2</v>
      </c>
      <c r="Y152" s="19">
        <v>3</v>
      </c>
      <c r="Z152" s="19">
        <v>4</v>
      </c>
      <c r="AA152" s="19">
        <v>2</v>
      </c>
      <c r="AB152" s="19">
        <v>2</v>
      </c>
      <c r="AC152" s="19">
        <v>2</v>
      </c>
      <c r="AD152" s="19">
        <v>4</v>
      </c>
      <c r="AE152" s="19">
        <v>3</v>
      </c>
      <c r="AF152" s="19">
        <v>4</v>
      </c>
      <c r="AG152" s="19">
        <v>4</v>
      </c>
      <c r="AH152" s="19">
        <v>5</v>
      </c>
      <c r="AI152" s="19">
        <v>4</v>
      </c>
      <c r="AJ152" s="19">
        <v>5</v>
      </c>
      <c r="AK152" s="19">
        <v>4</v>
      </c>
      <c r="AL152" s="19">
        <v>5</v>
      </c>
      <c r="AM152" s="19">
        <v>5</v>
      </c>
      <c r="AN152" s="19">
        <v>4</v>
      </c>
      <c r="AO152" s="19">
        <v>5</v>
      </c>
      <c r="AP152" s="19">
        <v>10</v>
      </c>
      <c r="AQ152">
        <v>32</v>
      </c>
      <c r="AR152" s="16">
        <v>93.9</v>
      </c>
      <c r="AS152" s="16">
        <v>81</v>
      </c>
      <c r="AT152" s="16">
        <v>11.9</v>
      </c>
      <c r="AU152">
        <v>93.99</v>
      </c>
      <c r="AV152">
        <v>4.91</v>
      </c>
      <c r="AW152">
        <v>0</v>
      </c>
      <c r="AX152">
        <v>0</v>
      </c>
      <c r="AY152">
        <v>1.1000000000000001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21.14</v>
      </c>
      <c r="BI152">
        <v>45.4</v>
      </c>
      <c r="BJ152">
        <v>0</v>
      </c>
      <c r="BK152">
        <v>0</v>
      </c>
      <c r="BL152">
        <v>0</v>
      </c>
      <c r="BM152">
        <v>0.6</v>
      </c>
      <c r="BN152">
        <v>1</v>
      </c>
      <c r="BO152">
        <v>0</v>
      </c>
      <c r="BP152" s="16">
        <v>1.89</v>
      </c>
      <c r="BQ152" s="16">
        <v>1</v>
      </c>
      <c r="BR152" s="16">
        <v>10.119999999999999</v>
      </c>
      <c r="BS152" s="16">
        <v>28</v>
      </c>
      <c r="BT152" s="16">
        <v>2.96</v>
      </c>
      <c r="BU152" s="16">
        <v>11.53</v>
      </c>
      <c r="BV152" s="16">
        <v>0</v>
      </c>
      <c r="BW152">
        <v>0</v>
      </c>
    </row>
    <row r="153" spans="1:75" x14ac:dyDescent="0.2">
      <c r="A153">
        <v>2</v>
      </c>
      <c r="B153">
        <v>19.605749486653</v>
      </c>
      <c r="C153">
        <v>0.29295003422313498</v>
      </c>
      <c r="D153">
        <v>8</v>
      </c>
      <c r="E153">
        <v>60</v>
      </c>
      <c r="F153">
        <v>1.76</v>
      </c>
      <c r="G153">
        <v>19.369834710743799</v>
      </c>
      <c r="H153">
        <v>0</v>
      </c>
      <c r="I153">
        <v>0</v>
      </c>
      <c r="J153" s="19">
        <v>0</v>
      </c>
      <c r="K153" s="19">
        <v>3</v>
      </c>
      <c r="L153" s="19">
        <v>0</v>
      </c>
      <c r="M153" s="19">
        <v>0</v>
      </c>
      <c r="N153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5">
        <f t="shared" si="4"/>
        <v>0</v>
      </c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>
        <v>4</v>
      </c>
      <c r="AN153" s="19">
        <v>4</v>
      </c>
      <c r="AO153" s="19">
        <v>4</v>
      </c>
      <c r="AP153" s="19">
        <v>10</v>
      </c>
      <c r="AQ153">
        <v>32</v>
      </c>
      <c r="AR153" s="16">
        <v>93.9</v>
      </c>
      <c r="AS153" s="16">
        <v>81</v>
      </c>
      <c r="AT153" s="16">
        <v>11.9</v>
      </c>
      <c r="AU153">
        <v>93.99</v>
      </c>
      <c r="AV153">
        <v>4.91</v>
      </c>
      <c r="AW153">
        <v>0</v>
      </c>
      <c r="AX153">
        <v>0</v>
      </c>
      <c r="AY153">
        <v>1.1000000000000001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21.14</v>
      </c>
      <c r="BI153">
        <v>45.4</v>
      </c>
      <c r="BJ153">
        <v>0</v>
      </c>
      <c r="BK153">
        <v>0</v>
      </c>
      <c r="BL153">
        <v>0</v>
      </c>
      <c r="BM153">
        <v>0.6</v>
      </c>
      <c r="BN153">
        <v>1</v>
      </c>
      <c r="BO153">
        <v>0</v>
      </c>
      <c r="BP153" s="16">
        <v>1.89</v>
      </c>
      <c r="BQ153" s="16">
        <v>1</v>
      </c>
      <c r="BR153" s="16">
        <v>10.119999999999999</v>
      </c>
      <c r="BS153" s="16">
        <v>28</v>
      </c>
      <c r="BT153" s="16">
        <v>2.96</v>
      </c>
      <c r="BU153" s="16">
        <v>11.53</v>
      </c>
      <c r="BV153" s="16">
        <v>0</v>
      </c>
      <c r="BW153">
        <v>0</v>
      </c>
    </row>
    <row r="154" spans="1:75" x14ac:dyDescent="0.2">
      <c r="A154">
        <v>2</v>
      </c>
      <c r="B154">
        <v>39.698836413415499</v>
      </c>
      <c r="C154">
        <v>0.26283367556468201</v>
      </c>
      <c r="D154">
        <v>8</v>
      </c>
      <c r="E154">
        <v>65</v>
      </c>
      <c r="F154">
        <v>1.72</v>
      </c>
      <c r="G154">
        <v>21.971335857220101</v>
      </c>
      <c r="H154">
        <v>0</v>
      </c>
      <c r="I154">
        <v>0</v>
      </c>
      <c r="J154" s="19">
        <v>0</v>
      </c>
      <c r="K154" s="19">
        <v>2</v>
      </c>
      <c r="L154" s="19">
        <v>0</v>
      </c>
      <c r="M154" s="19">
        <v>0</v>
      </c>
      <c r="N154">
        <v>0</v>
      </c>
      <c r="O154" s="19">
        <v>0</v>
      </c>
      <c r="P154" s="19">
        <v>0</v>
      </c>
      <c r="Q154" s="19">
        <v>0</v>
      </c>
      <c r="R154" s="19">
        <v>0</v>
      </c>
      <c r="S154" s="19">
        <v>0</v>
      </c>
      <c r="T154" s="19">
        <v>0</v>
      </c>
      <c r="U154" s="19">
        <v>0</v>
      </c>
      <c r="V154" s="15">
        <f t="shared" si="4"/>
        <v>0</v>
      </c>
      <c r="W154" s="19">
        <v>1</v>
      </c>
      <c r="X154" s="19">
        <v>1</v>
      </c>
      <c r="Y154" s="19">
        <v>2</v>
      </c>
      <c r="Z154" s="19">
        <v>4</v>
      </c>
      <c r="AA154" s="19">
        <v>3</v>
      </c>
      <c r="AB154" s="19">
        <v>1</v>
      </c>
      <c r="AC154" s="19">
        <v>1</v>
      </c>
      <c r="AD154" s="19">
        <v>3</v>
      </c>
      <c r="AE154" s="19">
        <v>5</v>
      </c>
      <c r="AF154" s="19">
        <v>5</v>
      </c>
      <c r="AG154" s="19">
        <v>5</v>
      </c>
      <c r="AH154" s="19">
        <v>5</v>
      </c>
      <c r="AI154" s="19">
        <v>5</v>
      </c>
      <c r="AJ154" s="19">
        <v>5</v>
      </c>
      <c r="AK154" s="19">
        <v>5</v>
      </c>
      <c r="AL154" s="19">
        <v>5</v>
      </c>
      <c r="AM154" s="19">
        <v>5</v>
      </c>
      <c r="AN154" s="19">
        <v>5</v>
      </c>
      <c r="AO154" s="19">
        <v>5</v>
      </c>
      <c r="AP154" s="19">
        <v>10</v>
      </c>
      <c r="AQ154">
        <v>32</v>
      </c>
      <c r="AR154" s="16">
        <v>93.9</v>
      </c>
      <c r="AS154" s="16">
        <v>81</v>
      </c>
      <c r="AT154" s="16">
        <v>11.9</v>
      </c>
      <c r="AU154">
        <v>93.99</v>
      </c>
      <c r="AV154">
        <v>4.91</v>
      </c>
      <c r="AW154">
        <v>0</v>
      </c>
      <c r="AX154">
        <v>0</v>
      </c>
      <c r="AY154">
        <v>1.1000000000000001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21.14</v>
      </c>
      <c r="BI154">
        <v>45.4</v>
      </c>
      <c r="BJ154">
        <v>0</v>
      </c>
      <c r="BK154">
        <v>0</v>
      </c>
      <c r="BL154">
        <v>0</v>
      </c>
      <c r="BM154">
        <v>0.6</v>
      </c>
      <c r="BN154">
        <v>1</v>
      </c>
      <c r="BO154">
        <v>0</v>
      </c>
      <c r="BP154" s="16">
        <v>1.89</v>
      </c>
      <c r="BQ154" s="16">
        <v>1</v>
      </c>
      <c r="BR154" s="16">
        <v>10.119999999999999</v>
      </c>
      <c r="BS154" s="16">
        <v>28</v>
      </c>
      <c r="BT154" s="16">
        <v>2.96</v>
      </c>
      <c r="BU154" s="16">
        <v>11.53</v>
      </c>
      <c r="BV154" s="16">
        <v>0</v>
      </c>
      <c r="BW154">
        <v>0</v>
      </c>
    </row>
    <row r="155" spans="1:75" x14ac:dyDescent="0.2">
      <c r="A155">
        <v>2</v>
      </c>
      <c r="B155">
        <v>32.758384668035603</v>
      </c>
      <c r="C155">
        <v>0.216290212183436</v>
      </c>
      <c r="D155">
        <v>8</v>
      </c>
      <c r="H155">
        <v>0</v>
      </c>
      <c r="I155">
        <v>0</v>
      </c>
      <c r="J155" s="19">
        <v>0</v>
      </c>
      <c r="K155" s="19">
        <v>0</v>
      </c>
      <c r="L155" s="19">
        <v>1</v>
      </c>
      <c r="M155" s="19">
        <v>0</v>
      </c>
      <c r="N155">
        <v>0</v>
      </c>
      <c r="O155" s="19">
        <v>0</v>
      </c>
      <c r="P155" s="19">
        <v>0</v>
      </c>
      <c r="Q155" s="19">
        <v>0</v>
      </c>
      <c r="R155" s="19">
        <v>0</v>
      </c>
      <c r="S155" s="19">
        <v>0</v>
      </c>
      <c r="T155" s="19">
        <v>0</v>
      </c>
      <c r="U155" s="19">
        <v>0</v>
      </c>
      <c r="V155" s="15">
        <f t="shared" si="4"/>
        <v>0</v>
      </c>
      <c r="W155" s="19">
        <v>2</v>
      </c>
      <c r="X155" s="19">
        <v>2</v>
      </c>
      <c r="Y155" s="19">
        <v>3</v>
      </c>
      <c r="Z155" s="19">
        <v>5</v>
      </c>
      <c r="AA155" s="19">
        <v>1</v>
      </c>
      <c r="AB155" s="19">
        <v>1</v>
      </c>
      <c r="AC155" s="19">
        <v>1</v>
      </c>
      <c r="AD155" s="19">
        <v>2</v>
      </c>
      <c r="AE155" s="19">
        <v>2</v>
      </c>
      <c r="AF155" s="19">
        <v>4</v>
      </c>
      <c r="AG155" s="19">
        <v>4</v>
      </c>
      <c r="AH155" s="19">
        <v>5</v>
      </c>
      <c r="AI155" s="19">
        <v>3</v>
      </c>
      <c r="AJ155" s="19">
        <v>2</v>
      </c>
      <c r="AK155" s="19">
        <v>2</v>
      </c>
      <c r="AL155" s="19">
        <v>4</v>
      </c>
      <c r="AM155" s="19">
        <v>2</v>
      </c>
      <c r="AN155" s="19">
        <v>3</v>
      </c>
      <c r="AO155" s="19">
        <v>4</v>
      </c>
      <c r="AP155" s="19">
        <v>10</v>
      </c>
      <c r="AQ155">
        <v>32</v>
      </c>
      <c r="AR155" s="16">
        <v>93.9</v>
      </c>
      <c r="AS155" s="16">
        <v>81</v>
      </c>
      <c r="AT155" s="16">
        <v>11.9</v>
      </c>
      <c r="AU155">
        <v>93.99</v>
      </c>
      <c r="AV155">
        <v>4.91</v>
      </c>
      <c r="AW155">
        <v>0</v>
      </c>
      <c r="AX155">
        <v>0</v>
      </c>
      <c r="AY155">
        <v>1.1000000000000001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21.14</v>
      </c>
      <c r="BI155">
        <v>45.4</v>
      </c>
      <c r="BJ155">
        <v>0</v>
      </c>
      <c r="BK155">
        <v>0</v>
      </c>
      <c r="BL155">
        <v>0</v>
      </c>
      <c r="BM155">
        <v>0.6</v>
      </c>
      <c r="BN155">
        <v>1</v>
      </c>
      <c r="BO155">
        <v>0</v>
      </c>
      <c r="BP155" s="16">
        <v>1.89</v>
      </c>
      <c r="BQ155" s="16">
        <v>1</v>
      </c>
      <c r="BR155" s="16">
        <v>10.119999999999999</v>
      </c>
      <c r="BS155" s="16">
        <v>28</v>
      </c>
      <c r="BT155" s="16">
        <v>2.96</v>
      </c>
      <c r="BU155" s="16">
        <v>11.53</v>
      </c>
      <c r="BV155" s="16">
        <v>0</v>
      </c>
      <c r="BW155">
        <v>0</v>
      </c>
    </row>
    <row r="156" spans="1:75" x14ac:dyDescent="0.2">
      <c r="A156">
        <v>2</v>
      </c>
      <c r="B156">
        <v>35.441478439425097</v>
      </c>
      <c r="C156">
        <v>7.1156741957563296</v>
      </c>
      <c r="D156">
        <v>8</v>
      </c>
      <c r="E156">
        <v>87</v>
      </c>
      <c r="F156">
        <v>1.78</v>
      </c>
      <c r="G156">
        <v>27.458654210327001</v>
      </c>
      <c r="H156">
        <v>0</v>
      </c>
      <c r="I156">
        <v>0</v>
      </c>
      <c r="J156" s="19">
        <v>0</v>
      </c>
      <c r="K156" s="19">
        <v>0</v>
      </c>
      <c r="L156" s="19">
        <v>1</v>
      </c>
      <c r="M156" s="19"/>
      <c r="O156" s="19"/>
      <c r="P156" s="19"/>
      <c r="Q156" s="19"/>
      <c r="R156" s="19"/>
      <c r="S156" s="19"/>
      <c r="T156" s="19"/>
      <c r="U156" s="19"/>
      <c r="V156" s="15"/>
      <c r="W156" s="19">
        <v>3</v>
      </c>
      <c r="X156" s="19">
        <v>3</v>
      </c>
      <c r="Y156" s="19">
        <v>4</v>
      </c>
      <c r="Z156" s="19">
        <v>5</v>
      </c>
      <c r="AA156" s="19">
        <v>2</v>
      </c>
      <c r="AB156" s="19">
        <v>5</v>
      </c>
      <c r="AC156" s="19">
        <v>4</v>
      </c>
      <c r="AD156" s="19">
        <v>4</v>
      </c>
      <c r="AE156" s="19">
        <v>1</v>
      </c>
      <c r="AF156" s="19">
        <v>2</v>
      </c>
      <c r="AG156" s="19">
        <v>3</v>
      </c>
      <c r="AH156" s="19">
        <v>3</v>
      </c>
      <c r="AI156" s="19">
        <v>3</v>
      </c>
      <c r="AJ156" s="19">
        <v>2</v>
      </c>
      <c r="AK156" s="19">
        <v>4</v>
      </c>
      <c r="AL156" s="19">
        <v>3</v>
      </c>
      <c r="AM156" s="19">
        <v>3</v>
      </c>
      <c r="AN156" s="19">
        <v>4</v>
      </c>
      <c r="AO156" s="19">
        <v>3</v>
      </c>
      <c r="AP156" s="19">
        <v>5</v>
      </c>
      <c r="AQ156">
        <v>22</v>
      </c>
      <c r="AR156" s="16">
        <v>82.5</v>
      </c>
      <c r="AS156" s="16">
        <v>81</v>
      </c>
      <c r="AT156" s="16">
        <v>15.1</v>
      </c>
      <c r="AU156">
        <v>0</v>
      </c>
      <c r="AV156">
        <v>0</v>
      </c>
      <c r="AW156">
        <v>0</v>
      </c>
      <c r="AX156">
        <v>2</v>
      </c>
      <c r="AY156">
        <v>8.67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5.88</v>
      </c>
      <c r="BG156">
        <v>34.729999999999997</v>
      </c>
      <c r="BH156">
        <v>6.44</v>
      </c>
      <c r="BI156">
        <v>0</v>
      </c>
      <c r="BJ156">
        <v>0</v>
      </c>
      <c r="BK156">
        <v>0</v>
      </c>
      <c r="BL156">
        <v>0</v>
      </c>
      <c r="BM156">
        <v>5.8</v>
      </c>
      <c r="BN156">
        <v>1</v>
      </c>
      <c r="BO156">
        <v>0</v>
      </c>
      <c r="BP156" s="16">
        <v>0</v>
      </c>
      <c r="BQ156" s="16">
        <v>0</v>
      </c>
      <c r="BR156" s="16">
        <v>0.77</v>
      </c>
      <c r="BS156" s="16">
        <v>0.77</v>
      </c>
      <c r="BT156" s="16">
        <v>0</v>
      </c>
      <c r="BU156" s="16">
        <v>0</v>
      </c>
      <c r="BV156" s="16">
        <v>0</v>
      </c>
      <c r="BW156">
        <v>0</v>
      </c>
    </row>
    <row r="157" spans="1:75" x14ac:dyDescent="0.2">
      <c r="A157">
        <v>2</v>
      </c>
      <c r="B157">
        <v>26.2313483915127</v>
      </c>
      <c r="C157">
        <v>6.6392881587953498</v>
      </c>
      <c r="D157">
        <v>4</v>
      </c>
      <c r="E157">
        <v>68</v>
      </c>
      <c r="F157">
        <v>1.69</v>
      </c>
      <c r="G157">
        <v>23.808690171912801</v>
      </c>
      <c r="H157">
        <v>0</v>
      </c>
      <c r="I157">
        <v>0</v>
      </c>
      <c r="J157" s="19">
        <v>0</v>
      </c>
      <c r="K157" s="19">
        <v>2</v>
      </c>
      <c r="L157" s="19">
        <v>0</v>
      </c>
      <c r="M157" s="19">
        <v>0</v>
      </c>
      <c r="N157">
        <v>0</v>
      </c>
      <c r="O157" s="19">
        <v>0</v>
      </c>
      <c r="P157" s="19">
        <v>0</v>
      </c>
      <c r="Q157" s="19">
        <v>0</v>
      </c>
      <c r="R157" s="19">
        <v>0</v>
      </c>
      <c r="S157" s="19">
        <v>0</v>
      </c>
      <c r="T157" s="19">
        <v>0</v>
      </c>
      <c r="U157" s="19">
        <v>0</v>
      </c>
      <c r="V157" s="15">
        <f t="shared" ref="V157:V162" si="5">AVERAGE(M157:U157)</f>
        <v>0</v>
      </c>
      <c r="W157" s="19">
        <v>1</v>
      </c>
      <c r="X157" s="19">
        <v>2</v>
      </c>
      <c r="Y157" s="19">
        <v>3</v>
      </c>
      <c r="Z157" s="19">
        <v>4</v>
      </c>
      <c r="AA157" s="19">
        <v>3</v>
      </c>
      <c r="AB157" s="19">
        <v>2</v>
      </c>
      <c r="AC157" s="19">
        <v>3</v>
      </c>
      <c r="AD157" s="19">
        <v>3</v>
      </c>
      <c r="AE157" s="19">
        <v>3</v>
      </c>
      <c r="AF157" s="19">
        <v>3</v>
      </c>
      <c r="AG157" s="19">
        <v>4</v>
      </c>
      <c r="AH157" s="19">
        <v>5</v>
      </c>
      <c r="AI157" s="19">
        <v>5</v>
      </c>
      <c r="AJ157" s="19">
        <v>5</v>
      </c>
      <c r="AK157" s="19">
        <v>5</v>
      </c>
      <c r="AL157" s="19">
        <v>5</v>
      </c>
      <c r="AM157" s="19">
        <v>5</v>
      </c>
      <c r="AN157" s="19">
        <v>5</v>
      </c>
      <c r="AO157" s="19">
        <v>5</v>
      </c>
      <c r="AP157" s="19">
        <v>10</v>
      </c>
      <c r="AQ157">
        <v>33</v>
      </c>
      <c r="AR157" s="16">
        <v>71.2</v>
      </c>
      <c r="AS157" s="16">
        <v>80.400000000000006</v>
      </c>
      <c r="AT157" s="16">
        <v>16.3</v>
      </c>
      <c r="AU157">
        <v>83.24</v>
      </c>
      <c r="AV157" s="17">
        <v>0</v>
      </c>
      <c r="AW157">
        <v>0</v>
      </c>
      <c r="AX157">
        <v>0</v>
      </c>
      <c r="AY157">
        <v>14.14</v>
      </c>
      <c r="AZ157">
        <v>0</v>
      </c>
      <c r="BA157">
        <v>2.63</v>
      </c>
      <c r="BB157">
        <v>0</v>
      </c>
      <c r="BC157">
        <v>0</v>
      </c>
      <c r="BD157">
        <v>0</v>
      </c>
      <c r="BE157">
        <v>0</v>
      </c>
      <c r="BF157">
        <v>2.63</v>
      </c>
      <c r="BG157">
        <v>10.16</v>
      </c>
      <c r="BH157">
        <v>20.83</v>
      </c>
      <c r="BI157">
        <v>24.81</v>
      </c>
      <c r="BJ157">
        <v>0</v>
      </c>
      <c r="BK157">
        <v>11.2</v>
      </c>
      <c r="BL157">
        <v>1</v>
      </c>
      <c r="BM157">
        <v>0</v>
      </c>
      <c r="BN157">
        <v>0</v>
      </c>
      <c r="BO157">
        <v>0</v>
      </c>
      <c r="BP157" s="16">
        <v>2.71</v>
      </c>
      <c r="BQ157" s="16">
        <v>1</v>
      </c>
      <c r="BR157" s="16">
        <v>2.63</v>
      </c>
      <c r="BS157" s="16">
        <v>2.6</v>
      </c>
      <c r="BT157" s="16">
        <v>0</v>
      </c>
      <c r="BU157" s="16">
        <v>0</v>
      </c>
      <c r="BV157" s="16">
        <v>0</v>
      </c>
      <c r="BW157">
        <v>0</v>
      </c>
    </row>
    <row r="158" spans="1:75" x14ac:dyDescent="0.2">
      <c r="A158">
        <v>2</v>
      </c>
      <c r="B158">
        <v>20.7583846680356</v>
      </c>
      <c r="C158">
        <v>0.27652292950034202</v>
      </c>
      <c r="D158">
        <v>4</v>
      </c>
      <c r="E158">
        <v>65</v>
      </c>
      <c r="F158">
        <v>1.76</v>
      </c>
      <c r="G158">
        <v>20.983987603305799</v>
      </c>
      <c r="H158">
        <v>0</v>
      </c>
      <c r="I158">
        <v>0</v>
      </c>
      <c r="J158" s="19">
        <v>0</v>
      </c>
      <c r="K158" s="19">
        <v>0</v>
      </c>
      <c r="L158" s="19">
        <v>0</v>
      </c>
      <c r="M158" s="19">
        <v>0</v>
      </c>
      <c r="N158">
        <v>0</v>
      </c>
      <c r="O158" s="19">
        <v>0</v>
      </c>
      <c r="P158" s="19">
        <v>0</v>
      </c>
      <c r="Q158" s="19">
        <v>0</v>
      </c>
      <c r="R158" s="19">
        <v>0</v>
      </c>
      <c r="S158" s="19">
        <v>0</v>
      </c>
      <c r="T158" s="19">
        <v>0</v>
      </c>
      <c r="U158" s="19">
        <v>0</v>
      </c>
      <c r="V158" s="15">
        <f t="shared" si="5"/>
        <v>0</v>
      </c>
      <c r="W158" s="19">
        <v>1</v>
      </c>
      <c r="X158" s="19">
        <v>2</v>
      </c>
      <c r="Y158" s="19">
        <v>3</v>
      </c>
      <c r="Z158" s="19">
        <v>4</v>
      </c>
      <c r="AA158" s="19">
        <v>3</v>
      </c>
      <c r="AB158" s="19">
        <v>2</v>
      </c>
      <c r="AC158" s="19">
        <v>3</v>
      </c>
      <c r="AD158" s="19">
        <v>3</v>
      </c>
      <c r="AE158" s="19">
        <v>4</v>
      </c>
      <c r="AF158" s="19">
        <v>4</v>
      </c>
      <c r="AG158" s="19">
        <v>4</v>
      </c>
      <c r="AH158" s="19">
        <v>4</v>
      </c>
      <c r="AI158" s="19">
        <v>4</v>
      </c>
      <c r="AJ158" s="19">
        <v>4</v>
      </c>
      <c r="AK158" s="19">
        <v>4</v>
      </c>
      <c r="AL158" s="19">
        <v>5</v>
      </c>
      <c r="AM158" s="19">
        <v>4</v>
      </c>
      <c r="AN158" s="19">
        <v>4</v>
      </c>
      <c r="AO158" s="19">
        <v>4</v>
      </c>
      <c r="AP158" s="19">
        <v>10</v>
      </c>
      <c r="AQ158">
        <v>33</v>
      </c>
      <c r="AR158" s="16">
        <v>71.2</v>
      </c>
      <c r="AS158" s="16">
        <v>80.400000000000006</v>
      </c>
      <c r="AT158" s="16">
        <v>16.3</v>
      </c>
      <c r="AU158">
        <v>83.24</v>
      </c>
      <c r="AV158" s="17">
        <v>0</v>
      </c>
      <c r="AW158">
        <v>0</v>
      </c>
      <c r="AX158">
        <v>0</v>
      </c>
      <c r="AY158">
        <v>14.14</v>
      </c>
      <c r="AZ158">
        <v>0</v>
      </c>
      <c r="BA158">
        <v>2.63</v>
      </c>
      <c r="BB158">
        <v>0</v>
      </c>
      <c r="BC158">
        <v>0</v>
      </c>
      <c r="BD158">
        <v>0</v>
      </c>
      <c r="BE158">
        <v>0</v>
      </c>
      <c r="BF158">
        <v>2.63</v>
      </c>
      <c r="BG158">
        <v>10.16</v>
      </c>
      <c r="BH158">
        <v>20.83</v>
      </c>
      <c r="BI158">
        <v>24.81</v>
      </c>
      <c r="BJ158">
        <v>0</v>
      </c>
      <c r="BK158">
        <v>11.2</v>
      </c>
      <c r="BL158">
        <v>1</v>
      </c>
      <c r="BM158">
        <v>0</v>
      </c>
      <c r="BN158">
        <v>0</v>
      </c>
      <c r="BO158">
        <v>0</v>
      </c>
      <c r="BP158" s="16">
        <v>2.71</v>
      </c>
      <c r="BQ158" s="16">
        <v>1</v>
      </c>
      <c r="BR158" s="16">
        <v>2.63</v>
      </c>
      <c r="BS158" s="16">
        <v>2.6</v>
      </c>
      <c r="BT158" s="16">
        <v>0</v>
      </c>
      <c r="BU158" s="16">
        <v>0</v>
      </c>
      <c r="BV158" s="16">
        <v>0</v>
      </c>
      <c r="BW158">
        <v>0</v>
      </c>
    </row>
    <row r="159" spans="1:75" x14ac:dyDescent="0.2">
      <c r="A159">
        <v>2</v>
      </c>
      <c r="B159">
        <v>29.856262833675601</v>
      </c>
      <c r="C159">
        <v>5.9520876112251901</v>
      </c>
      <c r="D159">
        <v>4</v>
      </c>
      <c r="E159">
        <v>70</v>
      </c>
      <c r="F159">
        <v>1.64</v>
      </c>
      <c r="G159">
        <v>26.026174895895299</v>
      </c>
      <c r="H159">
        <v>0</v>
      </c>
      <c r="I159">
        <v>0</v>
      </c>
      <c r="J159" s="19">
        <v>1</v>
      </c>
      <c r="K159" s="19">
        <v>0</v>
      </c>
      <c r="L159" s="19">
        <v>0</v>
      </c>
      <c r="M159" s="19">
        <v>0</v>
      </c>
      <c r="N159">
        <v>0</v>
      </c>
      <c r="O159" s="19">
        <v>10</v>
      </c>
      <c r="P159" s="19">
        <v>7</v>
      </c>
      <c r="Q159" s="19">
        <v>0</v>
      </c>
      <c r="R159" s="19">
        <v>7</v>
      </c>
      <c r="S159" s="19">
        <v>0</v>
      </c>
      <c r="T159" s="19">
        <v>0</v>
      </c>
      <c r="U159" s="19">
        <v>0</v>
      </c>
      <c r="V159" s="15">
        <f t="shared" si="5"/>
        <v>2.6666666666666665</v>
      </c>
      <c r="W159" s="19">
        <v>3</v>
      </c>
      <c r="X159" s="19">
        <v>3</v>
      </c>
      <c r="Y159" s="19">
        <v>4</v>
      </c>
      <c r="Z159" s="19">
        <v>5</v>
      </c>
      <c r="AA159" s="19">
        <v>3</v>
      </c>
      <c r="AB159" s="19">
        <v>3</v>
      </c>
      <c r="AC159" s="19">
        <v>2</v>
      </c>
      <c r="AD159" s="19">
        <v>3</v>
      </c>
      <c r="AE159" s="19">
        <v>2</v>
      </c>
      <c r="AF159" s="19">
        <v>3</v>
      </c>
      <c r="AG159" s="19">
        <v>3</v>
      </c>
      <c r="AH159" s="19">
        <v>5</v>
      </c>
      <c r="AI159" s="19">
        <v>4</v>
      </c>
      <c r="AJ159" s="19">
        <v>4</v>
      </c>
      <c r="AK159" s="19">
        <v>4</v>
      </c>
      <c r="AL159" s="19">
        <v>4</v>
      </c>
      <c r="AM159" s="19">
        <v>3</v>
      </c>
      <c r="AN159" s="19">
        <v>3</v>
      </c>
      <c r="AO159" s="19">
        <v>3</v>
      </c>
      <c r="AP159" s="19">
        <v>6</v>
      </c>
      <c r="AQ159">
        <v>33</v>
      </c>
      <c r="AR159" s="16">
        <v>71.2</v>
      </c>
      <c r="AS159" s="16">
        <v>80.400000000000006</v>
      </c>
      <c r="AT159" s="16">
        <v>16.3</v>
      </c>
      <c r="AU159">
        <v>83.24</v>
      </c>
      <c r="AV159" s="17">
        <v>0</v>
      </c>
      <c r="AW159">
        <v>0</v>
      </c>
      <c r="AX159">
        <v>0</v>
      </c>
      <c r="AY159">
        <v>14.14</v>
      </c>
      <c r="AZ159">
        <v>0</v>
      </c>
      <c r="BA159">
        <v>2.63</v>
      </c>
      <c r="BB159">
        <v>0</v>
      </c>
      <c r="BC159">
        <v>0</v>
      </c>
      <c r="BD159">
        <v>0</v>
      </c>
      <c r="BE159">
        <v>0</v>
      </c>
      <c r="BF159">
        <v>2.63</v>
      </c>
      <c r="BG159">
        <v>10.16</v>
      </c>
      <c r="BH159">
        <v>20.83</v>
      </c>
      <c r="BI159">
        <v>24.81</v>
      </c>
      <c r="BJ159">
        <v>0</v>
      </c>
      <c r="BK159">
        <v>11.2</v>
      </c>
      <c r="BL159">
        <v>1</v>
      </c>
      <c r="BM159">
        <v>0</v>
      </c>
      <c r="BN159">
        <v>0</v>
      </c>
      <c r="BO159">
        <v>0</v>
      </c>
      <c r="BP159" s="16">
        <v>2.71</v>
      </c>
      <c r="BQ159" s="16">
        <v>1</v>
      </c>
      <c r="BR159" s="16">
        <v>2.63</v>
      </c>
      <c r="BS159" s="16">
        <v>2.6</v>
      </c>
      <c r="BT159" s="16">
        <v>0</v>
      </c>
      <c r="BU159" s="16">
        <v>0</v>
      </c>
      <c r="BV159" s="16">
        <v>0</v>
      </c>
      <c r="BW159">
        <v>0</v>
      </c>
    </row>
    <row r="160" spans="1:75" x14ac:dyDescent="0.2">
      <c r="A160">
        <v>2</v>
      </c>
      <c r="B160">
        <v>20.2737850787132</v>
      </c>
      <c r="C160">
        <v>0.24914442162902101</v>
      </c>
      <c r="D160">
        <v>4</v>
      </c>
      <c r="E160">
        <v>100</v>
      </c>
      <c r="F160">
        <v>1.7</v>
      </c>
      <c r="G160">
        <v>34.602076124567503</v>
      </c>
      <c r="H160">
        <v>0</v>
      </c>
      <c r="I160">
        <v>0</v>
      </c>
      <c r="J160" s="19">
        <v>0</v>
      </c>
      <c r="K160" s="19">
        <v>2</v>
      </c>
      <c r="L160" s="19">
        <v>0</v>
      </c>
      <c r="M160" s="19">
        <v>0</v>
      </c>
      <c r="N160">
        <v>0</v>
      </c>
      <c r="O160" s="19">
        <v>0</v>
      </c>
      <c r="P160" s="19">
        <v>0</v>
      </c>
      <c r="Q160" s="19">
        <v>0</v>
      </c>
      <c r="R160" s="19">
        <v>0</v>
      </c>
      <c r="S160" s="19">
        <v>0</v>
      </c>
      <c r="T160" s="19">
        <v>0</v>
      </c>
      <c r="U160" s="19">
        <v>0</v>
      </c>
      <c r="V160" s="15">
        <f t="shared" si="5"/>
        <v>0</v>
      </c>
      <c r="W160" s="19">
        <v>3</v>
      </c>
      <c r="X160" s="19">
        <v>3</v>
      </c>
      <c r="Y160" s="19">
        <v>5</v>
      </c>
      <c r="Z160" s="19">
        <v>5</v>
      </c>
      <c r="AA160" s="19"/>
      <c r="AB160" s="19">
        <v>3</v>
      </c>
      <c r="AC160" s="19">
        <v>1</v>
      </c>
      <c r="AD160" s="19">
        <v>4</v>
      </c>
      <c r="AE160" s="19">
        <v>5</v>
      </c>
      <c r="AF160" s="19">
        <v>2</v>
      </c>
      <c r="AG160" s="19">
        <v>5</v>
      </c>
      <c r="AH160" s="19">
        <v>5</v>
      </c>
      <c r="AI160" s="19">
        <v>3</v>
      </c>
      <c r="AJ160" s="19">
        <v>5</v>
      </c>
      <c r="AK160" s="19">
        <v>5</v>
      </c>
      <c r="AL160" s="19">
        <v>5</v>
      </c>
      <c r="AM160" s="19">
        <v>5</v>
      </c>
      <c r="AN160" s="19">
        <v>5</v>
      </c>
      <c r="AO160" s="19">
        <v>4</v>
      </c>
      <c r="AP160" s="19">
        <v>10</v>
      </c>
      <c r="AQ160">
        <v>33</v>
      </c>
      <c r="AR160" s="16">
        <v>71.2</v>
      </c>
      <c r="AS160" s="16">
        <v>80.400000000000006</v>
      </c>
      <c r="AT160" s="16">
        <v>16.3</v>
      </c>
      <c r="AU160">
        <v>83.24</v>
      </c>
      <c r="AV160" s="17">
        <v>0</v>
      </c>
      <c r="AW160">
        <v>0</v>
      </c>
      <c r="AX160">
        <v>0</v>
      </c>
      <c r="AY160">
        <v>14.14</v>
      </c>
      <c r="AZ160">
        <v>0</v>
      </c>
      <c r="BA160">
        <v>2.63</v>
      </c>
      <c r="BB160">
        <v>0</v>
      </c>
      <c r="BC160">
        <v>0</v>
      </c>
      <c r="BD160">
        <v>0</v>
      </c>
      <c r="BE160">
        <v>0</v>
      </c>
      <c r="BF160">
        <v>2.63</v>
      </c>
      <c r="BG160">
        <v>10.16</v>
      </c>
      <c r="BH160">
        <v>20.83</v>
      </c>
      <c r="BI160">
        <v>24.81</v>
      </c>
      <c r="BJ160">
        <v>0</v>
      </c>
      <c r="BK160">
        <v>11.2</v>
      </c>
      <c r="BL160">
        <v>1</v>
      </c>
      <c r="BM160">
        <v>0</v>
      </c>
      <c r="BN160">
        <v>0</v>
      </c>
      <c r="BO160">
        <v>0</v>
      </c>
      <c r="BP160" s="16">
        <v>2.71</v>
      </c>
      <c r="BQ160" s="16">
        <v>1</v>
      </c>
      <c r="BR160" s="16">
        <v>2.63</v>
      </c>
      <c r="BS160" s="16">
        <v>2.6</v>
      </c>
      <c r="BT160" s="16">
        <v>0</v>
      </c>
      <c r="BU160" s="16">
        <v>0</v>
      </c>
      <c r="BV160" s="16">
        <v>0</v>
      </c>
      <c r="BW160">
        <v>0</v>
      </c>
    </row>
    <row r="161" spans="1:75" x14ac:dyDescent="0.2">
      <c r="A161">
        <v>2</v>
      </c>
      <c r="B161">
        <v>25.921971252566699</v>
      </c>
      <c r="C161">
        <v>0.2217659137577</v>
      </c>
      <c r="D161">
        <v>4</v>
      </c>
      <c r="E161">
        <v>70</v>
      </c>
      <c r="F161">
        <v>1.76</v>
      </c>
      <c r="G161">
        <v>22.598140495867799</v>
      </c>
      <c r="H161">
        <v>0</v>
      </c>
      <c r="I161">
        <v>0</v>
      </c>
      <c r="J161" s="19">
        <v>0</v>
      </c>
      <c r="K161" s="19">
        <v>0</v>
      </c>
      <c r="L161" s="19">
        <v>0</v>
      </c>
      <c r="M161" s="19">
        <v>0</v>
      </c>
      <c r="N161">
        <v>0</v>
      </c>
      <c r="O161" s="19">
        <v>0</v>
      </c>
      <c r="P161" s="19">
        <v>0</v>
      </c>
      <c r="Q161" s="19">
        <v>0</v>
      </c>
      <c r="R161" s="19">
        <v>0</v>
      </c>
      <c r="S161" s="19">
        <v>0</v>
      </c>
      <c r="T161" s="19">
        <v>0</v>
      </c>
      <c r="U161" s="19">
        <v>0</v>
      </c>
      <c r="V161" s="15">
        <f t="shared" si="5"/>
        <v>0</v>
      </c>
      <c r="W161" s="19">
        <v>2</v>
      </c>
      <c r="X161" s="19">
        <v>2</v>
      </c>
      <c r="Y161" s="19">
        <v>3</v>
      </c>
      <c r="Z161" s="19">
        <v>4</v>
      </c>
      <c r="AA161" s="19">
        <v>2</v>
      </c>
      <c r="AB161" s="19">
        <v>2</v>
      </c>
      <c r="AC161" s="19">
        <v>2</v>
      </c>
      <c r="AD161" s="19">
        <v>3</v>
      </c>
      <c r="AE161" s="19">
        <v>3</v>
      </c>
      <c r="AF161" s="19">
        <v>4</v>
      </c>
      <c r="AG161" s="19">
        <v>4</v>
      </c>
      <c r="AH161" s="19">
        <v>4</v>
      </c>
      <c r="AI161" s="19">
        <v>4</v>
      </c>
      <c r="AJ161" s="19">
        <v>4</v>
      </c>
      <c r="AK161" s="19">
        <v>5</v>
      </c>
      <c r="AL161" s="19">
        <v>5</v>
      </c>
      <c r="AM161" s="19">
        <v>5</v>
      </c>
      <c r="AN161" s="19">
        <v>5</v>
      </c>
      <c r="AO161" s="19">
        <v>4</v>
      </c>
      <c r="AP161" s="19">
        <v>10</v>
      </c>
      <c r="AQ161">
        <v>33</v>
      </c>
      <c r="AR161" s="16">
        <v>71.2</v>
      </c>
      <c r="AS161" s="16">
        <v>80.400000000000006</v>
      </c>
      <c r="AT161" s="16">
        <v>16.3</v>
      </c>
      <c r="AU161">
        <v>83.24</v>
      </c>
      <c r="AV161" s="17">
        <v>0</v>
      </c>
      <c r="AW161">
        <v>0</v>
      </c>
      <c r="AX161">
        <v>0</v>
      </c>
      <c r="AY161">
        <v>14.14</v>
      </c>
      <c r="AZ161">
        <v>0</v>
      </c>
      <c r="BA161">
        <v>2.63</v>
      </c>
      <c r="BB161">
        <v>0</v>
      </c>
      <c r="BC161">
        <v>0</v>
      </c>
      <c r="BD161">
        <v>0</v>
      </c>
      <c r="BE161">
        <v>0</v>
      </c>
      <c r="BF161">
        <v>2.63</v>
      </c>
      <c r="BG161">
        <v>10.16</v>
      </c>
      <c r="BH161">
        <v>20.83</v>
      </c>
      <c r="BI161">
        <v>24.81</v>
      </c>
      <c r="BJ161">
        <v>0</v>
      </c>
      <c r="BK161">
        <v>11.2</v>
      </c>
      <c r="BL161">
        <v>1</v>
      </c>
      <c r="BM161">
        <v>0</v>
      </c>
      <c r="BN161">
        <v>0</v>
      </c>
      <c r="BO161">
        <v>0</v>
      </c>
      <c r="BP161" s="16">
        <v>2.71</v>
      </c>
      <c r="BQ161" s="16">
        <v>1</v>
      </c>
      <c r="BR161" s="16">
        <v>2.63</v>
      </c>
      <c r="BS161" s="16">
        <v>2.6</v>
      </c>
      <c r="BT161" s="16">
        <v>0</v>
      </c>
      <c r="BU161" s="16">
        <v>0</v>
      </c>
      <c r="BV161" s="16">
        <v>0</v>
      </c>
      <c r="BW161">
        <v>0</v>
      </c>
    </row>
    <row r="162" spans="1:75" x14ac:dyDescent="0.2">
      <c r="A162">
        <v>2</v>
      </c>
      <c r="B162">
        <v>31.123887748117699</v>
      </c>
      <c r="C162">
        <v>9.5824777549623597E-2</v>
      </c>
      <c r="D162">
        <v>4</v>
      </c>
      <c r="E162">
        <v>74</v>
      </c>
      <c r="F162">
        <v>1.77</v>
      </c>
      <c r="G162">
        <v>23.620287912158101</v>
      </c>
      <c r="H162">
        <v>0</v>
      </c>
      <c r="I162">
        <v>0</v>
      </c>
      <c r="J162" s="19">
        <v>0</v>
      </c>
      <c r="K162" s="19">
        <v>1</v>
      </c>
      <c r="L162" s="19">
        <v>0</v>
      </c>
      <c r="M162" s="19"/>
      <c r="O162" s="19"/>
      <c r="P162" s="19"/>
      <c r="Q162" s="19"/>
      <c r="R162" s="19">
        <v>7</v>
      </c>
      <c r="S162" s="19">
        <v>3</v>
      </c>
      <c r="T162" s="19"/>
      <c r="U162" s="19"/>
      <c r="V162" s="15">
        <f t="shared" si="5"/>
        <v>5</v>
      </c>
      <c r="W162" s="19">
        <v>2</v>
      </c>
      <c r="X162" s="19">
        <v>3</v>
      </c>
      <c r="Y162" s="19">
        <v>5</v>
      </c>
      <c r="Z162" s="19">
        <v>5</v>
      </c>
      <c r="AA162" s="19">
        <v>3</v>
      </c>
      <c r="AB162" s="19">
        <v>5</v>
      </c>
      <c r="AC162" s="19">
        <v>5</v>
      </c>
      <c r="AD162" s="19">
        <v>4</v>
      </c>
      <c r="AE162" s="19">
        <v>3</v>
      </c>
      <c r="AF162" s="19">
        <v>3</v>
      </c>
      <c r="AG162" s="19">
        <v>3</v>
      </c>
      <c r="AH162" s="19">
        <v>5</v>
      </c>
      <c r="AI162" s="19">
        <v>3</v>
      </c>
      <c r="AJ162" s="19">
        <v>5</v>
      </c>
      <c r="AK162" s="19">
        <v>5</v>
      </c>
      <c r="AL162" s="19">
        <v>5</v>
      </c>
      <c r="AM162" s="19">
        <v>5</v>
      </c>
      <c r="AN162" s="19">
        <v>5</v>
      </c>
      <c r="AO162" s="19">
        <v>4</v>
      </c>
      <c r="AP162" s="19">
        <v>7</v>
      </c>
      <c r="AQ162">
        <v>58</v>
      </c>
      <c r="AR162" s="16">
        <v>79.900000000000006</v>
      </c>
      <c r="AS162" s="16">
        <v>80.400000000000006</v>
      </c>
      <c r="AT162" s="16">
        <v>43.6</v>
      </c>
      <c r="AU162">
        <v>26.15</v>
      </c>
      <c r="AV162" s="17">
        <v>0</v>
      </c>
      <c r="AW162">
        <v>0</v>
      </c>
      <c r="AX162">
        <v>0</v>
      </c>
      <c r="AY162">
        <v>0</v>
      </c>
      <c r="AZ162">
        <v>0</v>
      </c>
      <c r="BA162">
        <v>73.849999999999994</v>
      </c>
      <c r="BB162">
        <v>18.43</v>
      </c>
      <c r="BC162">
        <v>20.420000000000002</v>
      </c>
      <c r="BD162">
        <v>0</v>
      </c>
      <c r="BE162">
        <v>0</v>
      </c>
      <c r="BF162">
        <v>2.44</v>
      </c>
      <c r="BG162">
        <v>0.13</v>
      </c>
      <c r="BH162">
        <v>9.7100000000000009</v>
      </c>
      <c r="BI162">
        <v>18.309999999999999</v>
      </c>
      <c r="BJ162">
        <v>0</v>
      </c>
      <c r="BK162">
        <v>0</v>
      </c>
      <c r="BL162">
        <v>0</v>
      </c>
      <c r="BM162">
        <v>9.1</v>
      </c>
      <c r="BN162">
        <v>1</v>
      </c>
      <c r="BO162">
        <v>1</v>
      </c>
      <c r="BP162" s="16">
        <v>0</v>
      </c>
      <c r="BQ162" s="16">
        <v>0</v>
      </c>
      <c r="BR162" s="16">
        <v>1.97</v>
      </c>
      <c r="BS162" s="16">
        <v>1.24</v>
      </c>
      <c r="BT162" s="16">
        <v>0</v>
      </c>
      <c r="BU162" s="16">
        <v>0</v>
      </c>
      <c r="BV162" s="16">
        <v>3</v>
      </c>
      <c r="BW162">
        <v>0</v>
      </c>
    </row>
    <row r="163" spans="1:75" x14ac:dyDescent="0.2">
      <c r="A163">
        <v>2</v>
      </c>
      <c r="B163">
        <v>31.107460643394901</v>
      </c>
      <c r="C163">
        <v>0.26830937713894598</v>
      </c>
      <c r="D163">
        <v>4</v>
      </c>
      <c r="E163">
        <v>72</v>
      </c>
      <c r="F163">
        <v>1.78</v>
      </c>
      <c r="G163">
        <v>22.724403484408501</v>
      </c>
      <c r="H163">
        <v>0</v>
      </c>
      <c r="I163">
        <v>0</v>
      </c>
      <c r="J163" s="19">
        <v>1</v>
      </c>
      <c r="K163" s="19">
        <v>1</v>
      </c>
      <c r="L163" s="19">
        <v>1</v>
      </c>
      <c r="M163" s="19"/>
      <c r="O163" s="19"/>
      <c r="P163" s="19"/>
      <c r="Q163" s="19"/>
      <c r="R163" s="19"/>
      <c r="S163" s="19"/>
      <c r="T163" s="19"/>
      <c r="U163" s="19"/>
      <c r="V163" s="15"/>
      <c r="W163" s="19">
        <v>2</v>
      </c>
      <c r="X163" s="19">
        <v>3</v>
      </c>
      <c r="Y163" s="19">
        <v>3</v>
      </c>
      <c r="Z163" s="19">
        <v>3</v>
      </c>
      <c r="AA163" s="19">
        <v>2</v>
      </c>
      <c r="AB163" s="19">
        <v>3</v>
      </c>
      <c r="AC163" s="19">
        <v>4</v>
      </c>
      <c r="AD163" s="19">
        <v>3</v>
      </c>
      <c r="AE163" s="19">
        <v>3</v>
      </c>
      <c r="AF163" s="19">
        <v>3</v>
      </c>
      <c r="AG163" s="19">
        <v>3</v>
      </c>
      <c r="AH163" s="19">
        <v>3</v>
      </c>
      <c r="AI163" s="19">
        <v>3</v>
      </c>
      <c r="AJ163" s="19">
        <v>3</v>
      </c>
      <c r="AK163" s="19">
        <v>3</v>
      </c>
      <c r="AL163" s="19">
        <v>3</v>
      </c>
      <c r="AM163" s="19">
        <v>5</v>
      </c>
      <c r="AN163" s="19">
        <v>5</v>
      </c>
      <c r="AO163" s="19">
        <v>3</v>
      </c>
      <c r="AP163" s="19">
        <v>7</v>
      </c>
      <c r="AQ163">
        <v>33</v>
      </c>
      <c r="AR163" s="16">
        <v>71.2</v>
      </c>
      <c r="AS163" s="16">
        <v>80.400000000000006</v>
      </c>
      <c r="AT163" s="16">
        <v>16.3</v>
      </c>
      <c r="AU163">
        <v>83.24</v>
      </c>
      <c r="AV163" s="17">
        <v>0</v>
      </c>
      <c r="AW163">
        <v>0</v>
      </c>
      <c r="AX163">
        <v>0</v>
      </c>
      <c r="AY163">
        <v>14.14</v>
      </c>
      <c r="AZ163">
        <v>0</v>
      </c>
      <c r="BA163">
        <v>2.63</v>
      </c>
      <c r="BB163">
        <v>0</v>
      </c>
      <c r="BC163">
        <v>0</v>
      </c>
      <c r="BD163">
        <v>0</v>
      </c>
      <c r="BE163">
        <v>0</v>
      </c>
      <c r="BF163">
        <v>2.63</v>
      </c>
      <c r="BG163">
        <v>10.16</v>
      </c>
      <c r="BH163">
        <v>20.83</v>
      </c>
      <c r="BI163">
        <v>24.81</v>
      </c>
      <c r="BJ163">
        <v>0</v>
      </c>
      <c r="BK163">
        <v>11.2</v>
      </c>
      <c r="BL163">
        <v>1</v>
      </c>
      <c r="BM163">
        <v>0</v>
      </c>
      <c r="BN163">
        <v>0</v>
      </c>
      <c r="BO163">
        <v>0</v>
      </c>
      <c r="BP163" s="16">
        <v>2.71</v>
      </c>
      <c r="BQ163" s="16">
        <v>1</v>
      </c>
      <c r="BR163" s="16">
        <v>2.63</v>
      </c>
      <c r="BS163" s="16">
        <v>2.6</v>
      </c>
      <c r="BT163" s="16">
        <v>0</v>
      </c>
      <c r="BU163" s="16">
        <v>0</v>
      </c>
      <c r="BV163" s="16">
        <v>0</v>
      </c>
      <c r="BW163">
        <v>0</v>
      </c>
    </row>
    <row r="164" spans="1:75" x14ac:dyDescent="0.2">
      <c r="A164">
        <v>1</v>
      </c>
      <c r="B164">
        <v>35.816563997262101</v>
      </c>
      <c r="C164">
        <v>6.5462012320328498</v>
      </c>
      <c r="D164">
        <v>4</v>
      </c>
      <c r="E164">
        <v>71</v>
      </c>
      <c r="F164">
        <v>1.73</v>
      </c>
      <c r="G164">
        <v>23.722810651876099</v>
      </c>
      <c r="H164">
        <v>0</v>
      </c>
      <c r="I164">
        <v>0</v>
      </c>
      <c r="J164" s="19">
        <v>1</v>
      </c>
      <c r="K164" s="19">
        <v>2</v>
      </c>
      <c r="L164" s="19">
        <v>1</v>
      </c>
      <c r="M164" s="19">
        <v>0</v>
      </c>
      <c r="O164" s="19"/>
      <c r="P164" s="19">
        <v>0</v>
      </c>
      <c r="Q164" s="19">
        <v>0</v>
      </c>
      <c r="R164" s="19">
        <v>0</v>
      </c>
      <c r="S164" s="19">
        <v>0</v>
      </c>
      <c r="T164" s="19">
        <v>0</v>
      </c>
      <c r="U164" s="19">
        <v>0</v>
      </c>
      <c r="V164" s="15">
        <f t="shared" ref="V164:V186" si="6">AVERAGE(M164:U164)</f>
        <v>0</v>
      </c>
      <c r="W164" s="19">
        <v>3</v>
      </c>
      <c r="X164" s="19">
        <v>3</v>
      </c>
      <c r="Y164" s="19">
        <v>3</v>
      </c>
      <c r="Z164" s="19">
        <v>5</v>
      </c>
      <c r="AA164" s="19">
        <v>3</v>
      </c>
      <c r="AB164" s="19">
        <v>5</v>
      </c>
      <c r="AC164" s="19">
        <v>1</v>
      </c>
      <c r="AD164" s="19">
        <v>5</v>
      </c>
      <c r="AE164" s="19">
        <v>3</v>
      </c>
      <c r="AF164" s="19">
        <v>4</v>
      </c>
      <c r="AG164" s="19">
        <v>4</v>
      </c>
      <c r="AH164" s="19">
        <v>5</v>
      </c>
      <c r="AI164" s="19">
        <v>2</v>
      </c>
      <c r="AJ164" s="19">
        <v>5</v>
      </c>
      <c r="AK164" s="19">
        <v>2</v>
      </c>
      <c r="AL164" s="19">
        <v>5</v>
      </c>
      <c r="AM164" s="19">
        <v>5</v>
      </c>
      <c r="AN164" s="19">
        <v>5</v>
      </c>
      <c r="AO164" s="19">
        <v>3</v>
      </c>
      <c r="AP164" s="19">
        <v>10</v>
      </c>
      <c r="AQ164">
        <v>33</v>
      </c>
      <c r="AR164" s="16">
        <v>71.2</v>
      </c>
      <c r="AS164" s="16">
        <v>80.400000000000006</v>
      </c>
      <c r="AT164" s="16">
        <v>16.3</v>
      </c>
      <c r="AU164">
        <v>83.24</v>
      </c>
      <c r="AV164" s="17">
        <v>0</v>
      </c>
      <c r="AW164">
        <v>0</v>
      </c>
      <c r="AX164">
        <v>0</v>
      </c>
      <c r="AY164">
        <v>14.14</v>
      </c>
      <c r="AZ164">
        <v>0</v>
      </c>
      <c r="BA164">
        <v>2.63</v>
      </c>
      <c r="BB164">
        <v>0</v>
      </c>
      <c r="BC164">
        <v>0</v>
      </c>
      <c r="BD164">
        <v>0</v>
      </c>
      <c r="BE164">
        <v>0</v>
      </c>
      <c r="BF164">
        <v>2.63</v>
      </c>
      <c r="BG164">
        <v>10.16</v>
      </c>
      <c r="BH164">
        <v>20.83</v>
      </c>
      <c r="BI164">
        <v>24.81</v>
      </c>
      <c r="BJ164">
        <v>0</v>
      </c>
      <c r="BK164">
        <v>11.2</v>
      </c>
      <c r="BL164">
        <v>1</v>
      </c>
      <c r="BM164">
        <v>0</v>
      </c>
      <c r="BN164">
        <v>0</v>
      </c>
      <c r="BO164">
        <v>0</v>
      </c>
      <c r="BP164" s="16">
        <v>2.71</v>
      </c>
      <c r="BQ164" s="16">
        <v>1</v>
      </c>
      <c r="BR164" s="16">
        <v>2.63</v>
      </c>
      <c r="BS164" s="16">
        <v>2.6</v>
      </c>
      <c r="BT164" s="16">
        <v>0</v>
      </c>
      <c r="BU164" s="16">
        <v>0</v>
      </c>
      <c r="BV164" s="16">
        <v>0</v>
      </c>
      <c r="BW164">
        <v>0</v>
      </c>
    </row>
    <row r="165" spans="1:75" x14ac:dyDescent="0.2">
      <c r="A165">
        <v>2</v>
      </c>
      <c r="B165">
        <v>41.771389459274502</v>
      </c>
      <c r="C165">
        <v>0.16974674880219001</v>
      </c>
      <c r="D165">
        <v>8</v>
      </c>
      <c r="E165">
        <v>85</v>
      </c>
      <c r="F165">
        <v>1.7</v>
      </c>
      <c r="G165">
        <v>29.411764705882302</v>
      </c>
      <c r="H165">
        <v>0</v>
      </c>
      <c r="I165">
        <v>0</v>
      </c>
      <c r="J165" s="19">
        <v>0</v>
      </c>
      <c r="K165" s="19">
        <v>0</v>
      </c>
      <c r="L165" s="19">
        <v>0</v>
      </c>
      <c r="M165" s="19"/>
      <c r="N165">
        <v>0</v>
      </c>
      <c r="O165" s="19">
        <v>0</v>
      </c>
      <c r="P165" s="19">
        <v>0</v>
      </c>
      <c r="Q165" s="19">
        <v>0</v>
      </c>
      <c r="R165" s="19">
        <v>2</v>
      </c>
      <c r="S165" s="19">
        <v>2</v>
      </c>
      <c r="T165" s="19">
        <v>0</v>
      </c>
      <c r="U165" s="19">
        <v>0</v>
      </c>
      <c r="V165" s="15">
        <f t="shared" si="6"/>
        <v>0.5</v>
      </c>
      <c r="W165" s="19">
        <v>2</v>
      </c>
      <c r="X165" s="19">
        <v>1</v>
      </c>
      <c r="Y165" s="19">
        <v>2</v>
      </c>
      <c r="Z165" s="19">
        <v>4</v>
      </c>
      <c r="AA165" s="19">
        <v>3</v>
      </c>
      <c r="AB165" s="19">
        <v>1</v>
      </c>
      <c r="AC165" s="19">
        <v>5</v>
      </c>
      <c r="AD165" s="19">
        <v>5</v>
      </c>
      <c r="AE165" s="19">
        <v>5</v>
      </c>
      <c r="AF165" s="19">
        <v>4</v>
      </c>
      <c r="AG165" s="19">
        <v>5</v>
      </c>
      <c r="AH165" s="19">
        <v>5</v>
      </c>
      <c r="AI165" s="19">
        <v>4</v>
      </c>
      <c r="AJ165" s="19">
        <v>5</v>
      </c>
      <c r="AK165" s="19">
        <v>5</v>
      </c>
      <c r="AL165" s="19">
        <v>5</v>
      </c>
      <c r="AM165" s="19">
        <v>5</v>
      </c>
      <c r="AN165" s="19">
        <v>5</v>
      </c>
      <c r="AO165" s="19">
        <v>4</v>
      </c>
      <c r="AP165" s="19">
        <v>10</v>
      </c>
      <c r="AQ165">
        <v>48.5</v>
      </c>
      <c r="AR165" s="16">
        <v>90.8</v>
      </c>
      <c r="AS165" s="16">
        <v>80.400000000000006</v>
      </c>
      <c r="AT165" s="16">
        <v>27.5</v>
      </c>
      <c r="AU165">
        <v>74.34</v>
      </c>
      <c r="AV165">
        <v>0</v>
      </c>
      <c r="AW165">
        <v>12.29</v>
      </c>
      <c r="AX165">
        <v>0</v>
      </c>
      <c r="AY165">
        <v>13.37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14.01</v>
      </c>
      <c r="BI165">
        <v>63.09</v>
      </c>
      <c r="BJ165">
        <v>0</v>
      </c>
      <c r="BK165">
        <v>0</v>
      </c>
      <c r="BL165">
        <v>0</v>
      </c>
      <c r="BM165">
        <v>13</v>
      </c>
      <c r="BN165">
        <v>1</v>
      </c>
      <c r="BO165">
        <v>1</v>
      </c>
      <c r="BP165" s="16">
        <v>0</v>
      </c>
      <c r="BQ165" s="16">
        <v>0</v>
      </c>
      <c r="BR165" s="16">
        <v>0</v>
      </c>
      <c r="BS165" s="16">
        <v>0</v>
      </c>
      <c r="BT165" s="16">
        <v>7.46</v>
      </c>
      <c r="BU165" s="16">
        <v>0</v>
      </c>
      <c r="BV165" s="16">
        <v>0</v>
      </c>
      <c r="BW165">
        <v>1</v>
      </c>
    </row>
    <row r="166" spans="1:75" x14ac:dyDescent="0.2">
      <c r="A166" s="24">
        <v>2</v>
      </c>
      <c r="B166">
        <v>26.023271731690599</v>
      </c>
      <c r="C166">
        <v>0.11772758384668</v>
      </c>
      <c r="D166">
        <v>8</v>
      </c>
      <c r="E166">
        <v>85</v>
      </c>
      <c r="F166">
        <v>1.68</v>
      </c>
      <c r="G166">
        <v>30.116213151927401</v>
      </c>
      <c r="H166">
        <v>0</v>
      </c>
      <c r="I166">
        <v>0</v>
      </c>
      <c r="J166" s="26">
        <v>0</v>
      </c>
      <c r="K166" s="26">
        <v>2</v>
      </c>
      <c r="L166" s="26">
        <v>1</v>
      </c>
      <c r="M166" s="26">
        <v>4</v>
      </c>
      <c r="N166">
        <v>0</v>
      </c>
      <c r="O166" s="26">
        <v>0</v>
      </c>
      <c r="P166" s="26">
        <v>0</v>
      </c>
      <c r="Q166" s="26">
        <v>0</v>
      </c>
      <c r="R166" s="26">
        <v>0</v>
      </c>
      <c r="S166" s="26">
        <v>0</v>
      </c>
      <c r="T166" s="26">
        <v>0</v>
      </c>
      <c r="U166" s="26">
        <v>4</v>
      </c>
      <c r="V166" s="15">
        <f t="shared" si="6"/>
        <v>0.88888888888888884</v>
      </c>
      <c r="W166" s="26">
        <v>1</v>
      </c>
      <c r="X166" s="26">
        <v>2</v>
      </c>
      <c r="Y166" s="26">
        <v>3</v>
      </c>
      <c r="Z166" s="26">
        <v>3</v>
      </c>
      <c r="AA166" s="26">
        <v>1</v>
      </c>
      <c r="AB166" s="26">
        <v>1</v>
      </c>
      <c r="AC166" s="26">
        <v>3</v>
      </c>
      <c r="AD166" s="26">
        <v>3</v>
      </c>
      <c r="AE166" s="26">
        <v>3</v>
      </c>
      <c r="AF166" s="26">
        <v>4</v>
      </c>
      <c r="AG166" s="26">
        <v>5</v>
      </c>
      <c r="AH166" s="26">
        <v>5</v>
      </c>
      <c r="AI166" s="26">
        <v>5</v>
      </c>
      <c r="AJ166" s="26">
        <v>5</v>
      </c>
      <c r="AK166" s="26">
        <v>5</v>
      </c>
      <c r="AL166" s="26">
        <v>5</v>
      </c>
      <c r="AM166" s="26">
        <v>5</v>
      </c>
      <c r="AN166" s="26">
        <v>5</v>
      </c>
      <c r="AO166" s="26">
        <v>5</v>
      </c>
      <c r="AP166" s="26">
        <v>10</v>
      </c>
      <c r="AQ166" s="24">
        <v>36.5</v>
      </c>
      <c r="AR166" s="27">
        <v>88.3</v>
      </c>
      <c r="AS166" s="27">
        <v>80.400000000000006</v>
      </c>
      <c r="AT166" s="27">
        <v>28.2</v>
      </c>
      <c r="AU166" s="24">
        <v>73.819999999999993</v>
      </c>
      <c r="AV166" s="24">
        <v>0</v>
      </c>
      <c r="AW166" s="24">
        <v>25.61</v>
      </c>
      <c r="AX166" s="24">
        <v>0</v>
      </c>
      <c r="AY166" s="24">
        <v>0.56999999999999995</v>
      </c>
      <c r="AZ166" s="24">
        <v>0</v>
      </c>
      <c r="BA166" s="24">
        <v>0</v>
      </c>
      <c r="BB166" s="24">
        <v>0</v>
      </c>
      <c r="BC166" s="24">
        <v>0</v>
      </c>
      <c r="BD166" s="24">
        <v>0</v>
      </c>
      <c r="BE166" s="24">
        <v>0</v>
      </c>
      <c r="BF166" s="24">
        <v>1.17</v>
      </c>
      <c r="BG166" s="24">
        <v>31.76</v>
      </c>
      <c r="BH166" s="24">
        <v>23.3</v>
      </c>
      <c r="BI166" s="24">
        <v>26.08</v>
      </c>
      <c r="BJ166" s="24">
        <v>0</v>
      </c>
      <c r="BK166" s="24">
        <v>0</v>
      </c>
      <c r="BL166" s="24">
        <v>0</v>
      </c>
      <c r="BM166" s="24">
        <v>2.1</v>
      </c>
      <c r="BN166" s="24">
        <v>1</v>
      </c>
      <c r="BO166" s="24">
        <v>0</v>
      </c>
      <c r="BP166" s="27">
        <v>1.9</v>
      </c>
      <c r="BQ166" s="27">
        <v>1</v>
      </c>
      <c r="BR166" s="27">
        <v>0.56999999999999995</v>
      </c>
      <c r="BS166" s="27">
        <v>0.56000000000000005</v>
      </c>
      <c r="BT166" s="27">
        <v>0</v>
      </c>
      <c r="BU166" s="27">
        <v>0</v>
      </c>
      <c r="BV166" s="27">
        <v>0</v>
      </c>
      <c r="BW166" s="24">
        <v>0</v>
      </c>
    </row>
    <row r="167" spans="1:75" x14ac:dyDescent="0.2">
      <c r="A167">
        <v>1</v>
      </c>
      <c r="B167">
        <v>31.0828199863107</v>
      </c>
      <c r="C167">
        <v>0.15058179329226601</v>
      </c>
      <c r="D167">
        <v>8</v>
      </c>
      <c r="E167">
        <v>56</v>
      </c>
      <c r="F167">
        <v>1.61</v>
      </c>
      <c r="G167">
        <v>21.604104779908202</v>
      </c>
      <c r="H167">
        <v>0</v>
      </c>
      <c r="I167">
        <v>0</v>
      </c>
      <c r="J167" s="19">
        <v>0</v>
      </c>
      <c r="K167" s="19">
        <v>0</v>
      </c>
      <c r="L167" s="19">
        <v>0</v>
      </c>
      <c r="M167" s="19">
        <v>10</v>
      </c>
      <c r="N167">
        <v>0</v>
      </c>
      <c r="O167" s="19">
        <v>10</v>
      </c>
      <c r="P167" s="19">
        <v>0</v>
      </c>
      <c r="Q167" s="19">
        <v>0</v>
      </c>
      <c r="R167" s="19">
        <v>0</v>
      </c>
      <c r="S167" s="19">
        <v>0</v>
      </c>
      <c r="T167" s="19">
        <v>0</v>
      </c>
      <c r="U167" s="19">
        <v>0</v>
      </c>
      <c r="V167" s="15">
        <f t="shared" si="6"/>
        <v>2.2222222222222223</v>
      </c>
      <c r="W167" s="19">
        <v>3</v>
      </c>
      <c r="X167" s="19">
        <v>2</v>
      </c>
      <c r="Y167" s="19">
        <v>5</v>
      </c>
      <c r="Z167" s="19">
        <v>5</v>
      </c>
      <c r="AA167" s="19">
        <v>2</v>
      </c>
      <c r="AB167" s="19">
        <v>2</v>
      </c>
      <c r="AC167" s="19">
        <v>1</v>
      </c>
      <c r="AD167" s="19">
        <v>1</v>
      </c>
      <c r="AE167" s="19">
        <v>2</v>
      </c>
      <c r="AF167" s="19">
        <v>2</v>
      </c>
      <c r="AG167" s="19">
        <v>5</v>
      </c>
      <c r="AH167" s="19">
        <v>5</v>
      </c>
      <c r="AI167" s="19">
        <v>3</v>
      </c>
      <c r="AJ167" s="19">
        <v>3</v>
      </c>
      <c r="AK167" s="19">
        <v>5</v>
      </c>
      <c r="AL167" s="19">
        <v>5</v>
      </c>
      <c r="AM167" s="19">
        <v>3</v>
      </c>
      <c r="AN167" s="19">
        <v>4</v>
      </c>
      <c r="AO167" s="19">
        <v>2</v>
      </c>
      <c r="AP167" s="19">
        <v>8</v>
      </c>
      <c r="AQ167">
        <v>17.5</v>
      </c>
      <c r="AR167" s="16">
        <v>81.900000000000006</v>
      </c>
      <c r="AS167" s="16">
        <v>80.400000000000006</v>
      </c>
      <c r="AT167" s="16">
        <v>12.5</v>
      </c>
      <c r="AU167">
        <v>85.79</v>
      </c>
      <c r="AV167" s="17">
        <v>0</v>
      </c>
      <c r="AW167">
        <v>10.02</v>
      </c>
      <c r="AX167">
        <v>0</v>
      </c>
      <c r="AY167">
        <v>0</v>
      </c>
      <c r="AZ167">
        <v>0</v>
      </c>
      <c r="BA167">
        <v>4.1900000000000004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53.51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 s="16">
        <v>3.38</v>
      </c>
      <c r="BQ167" s="16">
        <v>1</v>
      </c>
      <c r="BR167" s="16">
        <v>0</v>
      </c>
      <c r="BS167" s="16">
        <v>0</v>
      </c>
      <c r="BT167" s="16">
        <v>0</v>
      </c>
      <c r="BU167" s="16">
        <v>0</v>
      </c>
      <c r="BV167" s="16">
        <v>0</v>
      </c>
      <c r="BW167">
        <v>0</v>
      </c>
    </row>
    <row r="168" spans="1:75" x14ac:dyDescent="0.2">
      <c r="A168">
        <v>2</v>
      </c>
      <c r="B168">
        <v>28.128678986995201</v>
      </c>
      <c r="C168">
        <v>0.10403832991101999</v>
      </c>
      <c r="D168">
        <v>8</v>
      </c>
      <c r="E168">
        <v>65</v>
      </c>
      <c r="F168">
        <v>1.68</v>
      </c>
      <c r="G168">
        <v>23.030045351473898</v>
      </c>
      <c r="H168">
        <v>0</v>
      </c>
      <c r="I168">
        <v>0</v>
      </c>
      <c r="J168" s="19">
        <v>1</v>
      </c>
      <c r="K168" s="19">
        <v>0</v>
      </c>
      <c r="L168" s="19">
        <v>1</v>
      </c>
      <c r="M168" s="19"/>
      <c r="N168">
        <v>0</v>
      </c>
      <c r="O168" s="19">
        <v>0</v>
      </c>
      <c r="P168" s="19"/>
      <c r="Q168" s="19"/>
      <c r="R168" s="19">
        <v>4</v>
      </c>
      <c r="S168" s="19">
        <v>0</v>
      </c>
      <c r="T168" s="19">
        <v>0</v>
      </c>
      <c r="U168" s="19">
        <v>0</v>
      </c>
      <c r="V168" s="15">
        <f t="shared" si="6"/>
        <v>0.66666666666666663</v>
      </c>
      <c r="W168" s="19">
        <v>2</v>
      </c>
      <c r="X168" s="19">
        <v>3</v>
      </c>
      <c r="Y168" s="19">
        <v>4</v>
      </c>
      <c r="Z168" s="19">
        <v>5</v>
      </c>
      <c r="AA168" s="19">
        <v>2</v>
      </c>
      <c r="AB168" s="19">
        <v>1</v>
      </c>
      <c r="AC168" s="19">
        <v>3</v>
      </c>
      <c r="AD168" s="19">
        <v>4</v>
      </c>
      <c r="AE168" s="19">
        <v>4</v>
      </c>
      <c r="AF168" s="19">
        <v>5</v>
      </c>
      <c r="AG168" s="19">
        <v>5</v>
      </c>
      <c r="AH168" s="19">
        <v>4</v>
      </c>
      <c r="AI168" s="19">
        <v>4</v>
      </c>
      <c r="AJ168" s="19">
        <v>5</v>
      </c>
      <c r="AK168" s="19">
        <v>4</v>
      </c>
      <c r="AL168" s="19">
        <v>4</v>
      </c>
      <c r="AM168" s="19">
        <v>4</v>
      </c>
      <c r="AN168" s="19">
        <v>4</v>
      </c>
      <c r="AO168" s="19">
        <v>4</v>
      </c>
      <c r="AP168" s="19">
        <v>7</v>
      </c>
      <c r="AQ168">
        <v>37</v>
      </c>
      <c r="AR168" s="16">
        <v>95.1</v>
      </c>
      <c r="AS168" s="16">
        <v>80.400000000000006</v>
      </c>
      <c r="AT168" s="16">
        <v>15.9</v>
      </c>
      <c r="AU168">
        <v>82.71</v>
      </c>
      <c r="AV168" s="17">
        <v>0</v>
      </c>
      <c r="AW168">
        <v>10.32</v>
      </c>
      <c r="AX168">
        <v>0.39</v>
      </c>
      <c r="AY168">
        <v>10.32</v>
      </c>
      <c r="AZ168">
        <v>0</v>
      </c>
      <c r="BA168">
        <v>0</v>
      </c>
      <c r="BC168">
        <v>0</v>
      </c>
      <c r="BD168">
        <v>0</v>
      </c>
      <c r="BE168">
        <v>0</v>
      </c>
      <c r="BF168">
        <v>1.9</v>
      </c>
      <c r="BG168">
        <v>26.26</v>
      </c>
      <c r="BH168">
        <v>6.04</v>
      </c>
      <c r="BI168">
        <v>2.19</v>
      </c>
      <c r="BJ168">
        <v>0</v>
      </c>
      <c r="BK168">
        <v>0</v>
      </c>
      <c r="BL168">
        <v>0</v>
      </c>
      <c r="BM168">
        <v>14.7</v>
      </c>
      <c r="BN168">
        <v>1</v>
      </c>
      <c r="BO168">
        <v>1</v>
      </c>
      <c r="BP168">
        <v>0</v>
      </c>
      <c r="BQ168" s="19">
        <v>0</v>
      </c>
      <c r="BR168" s="16">
        <v>5.1100000000000003</v>
      </c>
      <c r="BS168">
        <v>4.8099999999999996</v>
      </c>
      <c r="BT168">
        <v>0</v>
      </c>
      <c r="BU168">
        <v>0</v>
      </c>
      <c r="BV168">
        <v>0</v>
      </c>
      <c r="BW168">
        <v>0</v>
      </c>
    </row>
    <row r="169" spans="1:75" x14ac:dyDescent="0.2">
      <c r="A169">
        <v>2</v>
      </c>
      <c r="B169">
        <v>31.285420944558499</v>
      </c>
      <c r="C169">
        <v>0.13963039014373699</v>
      </c>
      <c r="D169">
        <v>4</v>
      </c>
      <c r="E169">
        <v>79</v>
      </c>
      <c r="F169">
        <v>1.84</v>
      </c>
      <c r="G169">
        <v>23.3341209829868</v>
      </c>
      <c r="H169">
        <v>0</v>
      </c>
      <c r="I169">
        <v>0</v>
      </c>
      <c r="J169" s="19">
        <v>1</v>
      </c>
      <c r="K169" s="19">
        <v>2</v>
      </c>
      <c r="L169" s="19">
        <v>0</v>
      </c>
      <c r="M169" s="19">
        <v>2</v>
      </c>
      <c r="N169">
        <v>0</v>
      </c>
      <c r="O169" s="19">
        <v>4</v>
      </c>
      <c r="P169" s="19">
        <v>0</v>
      </c>
      <c r="Q169" s="19">
        <v>0</v>
      </c>
      <c r="R169" s="19">
        <v>5</v>
      </c>
      <c r="S169" s="19">
        <v>0</v>
      </c>
      <c r="T169" s="19">
        <v>0</v>
      </c>
      <c r="U169" s="19">
        <v>4</v>
      </c>
      <c r="V169" s="15">
        <f t="shared" si="6"/>
        <v>1.6666666666666667</v>
      </c>
      <c r="W169" s="19">
        <v>1</v>
      </c>
      <c r="X169" s="19">
        <v>1</v>
      </c>
      <c r="Y169" s="19">
        <v>2</v>
      </c>
      <c r="Z169" s="19">
        <v>1</v>
      </c>
      <c r="AA169" s="19">
        <v>1</v>
      </c>
      <c r="AB169" s="19">
        <v>3</v>
      </c>
      <c r="AC169" s="19">
        <v>1</v>
      </c>
      <c r="AD169" s="19">
        <v>2</v>
      </c>
      <c r="AE169" s="19">
        <v>2</v>
      </c>
      <c r="AF169" s="19">
        <v>2</v>
      </c>
      <c r="AG169" s="19">
        <v>4</v>
      </c>
      <c r="AH169" s="19">
        <v>3</v>
      </c>
      <c r="AI169" s="19">
        <v>3</v>
      </c>
      <c r="AJ169" s="19">
        <v>4</v>
      </c>
      <c r="AK169" s="19">
        <v>3</v>
      </c>
      <c r="AL169" s="19">
        <v>4</v>
      </c>
      <c r="AM169" s="19">
        <v>3</v>
      </c>
      <c r="AN169" s="19">
        <v>3</v>
      </c>
      <c r="AO169" s="19">
        <v>3</v>
      </c>
      <c r="AP169" s="19">
        <v>10</v>
      </c>
      <c r="AQ169">
        <v>48.5</v>
      </c>
      <c r="AR169" s="16">
        <v>83.8</v>
      </c>
      <c r="AS169" s="16">
        <v>80.400000000000006</v>
      </c>
      <c r="AT169" s="16">
        <v>34.299999999999997</v>
      </c>
      <c r="AU169">
        <v>70.08</v>
      </c>
      <c r="AV169">
        <v>0</v>
      </c>
      <c r="AW169">
        <v>18.239999999999998</v>
      </c>
      <c r="AX169">
        <v>1.05</v>
      </c>
      <c r="AY169">
        <v>1.1399999999999999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19.39</v>
      </c>
      <c r="BG169">
        <v>3.64</v>
      </c>
      <c r="BH169">
        <v>13.61</v>
      </c>
      <c r="BI169">
        <v>5.23</v>
      </c>
      <c r="BJ169">
        <v>9.49</v>
      </c>
      <c r="BK169">
        <v>2.6</v>
      </c>
      <c r="BL169">
        <v>2</v>
      </c>
      <c r="BM169">
        <v>1.7</v>
      </c>
      <c r="BN169">
        <v>0</v>
      </c>
      <c r="BO169">
        <v>1</v>
      </c>
      <c r="BP169" s="16">
        <v>3.52</v>
      </c>
      <c r="BQ169" s="16">
        <v>1</v>
      </c>
      <c r="BR169" s="16">
        <v>0</v>
      </c>
      <c r="BS169" s="16">
        <v>0</v>
      </c>
      <c r="BT169" s="16">
        <v>5.97</v>
      </c>
      <c r="BU169" s="16">
        <v>0</v>
      </c>
      <c r="BV169" s="16">
        <v>0</v>
      </c>
      <c r="BW169">
        <v>1</v>
      </c>
    </row>
    <row r="170" spans="1:75" x14ac:dyDescent="0.2">
      <c r="A170">
        <v>2</v>
      </c>
      <c r="B170">
        <v>30.0999315537303</v>
      </c>
      <c r="C170">
        <v>0.16974674880219001</v>
      </c>
      <c r="D170">
        <v>8</v>
      </c>
      <c r="E170">
        <v>120</v>
      </c>
      <c r="F170">
        <v>1.83</v>
      </c>
      <c r="G170">
        <v>35.832661470930802</v>
      </c>
      <c r="H170">
        <v>0</v>
      </c>
      <c r="I170">
        <v>0</v>
      </c>
      <c r="J170" s="19">
        <v>0</v>
      </c>
      <c r="K170" s="19">
        <v>0</v>
      </c>
      <c r="L170" s="19">
        <v>1</v>
      </c>
      <c r="M170" s="19">
        <v>0</v>
      </c>
      <c r="O170" s="19">
        <v>0</v>
      </c>
      <c r="P170" s="19">
        <v>0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5">
        <f t="shared" si="6"/>
        <v>0</v>
      </c>
      <c r="W170" s="19">
        <v>1</v>
      </c>
      <c r="X170" s="19">
        <v>1</v>
      </c>
      <c r="Y170" s="19">
        <v>2</v>
      </c>
      <c r="Z170" s="19">
        <v>5</v>
      </c>
      <c r="AA170" s="19">
        <v>1</v>
      </c>
      <c r="AB170" s="19">
        <v>2</v>
      </c>
      <c r="AC170" s="19"/>
      <c r="AD170" s="19">
        <v>5</v>
      </c>
      <c r="AE170" s="19">
        <v>5</v>
      </c>
      <c r="AF170" s="19">
        <v>5</v>
      </c>
      <c r="AG170" s="19">
        <v>5</v>
      </c>
      <c r="AH170" s="19">
        <v>5</v>
      </c>
      <c r="AI170" s="19">
        <v>5</v>
      </c>
      <c r="AJ170" s="19">
        <v>5</v>
      </c>
      <c r="AK170" s="19">
        <v>4</v>
      </c>
      <c r="AL170" s="19">
        <v>5</v>
      </c>
      <c r="AM170" s="19">
        <v>5</v>
      </c>
      <c r="AN170" s="19">
        <v>5</v>
      </c>
      <c r="AO170" s="19">
        <v>5</v>
      </c>
      <c r="AP170" s="19">
        <v>10</v>
      </c>
      <c r="AQ170">
        <v>24.5</v>
      </c>
      <c r="AR170" s="16">
        <v>70</v>
      </c>
      <c r="AS170" s="16">
        <v>80.400000000000006</v>
      </c>
      <c r="AT170" s="16">
        <v>15.5</v>
      </c>
      <c r="AU170">
        <v>85.6</v>
      </c>
      <c r="AV170">
        <v>0</v>
      </c>
      <c r="AW170">
        <v>0</v>
      </c>
      <c r="AX170">
        <v>0</v>
      </c>
      <c r="AY170">
        <v>14.4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6.46</v>
      </c>
      <c r="BH170">
        <v>24.97</v>
      </c>
      <c r="BI170">
        <v>15</v>
      </c>
      <c r="BJ170">
        <v>0</v>
      </c>
      <c r="BK170">
        <v>0</v>
      </c>
      <c r="BL170">
        <v>0</v>
      </c>
      <c r="BM170">
        <v>3.6</v>
      </c>
      <c r="BN170">
        <v>1</v>
      </c>
      <c r="BO170">
        <v>1</v>
      </c>
      <c r="BP170" s="16">
        <v>0.63</v>
      </c>
      <c r="BQ170" s="16">
        <v>1</v>
      </c>
      <c r="BR170" s="16">
        <v>3.25</v>
      </c>
      <c r="BS170" s="16">
        <v>3.26</v>
      </c>
      <c r="BT170" s="16">
        <v>0</v>
      </c>
      <c r="BU170" s="16">
        <v>0</v>
      </c>
      <c r="BV170" s="16">
        <v>0</v>
      </c>
      <c r="BW170">
        <v>0</v>
      </c>
    </row>
    <row r="171" spans="1:75" x14ac:dyDescent="0.2">
      <c r="A171">
        <v>1</v>
      </c>
      <c r="B171">
        <v>36.591375770020498</v>
      </c>
      <c r="C171">
        <v>0.28747433264887101</v>
      </c>
      <c r="D171">
        <v>8</v>
      </c>
      <c r="E171">
        <v>82</v>
      </c>
      <c r="F171">
        <v>1.53</v>
      </c>
      <c r="G171">
        <v>35.029262249562102</v>
      </c>
      <c r="H171">
        <v>0</v>
      </c>
      <c r="I171">
        <v>0</v>
      </c>
      <c r="J171" s="19">
        <v>0</v>
      </c>
      <c r="K171" s="19">
        <v>0</v>
      </c>
      <c r="L171" s="19">
        <v>1</v>
      </c>
      <c r="M171" s="19">
        <v>0</v>
      </c>
      <c r="N171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5">
        <f t="shared" si="6"/>
        <v>0</v>
      </c>
      <c r="W171" s="19">
        <v>1</v>
      </c>
      <c r="X171" s="19">
        <v>1</v>
      </c>
      <c r="Y171" s="19">
        <v>1</v>
      </c>
      <c r="Z171" s="19">
        <v>1</v>
      </c>
      <c r="AA171" s="19">
        <v>1</v>
      </c>
      <c r="AB171" s="19">
        <v>1</v>
      </c>
      <c r="AC171" s="19">
        <v>1</v>
      </c>
      <c r="AD171" s="19">
        <v>5</v>
      </c>
      <c r="AE171" s="19">
        <v>5</v>
      </c>
      <c r="AF171" s="19">
        <v>5</v>
      </c>
      <c r="AG171" s="19">
        <v>5</v>
      </c>
      <c r="AH171" s="19">
        <v>5</v>
      </c>
      <c r="AI171" s="19">
        <v>5</v>
      </c>
      <c r="AJ171" s="19">
        <v>5</v>
      </c>
      <c r="AK171" s="19">
        <v>5</v>
      </c>
      <c r="AL171" s="19">
        <v>5</v>
      </c>
      <c r="AM171" s="19">
        <v>5</v>
      </c>
      <c r="AN171" s="19">
        <v>5</v>
      </c>
      <c r="AO171" s="19">
        <v>5</v>
      </c>
      <c r="AP171" s="19">
        <v>8</v>
      </c>
      <c r="AQ171">
        <v>21.5</v>
      </c>
      <c r="AR171" s="16">
        <v>54.9</v>
      </c>
      <c r="AS171" s="16">
        <v>80.400000000000006</v>
      </c>
      <c r="AT171" s="16">
        <v>17.899999999999999</v>
      </c>
      <c r="AU171">
        <v>90.61</v>
      </c>
      <c r="AV171" s="17">
        <v>0</v>
      </c>
      <c r="AW171">
        <v>0</v>
      </c>
      <c r="AX171">
        <v>2.4500000000000002</v>
      </c>
      <c r="AY171">
        <v>6.94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12.16</v>
      </c>
      <c r="BG171">
        <v>24.45</v>
      </c>
      <c r="BH171">
        <v>4.8</v>
      </c>
      <c r="BI171">
        <v>5.1100000000000003</v>
      </c>
      <c r="BJ171">
        <v>0</v>
      </c>
      <c r="BK171">
        <v>0</v>
      </c>
      <c r="BL171">
        <v>0</v>
      </c>
      <c r="BM171">
        <v>2.9</v>
      </c>
      <c r="BN171">
        <v>1</v>
      </c>
      <c r="BO171">
        <v>1</v>
      </c>
      <c r="BP171" s="16">
        <v>0</v>
      </c>
      <c r="BQ171" s="16">
        <v>0</v>
      </c>
      <c r="BR171" s="16">
        <v>0.67</v>
      </c>
      <c r="BS171" s="16">
        <v>0.65</v>
      </c>
      <c r="BT171" s="16">
        <v>0</v>
      </c>
      <c r="BU171" s="16">
        <v>0</v>
      </c>
      <c r="BV171" s="16">
        <v>0</v>
      </c>
      <c r="BW171">
        <v>0</v>
      </c>
    </row>
    <row r="172" spans="1:75" x14ac:dyDescent="0.2">
      <c r="A172">
        <v>2</v>
      </c>
      <c r="B172">
        <v>30.395619438740599</v>
      </c>
      <c r="C172">
        <v>0.229979466119096</v>
      </c>
      <c r="D172">
        <v>8</v>
      </c>
      <c r="E172">
        <v>88</v>
      </c>
      <c r="F172">
        <v>1.73</v>
      </c>
      <c r="G172">
        <v>29.402920244578802</v>
      </c>
      <c r="H172">
        <v>0</v>
      </c>
      <c r="I172">
        <v>0</v>
      </c>
      <c r="J172" s="19">
        <v>0</v>
      </c>
      <c r="K172" s="19">
        <v>2</v>
      </c>
      <c r="L172" s="19">
        <v>0</v>
      </c>
      <c r="M172" s="19">
        <v>0</v>
      </c>
      <c r="N172">
        <v>0</v>
      </c>
      <c r="O172" s="19">
        <v>0</v>
      </c>
      <c r="P172" s="19">
        <v>0</v>
      </c>
      <c r="Q172" s="19">
        <v>0</v>
      </c>
      <c r="R172" s="19">
        <v>2</v>
      </c>
      <c r="S172" s="19">
        <v>0</v>
      </c>
      <c r="T172" s="19">
        <v>0</v>
      </c>
      <c r="U172" s="19">
        <v>0</v>
      </c>
      <c r="V172" s="15">
        <f t="shared" si="6"/>
        <v>0.22222222222222221</v>
      </c>
      <c r="W172" s="19">
        <v>1</v>
      </c>
      <c r="X172" s="19">
        <v>2</v>
      </c>
      <c r="Y172" s="19"/>
      <c r="Z172" s="19">
        <v>5</v>
      </c>
      <c r="AA172" s="19">
        <v>2</v>
      </c>
      <c r="AB172" s="19">
        <v>1</v>
      </c>
      <c r="AC172" s="19">
        <v>1</v>
      </c>
      <c r="AD172" s="19">
        <v>5</v>
      </c>
      <c r="AE172" s="19">
        <v>5</v>
      </c>
      <c r="AF172" s="19">
        <v>5</v>
      </c>
      <c r="AG172" s="19">
        <v>5</v>
      </c>
      <c r="AH172" s="19">
        <v>5</v>
      </c>
      <c r="AI172" s="19">
        <v>5</v>
      </c>
      <c r="AJ172" s="19">
        <v>5</v>
      </c>
      <c r="AK172" s="19">
        <v>5</v>
      </c>
      <c r="AL172" s="19">
        <v>5</v>
      </c>
      <c r="AM172" s="19">
        <v>5</v>
      </c>
      <c r="AN172" s="19">
        <v>5</v>
      </c>
      <c r="AO172" s="19">
        <v>5</v>
      </c>
      <c r="AP172" s="19">
        <v>10</v>
      </c>
      <c r="AQ172">
        <v>40</v>
      </c>
      <c r="AR172" s="16">
        <v>84.1</v>
      </c>
      <c r="AS172" s="16">
        <v>80.400000000000006</v>
      </c>
      <c r="AT172" s="16">
        <v>35.1</v>
      </c>
      <c r="AU172">
        <v>66.11</v>
      </c>
      <c r="AV172" s="17">
        <v>0</v>
      </c>
      <c r="AW172">
        <v>13.11</v>
      </c>
      <c r="AX172">
        <v>6.27</v>
      </c>
      <c r="AY172">
        <v>8.02</v>
      </c>
      <c r="AZ172">
        <v>0</v>
      </c>
      <c r="BA172">
        <v>6.47</v>
      </c>
      <c r="BB172">
        <v>2.85</v>
      </c>
      <c r="BC172">
        <v>3.1</v>
      </c>
      <c r="BD172">
        <v>0</v>
      </c>
      <c r="BE172">
        <v>0</v>
      </c>
      <c r="BF172">
        <v>10.49</v>
      </c>
      <c r="BG172">
        <v>26.72</v>
      </c>
      <c r="BH172">
        <v>13.38</v>
      </c>
      <c r="BI172">
        <v>10.67</v>
      </c>
      <c r="BJ172">
        <v>0</v>
      </c>
      <c r="BK172">
        <v>0</v>
      </c>
      <c r="BL172">
        <v>0</v>
      </c>
      <c r="BM172">
        <v>3.9</v>
      </c>
      <c r="BN172">
        <v>1</v>
      </c>
      <c r="BO172">
        <v>1</v>
      </c>
      <c r="BP172" s="16">
        <v>0.04</v>
      </c>
      <c r="BQ172" s="16">
        <v>1</v>
      </c>
      <c r="BR172" s="16">
        <v>0.03</v>
      </c>
      <c r="BS172" s="16">
        <v>0.03</v>
      </c>
      <c r="BT172" s="16">
        <v>0</v>
      </c>
      <c r="BU172" s="16">
        <v>0</v>
      </c>
      <c r="BV172" s="16">
        <v>0</v>
      </c>
      <c r="BW172">
        <v>0</v>
      </c>
    </row>
    <row r="173" spans="1:75" x14ac:dyDescent="0.2">
      <c r="A173">
        <v>1</v>
      </c>
      <c r="B173">
        <v>38.269678302532498</v>
      </c>
      <c r="C173">
        <v>8.9801505817932892</v>
      </c>
      <c r="D173">
        <v>8</v>
      </c>
      <c r="E173">
        <v>63</v>
      </c>
      <c r="F173">
        <v>1.6</v>
      </c>
      <c r="G173">
        <v>24.609375</v>
      </c>
      <c r="H173">
        <v>0</v>
      </c>
      <c r="I173">
        <v>0</v>
      </c>
      <c r="J173" s="19">
        <v>1</v>
      </c>
      <c r="K173" s="19">
        <v>0</v>
      </c>
      <c r="L173" s="19">
        <v>1</v>
      </c>
      <c r="M173" s="19">
        <v>0</v>
      </c>
      <c r="N173">
        <v>9</v>
      </c>
      <c r="O173" s="19">
        <v>7</v>
      </c>
      <c r="P173" s="19">
        <v>0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5">
        <f t="shared" si="6"/>
        <v>1.7777777777777777</v>
      </c>
      <c r="W173" s="19">
        <v>1</v>
      </c>
      <c r="X173" s="19">
        <v>2</v>
      </c>
      <c r="Y173" s="19">
        <v>3</v>
      </c>
      <c r="Z173" s="19">
        <v>5</v>
      </c>
      <c r="AA173" s="19">
        <v>3</v>
      </c>
      <c r="AB173" s="19">
        <v>3</v>
      </c>
      <c r="AC173" s="19">
        <v>2</v>
      </c>
      <c r="AD173" s="19">
        <v>3</v>
      </c>
      <c r="AE173" s="19">
        <v>3</v>
      </c>
      <c r="AF173" s="19">
        <v>3</v>
      </c>
      <c r="AG173" s="19">
        <v>4</v>
      </c>
      <c r="AH173" s="19">
        <v>5</v>
      </c>
      <c r="AI173" s="19">
        <v>5</v>
      </c>
      <c r="AJ173" s="19">
        <v>5</v>
      </c>
      <c r="AK173" s="19">
        <v>5</v>
      </c>
      <c r="AL173" s="19">
        <v>5</v>
      </c>
      <c r="AM173" s="19">
        <v>5</v>
      </c>
      <c r="AN173" s="19">
        <v>5</v>
      </c>
      <c r="AO173" s="19">
        <v>5</v>
      </c>
      <c r="AP173" s="19">
        <v>5</v>
      </c>
      <c r="AQ173">
        <v>21.5</v>
      </c>
      <c r="AR173" s="16">
        <v>54.9</v>
      </c>
      <c r="AS173" s="16">
        <v>80.400000000000006</v>
      </c>
      <c r="AT173" s="16">
        <v>17.899999999999999</v>
      </c>
      <c r="AU173">
        <v>90.61</v>
      </c>
      <c r="AV173" s="17">
        <v>0</v>
      </c>
      <c r="AW173">
        <v>0</v>
      </c>
      <c r="AX173">
        <v>2.4500000000000002</v>
      </c>
      <c r="AY173">
        <v>6.94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12.16</v>
      </c>
      <c r="BG173">
        <v>24.45</v>
      </c>
      <c r="BH173">
        <v>4.8</v>
      </c>
      <c r="BI173">
        <v>5.1100000000000003</v>
      </c>
      <c r="BJ173">
        <v>0</v>
      </c>
      <c r="BK173">
        <v>0</v>
      </c>
      <c r="BL173">
        <v>0</v>
      </c>
      <c r="BM173">
        <v>2.9</v>
      </c>
      <c r="BN173">
        <v>1</v>
      </c>
      <c r="BO173">
        <v>1</v>
      </c>
      <c r="BP173" s="16">
        <v>0</v>
      </c>
      <c r="BQ173" s="16">
        <v>0</v>
      </c>
      <c r="BR173" s="16">
        <v>0.67</v>
      </c>
      <c r="BS173" s="16">
        <v>0.65</v>
      </c>
      <c r="BT173" s="16">
        <v>0</v>
      </c>
      <c r="BU173" s="16">
        <v>0</v>
      </c>
      <c r="BV173" s="16">
        <v>0</v>
      </c>
      <c r="BW173">
        <v>0</v>
      </c>
    </row>
    <row r="174" spans="1:75" x14ac:dyDescent="0.2">
      <c r="A174">
        <v>2</v>
      </c>
      <c r="B174">
        <v>31.219712525667301</v>
      </c>
      <c r="C174">
        <v>0.2217659137577</v>
      </c>
      <c r="D174">
        <v>8</v>
      </c>
      <c r="E174">
        <v>90</v>
      </c>
      <c r="F174">
        <v>1.83</v>
      </c>
      <c r="G174">
        <v>26.874496103198101</v>
      </c>
      <c r="H174">
        <v>0</v>
      </c>
      <c r="I174">
        <v>0</v>
      </c>
      <c r="J174" s="19">
        <v>1</v>
      </c>
      <c r="K174" s="19">
        <v>0</v>
      </c>
      <c r="L174" s="19">
        <v>1</v>
      </c>
      <c r="M174" s="19">
        <v>0</v>
      </c>
      <c r="N174">
        <v>0</v>
      </c>
      <c r="O174" s="19">
        <v>0</v>
      </c>
      <c r="P174" s="19">
        <v>0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5">
        <f t="shared" si="6"/>
        <v>0</v>
      </c>
      <c r="W174" s="19">
        <v>2</v>
      </c>
      <c r="X174" s="19">
        <v>1</v>
      </c>
      <c r="Y174" s="19">
        <v>2</v>
      </c>
      <c r="Z174" s="19">
        <v>5</v>
      </c>
      <c r="AA174" s="19">
        <v>3</v>
      </c>
      <c r="AB174" s="19">
        <v>2</v>
      </c>
      <c r="AC174" s="19">
        <v>2</v>
      </c>
      <c r="AD174" s="19">
        <v>3</v>
      </c>
      <c r="AE174" s="19">
        <v>2</v>
      </c>
      <c r="AF174" s="19">
        <v>4</v>
      </c>
      <c r="AG174" s="19">
        <v>4</v>
      </c>
      <c r="AH174" s="19">
        <v>5</v>
      </c>
      <c r="AI174" s="19">
        <v>4</v>
      </c>
      <c r="AJ174" s="19">
        <v>4</v>
      </c>
      <c r="AK174" s="19">
        <v>3</v>
      </c>
      <c r="AL174" s="19">
        <v>4</v>
      </c>
      <c r="AM174" s="19">
        <v>4</v>
      </c>
      <c r="AN174" s="19">
        <v>5</v>
      </c>
      <c r="AO174" s="19">
        <v>4</v>
      </c>
      <c r="AP174" s="19">
        <v>10</v>
      </c>
      <c r="AQ174">
        <v>31</v>
      </c>
      <c r="AR174" s="16">
        <v>80.2</v>
      </c>
      <c r="AS174" s="16">
        <v>80.400000000000006</v>
      </c>
      <c r="AT174" s="16">
        <v>6.5</v>
      </c>
      <c r="AU174">
        <v>99.3</v>
      </c>
      <c r="AV174" s="17">
        <v>0</v>
      </c>
      <c r="AW174">
        <v>0.7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31.92</v>
      </c>
      <c r="BH174">
        <v>23.7</v>
      </c>
      <c r="BI174">
        <v>1.95</v>
      </c>
      <c r="BJ174">
        <v>0</v>
      </c>
      <c r="BK174">
        <v>18.7</v>
      </c>
      <c r="BL174">
        <v>4</v>
      </c>
      <c r="BM174">
        <v>0</v>
      </c>
      <c r="BN174">
        <v>0</v>
      </c>
      <c r="BO174">
        <v>0</v>
      </c>
      <c r="BP174" s="16">
        <v>0</v>
      </c>
      <c r="BQ174" s="16">
        <v>0</v>
      </c>
      <c r="BR174" s="16">
        <v>5.42</v>
      </c>
      <c r="BS174" s="16">
        <v>6.61</v>
      </c>
      <c r="BT174" s="16">
        <v>0</v>
      </c>
      <c r="BU174" s="16">
        <v>0</v>
      </c>
      <c r="BV174" s="16">
        <v>0</v>
      </c>
      <c r="BW174">
        <v>0</v>
      </c>
    </row>
    <row r="175" spans="1:75" x14ac:dyDescent="0.2">
      <c r="A175">
        <v>2</v>
      </c>
      <c r="B175">
        <v>37.7960301163587</v>
      </c>
      <c r="C175">
        <v>0.24914442162902101</v>
      </c>
      <c r="D175">
        <v>8</v>
      </c>
      <c r="E175">
        <v>76</v>
      </c>
      <c r="F175">
        <v>1.76</v>
      </c>
      <c r="G175">
        <v>24.535123966942098</v>
      </c>
      <c r="H175">
        <v>0</v>
      </c>
      <c r="I175">
        <v>0</v>
      </c>
      <c r="J175" s="19">
        <v>0</v>
      </c>
      <c r="K175" s="19">
        <v>0</v>
      </c>
      <c r="L175" s="19">
        <v>1</v>
      </c>
      <c r="M175" s="19"/>
      <c r="N175">
        <v>0</v>
      </c>
      <c r="O175" s="19">
        <v>0</v>
      </c>
      <c r="P175" s="19">
        <v>0</v>
      </c>
      <c r="Q175" s="19">
        <v>0</v>
      </c>
      <c r="R175" s="19">
        <v>0</v>
      </c>
      <c r="S175" s="19">
        <v>0</v>
      </c>
      <c r="T175" s="19">
        <v>0</v>
      </c>
      <c r="U175" s="19"/>
      <c r="V175" s="15">
        <f t="shared" si="6"/>
        <v>0</v>
      </c>
      <c r="W175" s="19">
        <v>2</v>
      </c>
      <c r="X175" s="19">
        <v>2</v>
      </c>
      <c r="Y175" s="19">
        <v>3</v>
      </c>
      <c r="Z175" s="19">
        <v>5</v>
      </c>
      <c r="AA175" s="19">
        <v>2</v>
      </c>
      <c r="AB175" s="19">
        <v>3</v>
      </c>
      <c r="AC175" s="19">
        <v>2</v>
      </c>
      <c r="AD175" s="19">
        <v>3</v>
      </c>
      <c r="AE175" s="19">
        <v>3</v>
      </c>
      <c r="AF175" s="19">
        <v>5</v>
      </c>
      <c r="AG175" s="19">
        <v>4</v>
      </c>
      <c r="AH175" s="19">
        <v>5</v>
      </c>
      <c r="AI175" s="19">
        <v>4</v>
      </c>
      <c r="AJ175" s="19">
        <v>4</v>
      </c>
      <c r="AK175" s="19">
        <v>4</v>
      </c>
      <c r="AL175" s="19">
        <v>4</v>
      </c>
      <c r="AM175" s="19">
        <v>4</v>
      </c>
      <c r="AN175" s="19">
        <v>5</v>
      </c>
      <c r="AO175" s="19"/>
      <c r="AP175" s="19">
        <v>8</v>
      </c>
      <c r="AQ175">
        <v>21.5</v>
      </c>
      <c r="AR175" s="16">
        <v>54.9</v>
      </c>
      <c r="AS175" s="16">
        <v>80.400000000000006</v>
      </c>
      <c r="AT175" s="16">
        <v>17.899999999999999</v>
      </c>
      <c r="AU175">
        <v>90.61</v>
      </c>
      <c r="AV175" s="17">
        <v>0</v>
      </c>
      <c r="AW175">
        <v>0</v>
      </c>
      <c r="AX175">
        <v>2.4500000000000002</v>
      </c>
      <c r="AY175">
        <v>6.94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12.16</v>
      </c>
      <c r="BG175">
        <v>24.45</v>
      </c>
      <c r="BH175">
        <v>4.8</v>
      </c>
      <c r="BI175">
        <v>5.1100000000000003</v>
      </c>
      <c r="BJ175">
        <v>0</v>
      </c>
      <c r="BK175">
        <v>0</v>
      </c>
      <c r="BL175">
        <v>0</v>
      </c>
      <c r="BM175">
        <v>2.9</v>
      </c>
      <c r="BN175">
        <v>1</v>
      </c>
      <c r="BO175">
        <v>1</v>
      </c>
      <c r="BP175" s="16">
        <v>0</v>
      </c>
      <c r="BQ175" s="16">
        <v>0</v>
      </c>
      <c r="BR175" s="16">
        <v>0.67</v>
      </c>
      <c r="BS175" s="16">
        <v>0.65</v>
      </c>
      <c r="BT175" s="16">
        <v>0</v>
      </c>
      <c r="BU175" s="16">
        <v>0</v>
      </c>
      <c r="BV175" s="16">
        <v>0</v>
      </c>
      <c r="BW175">
        <v>0</v>
      </c>
    </row>
    <row r="176" spans="1:75" x14ac:dyDescent="0.2">
      <c r="A176" s="24">
        <v>2</v>
      </c>
      <c r="B176">
        <v>47.622176591375798</v>
      </c>
      <c r="C176">
        <v>20.117727583846701</v>
      </c>
      <c r="D176">
        <v>8</v>
      </c>
      <c r="E176">
        <v>73</v>
      </c>
      <c r="F176">
        <v>1.74</v>
      </c>
      <c r="G176">
        <v>24.111507464658501</v>
      </c>
      <c r="H176">
        <v>0</v>
      </c>
      <c r="I176">
        <v>0</v>
      </c>
      <c r="J176" s="26">
        <v>1</v>
      </c>
      <c r="K176" s="19">
        <v>0</v>
      </c>
      <c r="L176" s="26">
        <v>1</v>
      </c>
      <c r="M176" s="26">
        <v>4</v>
      </c>
      <c r="N176">
        <v>0</v>
      </c>
      <c r="O176" s="26">
        <v>0</v>
      </c>
      <c r="P176" s="26">
        <v>0</v>
      </c>
      <c r="Q176" s="26">
        <v>0</v>
      </c>
      <c r="R176" s="26">
        <v>3</v>
      </c>
      <c r="S176" s="26">
        <v>0</v>
      </c>
      <c r="T176" s="26">
        <v>0</v>
      </c>
      <c r="U176" s="26">
        <v>5</v>
      </c>
      <c r="V176" s="15">
        <f t="shared" si="6"/>
        <v>1.3333333333333333</v>
      </c>
      <c r="W176" s="26">
        <v>3</v>
      </c>
      <c r="X176" s="26">
        <v>1</v>
      </c>
      <c r="Y176" s="26">
        <v>3</v>
      </c>
      <c r="Z176" s="26">
        <v>5</v>
      </c>
      <c r="AA176" s="26">
        <v>3</v>
      </c>
      <c r="AB176" s="26">
        <v>3</v>
      </c>
      <c r="AC176" s="26">
        <v>5</v>
      </c>
      <c r="AD176" s="26">
        <v>5</v>
      </c>
      <c r="AE176" s="26">
        <v>4</v>
      </c>
      <c r="AF176" s="26">
        <v>3</v>
      </c>
      <c r="AG176" s="26">
        <v>4</v>
      </c>
      <c r="AH176" s="26">
        <v>5</v>
      </c>
      <c r="AI176" s="26">
        <v>3</v>
      </c>
      <c r="AJ176" s="26">
        <v>3</v>
      </c>
      <c r="AK176" s="26">
        <v>4</v>
      </c>
      <c r="AL176" s="26">
        <v>4</v>
      </c>
      <c r="AM176" s="26">
        <v>4</v>
      </c>
      <c r="AN176" s="26">
        <v>4</v>
      </c>
      <c r="AO176" s="26">
        <v>4</v>
      </c>
      <c r="AP176" s="26">
        <v>10</v>
      </c>
      <c r="AQ176" s="24">
        <v>12.5</v>
      </c>
      <c r="AR176" s="27">
        <v>83.2</v>
      </c>
      <c r="AS176" s="27">
        <v>79.94</v>
      </c>
      <c r="AT176" s="27">
        <v>9.1</v>
      </c>
      <c r="AU176" s="24">
        <v>37.83</v>
      </c>
      <c r="AV176" s="24">
        <v>0</v>
      </c>
      <c r="AW176" s="24">
        <v>0</v>
      </c>
      <c r="AX176" s="24">
        <v>0</v>
      </c>
      <c r="AY176" s="24">
        <v>0</v>
      </c>
      <c r="AZ176" s="24">
        <v>0</v>
      </c>
      <c r="BA176" s="24">
        <v>62.17</v>
      </c>
      <c r="BB176" s="24">
        <v>0</v>
      </c>
      <c r="BC176" s="24">
        <v>0</v>
      </c>
      <c r="BD176" s="24">
        <v>0</v>
      </c>
      <c r="BE176" s="24">
        <v>0</v>
      </c>
      <c r="BF176" s="24">
        <v>2.25</v>
      </c>
      <c r="BG176" s="24">
        <v>6.87</v>
      </c>
      <c r="BH176" s="24">
        <v>22.2</v>
      </c>
      <c r="BI176" s="24">
        <v>0</v>
      </c>
      <c r="BJ176" s="24">
        <v>0</v>
      </c>
      <c r="BK176" s="24">
        <v>0</v>
      </c>
      <c r="BL176" s="24">
        <v>0</v>
      </c>
      <c r="BM176" s="24">
        <v>0</v>
      </c>
      <c r="BN176" s="24">
        <v>0</v>
      </c>
      <c r="BO176" s="24">
        <v>0</v>
      </c>
      <c r="BP176" s="27">
        <v>0</v>
      </c>
      <c r="BQ176" s="27">
        <v>0</v>
      </c>
      <c r="BR176" s="27">
        <v>0</v>
      </c>
      <c r="BS176" s="27">
        <v>0</v>
      </c>
      <c r="BT176" s="27">
        <v>3</v>
      </c>
      <c r="BU176" s="27">
        <v>0</v>
      </c>
      <c r="BV176" s="27">
        <v>0</v>
      </c>
      <c r="BW176" s="24">
        <v>4</v>
      </c>
    </row>
    <row r="177" spans="1:75" x14ac:dyDescent="0.2">
      <c r="A177">
        <v>2</v>
      </c>
      <c r="B177">
        <v>56.993839835728998</v>
      </c>
      <c r="C177">
        <v>21.771389459274499</v>
      </c>
      <c r="D177">
        <v>8</v>
      </c>
      <c r="E177">
        <v>65</v>
      </c>
      <c r="F177">
        <v>1.72</v>
      </c>
      <c r="G177">
        <v>21.971335857220101</v>
      </c>
      <c r="H177">
        <v>0</v>
      </c>
      <c r="I177">
        <v>0</v>
      </c>
      <c r="J177" s="19">
        <v>0</v>
      </c>
      <c r="K177" s="19">
        <v>0</v>
      </c>
      <c r="L177" s="19">
        <v>0</v>
      </c>
      <c r="M177" s="19">
        <v>0</v>
      </c>
      <c r="N177">
        <v>9</v>
      </c>
      <c r="O177" s="19"/>
      <c r="P177" s="19"/>
      <c r="Q177" s="19"/>
      <c r="R177" s="19">
        <v>0</v>
      </c>
      <c r="S177" s="19">
        <v>0</v>
      </c>
      <c r="T177" s="19">
        <v>0</v>
      </c>
      <c r="U177" s="19">
        <v>8</v>
      </c>
      <c r="V177" s="15">
        <f t="shared" si="6"/>
        <v>2.8333333333333335</v>
      </c>
      <c r="W177" s="19">
        <v>1</v>
      </c>
      <c r="X177" s="19">
        <v>2</v>
      </c>
      <c r="Y177" s="19">
        <v>3</v>
      </c>
      <c r="Z177" s="19">
        <v>5</v>
      </c>
      <c r="AA177" s="19">
        <v>4</v>
      </c>
      <c r="AB177" s="19">
        <v>2</v>
      </c>
      <c r="AC177" s="19">
        <v>5</v>
      </c>
      <c r="AD177" s="19">
        <v>4</v>
      </c>
      <c r="AE177" s="19">
        <v>2</v>
      </c>
      <c r="AF177" s="19">
        <v>4</v>
      </c>
      <c r="AG177" s="19">
        <v>5</v>
      </c>
      <c r="AH177" s="19">
        <v>5</v>
      </c>
      <c r="AI177" s="19">
        <v>2</v>
      </c>
      <c r="AJ177" s="19">
        <v>3</v>
      </c>
      <c r="AK177" s="19">
        <v>3</v>
      </c>
      <c r="AL177" s="19">
        <v>3</v>
      </c>
      <c r="AM177" s="19">
        <v>2</v>
      </c>
      <c r="AN177" s="19">
        <v>4</v>
      </c>
      <c r="AO177" s="19">
        <v>2</v>
      </c>
      <c r="AP177" s="19">
        <v>5</v>
      </c>
      <c r="AQ177">
        <v>8</v>
      </c>
      <c r="AR177" s="16">
        <v>55.4</v>
      </c>
      <c r="AS177" s="16">
        <v>560.98</v>
      </c>
      <c r="AT177" s="16">
        <v>5.9</v>
      </c>
      <c r="AU177">
        <v>5.07</v>
      </c>
      <c r="AV177">
        <v>0</v>
      </c>
      <c r="AW177">
        <v>0.51</v>
      </c>
      <c r="AX177">
        <v>0</v>
      </c>
      <c r="AY177">
        <v>2.61</v>
      </c>
      <c r="AZ177">
        <v>0</v>
      </c>
      <c r="BA177">
        <v>91.79</v>
      </c>
      <c r="BB177">
        <v>0</v>
      </c>
      <c r="BC177">
        <v>0</v>
      </c>
      <c r="BD177">
        <v>0</v>
      </c>
      <c r="BE177">
        <v>0</v>
      </c>
      <c r="BF177">
        <v>0.41</v>
      </c>
      <c r="BG177">
        <v>3.78</v>
      </c>
      <c r="BH177">
        <v>1.66</v>
      </c>
      <c r="BI177">
        <v>0.5</v>
      </c>
      <c r="BJ177">
        <v>0.71</v>
      </c>
      <c r="BK177">
        <v>0</v>
      </c>
      <c r="BL177">
        <v>0</v>
      </c>
      <c r="BM177">
        <v>0.2</v>
      </c>
      <c r="BN177">
        <v>1</v>
      </c>
      <c r="BO177">
        <v>0</v>
      </c>
      <c r="BP177" s="16">
        <v>0.02</v>
      </c>
      <c r="BQ177" s="16">
        <v>1</v>
      </c>
      <c r="BR177" s="16">
        <v>1.21</v>
      </c>
      <c r="BS177" s="16">
        <v>1.2</v>
      </c>
      <c r="BT177" s="16">
        <v>0.53</v>
      </c>
      <c r="BU177" s="16">
        <v>0.45</v>
      </c>
      <c r="BV177" s="16">
        <v>0</v>
      </c>
      <c r="BW177">
        <v>0</v>
      </c>
    </row>
    <row r="178" spans="1:75" x14ac:dyDescent="0.2">
      <c r="A178" s="24">
        <v>2</v>
      </c>
      <c r="B178">
        <v>43.611225188227202</v>
      </c>
      <c r="C178">
        <v>22.236824093086899</v>
      </c>
      <c r="D178">
        <v>8</v>
      </c>
      <c r="E178">
        <v>80</v>
      </c>
      <c r="F178">
        <v>1.75</v>
      </c>
      <c r="G178">
        <v>26.122448979591798</v>
      </c>
      <c r="H178">
        <v>0</v>
      </c>
      <c r="I178">
        <v>0</v>
      </c>
      <c r="J178" s="26">
        <v>0</v>
      </c>
      <c r="K178" s="19">
        <v>0</v>
      </c>
      <c r="L178" s="26">
        <v>1</v>
      </c>
      <c r="M178" s="26">
        <v>0</v>
      </c>
      <c r="O178" s="26">
        <v>7</v>
      </c>
      <c r="P178" s="26"/>
      <c r="Q178" s="26"/>
      <c r="R178" s="26">
        <v>0</v>
      </c>
      <c r="S178" s="26">
        <v>0</v>
      </c>
      <c r="T178" s="26">
        <v>0</v>
      </c>
      <c r="U178" s="26">
        <v>0</v>
      </c>
      <c r="V178" s="15">
        <f t="shared" si="6"/>
        <v>1.1666666666666667</v>
      </c>
      <c r="W178" s="26">
        <v>3</v>
      </c>
      <c r="X178" s="26">
        <v>3</v>
      </c>
      <c r="Y178" s="26">
        <v>2</v>
      </c>
      <c r="Z178" s="26">
        <v>4</v>
      </c>
      <c r="AA178" s="26">
        <v>3</v>
      </c>
      <c r="AB178" s="26">
        <v>2</v>
      </c>
      <c r="AC178" s="26">
        <v>4</v>
      </c>
      <c r="AD178" s="26">
        <v>3</v>
      </c>
      <c r="AE178" s="26">
        <v>4</v>
      </c>
      <c r="AF178" s="26">
        <v>2</v>
      </c>
      <c r="AG178" s="26">
        <v>4</v>
      </c>
      <c r="AH178" s="26">
        <v>5</v>
      </c>
      <c r="AI178" s="26">
        <v>4</v>
      </c>
      <c r="AJ178" s="26">
        <v>3</v>
      </c>
      <c r="AK178" s="26">
        <v>3</v>
      </c>
      <c r="AL178" s="26">
        <v>4</v>
      </c>
      <c r="AM178" s="26">
        <v>3</v>
      </c>
      <c r="AN178" s="26">
        <v>3</v>
      </c>
      <c r="AO178" s="26">
        <v>3</v>
      </c>
      <c r="AP178" s="26">
        <v>9</v>
      </c>
      <c r="AQ178" s="24">
        <v>12.5</v>
      </c>
      <c r="AR178" s="27">
        <v>83.2</v>
      </c>
      <c r="AS178" s="27">
        <v>79.94</v>
      </c>
      <c r="AT178" s="27">
        <v>9.1</v>
      </c>
      <c r="AU178" s="24">
        <v>37.83</v>
      </c>
      <c r="AV178" s="24">
        <v>0</v>
      </c>
      <c r="AW178" s="24">
        <v>0</v>
      </c>
      <c r="AX178" s="24">
        <v>0</v>
      </c>
      <c r="AY178" s="24">
        <v>0</v>
      </c>
      <c r="AZ178" s="24">
        <v>0</v>
      </c>
      <c r="BA178" s="24">
        <v>62.17</v>
      </c>
      <c r="BB178" s="24">
        <v>0</v>
      </c>
      <c r="BC178" s="24">
        <v>0</v>
      </c>
      <c r="BD178" s="24">
        <v>0</v>
      </c>
      <c r="BE178" s="24">
        <v>0</v>
      </c>
      <c r="BF178" s="24">
        <v>2.25</v>
      </c>
      <c r="BG178" s="24">
        <v>6.87</v>
      </c>
      <c r="BH178" s="24">
        <v>22.2</v>
      </c>
      <c r="BI178" s="24">
        <v>0</v>
      </c>
      <c r="BJ178" s="24">
        <v>0</v>
      </c>
      <c r="BK178" s="24">
        <v>0</v>
      </c>
      <c r="BL178" s="24">
        <v>0</v>
      </c>
      <c r="BM178" s="24">
        <v>0</v>
      </c>
      <c r="BN178" s="24">
        <v>0</v>
      </c>
      <c r="BO178" s="24">
        <v>0</v>
      </c>
      <c r="BP178" s="27">
        <v>0</v>
      </c>
      <c r="BQ178" s="27">
        <v>0</v>
      </c>
      <c r="BR178" s="27">
        <v>0</v>
      </c>
      <c r="BS178" s="27">
        <v>0</v>
      </c>
      <c r="BT178" s="27">
        <v>3</v>
      </c>
      <c r="BU178" s="27">
        <v>0</v>
      </c>
      <c r="BV178" s="27">
        <v>0</v>
      </c>
      <c r="BW178" s="24">
        <v>4</v>
      </c>
    </row>
    <row r="179" spans="1:75" x14ac:dyDescent="0.2">
      <c r="A179" s="24">
        <v>1</v>
      </c>
      <c r="B179">
        <v>40.076659822039701</v>
      </c>
      <c r="C179">
        <v>6.5544147843942504</v>
      </c>
      <c r="D179">
        <v>8</v>
      </c>
      <c r="F179">
        <v>1.56</v>
      </c>
      <c r="G179">
        <v>0</v>
      </c>
      <c r="H179">
        <v>1</v>
      </c>
      <c r="I179">
        <v>1</v>
      </c>
      <c r="J179" s="26">
        <v>0</v>
      </c>
      <c r="K179" s="19">
        <v>0</v>
      </c>
      <c r="L179" s="26">
        <v>0</v>
      </c>
      <c r="M179" s="26">
        <v>0</v>
      </c>
      <c r="N179">
        <v>5</v>
      </c>
      <c r="O179" s="26">
        <v>4</v>
      </c>
      <c r="P179" s="26">
        <v>3</v>
      </c>
      <c r="Q179" s="26">
        <v>3</v>
      </c>
      <c r="R179" s="26">
        <v>0</v>
      </c>
      <c r="S179" s="26">
        <v>0</v>
      </c>
      <c r="T179" s="26">
        <v>0</v>
      </c>
      <c r="U179" s="26">
        <v>0</v>
      </c>
      <c r="V179" s="15">
        <f t="shared" si="6"/>
        <v>1.6666666666666667</v>
      </c>
      <c r="W179" s="26">
        <v>1</v>
      </c>
      <c r="X179" s="26">
        <v>1</v>
      </c>
      <c r="Y179" s="26">
        <v>1</v>
      </c>
      <c r="Z179" s="26">
        <v>5</v>
      </c>
      <c r="AA179" s="26">
        <v>3</v>
      </c>
      <c r="AB179" s="26">
        <v>2</v>
      </c>
      <c r="AC179" s="26">
        <v>2</v>
      </c>
      <c r="AD179" s="26">
        <v>5</v>
      </c>
      <c r="AE179" s="26">
        <v>5</v>
      </c>
      <c r="AF179" s="26">
        <v>5</v>
      </c>
      <c r="AG179" s="26">
        <v>5</v>
      </c>
      <c r="AH179" s="26">
        <v>5</v>
      </c>
      <c r="AI179" s="26">
        <v>5</v>
      </c>
      <c r="AJ179" s="26">
        <v>5</v>
      </c>
      <c r="AK179" s="26">
        <v>5</v>
      </c>
      <c r="AL179" s="26">
        <v>5</v>
      </c>
      <c r="AM179" s="26">
        <v>5</v>
      </c>
      <c r="AN179" s="26">
        <v>5</v>
      </c>
      <c r="AO179" s="26">
        <v>5</v>
      </c>
      <c r="AP179" s="26">
        <v>9</v>
      </c>
      <c r="AQ179">
        <v>35.5</v>
      </c>
      <c r="AR179" s="16">
        <v>93.5</v>
      </c>
      <c r="AS179" s="16">
        <v>83.4</v>
      </c>
      <c r="AT179" s="16">
        <v>18.2</v>
      </c>
      <c r="AU179">
        <v>81.819999999999993</v>
      </c>
      <c r="AV179">
        <v>0</v>
      </c>
      <c r="AW179">
        <v>0</v>
      </c>
      <c r="AX179">
        <v>0</v>
      </c>
      <c r="AY179">
        <v>18.18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37.1</v>
      </c>
      <c r="BG179">
        <v>47.46</v>
      </c>
      <c r="BH179">
        <v>20.37</v>
      </c>
      <c r="BI179">
        <v>3.52</v>
      </c>
      <c r="BJ179">
        <v>0</v>
      </c>
      <c r="BK179">
        <v>0</v>
      </c>
      <c r="BL179">
        <v>0</v>
      </c>
      <c r="BM179">
        <v>8.4</v>
      </c>
      <c r="BN179">
        <v>0</v>
      </c>
      <c r="BO179">
        <v>1</v>
      </c>
      <c r="BP179" s="16">
        <v>1.69</v>
      </c>
      <c r="BQ179" s="16">
        <v>1</v>
      </c>
      <c r="BR179" s="16">
        <v>3.24</v>
      </c>
      <c r="BS179" s="16">
        <v>2.54</v>
      </c>
      <c r="BT179" s="16">
        <v>3.6</v>
      </c>
      <c r="BU179" s="16">
        <v>8.8000000000000007</v>
      </c>
      <c r="BV179" s="16">
        <v>0</v>
      </c>
      <c r="BW179">
        <v>0</v>
      </c>
    </row>
    <row r="180" spans="1:75" x14ac:dyDescent="0.2">
      <c r="A180" s="24">
        <v>1</v>
      </c>
      <c r="B180">
        <v>24.377823408624199</v>
      </c>
      <c r="C180">
        <v>0.35592060232717299</v>
      </c>
      <c r="D180">
        <v>8</v>
      </c>
      <c r="E180">
        <v>62</v>
      </c>
      <c r="F180">
        <v>1.8</v>
      </c>
      <c r="G180">
        <v>19.1358024691358</v>
      </c>
      <c r="H180">
        <v>0</v>
      </c>
      <c r="I180">
        <v>0</v>
      </c>
      <c r="J180" s="26">
        <v>0</v>
      </c>
      <c r="K180" s="26">
        <v>1</v>
      </c>
      <c r="L180" s="26">
        <v>1</v>
      </c>
      <c r="M180" s="26">
        <v>0</v>
      </c>
      <c r="N180">
        <v>0</v>
      </c>
      <c r="O180" s="26">
        <v>0</v>
      </c>
      <c r="P180" s="26">
        <v>0</v>
      </c>
      <c r="Q180" s="26">
        <v>0</v>
      </c>
      <c r="R180" s="26">
        <v>0</v>
      </c>
      <c r="S180" s="26">
        <v>0</v>
      </c>
      <c r="T180" s="26">
        <v>0</v>
      </c>
      <c r="U180" s="26">
        <v>0</v>
      </c>
      <c r="V180" s="15">
        <f t="shared" si="6"/>
        <v>0</v>
      </c>
      <c r="W180" s="26">
        <v>2</v>
      </c>
      <c r="X180" s="26">
        <v>2</v>
      </c>
      <c r="Y180" s="26">
        <v>2</v>
      </c>
      <c r="Z180" s="26">
        <v>5</v>
      </c>
      <c r="AA180" s="26">
        <v>2</v>
      </c>
      <c r="AB180" s="26">
        <v>2</v>
      </c>
      <c r="AC180" s="26">
        <v>3</v>
      </c>
      <c r="AD180" s="26">
        <v>5</v>
      </c>
      <c r="AE180" s="26">
        <v>5</v>
      </c>
      <c r="AF180" s="26">
        <v>5</v>
      </c>
      <c r="AG180" s="26">
        <v>5</v>
      </c>
      <c r="AH180" s="26">
        <v>5</v>
      </c>
      <c r="AI180" s="26">
        <v>5</v>
      </c>
      <c r="AJ180" s="26">
        <v>5</v>
      </c>
      <c r="AK180" s="26">
        <v>5</v>
      </c>
      <c r="AL180" s="26">
        <v>5</v>
      </c>
      <c r="AM180" s="26">
        <v>5</v>
      </c>
      <c r="AN180" s="26">
        <v>5</v>
      </c>
      <c r="AO180" s="26">
        <v>5</v>
      </c>
      <c r="AP180" s="26">
        <v>10</v>
      </c>
      <c r="AQ180" s="24">
        <v>35.5</v>
      </c>
      <c r="AR180" s="27">
        <v>93.5</v>
      </c>
      <c r="AS180" s="27">
        <v>83.4</v>
      </c>
      <c r="AT180" s="27">
        <v>18.2</v>
      </c>
      <c r="AU180" s="24">
        <v>81.819999999999993</v>
      </c>
      <c r="AV180" s="24">
        <v>0</v>
      </c>
      <c r="AW180" s="24">
        <v>0</v>
      </c>
      <c r="AX180" s="24">
        <v>0</v>
      </c>
      <c r="AY180" s="24">
        <v>18.18</v>
      </c>
      <c r="AZ180" s="24">
        <v>0</v>
      </c>
      <c r="BA180" s="24">
        <v>0</v>
      </c>
      <c r="BB180" s="24">
        <v>0</v>
      </c>
      <c r="BC180" s="24">
        <v>0</v>
      </c>
      <c r="BD180" s="24">
        <v>0</v>
      </c>
      <c r="BE180" s="24">
        <v>0</v>
      </c>
      <c r="BF180" s="24">
        <v>37.1</v>
      </c>
      <c r="BG180" s="24">
        <v>47.46</v>
      </c>
      <c r="BH180" s="24">
        <v>20.37</v>
      </c>
      <c r="BI180" s="24">
        <v>3.52</v>
      </c>
      <c r="BJ180" s="24">
        <v>0</v>
      </c>
      <c r="BK180" s="24">
        <v>0</v>
      </c>
      <c r="BL180" s="24">
        <v>0</v>
      </c>
      <c r="BM180" s="24">
        <v>8.4</v>
      </c>
      <c r="BN180" s="24">
        <v>0</v>
      </c>
      <c r="BO180" s="24">
        <v>1</v>
      </c>
      <c r="BP180" s="27">
        <v>1.69</v>
      </c>
      <c r="BQ180" s="27">
        <v>1</v>
      </c>
      <c r="BR180" s="27">
        <v>3.24</v>
      </c>
      <c r="BS180" s="27">
        <v>2.54</v>
      </c>
      <c r="BT180" s="27">
        <v>3.6</v>
      </c>
      <c r="BU180" s="27">
        <v>8.8000000000000007</v>
      </c>
      <c r="BV180" s="27">
        <v>0</v>
      </c>
      <c r="BW180" s="24">
        <v>0</v>
      </c>
    </row>
    <row r="181" spans="1:75" x14ac:dyDescent="0.2">
      <c r="A181" s="24">
        <v>1</v>
      </c>
      <c r="B181">
        <v>31.9096509240246</v>
      </c>
      <c r="C181">
        <v>0.29021218343600302</v>
      </c>
      <c r="D181">
        <v>8</v>
      </c>
      <c r="E181">
        <v>54</v>
      </c>
      <c r="F181">
        <v>1.6</v>
      </c>
      <c r="G181">
        <v>21.09375</v>
      </c>
      <c r="H181">
        <v>1</v>
      </c>
      <c r="J181" s="26">
        <v>0</v>
      </c>
      <c r="K181" s="26">
        <v>1</v>
      </c>
      <c r="L181" s="26">
        <v>1</v>
      </c>
      <c r="M181" s="26">
        <v>0</v>
      </c>
      <c r="N181">
        <v>5</v>
      </c>
      <c r="O181" s="26"/>
      <c r="P181" s="26">
        <v>0</v>
      </c>
      <c r="Q181" s="26">
        <v>0</v>
      </c>
      <c r="R181" s="26">
        <v>4</v>
      </c>
      <c r="S181" s="26">
        <v>4</v>
      </c>
      <c r="T181" s="26">
        <v>0</v>
      </c>
      <c r="U181" s="26">
        <v>0</v>
      </c>
      <c r="V181" s="15">
        <f t="shared" si="6"/>
        <v>1.625</v>
      </c>
      <c r="W181" s="26">
        <v>2</v>
      </c>
      <c r="X181" s="26">
        <v>2</v>
      </c>
      <c r="Y181" s="26">
        <v>2</v>
      </c>
      <c r="Z181" s="26">
        <v>4</v>
      </c>
      <c r="AA181" s="26">
        <v>1</v>
      </c>
      <c r="AB181" s="26">
        <v>1</v>
      </c>
      <c r="AC181" s="26">
        <v>4</v>
      </c>
      <c r="AD181" s="26">
        <v>3</v>
      </c>
      <c r="AE181" s="26">
        <v>4</v>
      </c>
      <c r="AF181" s="26">
        <v>3</v>
      </c>
      <c r="AG181" s="26">
        <v>5</v>
      </c>
      <c r="AH181" s="26">
        <v>5</v>
      </c>
      <c r="AI181" s="26">
        <v>3</v>
      </c>
      <c r="AJ181" s="26">
        <v>5</v>
      </c>
      <c r="AK181" s="26">
        <v>5</v>
      </c>
      <c r="AL181" s="26">
        <v>5</v>
      </c>
      <c r="AM181" s="26">
        <v>5</v>
      </c>
      <c r="AN181" s="26">
        <v>5</v>
      </c>
      <c r="AO181" s="26">
        <v>5</v>
      </c>
      <c r="AP181" s="26">
        <v>9</v>
      </c>
      <c r="AQ181" s="24">
        <v>29</v>
      </c>
      <c r="AR181" s="27">
        <v>86.2</v>
      </c>
      <c r="AS181" s="27">
        <v>83.4</v>
      </c>
      <c r="AT181" s="27">
        <v>15.4</v>
      </c>
      <c r="AU181" s="24">
        <v>87</v>
      </c>
      <c r="AV181" s="24">
        <v>0</v>
      </c>
      <c r="AW181" s="24">
        <v>0</v>
      </c>
      <c r="AX181" s="24">
        <v>0</v>
      </c>
      <c r="AY181" s="24">
        <v>13</v>
      </c>
      <c r="AZ181" s="24">
        <v>0</v>
      </c>
      <c r="BA181" s="24">
        <v>0</v>
      </c>
      <c r="BB181" s="24">
        <v>0</v>
      </c>
      <c r="BC181" s="24">
        <v>0</v>
      </c>
      <c r="BD181" s="24">
        <v>0</v>
      </c>
      <c r="BE181" s="24">
        <v>0</v>
      </c>
      <c r="BF181" s="24">
        <v>37.36</v>
      </c>
      <c r="BG181" s="24">
        <v>46.33</v>
      </c>
      <c r="BH181" s="24">
        <v>18.45</v>
      </c>
      <c r="BI181" s="24">
        <v>0</v>
      </c>
      <c r="BJ181" s="24">
        <v>0</v>
      </c>
      <c r="BK181" s="24">
        <v>0</v>
      </c>
      <c r="BL181" s="24">
        <v>0</v>
      </c>
      <c r="BM181" s="24">
        <v>8.3000000000000007</v>
      </c>
      <c r="BN181" s="24">
        <v>0</v>
      </c>
      <c r="BO181" s="24">
        <v>1</v>
      </c>
      <c r="BP181" s="27">
        <v>1.8</v>
      </c>
      <c r="BQ181" s="27">
        <v>1</v>
      </c>
      <c r="BR181" s="27">
        <v>0.54</v>
      </c>
      <c r="BS181" s="27">
        <v>0.13</v>
      </c>
      <c r="BT181" s="27">
        <v>2.88</v>
      </c>
      <c r="BU181" s="27">
        <v>6.91</v>
      </c>
      <c r="BV181" s="27">
        <v>0</v>
      </c>
      <c r="BW181" s="24">
        <v>0</v>
      </c>
    </row>
    <row r="182" spans="1:75" x14ac:dyDescent="0.2">
      <c r="A182">
        <v>2</v>
      </c>
      <c r="B182">
        <v>47.827515400410697</v>
      </c>
      <c r="C182">
        <v>22.590006844626998</v>
      </c>
      <c r="D182">
        <v>8</v>
      </c>
      <c r="E182">
        <v>70</v>
      </c>
      <c r="F182">
        <v>1.7</v>
      </c>
      <c r="G182">
        <v>24.2214532871972</v>
      </c>
      <c r="H182">
        <v>1</v>
      </c>
      <c r="I182">
        <v>1</v>
      </c>
      <c r="J182" s="19">
        <v>0</v>
      </c>
      <c r="K182" s="19">
        <v>2</v>
      </c>
      <c r="L182" s="19">
        <v>0</v>
      </c>
      <c r="M182" s="19">
        <v>0</v>
      </c>
      <c r="N182">
        <v>0</v>
      </c>
      <c r="O182" s="19">
        <v>7</v>
      </c>
      <c r="P182" s="19">
        <v>5</v>
      </c>
      <c r="Q182" s="19">
        <v>5</v>
      </c>
      <c r="R182" s="19">
        <v>5</v>
      </c>
      <c r="S182" s="19">
        <v>0</v>
      </c>
      <c r="T182" s="19">
        <v>0</v>
      </c>
      <c r="U182" s="19">
        <v>7</v>
      </c>
      <c r="V182" s="15">
        <f t="shared" si="6"/>
        <v>3.2222222222222223</v>
      </c>
      <c r="W182" s="19">
        <v>4</v>
      </c>
      <c r="X182" s="19">
        <v>3</v>
      </c>
      <c r="Y182" s="19">
        <v>5</v>
      </c>
      <c r="Z182" s="19">
        <v>5</v>
      </c>
      <c r="AA182" s="19">
        <v>4</v>
      </c>
      <c r="AB182" s="19">
        <v>4</v>
      </c>
      <c r="AC182" s="19">
        <v>5</v>
      </c>
      <c r="AD182" s="19">
        <v>5</v>
      </c>
      <c r="AE182" s="19">
        <v>4</v>
      </c>
      <c r="AF182" s="19">
        <v>3</v>
      </c>
      <c r="AG182" s="19">
        <v>3</v>
      </c>
      <c r="AH182" s="19">
        <v>4</v>
      </c>
      <c r="AI182" s="19">
        <v>1</v>
      </c>
      <c r="AJ182" s="19">
        <v>3</v>
      </c>
      <c r="AK182" s="19">
        <v>5</v>
      </c>
      <c r="AL182" s="19">
        <v>5</v>
      </c>
      <c r="AM182" s="19">
        <v>5</v>
      </c>
      <c r="AN182" s="19">
        <v>4</v>
      </c>
      <c r="AO182" s="19">
        <v>3</v>
      </c>
      <c r="AP182" s="19">
        <v>8</v>
      </c>
      <c r="AQ182">
        <v>35.5</v>
      </c>
      <c r="AR182" s="16">
        <v>93.5</v>
      </c>
      <c r="AS182" s="16">
        <v>83.4</v>
      </c>
      <c r="AT182" s="16">
        <v>18.2</v>
      </c>
      <c r="AU182">
        <v>81.819999999999993</v>
      </c>
      <c r="AV182">
        <v>0</v>
      </c>
      <c r="AW182">
        <v>0</v>
      </c>
      <c r="AX182">
        <v>0</v>
      </c>
      <c r="AY182">
        <v>18.18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37.1</v>
      </c>
      <c r="BG182">
        <v>47.46</v>
      </c>
      <c r="BH182">
        <v>20.37</v>
      </c>
      <c r="BI182">
        <v>3.52</v>
      </c>
      <c r="BJ182">
        <v>0</v>
      </c>
      <c r="BK182">
        <v>0</v>
      </c>
      <c r="BL182">
        <v>0</v>
      </c>
      <c r="BM182">
        <v>8.4</v>
      </c>
      <c r="BN182">
        <v>0</v>
      </c>
      <c r="BO182">
        <v>1</v>
      </c>
      <c r="BP182" s="16">
        <v>1.69</v>
      </c>
      <c r="BQ182" s="16">
        <v>1</v>
      </c>
      <c r="BR182" s="16">
        <v>3.24</v>
      </c>
      <c r="BS182" s="16">
        <v>2.54</v>
      </c>
      <c r="BT182" s="16">
        <v>3.6</v>
      </c>
      <c r="BU182" s="16">
        <v>8.8000000000000007</v>
      </c>
      <c r="BV182" s="16">
        <v>0</v>
      </c>
      <c r="BW182">
        <v>0</v>
      </c>
    </row>
    <row r="183" spans="1:75" x14ac:dyDescent="0.2">
      <c r="A183">
        <v>2</v>
      </c>
      <c r="B183">
        <v>30.2313483915127</v>
      </c>
      <c r="C183">
        <v>7.1348391512662603</v>
      </c>
      <c r="D183">
        <v>8</v>
      </c>
      <c r="E183">
        <v>80</v>
      </c>
      <c r="F183">
        <v>1.73</v>
      </c>
      <c r="G183">
        <v>26.729927495071699</v>
      </c>
      <c r="H183">
        <v>0</v>
      </c>
      <c r="I183">
        <v>0</v>
      </c>
      <c r="J183" s="19">
        <v>0</v>
      </c>
      <c r="K183" s="19">
        <v>1</v>
      </c>
      <c r="L183" s="19">
        <v>1</v>
      </c>
      <c r="M183" s="19">
        <v>0</v>
      </c>
      <c r="O183" s="19"/>
      <c r="P183" s="19"/>
      <c r="Q183" s="19"/>
      <c r="R183" s="19">
        <v>8</v>
      </c>
      <c r="S183" s="19">
        <v>0</v>
      </c>
      <c r="T183" s="19">
        <v>0</v>
      </c>
      <c r="U183" s="19">
        <v>0</v>
      </c>
      <c r="V183" s="15">
        <f t="shared" si="6"/>
        <v>1.6</v>
      </c>
      <c r="W183" s="19">
        <v>4</v>
      </c>
      <c r="X183" s="19">
        <v>3</v>
      </c>
      <c r="Y183" s="19">
        <v>5</v>
      </c>
      <c r="Z183" s="19">
        <v>5</v>
      </c>
      <c r="AA183" s="19">
        <v>4</v>
      </c>
      <c r="AB183" s="19">
        <v>5</v>
      </c>
      <c r="AC183" s="19">
        <v>4</v>
      </c>
      <c r="AD183" s="19">
        <v>4</v>
      </c>
      <c r="AE183" s="19">
        <v>1</v>
      </c>
      <c r="AF183" s="19">
        <v>1</v>
      </c>
      <c r="AG183" s="19">
        <v>3</v>
      </c>
      <c r="AH183" s="19">
        <v>5</v>
      </c>
      <c r="AI183" s="19">
        <v>3</v>
      </c>
      <c r="AJ183" s="19">
        <v>3</v>
      </c>
      <c r="AK183" s="19">
        <v>3</v>
      </c>
      <c r="AL183" s="19">
        <v>5</v>
      </c>
      <c r="AM183" s="19">
        <v>2</v>
      </c>
      <c r="AN183" s="19">
        <v>3</v>
      </c>
      <c r="AO183" s="19">
        <v>2</v>
      </c>
      <c r="AP183" s="19">
        <v>8</v>
      </c>
      <c r="AQ183">
        <v>35.5</v>
      </c>
      <c r="AR183" s="16">
        <v>93.5</v>
      </c>
      <c r="AS183" s="16">
        <v>83.4</v>
      </c>
      <c r="AT183" s="16">
        <v>18.2</v>
      </c>
      <c r="AU183">
        <v>81.819999999999993</v>
      </c>
      <c r="AV183">
        <v>0</v>
      </c>
      <c r="AW183">
        <v>0</v>
      </c>
      <c r="AX183">
        <v>0</v>
      </c>
      <c r="AY183">
        <v>18.18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37.1</v>
      </c>
      <c r="BG183">
        <v>47.46</v>
      </c>
      <c r="BH183">
        <v>20.37</v>
      </c>
      <c r="BI183">
        <v>3.52</v>
      </c>
      <c r="BJ183">
        <v>0</v>
      </c>
      <c r="BK183">
        <v>0</v>
      </c>
      <c r="BL183">
        <v>0</v>
      </c>
      <c r="BM183">
        <v>8.4</v>
      </c>
      <c r="BN183">
        <v>0</v>
      </c>
      <c r="BO183">
        <v>1</v>
      </c>
      <c r="BP183" s="16">
        <v>1.69</v>
      </c>
      <c r="BQ183" s="16">
        <v>1</v>
      </c>
      <c r="BR183" s="16">
        <v>3.24</v>
      </c>
      <c r="BS183" s="16">
        <v>2.54</v>
      </c>
      <c r="BT183" s="16">
        <v>3.6</v>
      </c>
      <c r="BU183" s="16">
        <v>8.8000000000000007</v>
      </c>
      <c r="BV183" s="16">
        <v>0</v>
      </c>
      <c r="BW183">
        <v>0</v>
      </c>
    </row>
    <row r="184" spans="1:75" x14ac:dyDescent="0.2">
      <c r="A184">
        <v>1</v>
      </c>
      <c r="B184">
        <v>32.772073921971298</v>
      </c>
      <c r="C184">
        <v>6.69130732375086</v>
      </c>
      <c r="D184">
        <v>8</v>
      </c>
      <c r="E184">
        <v>65</v>
      </c>
      <c r="F184">
        <v>1.56</v>
      </c>
      <c r="G184">
        <v>26.7094017094017</v>
      </c>
      <c r="H184">
        <v>0</v>
      </c>
      <c r="I184">
        <v>0</v>
      </c>
      <c r="J184" s="19">
        <v>1</v>
      </c>
      <c r="K184" s="19">
        <v>0</v>
      </c>
      <c r="L184" s="19">
        <v>1</v>
      </c>
      <c r="M184" s="19">
        <v>0</v>
      </c>
      <c r="N184">
        <v>0</v>
      </c>
      <c r="O184" s="19">
        <v>9</v>
      </c>
      <c r="P184" s="19">
        <v>0</v>
      </c>
      <c r="Q184" s="19">
        <v>0</v>
      </c>
      <c r="R184" s="19"/>
      <c r="S184" s="19">
        <v>8</v>
      </c>
      <c r="T184" s="19"/>
      <c r="U184" s="19">
        <v>10</v>
      </c>
      <c r="V184" s="15">
        <f t="shared" si="6"/>
        <v>3.8571428571428572</v>
      </c>
      <c r="W184" s="19">
        <v>4</v>
      </c>
      <c r="X184" s="19">
        <v>3</v>
      </c>
      <c r="Y184" s="19">
        <v>5</v>
      </c>
      <c r="Z184" s="19">
        <v>5</v>
      </c>
      <c r="AA184" s="19">
        <v>5</v>
      </c>
      <c r="AB184" s="19">
        <v>5</v>
      </c>
      <c r="AC184" s="19">
        <v>4</v>
      </c>
      <c r="AD184" s="19">
        <v>4</v>
      </c>
      <c r="AE184" s="19">
        <v>3</v>
      </c>
      <c r="AF184" s="19">
        <v>3</v>
      </c>
      <c r="AG184" s="19">
        <v>3</v>
      </c>
      <c r="AH184" s="19">
        <v>5</v>
      </c>
      <c r="AI184" s="19">
        <v>4</v>
      </c>
      <c r="AJ184" s="19">
        <v>5</v>
      </c>
      <c r="AK184" s="19">
        <v>5</v>
      </c>
      <c r="AL184" s="19">
        <v>5</v>
      </c>
      <c r="AM184" s="19">
        <v>3</v>
      </c>
      <c r="AN184" s="19">
        <v>3</v>
      </c>
      <c r="AO184" s="19">
        <v>3</v>
      </c>
      <c r="AP184" s="19">
        <v>8</v>
      </c>
      <c r="AQ184">
        <v>35.5</v>
      </c>
      <c r="AR184" s="16">
        <v>93.5</v>
      </c>
      <c r="AS184" s="16">
        <v>83.4</v>
      </c>
      <c r="AT184" s="16">
        <v>18.2</v>
      </c>
      <c r="AU184">
        <v>81.819999999999993</v>
      </c>
      <c r="AV184">
        <v>0</v>
      </c>
      <c r="AW184">
        <v>0</v>
      </c>
      <c r="AX184">
        <v>0</v>
      </c>
      <c r="AY184">
        <v>18.18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37.1</v>
      </c>
      <c r="BG184">
        <v>47.46</v>
      </c>
      <c r="BH184">
        <v>20.37</v>
      </c>
      <c r="BI184">
        <v>3.52</v>
      </c>
      <c r="BJ184">
        <v>0</v>
      </c>
      <c r="BK184">
        <v>0</v>
      </c>
      <c r="BL184">
        <v>0</v>
      </c>
      <c r="BM184">
        <v>8.4</v>
      </c>
      <c r="BN184">
        <v>0</v>
      </c>
      <c r="BO184">
        <v>1</v>
      </c>
      <c r="BP184" s="16">
        <v>1.69</v>
      </c>
      <c r="BQ184" s="16">
        <v>1</v>
      </c>
      <c r="BR184" s="16">
        <v>3.24</v>
      </c>
      <c r="BS184" s="16">
        <v>2.54</v>
      </c>
      <c r="BT184" s="16">
        <v>3.6</v>
      </c>
      <c r="BU184" s="16">
        <v>8.8000000000000007</v>
      </c>
      <c r="BV184" s="16">
        <v>0</v>
      </c>
      <c r="BW184">
        <v>0</v>
      </c>
    </row>
    <row r="185" spans="1:75" x14ac:dyDescent="0.2">
      <c r="A185">
        <v>1</v>
      </c>
      <c r="B185">
        <v>31.64681724846</v>
      </c>
      <c r="C185">
        <v>0.29842573579739901</v>
      </c>
      <c r="D185">
        <v>8</v>
      </c>
      <c r="E185">
        <v>56</v>
      </c>
      <c r="F185">
        <v>1.56</v>
      </c>
      <c r="G185">
        <v>23.0111768573307</v>
      </c>
      <c r="H185">
        <v>0</v>
      </c>
      <c r="I185">
        <v>0</v>
      </c>
      <c r="J185" s="19">
        <v>0</v>
      </c>
      <c r="K185" s="19">
        <v>3</v>
      </c>
      <c r="L185" s="19">
        <v>1</v>
      </c>
      <c r="M185" s="19">
        <v>0</v>
      </c>
      <c r="O185" s="19"/>
      <c r="P185" s="19">
        <v>0</v>
      </c>
      <c r="Q185" s="19">
        <v>0</v>
      </c>
      <c r="R185" s="19">
        <v>0</v>
      </c>
      <c r="S185" s="19">
        <v>0</v>
      </c>
      <c r="T185" s="19">
        <v>0</v>
      </c>
      <c r="U185" s="19">
        <v>0</v>
      </c>
      <c r="V185" s="15">
        <f t="shared" si="6"/>
        <v>0</v>
      </c>
      <c r="W185" s="19">
        <v>1</v>
      </c>
      <c r="X185" s="19">
        <v>1</v>
      </c>
      <c r="Y185" s="19">
        <v>3</v>
      </c>
      <c r="Z185" s="19">
        <v>5</v>
      </c>
      <c r="AA185" s="19">
        <v>3</v>
      </c>
      <c r="AB185" s="19">
        <v>1</v>
      </c>
      <c r="AC185" s="19">
        <v>5</v>
      </c>
      <c r="AD185" s="19">
        <v>5</v>
      </c>
      <c r="AE185" s="19">
        <v>4</v>
      </c>
      <c r="AF185" s="19">
        <v>5</v>
      </c>
      <c r="AG185" s="19">
        <v>5</v>
      </c>
      <c r="AH185" s="19">
        <v>5</v>
      </c>
      <c r="AI185" s="19">
        <v>1</v>
      </c>
      <c r="AJ185" s="19">
        <v>5</v>
      </c>
      <c r="AK185" s="19">
        <v>5</v>
      </c>
      <c r="AL185" s="19">
        <v>5</v>
      </c>
      <c r="AM185" s="19">
        <v>5</v>
      </c>
      <c r="AN185" s="19">
        <v>5</v>
      </c>
      <c r="AO185" s="19">
        <v>5</v>
      </c>
      <c r="AP185" s="19">
        <v>10</v>
      </c>
      <c r="AQ185">
        <v>29</v>
      </c>
      <c r="AR185" s="16">
        <v>86.2</v>
      </c>
      <c r="AS185" s="16">
        <v>83.4</v>
      </c>
      <c r="AT185" s="16">
        <v>15.4</v>
      </c>
      <c r="AU185">
        <v>87</v>
      </c>
      <c r="AV185">
        <v>0</v>
      </c>
      <c r="AW185">
        <v>0</v>
      </c>
      <c r="AX185">
        <v>0</v>
      </c>
      <c r="AY185">
        <v>13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37.36</v>
      </c>
      <c r="BG185">
        <v>46.33</v>
      </c>
      <c r="BH185">
        <v>18.45</v>
      </c>
      <c r="BI185">
        <v>0</v>
      </c>
      <c r="BJ185">
        <v>0</v>
      </c>
      <c r="BK185">
        <v>0</v>
      </c>
      <c r="BL185">
        <v>0</v>
      </c>
      <c r="BM185">
        <v>8.3000000000000007</v>
      </c>
      <c r="BN185">
        <v>0</v>
      </c>
      <c r="BO185">
        <v>1</v>
      </c>
      <c r="BP185" s="16">
        <v>1.8</v>
      </c>
      <c r="BQ185" s="16">
        <v>1</v>
      </c>
      <c r="BR185" s="16">
        <v>0.54</v>
      </c>
      <c r="BS185" s="16">
        <v>0.13</v>
      </c>
      <c r="BT185" s="16">
        <v>2.88</v>
      </c>
      <c r="BU185" s="16">
        <v>6.91</v>
      </c>
      <c r="BV185" s="16">
        <v>0</v>
      </c>
      <c r="BW185">
        <v>0</v>
      </c>
    </row>
    <row r="186" spans="1:75" x14ac:dyDescent="0.2">
      <c r="A186">
        <v>1</v>
      </c>
      <c r="B186">
        <v>27.652292950034202</v>
      </c>
      <c r="C186">
        <v>0.31211498973306001</v>
      </c>
      <c r="D186">
        <v>8</v>
      </c>
      <c r="F186">
        <v>1.63</v>
      </c>
      <c r="G186">
        <v>0</v>
      </c>
      <c r="H186">
        <v>0</v>
      </c>
      <c r="I186">
        <v>0</v>
      </c>
      <c r="J186" s="19">
        <v>0</v>
      </c>
      <c r="K186" s="19">
        <v>1</v>
      </c>
      <c r="L186" s="19">
        <v>1</v>
      </c>
      <c r="M186" s="19">
        <v>0</v>
      </c>
      <c r="O186" s="19"/>
      <c r="P186" s="19"/>
      <c r="Q186" s="19"/>
      <c r="R186" s="19">
        <v>0</v>
      </c>
      <c r="S186" s="19">
        <v>0</v>
      </c>
      <c r="T186" s="19">
        <v>0</v>
      </c>
      <c r="U186" s="19">
        <v>0</v>
      </c>
      <c r="V186" s="15">
        <f t="shared" si="6"/>
        <v>0</v>
      </c>
      <c r="W186" s="19">
        <v>1</v>
      </c>
      <c r="X186" s="19">
        <v>1</v>
      </c>
      <c r="Y186" s="19">
        <v>2</v>
      </c>
      <c r="Z186" s="19">
        <v>3</v>
      </c>
      <c r="AA186" s="19">
        <v>2</v>
      </c>
      <c r="AB186" s="19">
        <v>1</v>
      </c>
      <c r="AC186" s="19">
        <v>2</v>
      </c>
      <c r="AD186" s="19">
        <v>3</v>
      </c>
      <c r="AE186" s="19">
        <v>4</v>
      </c>
      <c r="AF186" s="19">
        <v>5</v>
      </c>
      <c r="AG186" s="19">
        <v>5</v>
      </c>
      <c r="AH186" s="19">
        <v>5</v>
      </c>
      <c r="AI186" s="19">
        <v>5</v>
      </c>
      <c r="AJ186" s="19">
        <v>4</v>
      </c>
      <c r="AK186" s="19">
        <v>5</v>
      </c>
      <c r="AL186" s="19">
        <v>5</v>
      </c>
      <c r="AM186" s="19">
        <v>4</v>
      </c>
      <c r="AN186" s="19">
        <v>5</v>
      </c>
      <c r="AO186" s="19">
        <v>5</v>
      </c>
      <c r="AP186" s="19">
        <v>8</v>
      </c>
      <c r="AQ186">
        <v>29</v>
      </c>
      <c r="AR186" s="16">
        <v>86.2</v>
      </c>
      <c r="AS186" s="16">
        <v>83.4</v>
      </c>
      <c r="AT186" s="16">
        <v>15.4</v>
      </c>
      <c r="AU186">
        <v>87</v>
      </c>
      <c r="AV186">
        <v>0</v>
      </c>
      <c r="AW186">
        <v>0</v>
      </c>
      <c r="AX186">
        <v>0</v>
      </c>
      <c r="AY186">
        <v>13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37.36</v>
      </c>
      <c r="BG186">
        <v>46.33</v>
      </c>
      <c r="BH186">
        <v>18.45</v>
      </c>
      <c r="BI186">
        <v>0</v>
      </c>
      <c r="BJ186">
        <v>0</v>
      </c>
      <c r="BK186">
        <v>0</v>
      </c>
      <c r="BL186">
        <v>0</v>
      </c>
      <c r="BM186">
        <v>8.3000000000000007</v>
      </c>
      <c r="BN186">
        <v>0</v>
      </c>
      <c r="BO186">
        <v>1</v>
      </c>
      <c r="BP186" s="16">
        <v>1.8</v>
      </c>
      <c r="BQ186" s="16">
        <v>1</v>
      </c>
      <c r="BR186" s="16">
        <v>0.54</v>
      </c>
      <c r="BS186" s="16">
        <v>0.13</v>
      </c>
      <c r="BT186" s="16">
        <v>2.88</v>
      </c>
      <c r="BU186" s="16">
        <v>6.91</v>
      </c>
      <c r="BV186" s="16">
        <v>0</v>
      </c>
      <c r="BW186">
        <v>0</v>
      </c>
    </row>
    <row r="187" spans="1:75" x14ac:dyDescent="0.2">
      <c r="A187">
        <v>2</v>
      </c>
      <c r="B187">
        <v>44.6680355920602</v>
      </c>
      <c r="C187">
        <v>19.611225188227198</v>
      </c>
      <c r="D187">
        <v>8</v>
      </c>
      <c r="E187">
        <v>58</v>
      </c>
      <c r="F187">
        <v>1.68</v>
      </c>
      <c r="G187">
        <v>20.549886621315199</v>
      </c>
      <c r="H187">
        <v>0</v>
      </c>
      <c r="I187">
        <v>0</v>
      </c>
      <c r="J187" s="19">
        <v>1</v>
      </c>
      <c r="K187" s="19">
        <v>0</v>
      </c>
      <c r="L187" s="19">
        <v>0</v>
      </c>
      <c r="M187" s="19"/>
      <c r="O187" s="19"/>
      <c r="P187" s="19"/>
      <c r="Q187" s="19"/>
      <c r="R187" s="19"/>
      <c r="S187" s="19"/>
      <c r="T187" s="19"/>
      <c r="U187" s="19"/>
      <c r="V187" s="15"/>
      <c r="W187" s="19">
        <v>3</v>
      </c>
      <c r="X187" s="19">
        <v>2</v>
      </c>
      <c r="Y187" s="19">
        <v>4</v>
      </c>
      <c r="Z187" s="19">
        <v>4</v>
      </c>
      <c r="AA187" s="19">
        <v>3</v>
      </c>
      <c r="AB187" s="19">
        <v>3</v>
      </c>
      <c r="AC187" s="19">
        <v>2</v>
      </c>
      <c r="AD187" s="19">
        <v>3</v>
      </c>
      <c r="AE187" s="19">
        <v>2</v>
      </c>
      <c r="AF187" s="19">
        <v>2</v>
      </c>
      <c r="AG187" s="19">
        <v>4</v>
      </c>
      <c r="AH187" s="19">
        <v>5</v>
      </c>
      <c r="AI187" s="19">
        <v>2</v>
      </c>
      <c r="AJ187" s="19">
        <v>4</v>
      </c>
      <c r="AK187" s="19">
        <v>4</v>
      </c>
      <c r="AL187" s="19">
        <v>4</v>
      </c>
      <c r="AM187" s="19">
        <v>4</v>
      </c>
      <c r="AN187" s="19">
        <v>4</v>
      </c>
      <c r="AO187" s="19">
        <v>4</v>
      </c>
      <c r="AP187" s="19">
        <v>7</v>
      </c>
      <c r="AQ187">
        <v>35.5</v>
      </c>
      <c r="AR187" s="16">
        <v>93.5</v>
      </c>
      <c r="AS187" s="16">
        <v>83.4</v>
      </c>
      <c r="AT187" s="16">
        <v>18.2</v>
      </c>
      <c r="AU187">
        <v>81.819999999999993</v>
      </c>
      <c r="AV187">
        <v>0</v>
      </c>
      <c r="AW187">
        <v>0</v>
      </c>
      <c r="AX187">
        <v>0</v>
      </c>
      <c r="AY187">
        <v>18.18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37.1</v>
      </c>
      <c r="BG187">
        <v>47.46</v>
      </c>
      <c r="BH187">
        <v>20.37</v>
      </c>
      <c r="BI187">
        <v>3.52</v>
      </c>
      <c r="BJ187">
        <v>0</v>
      </c>
      <c r="BK187">
        <v>0</v>
      </c>
      <c r="BL187">
        <v>0</v>
      </c>
      <c r="BM187">
        <v>8.4</v>
      </c>
      <c r="BN187">
        <v>0</v>
      </c>
      <c r="BO187">
        <v>1</v>
      </c>
      <c r="BP187" s="16">
        <v>1.69</v>
      </c>
      <c r="BQ187" s="16">
        <v>1</v>
      </c>
      <c r="BR187" s="16">
        <v>3.24</v>
      </c>
      <c r="BS187" s="16">
        <v>2.54</v>
      </c>
      <c r="BT187" s="16">
        <v>3.6</v>
      </c>
      <c r="BU187" s="16">
        <v>8.8000000000000007</v>
      </c>
      <c r="BV187" s="16">
        <v>0</v>
      </c>
      <c r="BW187">
        <v>0</v>
      </c>
    </row>
    <row r="188" spans="1:75" x14ac:dyDescent="0.2">
      <c r="A188">
        <v>2</v>
      </c>
      <c r="B188">
        <v>22.488706365503099</v>
      </c>
      <c r="C188">
        <v>0.309377138945927</v>
      </c>
      <c r="D188">
        <v>8</v>
      </c>
      <c r="E188">
        <v>63</v>
      </c>
      <c r="F188">
        <v>1.77</v>
      </c>
      <c r="G188">
        <v>20.1091640333238</v>
      </c>
      <c r="H188">
        <v>0</v>
      </c>
      <c r="I188">
        <v>0</v>
      </c>
      <c r="J188" s="19">
        <v>0</v>
      </c>
      <c r="K188" s="19">
        <v>2</v>
      </c>
      <c r="L188" s="19">
        <v>0</v>
      </c>
      <c r="M188" s="19">
        <v>0</v>
      </c>
      <c r="N188">
        <v>0</v>
      </c>
      <c r="O188" s="19">
        <v>0</v>
      </c>
      <c r="P188" s="19">
        <v>0</v>
      </c>
      <c r="Q188" s="19">
        <v>0</v>
      </c>
      <c r="R188" s="19">
        <v>0</v>
      </c>
      <c r="S188" s="19">
        <v>0</v>
      </c>
      <c r="T188" s="19">
        <v>0</v>
      </c>
      <c r="U188" s="19"/>
      <c r="V188" s="15">
        <f t="shared" ref="V188:V219" si="7">AVERAGE(M188:U188)</f>
        <v>0</v>
      </c>
      <c r="W188" s="19">
        <v>1</v>
      </c>
      <c r="X188" s="19">
        <v>5</v>
      </c>
      <c r="Y188" s="19">
        <v>3</v>
      </c>
      <c r="Z188" s="19">
        <v>5</v>
      </c>
      <c r="AA188" s="19">
        <v>3</v>
      </c>
      <c r="AB188" s="19">
        <v>3</v>
      </c>
      <c r="AC188" s="19">
        <v>5</v>
      </c>
      <c r="AD188" s="19">
        <v>5</v>
      </c>
      <c r="AE188" s="19">
        <v>3</v>
      </c>
      <c r="AF188" s="19">
        <v>4</v>
      </c>
      <c r="AG188" s="19">
        <v>5</v>
      </c>
      <c r="AH188" s="19">
        <v>5</v>
      </c>
      <c r="AI188" s="19">
        <v>1</v>
      </c>
      <c r="AJ188" s="19">
        <v>5</v>
      </c>
      <c r="AK188" s="19">
        <v>5</v>
      </c>
      <c r="AL188" s="19">
        <v>5</v>
      </c>
      <c r="AM188" s="19">
        <v>5</v>
      </c>
      <c r="AN188" s="19">
        <v>5</v>
      </c>
      <c r="AO188" s="19">
        <v>4</v>
      </c>
      <c r="AP188" s="19">
        <v>10</v>
      </c>
      <c r="AQ188">
        <v>35.5</v>
      </c>
      <c r="AR188" s="16">
        <v>93.5</v>
      </c>
      <c r="AS188" s="16">
        <v>83.4</v>
      </c>
      <c r="AT188" s="16">
        <v>18.2</v>
      </c>
      <c r="AU188">
        <v>81.819999999999993</v>
      </c>
      <c r="AV188">
        <v>0</v>
      </c>
      <c r="AW188">
        <v>0</v>
      </c>
      <c r="AX188">
        <v>0</v>
      </c>
      <c r="AY188">
        <v>18.18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37.1</v>
      </c>
      <c r="BG188">
        <v>47.46</v>
      </c>
      <c r="BH188">
        <v>20.37</v>
      </c>
      <c r="BI188">
        <v>3.52</v>
      </c>
      <c r="BJ188">
        <v>0</v>
      </c>
      <c r="BK188">
        <v>0</v>
      </c>
      <c r="BL188">
        <v>0</v>
      </c>
      <c r="BM188">
        <v>8.4</v>
      </c>
      <c r="BN188">
        <v>0</v>
      </c>
      <c r="BO188">
        <v>1</v>
      </c>
      <c r="BP188" s="16">
        <v>1.69</v>
      </c>
      <c r="BQ188" s="16">
        <v>1</v>
      </c>
      <c r="BR188" s="16">
        <v>3.24</v>
      </c>
      <c r="BS188" s="16">
        <v>2.54</v>
      </c>
      <c r="BT188" s="16">
        <v>3.6</v>
      </c>
      <c r="BU188" s="16">
        <v>8.8000000000000007</v>
      </c>
      <c r="BV188" s="16">
        <v>0</v>
      </c>
      <c r="BW188">
        <v>0</v>
      </c>
    </row>
    <row r="189" spans="1:75" x14ac:dyDescent="0.2">
      <c r="A189" s="24">
        <v>1</v>
      </c>
      <c r="B189">
        <v>42.5051334702259</v>
      </c>
      <c r="C189">
        <v>8.9883641341546898</v>
      </c>
      <c r="D189">
        <v>8</v>
      </c>
      <c r="E189">
        <v>57</v>
      </c>
      <c r="F189">
        <v>1.57</v>
      </c>
      <c r="G189">
        <v>23.1246703720232</v>
      </c>
      <c r="H189">
        <v>1</v>
      </c>
      <c r="J189" s="26">
        <v>1</v>
      </c>
      <c r="K189" s="26">
        <v>1</v>
      </c>
      <c r="L189" s="26">
        <v>1</v>
      </c>
      <c r="M189" s="26">
        <v>0</v>
      </c>
      <c r="N189">
        <v>0</v>
      </c>
      <c r="O189" s="26">
        <v>5</v>
      </c>
      <c r="P189" s="26">
        <v>5</v>
      </c>
      <c r="Q189" s="26">
        <v>0</v>
      </c>
      <c r="R189" s="26">
        <v>6</v>
      </c>
      <c r="S189" s="26">
        <v>0</v>
      </c>
      <c r="T189" s="26">
        <v>0</v>
      </c>
      <c r="U189" s="26">
        <v>6</v>
      </c>
      <c r="V189" s="15">
        <f t="shared" si="7"/>
        <v>2.4444444444444446</v>
      </c>
      <c r="W189" s="26">
        <v>4</v>
      </c>
      <c r="X189" s="26">
        <v>3</v>
      </c>
      <c r="Y189" s="26">
        <v>5</v>
      </c>
      <c r="Z189" s="26">
        <v>5</v>
      </c>
      <c r="AA189" s="26">
        <v>3</v>
      </c>
      <c r="AB189" s="26">
        <v>5</v>
      </c>
      <c r="AC189" s="26">
        <v>3</v>
      </c>
      <c r="AD189" s="26">
        <v>4</v>
      </c>
      <c r="AE189" s="26">
        <v>5</v>
      </c>
      <c r="AF189" s="26">
        <v>5</v>
      </c>
      <c r="AG189" s="26">
        <v>5</v>
      </c>
      <c r="AH189" s="26">
        <v>4</v>
      </c>
      <c r="AI189" s="26">
        <v>3</v>
      </c>
      <c r="AJ189" s="26">
        <v>3</v>
      </c>
      <c r="AK189" s="26">
        <v>4</v>
      </c>
      <c r="AL189" s="26">
        <v>4</v>
      </c>
      <c r="AM189" s="26">
        <v>3</v>
      </c>
      <c r="AN189" s="26">
        <v>4</v>
      </c>
      <c r="AO189" s="26">
        <v>3</v>
      </c>
      <c r="AP189" s="26">
        <v>7</v>
      </c>
      <c r="AQ189" s="24">
        <v>24.5</v>
      </c>
      <c r="AR189" s="27">
        <v>84.2</v>
      </c>
      <c r="AS189" s="27">
        <v>80.400000000000006</v>
      </c>
      <c r="AT189" s="27">
        <v>11.9</v>
      </c>
      <c r="AU189" s="24">
        <v>97.51</v>
      </c>
      <c r="AV189" s="24">
        <v>0</v>
      </c>
      <c r="AW189" s="24">
        <v>2.4900000000000002</v>
      </c>
      <c r="AX189" s="24">
        <v>0</v>
      </c>
      <c r="AY189" s="24">
        <v>0</v>
      </c>
      <c r="AZ189" s="24">
        <v>0</v>
      </c>
      <c r="BA189" s="24">
        <v>0</v>
      </c>
      <c r="BB189" s="24">
        <v>0</v>
      </c>
      <c r="BC189" s="24">
        <v>0</v>
      </c>
      <c r="BD189" s="24">
        <v>0</v>
      </c>
      <c r="BE189" s="24">
        <v>0</v>
      </c>
      <c r="BF189" s="24">
        <v>0</v>
      </c>
      <c r="BG189" s="24">
        <v>3.13</v>
      </c>
      <c r="BH189" s="24">
        <v>26.34</v>
      </c>
      <c r="BI189" s="24">
        <v>45.74</v>
      </c>
      <c r="BJ189" s="24">
        <v>0</v>
      </c>
      <c r="BK189" s="24">
        <v>0</v>
      </c>
      <c r="BL189" s="24">
        <v>0</v>
      </c>
      <c r="BM189" s="24">
        <v>0</v>
      </c>
      <c r="BN189" s="24">
        <v>0</v>
      </c>
      <c r="BO189" s="24">
        <v>0</v>
      </c>
      <c r="BP189" s="27">
        <v>6.4</v>
      </c>
      <c r="BQ189" s="27">
        <v>1</v>
      </c>
      <c r="BR189" s="27">
        <v>1.61</v>
      </c>
      <c r="BS189" s="27">
        <v>1.46</v>
      </c>
      <c r="BT189" s="27">
        <v>0</v>
      </c>
      <c r="BU189" s="27">
        <v>0</v>
      </c>
      <c r="BV189" s="27">
        <v>0</v>
      </c>
      <c r="BW189" s="24">
        <v>0</v>
      </c>
    </row>
    <row r="190" spans="1:75" x14ac:dyDescent="0.2">
      <c r="A190" s="24">
        <v>2</v>
      </c>
      <c r="B190">
        <v>24.1232032854209</v>
      </c>
      <c r="C190">
        <v>0.15331964407939799</v>
      </c>
      <c r="D190">
        <v>8</v>
      </c>
      <c r="E190">
        <v>87</v>
      </c>
      <c r="F190">
        <v>2.02</v>
      </c>
      <c r="G190">
        <v>21.321439074600502</v>
      </c>
      <c r="H190">
        <v>0</v>
      </c>
      <c r="I190">
        <v>0</v>
      </c>
      <c r="J190" s="26">
        <v>0</v>
      </c>
      <c r="K190" s="26">
        <v>0</v>
      </c>
      <c r="L190" s="26">
        <v>1</v>
      </c>
      <c r="M190" s="26">
        <v>0</v>
      </c>
      <c r="N190">
        <v>0</v>
      </c>
      <c r="O190" s="26">
        <v>0</v>
      </c>
      <c r="P190" s="26"/>
      <c r="Q190" s="26"/>
      <c r="R190" s="26">
        <v>0</v>
      </c>
      <c r="S190" s="26">
        <v>0</v>
      </c>
      <c r="T190" s="26">
        <v>0</v>
      </c>
      <c r="U190" s="26">
        <v>0</v>
      </c>
      <c r="V190" s="15">
        <f t="shared" si="7"/>
        <v>0</v>
      </c>
      <c r="W190" s="26">
        <v>1</v>
      </c>
      <c r="X190" s="26">
        <v>1</v>
      </c>
      <c r="Y190" s="26">
        <v>2</v>
      </c>
      <c r="Z190" s="26">
        <v>5</v>
      </c>
      <c r="AA190" s="26">
        <v>1</v>
      </c>
      <c r="AB190" s="26">
        <v>1</v>
      </c>
      <c r="AC190" s="26">
        <v>1</v>
      </c>
      <c r="AD190" s="26">
        <v>1</v>
      </c>
      <c r="AE190" s="26">
        <v>5</v>
      </c>
      <c r="AF190" s="26">
        <v>5</v>
      </c>
      <c r="AG190" s="26">
        <v>5</v>
      </c>
      <c r="AH190" s="26">
        <v>5</v>
      </c>
      <c r="AI190" s="26">
        <v>4</v>
      </c>
      <c r="AJ190" s="26">
        <v>5</v>
      </c>
      <c r="AK190" s="26">
        <v>4</v>
      </c>
      <c r="AL190" s="26">
        <v>5</v>
      </c>
      <c r="AM190" s="26">
        <v>5</v>
      </c>
      <c r="AN190" s="26">
        <v>5</v>
      </c>
      <c r="AO190" s="26">
        <v>5</v>
      </c>
      <c r="AP190" s="26">
        <v>6</v>
      </c>
      <c r="AQ190" s="24">
        <v>36.5</v>
      </c>
      <c r="AR190" s="27">
        <v>88.3</v>
      </c>
      <c r="AS190" s="27">
        <v>80.400000000000006</v>
      </c>
      <c r="AT190" s="27">
        <v>28.2</v>
      </c>
      <c r="AU190" s="24">
        <v>73.819999999999993</v>
      </c>
      <c r="AV190" s="24">
        <v>0</v>
      </c>
      <c r="AW190" s="24">
        <v>25.61</v>
      </c>
      <c r="AX190" s="24">
        <v>0</v>
      </c>
      <c r="AY190" s="24">
        <v>0.56999999999999995</v>
      </c>
      <c r="AZ190" s="24">
        <v>0</v>
      </c>
      <c r="BA190" s="24">
        <v>0</v>
      </c>
      <c r="BB190" s="24">
        <v>0</v>
      </c>
      <c r="BC190" s="24">
        <v>0</v>
      </c>
      <c r="BD190" s="24">
        <v>0</v>
      </c>
      <c r="BE190" s="24">
        <v>0</v>
      </c>
      <c r="BF190" s="24">
        <v>1.17</v>
      </c>
      <c r="BG190" s="24">
        <v>31.76</v>
      </c>
      <c r="BH190" s="24">
        <v>23.3</v>
      </c>
      <c r="BI190" s="24">
        <v>26.08</v>
      </c>
      <c r="BJ190" s="24">
        <v>0</v>
      </c>
      <c r="BK190" s="24">
        <v>0</v>
      </c>
      <c r="BL190" s="24">
        <v>0</v>
      </c>
      <c r="BM190" s="24">
        <v>2.1</v>
      </c>
      <c r="BN190" s="24">
        <v>1</v>
      </c>
      <c r="BO190" s="24">
        <v>0</v>
      </c>
      <c r="BP190" s="27">
        <v>1.9</v>
      </c>
      <c r="BQ190" s="27">
        <v>1</v>
      </c>
      <c r="BR190" s="27">
        <v>0.56999999999999995</v>
      </c>
      <c r="BS190" s="27">
        <v>0.56000000000000005</v>
      </c>
      <c r="BT190" s="27">
        <v>0</v>
      </c>
      <c r="BU190" s="27">
        <v>0</v>
      </c>
      <c r="BV190" s="27">
        <v>0</v>
      </c>
      <c r="BW190" s="24">
        <v>0</v>
      </c>
    </row>
    <row r="191" spans="1:75" x14ac:dyDescent="0.2">
      <c r="A191">
        <v>1</v>
      </c>
      <c r="B191">
        <v>39.017111567419597</v>
      </c>
      <c r="C191">
        <v>0.20807665982203999</v>
      </c>
      <c r="D191">
        <v>8</v>
      </c>
      <c r="E191">
        <v>80</v>
      </c>
      <c r="F191">
        <v>1.65</v>
      </c>
      <c r="G191">
        <v>29.384756657483901</v>
      </c>
      <c r="H191">
        <v>0</v>
      </c>
      <c r="I191">
        <v>0</v>
      </c>
      <c r="J191" s="19">
        <v>0</v>
      </c>
      <c r="K191" s="19">
        <v>0</v>
      </c>
      <c r="L191" s="19">
        <v>0</v>
      </c>
      <c r="M191" s="19">
        <v>0</v>
      </c>
      <c r="N191">
        <v>0</v>
      </c>
      <c r="O191" s="19">
        <v>0</v>
      </c>
      <c r="P191" s="19">
        <v>0</v>
      </c>
      <c r="Q191" s="19">
        <v>0</v>
      </c>
      <c r="R191" s="19">
        <v>3</v>
      </c>
      <c r="S191" s="19">
        <v>3</v>
      </c>
      <c r="T191" s="19">
        <v>0</v>
      </c>
      <c r="U191" s="19">
        <v>3</v>
      </c>
      <c r="V191" s="15">
        <f t="shared" si="7"/>
        <v>1</v>
      </c>
      <c r="W191" s="19">
        <v>2</v>
      </c>
      <c r="X191" s="19">
        <v>2</v>
      </c>
      <c r="Y191" s="19">
        <v>3</v>
      </c>
      <c r="Z191" s="19">
        <v>5</v>
      </c>
      <c r="AA191" s="19">
        <v>1</v>
      </c>
      <c r="AB191" s="19">
        <v>2</v>
      </c>
      <c r="AC191" s="19">
        <v>1</v>
      </c>
      <c r="AD191" s="19">
        <v>4</v>
      </c>
      <c r="AE191" s="19">
        <v>3</v>
      </c>
      <c r="AF191" s="19">
        <v>2</v>
      </c>
      <c r="AG191" s="19">
        <v>5</v>
      </c>
      <c r="AH191" s="19">
        <v>5</v>
      </c>
      <c r="AI191" s="19">
        <v>3</v>
      </c>
      <c r="AJ191" s="19">
        <v>4</v>
      </c>
      <c r="AK191" s="19">
        <v>4</v>
      </c>
      <c r="AL191" s="19">
        <v>5</v>
      </c>
      <c r="AM191" s="19">
        <v>3</v>
      </c>
      <c r="AN191" s="19">
        <v>4</v>
      </c>
      <c r="AO191" s="19">
        <v>3</v>
      </c>
      <c r="AP191" s="19">
        <v>10</v>
      </c>
      <c r="AQ191" s="24">
        <v>36.5</v>
      </c>
      <c r="AR191" s="27">
        <v>88.3</v>
      </c>
      <c r="AS191" s="27">
        <v>80.400000000000006</v>
      </c>
      <c r="AT191" s="27">
        <v>28.2</v>
      </c>
      <c r="AU191" s="24">
        <v>73.819999999999993</v>
      </c>
      <c r="AV191" s="24">
        <v>0</v>
      </c>
      <c r="AW191" s="24">
        <v>25.61</v>
      </c>
      <c r="AX191" s="24">
        <v>0</v>
      </c>
      <c r="AY191" s="24">
        <v>0.56999999999999995</v>
      </c>
      <c r="AZ191" s="24">
        <v>0</v>
      </c>
      <c r="BA191" s="24">
        <v>0</v>
      </c>
      <c r="BB191" s="24">
        <v>0</v>
      </c>
      <c r="BC191" s="24">
        <v>0</v>
      </c>
      <c r="BD191" s="24">
        <v>0</v>
      </c>
      <c r="BE191" s="24">
        <v>0</v>
      </c>
      <c r="BF191" s="24">
        <v>1.17</v>
      </c>
      <c r="BG191" s="24">
        <v>31.76</v>
      </c>
      <c r="BH191" s="24">
        <v>23.3</v>
      </c>
      <c r="BI191" s="24">
        <v>26.08</v>
      </c>
      <c r="BJ191" s="24">
        <v>0</v>
      </c>
      <c r="BK191" s="24">
        <v>0</v>
      </c>
      <c r="BL191" s="24">
        <v>0</v>
      </c>
      <c r="BM191" s="24">
        <v>2.1</v>
      </c>
      <c r="BN191" s="24">
        <v>1</v>
      </c>
      <c r="BO191" s="24">
        <v>0</v>
      </c>
      <c r="BP191" s="27">
        <v>1.9</v>
      </c>
      <c r="BQ191" s="27">
        <v>1</v>
      </c>
      <c r="BR191" s="27">
        <v>0.56999999999999995</v>
      </c>
      <c r="BS191" s="27">
        <v>0.56000000000000005</v>
      </c>
      <c r="BT191" s="27">
        <v>0</v>
      </c>
      <c r="BU191" s="27">
        <v>0</v>
      </c>
      <c r="BV191" s="27">
        <v>0</v>
      </c>
      <c r="BW191" s="24">
        <v>0</v>
      </c>
    </row>
    <row r="192" spans="1:75" x14ac:dyDescent="0.2">
      <c r="A192" s="24">
        <v>2</v>
      </c>
      <c r="B192">
        <v>34.316221765913802</v>
      </c>
      <c r="C192">
        <v>0.24366872005475701</v>
      </c>
      <c r="D192">
        <v>8</v>
      </c>
      <c r="E192">
        <v>109</v>
      </c>
      <c r="F192">
        <v>1.75</v>
      </c>
      <c r="G192">
        <v>35.591836734693899</v>
      </c>
      <c r="H192">
        <v>0</v>
      </c>
      <c r="I192">
        <v>0</v>
      </c>
      <c r="J192" s="26">
        <v>1</v>
      </c>
      <c r="K192" s="26">
        <v>0</v>
      </c>
      <c r="L192" s="26">
        <v>0</v>
      </c>
      <c r="M192" s="26">
        <v>4</v>
      </c>
      <c r="N192">
        <v>0</v>
      </c>
      <c r="O192" s="26">
        <v>0</v>
      </c>
      <c r="P192" s="26">
        <v>0</v>
      </c>
      <c r="Q192" s="26">
        <v>0</v>
      </c>
      <c r="R192" s="26">
        <v>0</v>
      </c>
      <c r="S192" s="26">
        <v>0</v>
      </c>
      <c r="T192" s="26">
        <v>0</v>
      </c>
      <c r="U192" s="26">
        <v>0</v>
      </c>
      <c r="V192" s="15">
        <f t="shared" si="7"/>
        <v>0.44444444444444442</v>
      </c>
      <c r="W192" s="26">
        <v>1</v>
      </c>
      <c r="X192" s="26">
        <v>2</v>
      </c>
      <c r="Y192" s="26">
        <v>4</v>
      </c>
      <c r="Z192" s="26">
        <v>5</v>
      </c>
      <c r="AA192" s="26">
        <v>3</v>
      </c>
      <c r="AB192" s="26">
        <v>1</v>
      </c>
      <c r="AC192" s="26">
        <v>5</v>
      </c>
      <c r="AD192" s="26">
        <v>4</v>
      </c>
      <c r="AE192" s="26">
        <v>5</v>
      </c>
      <c r="AF192" s="26">
        <v>4</v>
      </c>
      <c r="AG192" s="26">
        <v>4</v>
      </c>
      <c r="AH192" s="26">
        <v>4</v>
      </c>
      <c r="AI192" s="26">
        <v>4</v>
      </c>
      <c r="AJ192" s="26">
        <v>5</v>
      </c>
      <c r="AK192" s="26">
        <v>4</v>
      </c>
      <c r="AL192" s="26">
        <v>5</v>
      </c>
      <c r="AM192" s="26">
        <v>5</v>
      </c>
      <c r="AN192" s="26">
        <v>5</v>
      </c>
      <c r="AO192" s="26">
        <v>4</v>
      </c>
      <c r="AP192" s="26">
        <v>8</v>
      </c>
      <c r="AQ192" s="24">
        <v>38</v>
      </c>
      <c r="AR192" s="27">
        <v>85.5</v>
      </c>
      <c r="AS192" s="27">
        <v>83.4</v>
      </c>
      <c r="AT192" s="27">
        <v>28.7</v>
      </c>
      <c r="AU192" s="24">
        <v>61.84</v>
      </c>
      <c r="AV192" s="24">
        <v>0</v>
      </c>
      <c r="AW192" s="24">
        <v>0</v>
      </c>
      <c r="AX192" s="24">
        <v>0</v>
      </c>
      <c r="AY192" s="24">
        <v>37.42</v>
      </c>
      <c r="AZ192" s="24">
        <v>0</v>
      </c>
      <c r="BA192" s="24">
        <v>0.73</v>
      </c>
      <c r="BB192" s="24">
        <v>0</v>
      </c>
      <c r="BC192" s="24">
        <v>0</v>
      </c>
      <c r="BD192" s="24">
        <v>0.74</v>
      </c>
      <c r="BE192" s="24">
        <v>0</v>
      </c>
      <c r="BF192" s="24">
        <v>7.34</v>
      </c>
      <c r="BG192" s="24">
        <v>25.37</v>
      </c>
      <c r="BH192" s="24">
        <v>15.03</v>
      </c>
      <c r="BI192" s="24">
        <v>30.09</v>
      </c>
      <c r="BJ192" s="24">
        <v>0</v>
      </c>
      <c r="BK192" s="24">
        <v>0</v>
      </c>
      <c r="BL192" s="24">
        <v>0</v>
      </c>
      <c r="BM192" s="24">
        <v>1.7</v>
      </c>
      <c r="BN192" s="24">
        <v>0</v>
      </c>
      <c r="BO192" s="24">
        <v>1</v>
      </c>
      <c r="BP192" s="27">
        <v>1.55</v>
      </c>
      <c r="BQ192" s="27">
        <v>1</v>
      </c>
      <c r="BR192" s="27">
        <v>5.74</v>
      </c>
      <c r="BS192" s="27">
        <v>3.64</v>
      </c>
      <c r="BT192" s="27">
        <v>0</v>
      </c>
      <c r="BU192" s="27">
        <v>0</v>
      </c>
      <c r="BV192" s="27">
        <v>0</v>
      </c>
      <c r="BW192" s="24">
        <v>0</v>
      </c>
    </row>
    <row r="193" spans="1:75" x14ac:dyDescent="0.2">
      <c r="A193" s="24">
        <v>2</v>
      </c>
      <c r="B193">
        <v>21.3223819301848</v>
      </c>
      <c r="C193">
        <v>0.29295003422313498</v>
      </c>
      <c r="D193">
        <v>4</v>
      </c>
      <c r="E193">
        <v>76.5</v>
      </c>
      <c r="F193">
        <v>1.83</v>
      </c>
      <c r="G193">
        <v>22.843321687718401</v>
      </c>
      <c r="H193">
        <v>0</v>
      </c>
      <c r="I193">
        <v>0</v>
      </c>
      <c r="J193" s="26"/>
      <c r="K193" s="26">
        <v>1</v>
      </c>
      <c r="L193" s="26">
        <v>1</v>
      </c>
      <c r="M193" s="26"/>
      <c r="N193">
        <v>0</v>
      </c>
      <c r="O193" s="26">
        <v>0</v>
      </c>
      <c r="P193" s="26">
        <v>0</v>
      </c>
      <c r="Q193" s="26">
        <v>0</v>
      </c>
      <c r="R193" s="26">
        <v>0</v>
      </c>
      <c r="S193" s="26">
        <v>0</v>
      </c>
      <c r="T193" s="26">
        <v>0</v>
      </c>
      <c r="U193" s="26">
        <v>0</v>
      </c>
      <c r="V193" s="15">
        <f t="shared" si="7"/>
        <v>0</v>
      </c>
      <c r="W193" s="26">
        <v>2</v>
      </c>
      <c r="X193" s="26">
        <v>2</v>
      </c>
      <c r="Y193" s="26">
        <v>3</v>
      </c>
      <c r="Z193" s="26">
        <v>5</v>
      </c>
      <c r="AA193" s="26">
        <v>3</v>
      </c>
      <c r="AB193" s="26">
        <v>3</v>
      </c>
      <c r="AC193" s="26">
        <v>3</v>
      </c>
      <c r="AD193" s="26">
        <v>5</v>
      </c>
      <c r="AE193" s="26">
        <v>5</v>
      </c>
      <c r="AF193" s="26">
        <v>5</v>
      </c>
      <c r="AG193" s="26">
        <v>5</v>
      </c>
      <c r="AH193" s="26">
        <v>5</v>
      </c>
      <c r="AI193" s="26">
        <v>5</v>
      </c>
      <c r="AJ193" s="26">
        <v>5</v>
      </c>
      <c r="AK193" s="26">
        <v>5</v>
      </c>
      <c r="AL193" s="26">
        <v>5</v>
      </c>
      <c r="AM193" s="26">
        <v>5</v>
      </c>
      <c r="AN193" s="26">
        <v>5</v>
      </c>
      <c r="AO193" s="26">
        <v>5</v>
      </c>
      <c r="AP193" s="26">
        <v>8</v>
      </c>
      <c r="AQ193" s="24">
        <v>38</v>
      </c>
      <c r="AR193" s="27">
        <v>85.5</v>
      </c>
      <c r="AS193" s="27">
        <v>83.4</v>
      </c>
      <c r="AT193" s="27">
        <v>28.7</v>
      </c>
      <c r="AU193" s="24">
        <v>61.84</v>
      </c>
      <c r="AV193" s="24">
        <v>0</v>
      </c>
      <c r="AW193" s="24">
        <v>0</v>
      </c>
      <c r="AX193" s="24">
        <v>0</v>
      </c>
      <c r="AY193" s="24">
        <v>37.42</v>
      </c>
      <c r="AZ193" s="24">
        <v>0</v>
      </c>
      <c r="BA193" s="24">
        <v>0.73</v>
      </c>
      <c r="BB193" s="24">
        <v>0</v>
      </c>
      <c r="BC193" s="24">
        <v>0</v>
      </c>
      <c r="BD193" s="24">
        <v>0.74</v>
      </c>
      <c r="BE193" s="24">
        <v>0</v>
      </c>
      <c r="BF193" s="24">
        <v>7.34</v>
      </c>
      <c r="BG193" s="24">
        <v>25.37</v>
      </c>
      <c r="BH193" s="24">
        <v>15.03</v>
      </c>
      <c r="BI193" s="24">
        <v>30.09</v>
      </c>
      <c r="BJ193" s="24">
        <v>0</v>
      </c>
      <c r="BK193" s="24">
        <v>0</v>
      </c>
      <c r="BL193" s="24">
        <v>0</v>
      </c>
      <c r="BM193" s="24">
        <v>1.7</v>
      </c>
      <c r="BN193" s="24">
        <v>0</v>
      </c>
      <c r="BO193" s="24">
        <v>1</v>
      </c>
      <c r="BP193" s="27">
        <v>1.55</v>
      </c>
      <c r="BQ193" s="27">
        <v>1</v>
      </c>
      <c r="BR193" s="27">
        <v>5.74</v>
      </c>
      <c r="BS193" s="27">
        <v>3.64</v>
      </c>
      <c r="BT193" s="27">
        <v>0</v>
      </c>
      <c r="BU193" s="27">
        <v>0</v>
      </c>
      <c r="BV193" s="27">
        <v>0</v>
      </c>
      <c r="BW193" s="24">
        <v>0</v>
      </c>
    </row>
    <row r="194" spans="1:75" x14ac:dyDescent="0.2">
      <c r="A194">
        <v>1</v>
      </c>
      <c r="B194">
        <v>44.785763175906901</v>
      </c>
      <c r="C194">
        <v>5.7029431895961702</v>
      </c>
      <c r="D194">
        <v>8</v>
      </c>
      <c r="E194">
        <v>65</v>
      </c>
      <c r="F194">
        <v>1.62</v>
      </c>
      <c r="G194">
        <v>24.767565919829298</v>
      </c>
      <c r="H194">
        <v>0</v>
      </c>
      <c r="I194">
        <v>0</v>
      </c>
      <c r="J194" s="19">
        <v>0</v>
      </c>
      <c r="K194" s="19">
        <v>1</v>
      </c>
      <c r="L194" s="19">
        <v>0</v>
      </c>
      <c r="M194" s="19">
        <v>0</v>
      </c>
      <c r="N194">
        <v>0</v>
      </c>
      <c r="O194" s="19">
        <v>0</v>
      </c>
      <c r="P194" s="19">
        <v>0</v>
      </c>
      <c r="Q194" s="19">
        <v>0</v>
      </c>
      <c r="R194" s="19">
        <v>5</v>
      </c>
      <c r="S194" s="19">
        <v>5</v>
      </c>
      <c r="T194" s="19">
        <v>0</v>
      </c>
      <c r="U194" s="19">
        <v>4</v>
      </c>
      <c r="V194" s="15">
        <f t="shared" si="7"/>
        <v>1.5555555555555556</v>
      </c>
      <c r="W194" s="19">
        <v>2</v>
      </c>
      <c r="X194" s="19">
        <v>3</v>
      </c>
      <c r="Y194" s="19">
        <v>3</v>
      </c>
      <c r="Z194" s="19">
        <v>5</v>
      </c>
      <c r="AA194" s="19">
        <v>1</v>
      </c>
      <c r="AB194" s="19">
        <v>1</v>
      </c>
      <c r="AC194" s="19">
        <v>4</v>
      </c>
      <c r="AD194" s="19">
        <v>4</v>
      </c>
      <c r="AE194" s="19">
        <v>4</v>
      </c>
      <c r="AF194" s="19">
        <v>5</v>
      </c>
      <c r="AG194" s="19">
        <v>5</v>
      </c>
      <c r="AH194" s="19">
        <v>5</v>
      </c>
      <c r="AI194" s="19">
        <v>4</v>
      </c>
      <c r="AJ194" s="19">
        <v>5</v>
      </c>
      <c r="AK194" s="19">
        <v>5</v>
      </c>
      <c r="AL194" s="19">
        <v>5</v>
      </c>
      <c r="AM194" s="19">
        <v>4</v>
      </c>
      <c r="AN194" s="19">
        <v>4</v>
      </c>
      <c r="AO194" s="19">
        <v>4</v>
      </c>
      <c r="AP194" s="19">
        <v>5</v>
      </c>
      <c r="AQ194">
        <v>8</v>
      </c>
      <c r="AR194" s="16">
        <v>55.4</v>
      </c>
      <c r="AS194" s="16">
        <v>560.98</v>
      </c>
      <c r="AT194" s="16">
        <v>5.9</v>
      </c>
      <c r="AU194">
        <v>5.07</v>
      </c>
      <c r="AV194">
        <v>0</v>
      </c>
      <c r="AW194">
        <v>0.51</v>
      </c>
      <c r="AX194">
        <v>0</v>
      </c>
      <c r="AY194">
        <v>2.61</v>
      </c>
      <c r="AZ194">
        <v>0</v>
      </c>
      <c r="BA194">
        <v>91.79</v>
      </c>
      <c r="BB194">
        <v>0</v>
      </c>
      <c r="BC194">
        <v>0</v>
      </c>
      <c r="BD194">
        <v>0</v>
      </c>
      <c r="BE194">
        <v>0</v>
      </c>
      <c r="BF194">
        <v>0.41</v>
      </c>
      <c r="BG194">
        <v>3.78</v>
      </c>
      <c r="BH194">
        <v>1.66</v>
      </c>
      <c r="BI194">
        <v>0.5</v>
      </c>
      <c r="BJ194">
        <v>0.71</v>
      </c>
      <c r="BK194">
        <v>0</v>
      </c>
      <c r="BL194">
        <v>0</v>
      </c>
      <c r="BM194">
        <v>0.2</v>
      </c>
      <c r="BN194">
        <v>1</v>
      </c>
      <c r="BO194">
        <v>0</v>
      </c>
      <c r="BP194" s="16">
        <v>0.02</v>
      </c>
      <c r="BQ194" s="16">
        <v>1</v>
      </c>
      <c r="BR194" s="16">
        <v>1.21</v>
      </c>
      <c r="BS194" s="16">
        <v>1.2</v>
      </c>
      <c r="BT194" s="16">
        <v>0.53</v>
      </c>
      <c r="BU194" s="16">
        <v>0.45</v>
      </c>
      <c r="BV194" s="16">
        <v>0</v>
      </c>
      <c r="BW194">
        <v>0</v>
      </c>
    </row>
    <row r="195" spans="1:75" x14ac:dyDescent="0.2">
      <c r="A195" s="24">
        <v>1</v>
      </c>
      <c r="B195">
        <v>19.8576317590691</v>
      </c>
      <c r="C195">
        <v>0.29568788501026699</v>
      </c>
      <c r="D195">
        <v>8</v>
      </c>
      <c r="E195">
        <v>51</v>
      </c>
      <c r="F195">
        <v>1.7</v>
      </c>
      <c r="G195">
        <v>17.647058823529399</v>
      </c>
      <c r="H195">
        <v>0</v>
      </c>
      <c r="I195">
        <v>0</v>
      </c>
      <c r="J195" s="26">
        <v>0</v>
      </c>
      <c r="K195" s="26">
        <v>0</v>
      </c>
      <c r="L195" s="26">
        <v>0</v>
      </c>
      <c r="M195" s="26">
        <v>0</v>
      </c>
      <c r="N195">
        <v>4</v>
      </c>
      <c r="O195" s="26">
        <v>4</v>
      </c>
      <c r="P195" s="26">
        <v>0</v>
      </c>
      <c r="Q195" s="26">
        <v>0</v>
      </c>
      <c r="R195" s="26"/>
      <c r="S195" s="26">
        <v>2</v>
      </c>
      <c r="T195" s="26">
        <v>0</v>
      </c>
      <c r="U195" s="26">
        <v>0</v>
      </c>
      <c r="V195" s="15">
        <f t="shared" si="7"/>
        <v>1.25</v>
      </c>
      <c r="W195" s="26">
        <v>1</v>
      </c>
      <c r="X195" s="26">
        <v>1</v>
      </c>
      <c r="Y195" s="26">
        <v>3</v>
      </c>
      <c r="Z195" s="26">
        <v>5</v>
      </c>
      <c r="AA195" s="26">
        <v>1</v>
      </c>
      <c r="AB195" s="26">
        <v>1</v>
      </c>
      <c r="AC195" s="26">
        <v>3</v>
      </c>
      <c r="AD195" s="26">
        <v>1</v>
      </c>
      <c r="AE195" s="26">
        <v>3</v>
      </c>
      <c r="AF195" s="26">
        <v>2</v>
      </c>
      <c r="AG195" s="26">
        <v>4</v>
      </c>
      <c r="AH195" s="26">
        <v>4</v>
      </c>
      <c r="AI195" s="26">
        <v>1</v>
      </c>
      <c r="AJ195" s="26">
        <v>3</v>
      </c>
      <c r="AK195" s="26">
        <v>2</v>
      </c>
      <c r="AL195" s="26">
        <v>4</v>
      </c>
      <c r="AM195" s="26">
        <v>4</v>
      </c>
      <c r="AN195" s="26">
        <v>4</v>
      </c>
      <c r="AO195" s="26">
        <v>4</v>
      </c>
      <c r="AP195" s="26">
        <v>8</v>
      </c>
      <c r="AQ195" s="24">
        <v>38</v>
      </c>
      <c r="AR195" s="27">
        <v>85.5</v>
      </c>
      <c r="AS195" s="27">
        <v>83.4</v>
      </c>
      <c r="AT195" s="27">
        <v>28.7</v>
      </c>
      <c r="AU195" s="24">
        <v>61.84</v>
      </c>
      <c r="AV195" s="24">
        <v>0</v>
      </c>
      <c r="AW195" s="24">
        <v>0</v>
      </c>
      <c r="AX195" s="24">
        <v>0</v>
      </c>
      <c r="AY195" s="24">
        <v>37.42</v>
      </c>
      <c r="AZ195" s="24">
        <v>0</v>
      </c>
      <c r="BA195" s="24">
        <v>0.73</v>
      </c>
      <c r="BB195" s="24">
        <v>0</v>
      </c>
      <c r="BC195" s="24">
        <v>0</v>
      </c>
      <c r="BD195" s="24">
        <v>0.74</v>
      </c>
      <c r="BE195" s="24">
        <v>0</v>
      </c>
      <c r="BF195" s="24">
        <v>7.34</v>
      </c>
      <c r="BG195" s="24">
        <v>25.37</v>
      </c>
      <c r="BH195" s="24">
        <v>15.03</v>
      </c>
      <c r="BI195" s="24">
        <v>30.09</v>
      </c>
      <c r="BJ195" s="24">
        <v>0</v>
      </c>
      <c r="BK195" s="24">
        <v>0</v>
      </c>
      <c r="BL195" s="24">
        <v>0</v>
      </c>
      <c r="BM195" s="24">
        <v>1.7</v>
      </c>
      <c r="BN195" s="24">
        <v>0</v>
      </c>
      <c r="BO195" s="24">
        <v>1</v>
      </c>
      <c r="BP195" s="27">
        <v>1.55</v>
      </c>
      <c r="BQ195" s="27">
        <v>1</v>
      </c>
      <c r="BR195" s="27">
        <v>5.74</v>
      </c>
      <c r="BS195" s="27">
        <v>3.64</v>
      </c>
      <c r="BT195" s="27">
        <v>0</v>
      </c>
      <c r="BU195" s="27">
        <v>0</v>
      </c>
      <c r="BV195" s="27">
        <v>0</v>
      </c>
      <c r="BW195" s="24">
        <v>0</v>
      </c>
    </row>
    <row r="196" spans="1:75" x14ac:dyDescent="0.2">
      <c r="A196">
        <v>2</v>
      </c>
      <c r="B196">
        <v>34.532511978097197</v>
      </c>
      <c r="C196">
        <v>0.30663928815879499</v>
      </c>
      <c r="D196">
        <v>4</v>
      </c>
      <c r="E196">
        <v>86</v>
      </c>
      <c r="F196">
        <v>1.85</v>
      </c>
      <c r="G196">
        <v>25.127830533235901</v>
      </c>
      <c r="H196">
        <v>0</v>
      </c>
      <c r="I196">
        <v>0</v>
      </c>
      <c r="J196" s="19">
        <v>0</v>
      </c>
      <c r="K196" s="19">
        <v>0</v>
      </c>
      <c r="L196" s="19">
        <v>0</v>
      </c>
      <c r="M196" s="19">
        <v>0</v>
      </c>
      <c r="N196">
        <v>0</v>
      </c>
      <c r="O196" s="19">
        <v>0</v>
      </c>
      <c r="P196" s="19">
        <v>0</v>
      </c>
      <c r="Q196" s="19">
        <v>0</v>
      </c>
      <c r="R196" s="19">
        <v>0</v>
      </c>
      <c r="S196" s="19">
        <v>0</v>
      </c>
      <c r="T196" s="19">
        <v>0</v>
      </c>
      <c r="U196" s="19">
        <v>3</v>
      </c>
      <c r="V196" s="15">
        <f t="shared" si="7"/>
        <v>0.33333333333333331</v>
      </c>
      <c r="W196" s="19">
        <v>1</v>
      </c>
      <c r="X196" s="19">
        <v>2</v>
      </c>
      <c r="Y196" s="19">
        <v>3</v>
      </c>
      <c r="Z196" s="19">
        <v>4</v>
      </c>
      <c r="AA196" s="19">
        <v>2</v>
      </c>
      <c r="AB196" s="19">
        <v>1</v>
      </c>
      <c r="AC196" s="19">
        <v>2</v>
      </c>
      <c r="AD196" s="19">
        <v>3</v>
      </c>
      <c r="AE196" s="19">
        <v>3</v>
      </c>
      <c r="AF196" s="19">
        <v>3</v>
      </c>
      <c r="AG196" s="19">
        <v>4</v>
      </c>
      <c r="AH196" s="19">
        <v>5</v>
      </c>
      <c r="AI196" s="19">
        <v>4</v>
      </c>
      <c r="AJ196" s="19">
        <v>4</v>
      </c>
      <c r="AK196" s="19">
        <v>4</v>
      </c>
      <c r="AL196" s="19">
        <v>5</v>
      </c>
      <c r="AM196" s="19">
        <v>4</v>
      </c>
      <c r="AN196" s="19">
        <v>4</v>
      </c>
      <c r="AO196" s="19">
        <v>4</v>
      </c>
      <c r="AP196" s="19">
        <v>7</v>
      </c>
      <c r="AQ196">
        <v>64</v>
      </c>
      <c r="AR196" s="16">
        <v>74.3</v>
      </c>
      <c r="AS196" s="16">
        <v>81</v>
      </c>
      <c r="AT196" s="16">
        <v>58.5</v>
      </c>
      <c r="AU196">
        <v>49.17</v>
      </c>
      <c r="AV196">
        <v>0</v>
      </c>
      <c r="AW196">
        <v>34.450000000000003</v>
      </c>
      <c r="AX196">
        <v>16.22</v>
      </c>
      <c r="AY196">
        <v>0.16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2.52</v>
      </c>
      <c r="BI196">
        <v>9.18</v>
      </c>
      <c r="BJ196">
        <v>0</v>
      </c>
      <c r="BK196">
        <v>0</v>
      </c>
      <c r="BL196">
        <v>0</v>
      </c>
      <c r="BM196">
        <v>0.3</v>
      </c>
      <c r="BN196">
        <v>1</v>
      </c>
      <c r="BO196">
        <v>0</v>
      </c>
      <c r="BP196" s="16">
        <v>2.89</v>
      </c>
      <c r="BQ196" s="16">
        <v>1</v>
      </c>
      <c r="BR196" s="16">
        <v>0</v>
      </c>
      <c r="BS196" s="16">
        <v>0</v>
      </c>
      <c r="BT196" s="16">
        <v>0</v>
      </c>
      <c r="BU196" s="16">
        <v>0</v>
      </c>
      <c r="BV196" s="16">
        <v>0</v>
      </c>
      <c r="BW196">
        <v>0</v>
      </c>
    </row>
    <row r="197" spans="1:75" x14ac:dyDescent="0.2">
      <c r="A197">
        <v>2</v>
      </c>
      <c r="B197">
        <v>22.1409993155373</v>
      </c>
      <c r="C197">
        <v>0.216290212183436</v>
      </c>
      <c r="D197">
        <v>8</v>
      </c>
      <c r="E197">
        <v>99</v>
      </c>
      <c r="F197">
        <v>1.67</v>
      </c>
      <c r="G197">
        <v>35.497866542364399</v>
      </c>
      <c r="H197">
        <v>0</v>
      </c>
      <c r="I197">
        <v>0</v>
      </c>
      <c r="J197" s="19">
        <v>0</v>
      </c>
      <c r="K197" s="19">
        <v>1</v>
      </c>
      <c r="L197" s="19">
        <v>0</v>
      </c>
      <c r="M197" s="19">
        <v>0</v>
      </c>
      <c r="N197">
        <v>0</v>
      </c>
      <c r="O197" s="19">
        <v>0</v>
      </c>
      <c r="P197" s="19">
        <v>0</v>
      </c>
      <c r="Q197" s="19">
        <v>0</v>
      </c>
      <c r="R197" s="19">
        <v>0</v>
      </c>
      <c r="S197" s="19">
        <v>0</v>
      </c>
      <c r="T197" s="19">
        <v>0</v>
      </c>
      <c r="U197" s="19">
        <v>0</v>
      </c>
      <c r="V197" s="15">
        <f t="shared" si="7"/>
        <v>0</v>
      </c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>
        <v>5</v>
      </c>
      <c r="AN197" s="19">
        <v>5</v>
      </c>
      <c r="AO197" s="19">
        <v>4</v>
      </c>
      <c r="AP197" s="19">
        <v>8</v>
      </c>
      <c r="AQ197">
        <v>64.5</v>
      </c>
      <c r="AR197" s="16">
        <v>77.8</v>
      </c>
      <c r="AS197" s="16">
        <v>81</v>
      </c>
      <c r="AT197" s="16">
        <v>52.5</v>
      </c>
      <c r="AU197">
        <v>50.19</v>
      </c>
      <c r="AV197">
        <v>0</v>
      </c>
      <c r="AW197">
        <v>26.36</v>
      </c>
      <c r="AX197">
        <v>23.45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1.91</v>
      </c>
      <c r="BH197">
        <v>2.12</v>
      </c>
      <c r="BI197">
        <v>0</v>
      </c>
      <c r="BJ197">
        <v>0</v>
      </c>
      <c r="BK197">
        <v>0</v>
      </c>
      <c r="BL197">
        <v>0</v>
      </c>
      <c r="BM197">
        <v>5.4</v>
      </c>
      <c r="BN197">
        <v>1</v>
      </c>
      <c r="BO197">
        <v>1</v>
      </c>
      <c r="BP197" s="16">
        <v>3.48</v>
      </c>
      <c r="BQ197" s="16">
        <v>1</v>
      </c>
      <c r="BR197" s="16">
        <v>0.13</v>
      </c>
      <c r="BS197" s="16">
        <v>0.13</v>
      </c>
      <c r="BT197" s="16">
        <v>0</v>
      </c>
      <c r="BU197" s="16">
        <v>0</v>
      </c>
      <c r="BV197" s="16">
        <v>0</v>
      </c>
      <c r="BW197">
        <v>0</v>
      </c>
    </row>
    <row r="198" spans="1:75" x14ac:dyDescent="0.2">
      <c r="A198">
        <v>2</v>
      </c>
      <c r="B198">
        <v>37.563312799452397</v>
      </c>
      <c r="C198">
        <v>10.362765229295</v>
      </c>
      <c r="D198">
        <v>4</v>
      </c>
      <c r="E198">
        <v>68</v>
      </c>
      <c r="F198">
        <v>1.72</v>
      </c>
      <c r="G198">
        <v>22.985397512168699</v>
      </c>
      <c r="H198">
        <v>0</v>
      </c>
      <c r="I198">
        <v>0</v>
      </c>
      <c r="J198" s="19">
        <v>1</v>
      </c>
      <c r="K198" s="19">
        <v>0</v>
      </c>
      <c r="L198" s="19">
        <v>0</v>
      </c>
      <c r="M198" s="19">
        <v>0</v>
      </c>
      <c r="N198">
        <v>0</v>
      </c>
      <c r="O198" s="19">
        <v>0</v>
      </c>
      <c r="P198" s="19">
        <v>5</v>
      </c>
      <c r="Q198" s="19">
        <v>0</v>
      </c>
      <c r="R198" s="19">
        <v>9</v>
      </c>
      <c r="S198" s="19">
        <v>9</v>
      </c>
      <c r="T198" s="19">
        <v>0</v>
      </c>
      <c r="U198" s="19"/>
      <c r="V198" s="15">
        <f t="shared" si="7"/>
        <v>2.875</v>
      </c>
      <c r="W198" s="19">
        <v>3</v>
      </c>
      <c r="X198" s="19">
        <v>2</v>
      </c>
      <c r="Y198" s="19">
        <v>3</v>
      </c>
      <c r="Z198" s="19">
        <v>5</v>
      </c>
      <c r="AA198" s="19">
        <v>2</v>
      </c>
      <c r="AB198" s="19">
        <v>3</v>
      </c>
      <c r="AC198" s="19">
        <v>4</v>
      </c>
      <c r="AD198" s="19">
        <v>4</v>
      </c>
      <c r="AE198" s="19">
        <v>4</v>
      </c>
      <c r="AF198" s="19">
        <v>3</v>
      </c>
      <c r="AG198" s="19">
        <v>3</v>
      </c>
      <c r="AH198" s="19">
        <v>4</v>
      </c>
      <c r="AI198" s="19">
        <v>4</v>
      </c>
      <c r="AJ198" s="19">
        <v>4</v>
      </c>
      <c r="AK198" s="19">
        <v>4</v>
      </c>
      <c r="AL198" s="19">
        <v>4</v>
      </c>
      <c r="AM198" s="19">
        <v>4</v>
      </c>
      <c r="AN198" s="19">
        <v>4</v>
      </c>
      <c r="AO198" s="19">
        <v>4</v>
      </c>
      <c r="AP198" s="19">
        <v>8</v>
      </c>
      <c r="AQ198">
        <v>40</v>
      </c>
      <c r="AR198" s="16">
        <v>84.9</v>
      </c>
      <c r="AS198" s="16">
        <v>81</v>
      </c>
      <c r="AT198" s="16">
        <v>13.2</v>
      </c>
      <c r="AU198">
        <v>93.04</v>
      </c>
      <c r="AV198">
        <v>0</v>
      </c>
      <c r="AW198">
        <v>0</v>
      </c>
      <c r="AX198">
        <v>3.59</v>
      </c>
      <c r="AY198">
        <v>3.38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1.7</v>
      </c>
      <c r="BG198">
        <v>3.97</v>
      </c>
      <c r="BH198">
        <v>39.76</v>
      </c>
      <c r="BI198">
        <v>0.13</v>
      </c>
      <c r="BJ198">
        <v>0</v>
      </c>
      <c r="BK198">
        <v>0</v>
      </c>
      <c r="BL198">
        <v>0</v>
      </c>
      <c r="BM198">
        <v>15.9</v>
      </c>
      <c r="BN198">
        <v>1</v>
      </c>
      <c r="BO198">
        <v>1</v>
      </c>
      <c r="BP198" s="16">
        <v>1.48</v>
      </c>
      <c r="BQ198" s="16">
        <v>1</v>
      </c>
      <c r="BR198" s="16">
        <v>7.34</v>
      </c>
      <c r="BS198" s="16">
        <v>5.01</v>
      </c>
      <c r="BT198" s="16">
        <v>0</v>
      </c>
      <c r="BU198" s="16">
        <v>0</v>
      </c>
      <c r="BV198" s="16">
        <v>0</v>
      </c>
      <c r="BW198">
        <v>0</v>
      </c>
    </row>
    <row r="199" spans="1:75" x14ac:dyDescent="0.2">
      <c r="A199">
        <v>2</v>
      </c>
      <c r="B199">
        <v>37.043121149897303</v>
      </c>
      <c r="C199">
        <v>0.24914442162902101</v>
      </c>
      <c r="D199">
        <v>8</v>
      </c>
      <c r="E199">
        <v>66</v>
      </c>
      <c r="F199">
        <v>1.69</v>
      </c>
      <c r="G199">
        <v>23.1084345786212</v>
      </c>
      <c r="H199">
        <v>0</v>
      </c>
      <c r="I199">
        <v>0</v>
      </c>
      <c r="J199" s="19">
        <v>1</v>
      </c>
      <c r="K199" s="19">
        <v>1</v>
      </c>
      <c r="L199" s="19">
        <v>0</v>
      </c>
      <c r="M199" s="19">
        <v>6</v>
      </c>
      <c r="O199" s="19"/>
      <c r="P199" s="19">
        <v>0</v>
      </c>
      <c r="Q199" s="19">
        <v>0</v>
      </c>
      <c r="R199" s="19">
        <v>7</v>
      </c>
      <c r="S199" s="19">
        <v>0</v>
      </c>
      <c r="T199" s="19">
        <v>0</v>
      </c>
      <c r="U199" s="19">
        <v>0</v>
      </c>
      <c r="V199" s="15">
        <f t="shared" si="7"/>
        <v>1.8571428571428572</v>
      </c>
      <c r="W199" s="19">
        <v>4</v>
      </c>
      <c r="X199" s="19">
        <v>3</v>
      </c>
      <c r="Y199" s="19">
        <v>5</v>
      </c>
      <c r="Z199" s="19">
        <v>4</v>
      </c>
      <c r="AA199" s="19">
        <v>2</v>
      </c>
      <c r="AB199" s="19">
        <v>3</v>
      </c>
      <c r="AC199" s="19">
        <v>2</v>
      </c>
      <c r="AD199" s="19">
        <v>2</v>
      </c>
      <c r="AE199" s="19">
        <v>2</v>
      </c>
      <c r="AF199" s="19">
        <v>3</v>
      </c>
      <c r="AG199" s="19">
        <v>2</v>
      </c>
      <c r="AH199" s="19">
        <v>4</v>
      </c>
      <c r="AI199" s="19">
        <v>4</v>
      </c>
      <c r="AJ199" s="19">
        <v>4</v>
      </c>
      <c r="AK199" s="19">
        <v>5</v>
      </c>
      <c r="AL199" s="19">
        <v>4</v>
      </c>
      <c r="AM199" s="19">
        <v>4</v>
      </c>
      <c r="AN199" s="19">
        <v>4</v>
      </c>
      <c r="AO199" s="19">
        <v>3</v>
      </c>
      <c r="AP199" s="19">
        <v>6</v>
      </c>
      <c r="AQ199">
        <v>33</v>
      </c>
      <c r="AR199" s="16">
        <v>71.2</v>
      </c>
      <c r="AS199" s="16">
        <v>80.400000000000006</v>
      </c>
      <c r="AT199" s="16">
        <v>16.3</v>
      </c>
      <c r="AU199">
        <v>83.24</v>
      </c>
      <c r="AV199" s="17">
        <v>0</v>
      </c>
      <c r="AW199">
        <v>0</v>
      </c>
      <c r="AX199">
        <v>0</v>
      </c>
      <c r="AY199">
        <v>14.14</v>
      </c>
      <c r="AZ199">
        <v>0</v>
      </c>
      <c r="BA199">
        <v>2.63</v>
      </c>
      <c r="BB199">
        <v>0</v>
      </c>
      <c r="BC199">
        <v>0</v>
      </c>
      <c r="BD199">
        <v>0</v>
      </c>
      <c r="BE199">
        <v>0</v>
      </c>
      <c r="BF199">
        <v>2.63</v>
      </c>
      <c r="BG199">
        <v>10.16</v>
      </c>
      <c r="BH199">
        <v>20.83</v>
      </c>
      <c r="BI199">
        <v>24.81</v>
      </c>
      <c r="BJ199">
        <v>0</v>
      </c>
      <c r="BK199">
        <v>11.2</v>
      </c>
      <c r="BL199">
        <v>1</v>
      </c>
      <c r="BM199">
        <v>0</v>
      </c>
      <c r="BN199">
        <v>0</v>
      </c>
      <c r="BO199">
        <v>0</v>
      </c>
      <c r="BP199" s="16">
        <v>2.71</v>
      </c>
      <c r="BQ199" s="16">
        <v>1</v>
      </c>
      <c r="BR199" s="16">
        <v>2.63</v>
      </c>
      <c r="BS199" s="16">
        <v>2.6</v>
      </c>
      <c r="BT199" s="16">
        <v>0</v>
      </c>
      <c r="BU199" s="16">
        <v>0</v>
      </c>
      <c r="BV199" s="16">
        <v>0</v>
      </c>
      <c r="BW199">
        <v>0</v>
      </c>
    </row>
    <row r="200" spans="1:75" x14ac:dyDescent="0.2">
      <c r="A200">
        <v>1</v>
      </c>
      <c r="B200">
        <v>36.328542094455898</v>
      </c>
      <c r="C200">
        <v>0.23271731690622899</v>
      </c>
      <c r="D200">
        <v>8</v>
      </c>
      <c r="E200">
        <v>85</v>
      </c>
      <c r="F200">
        <v>1.6</v>
      </c>
      <c r="G200">
        <v>33.203125</v>
      </c>
      <c r="H200">
        <v>0</v>
      </c>
      <c r="I200">
        <v>0</v>
      </c>
      <c r="J200" s="19">
        <v>0</v>
      </c>
      <c r="K200" s="19">
        <v>1</v>
      </c>
      <c r="L200" s="19">
        <v>0</v>
      </c>
      <c r="M200" s="19">
        <v>0</v>
      </c>
      <c r="N200">
        <v>0</v>
      </c>
      <c r="O200" s="19">
        <v>0</v>
      </c>
      <c r="P200" s="19">
        <v>3</v>
      </c>
      <c r="Q200" s="19">
        <v>3</v>
      </c>
      <c r="R200" s="19">
        <v>0</v>
      </c>
      <c r="S200" s="19">
        <v>0</v>
      </c>
      <c r="T200" s="19">
        <v>0</v>
      </c>
      <c r="U200" s="19">
        <v>0</v>
      </c>
      <c r="V200" s="15">
        <f t="shared" si="7"/>
        <v>0.66666666666666663</v>
      </c>
      <c r="W200" s="19">
        <v>1</v>
      </c>
      <c r="X200" s="19">
        <v>1</v>
      </c>
      <c r="Y200" s="19">
        <v>5</v>
      </c>
      <c r="Z200" s="19">
        <v>5</v>
      </c>
      <c r="AA200" s="19">
        <v>1</v>
      </c>
      <c r="AB200" s="19">
        <v>1</v>
      </c>
      <c r="AC200" s="19">
        <v>5</v>
      </c>
      <c r="AD200" s="19">
        <v>5</v>
      </c>
      <c r="AE200" s="19">
        <v>5</v>
      </c>
      <c r="AF200" s="19">
        <v>5</v>
      </c>
      <c r="AG200" s="19">
        <v>5</v>
      </c>
      <c r="AH200" s="19">
        <v>5</v>
      </c>
      <c r="AI200" s="19">
        <v>4</v>
      </c>
      <c r="AJ200" s="19">
        <v>5</v>
      </c>
      <c r="AK200" s="19">
        <v>2</v>
      </c>
      <c r="AL200" s="19">
        <v>4</v>
      </c>
      <c r="AM200" s="19">
        <v>5</v>
      </c>
      <c r="AN200" s="19">
        <v>5</v>
      </c>
      <c r="AO200" s="19">
        <v>4</v>
      </c>
      <c r="AP200" s="19">
        <v>9</v>
      </c>
      <c r="AQ200">
        <v>40</v>
      </c>
      <c r="AR200" s="16">
        <v>84.9</v>
      </c>
      <c r="AS200" s="16">
        <v>81</v>
      </c>
      <c r="AT200" s="16">
        <v>13.2</v>
      </c>
      <c r="AU200">
        <v>93.04</v>
      </c>
      <c r="AV200">
        <v>0</v>
      </c>
      <c r="AW200">
        <v>0</v>
      </c>
      <c r="AX200">
        <v>3.59</v>
      </c>
      <c r="AY200">
        <v>3.38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1.7</v>
      </c>
      <c r="BG200">
        <v>3.97</v>
      </c>
      <c r="BH200">
        <v>39.76</v>
      </c>
      <c r="BI200">
        <v>0.13</v>
      </c>
      <c r="BJ200">
        <v>0</v>
      </c>
      <c r="BK200">
        <v>0</v>
      </c>
      <c r="BL200">
        <v>0</v>
      </c>
      <c r="BM200">
        <v>15.9</v>
      </c>
      <c r="BN200">
        <v>1</v>
      </c>
      <c r="BO200">
        <v>1</v>
      </c>
      <c r="BP200" s="16">
        <v>1.48</v>
      </c>
      <c r="BQ200" s="16">
        <v>1</v>
      </c>
      <c r="BR200" s="16">
        <v>7.34</v>
      </c>
      <c r="BS200" s="16">
        <v>5.01</v>
      </c>
      <c r="BT200" s="16">
        <v>0</v>
      </c>
      <c r="BU200" s="16">
        <v>0</v>
      </c>
      <c r="BV200" s="16">
        <v>0</v>
      </c>
      <c r="BW200">
        <v>0</v>
      </c>
    </row>
    <row r="201" spans="1:75" x14ac:dyDescent="0.2">
      <c r="A201">
        <v>1</v>
      </c>
      <c r="B201">
        <v>22.1930184804928</v>
      </c>
      <c r="C201">
        <v>0.20260095824777499</v>
      </c>
      <c r="D201">
        <v>4</v>
      </c>
      <c r="E201">
        <v>74.099999999999994</v>
      </c>
      <c r="F201">
        <v>1.73</v>
      </c>
      <c r="G201">
        <v>24.758595342310102</v>
      </c>
      <c r="H201">
        <v>0</v>
      </c>
      <c r="I201">
        <v>0</v>
      </c>
      <c r="J201" s="19">
        <v>0</v>
      </c>
      <c r="K201" s="19">
        <v>0</v>
      </c>
      <c r="L201" s="19">
        <v>0</v>
      </c>
      <c r="M201" s="19">
        <v>0</v>
      </c>
      <c r="N201">
        <v>0</v>
      </c>
      <c r="O201" s="19">
        <v>0</v>
      </c>
      <c r="P201" s="19">
        <v>0</v>
      </c>
      <c r="Q201" s="19">
        <v>0</v>
      </c>
      <c r="R201" s="19">
        <v>0</v>
      </c>
      <c r="S201" s="19">
        <v>0</v>
      </c>
      <c r="T201" s="19">
        <v>0</v>
      </c>
      <c r="U201" s="19">
        <v>0</v>
      </c>
      <c r="V201" s="15">
        <f t="shared" si="7"/>
        <v>0</v>
      </c>
      <c r="W201" s="19">
        <v>1</v>
      </c>
      <c r="X201" s="19">
        <v>1</v>
      </c>
      <c r="Y201" s="19">
        <v>2</v>
      </c>
      <c r="Z201" s="19">
        <v>3</v>
      </c>
      <c r="AA201" s="19">
        <v>1</v>
      </c>
      <c r="AB201" s="19">
        <v>1</v>
      </c>
      <c r="AC201" s="19">
        <v>4</v>
      </c>
      <c r="AD201" s="19">
        <v>3</v>
      </c>
      <c r="AE201" s="19">
        <v>3</v>
      </c>
      <c r="AF201" s="19">
        <v>4</v>
      </c>
      <c r="AG201" s="19">
        <v>5</v>
      </c>
      <c r="AH201" s="19">
        <v>5</v>
      </c>
      <c r="AI201" s="19">
        <v>4</v>
      </c>
      <c r="AJ201" s="19">
        <v>5</v>
      </c>
      <c r="AK201" s="19">
        <v>5</v>
      </c>
      <c r="AL201" s="19">
        <v>5</v>
      </c>
      <c r="AM201" s="19">
        <v>4</v>
      </c>
      <c r="AN201" s="19">
        <v>4</v>
      </c>
      <c r="AO201" s="19">
        <v>4</v>
      </c>
      <c r="AP201" s="19">
        <v>8</v>
      </c>
      <c r="AQ201">
        <v>64</v>
      </c>
      <c r="AR201" s="16">
        <v>74.3</v>
      </c>
      <c r="AS201" s="16">
        <v>81</v>
      </c>
      <c r="AT201" s="16">
        <v>58.5</v>
      </c>
      <c r="AU201">
        <v>49.17</v>
      </c>
      <c r="AV201">
        <v>0</v>
      </c>
      <c r="AW201">
        <v>34.450000000000003</v>
      </c>
      <c r="AX201">
        <v>16.22</v>
      </c>
      <c r="AY201">
        <v>0.16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2.52</v>
      </c>
      <c r="BI201">
        <v>9.18</v>
      </c>
      <c r="BJ201">
        <v>0</v>
      </c>
      <c r="BK201">
        <v>0</v>
      </c>
      <c r="BL201">
        <v>0</v>
      </c>
      <c r="BM201">
        <v>0.3</v>
      </c>
      <c r="BN201">
        <v>1</v>
      </c>
      <c r="BO201">
        <v>0</v>
      </c>
      <c r="BP201" s="16">
        <v>2.89</v>
      </c>
      <c r="BQ201" s="16">
        <v>1</v>
      </c>
      <c r="BR201" s="16">
        <v>0</v>
      </c>
      <c r="BS201" s="16">
        <v>0</v>
      </c>
      <c r="BT201" s="16">
        <v>0</v>
      </c>
      <c r="BU201" s="16">
        <v>0</v>
      </c>
      <c r="BV201" s="16">
        <v>0</v>
      </c>
      <c r="BW201">
        <v>0</v>
      </c>
    </row>
    <row r="202" spans="1:75" x14ac:dyDescent="0.2">
      <c r="A202">
        <v>2</v>
      </c>
      <c r="B202">
        <v>52.213552361396303</v>
      </c>
      <c r="C202">
        <v>21.327857631759102</v>
      </c>
      <c r="D202">
        <v>8</v>
      </c>
      <c r="E202">
        <v>68</v>
      </c>
      <c r="F202">
        <v>1.69</v>
      </c>
      <c r="G202">
        <v>23.808690171912801</v>
      </c>
      <c r="H202">
        <v>1</v>
      </c>
      <c r="I202">
        <v>0</v>
      </c>
      <c r="J202" s="19">
        <v>0</v>
      </c>
      <c r="K202" s="19">
        <v>0</v>
      </c>
      <c r="L202" s="19">
        <v>1</v>
      </c>
      <c r="M202" s="19">
        <v>0</v>
      </c>
      <c r="N202">
        <v>0</v>
      </c>
      <c r="O202" s="19">
        <v>0</v>
      </c>
      <c r="P202" s="19">
        <v>6</v>
      </c>
      <c r="Q202" s="19">
        <v>3</v>
      </c>
      <c r="R202" s="19">
        <v>0</v>
      </c>
      <c r="S202" s="19">
        <v>0</v>
      </c>
      <c r="T202" s="19">
        <v>0</v>
      </c>
      <c r="U202" s="19">
        <v>0</v>
      </c>
      <c r="V202" s="15">
        <f t="shared" si="7"/>
        <v>1</v>
      </c>
      <c r="W202" s="19">
        <v>2</v>
      </c>
      <c r="X202" s="19">
        <v>2</v>
      </c>
      <c r="Y202" s="19">
        <v>3</v>
      </c>
      <c r="Z202" s="19">
        <v>5</v>
      </c>
      <c r="AA202" s="19">
        <v>2</v>
      </c>
      <c r="AB202" s="19">
        <v>3</v>
      </c>
      <c r="AC202" s="19">
        <v>4</v>
      </c>
      <c r="AD202" s="19">
        <v>3</v>
      </c>
      <c r="AE202" s="19">
        <v>1</v>
      </c>
      <c r="AF202" s="19">
        <v>3</v>
      </c>
      <c r="AG202" s="19">
        <v>4</v>
      </c>
      <c r="AH202" s="19">
        <v>4</v>
      </c>
      <c r="AI202" s="19">
        <v>4</v>
      </c>
      <c r="AJ202" s="19">
        <v>4</v>
      </c>
      <c r="AK202" s="19">
        <v>5</v>
      </c>
      <c r="AL202" s="19">
        <v>4</v>
      </c>
      <c r="AM202" s="19">
        <v>5</v>
      </c>
      <c r="AN202" s="19">
        <v>5</v>
      </c>
      <c r="AO202" s="19">
        <v>4</v>
      </c>
      <c r="AP202" s="19">
        <v>9</v>
      </c>
      <c r="AQ202">
        <v>70.5</v>
      </c>
      <c r="AR202" s="16">
        <v>88.2</v>
      </c>
      <c r="AS202" s="16">
        <v>80.400000000000006</v>
      </c>
      <c r="AT202" s="16">
        <v>36.299999999999997</v>
      </c>
      <c r="AU202">
        <v>72.69</v>
      </c>
      <c r="AV202" s="17">
        <v>0</v>
      </c>
      <c r="AW202">
        <v>10.32</v>
      </c>
      <c r="AX202">
        <v>16.989999999999998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36.659999999999997</v>
      </c>
      <c r="BH202">
        <v>7.54</v>
      </c>
      <c r="BI202">
        <v>10.32</v>
      </c>
      <c r="BJ202">
        <v>0</v>
      </c>
      <c r="BK202">
        <v>0</v>
      </c>
      <c r="BL202">
        <v>0</v>
      </c>
      <c r="BM202">
        <v>21.2</v>
      </c>
      <c r="BN202">
        <v>1</v>
      </c>
      <c r="BO202">
        <v>0</v>
      </c>
      <c r="BP202" s="16">
        <v>11.58</v>
      </c>
      <c r="BQ202" s="16">
        <v>1</v>
      </c>
      <c r="BR202" s="16">
        <v>0.27</v>
      </c>
      <c r="BS202" s="16">
        <v>0.27</v>
      </c>
      <c r="BT202" s="16">
        <v>0</v>
      </c>
      <c r="BU202" s="16">
        <v>0</v>
      </c>
      <c r="BV202" s="16">
        <v>0</v>
      </c>
      <c r="BW202">
        <v>0</v>
      </c>
    </row>
    <row r="203" spans="1:75" x14ac:dyDescent="0.2">
      <c r="A203">
        <v>2</v>
      </c>
      <c r="B203">
        <v>42.773442847364798</v>
      </c>
      <c r="C203">
        <v>19.742642026009602</v>
      </c>
      <c r="D203">
        <v>8</v>
      </c>
      <c r="E203">
        <v>82</v>
      </c>
      <c r="F203">
        <v>1.77</v>
      </c>
      <c r="G203">
        <v>26.173832551310301</v>
      </c>
      <c r="H203">
        <v>0</v>
      </c>
      <c r="I203">
        <v>0</v>
      </c>
      <c r="J203" s="19">
        <v>1</v>
      </c>
      <c r="K203" s="19">
        <v>1</v>
      </c>
      <c r="L203" s="19">
        <v>0</v>
      </c>
      <c r="M203" s="19">
        <v>0</v>
      </c>
      <c r="N203">
        <v>0</v>
      </c>
      <c r="O203" s="19">
        <v>0</v>
      </c>
      <c r="P203" s="19">
        <v>0</v>
      </c>
      <c r="Q203" s="19">
        <v>0</v>
      </c>
      <c r="R203" s="19">
        <v>0</v>
      </c>
      <c r="S203" s="19">
        <v>0</v>
      </c>
      <c r="T203" s="19">
        <v>0</v>
      </c>
      <c r="U203" s="19">
        <v>0</v>
      </c>
      <c r="V203" s="15">
        <f t="shared" si="7"/>
        <v>0</v>
      </c>
      <c r="W203" s="19">
        <v>3</v>
      </c>
      <c r="X203" s="19">
        <v>1</v>
      </c>
      <c r="Y203" s="19">
        <v>4</v>
      </c>
      <c r="Z203" s="19">
        <v>3</v>
      </c>
      <c r="AA203" s="19">
        <v>4</v>
      </c>
      <c r="AB203" s="19">
        <v>4</v>
      </c>
      <c r="AC203" s="19">
        <v>4</v>
      </c>
      <c r="AD203" s="19">
        <v>4</v>
      </c>
      <c r="AE203" s="19">
        <v>2</v>
      </c>
      <c r="AF203" s="19">
        <v>2</v>
      </c>
      <c r="AG203" s="19">
        <v>4</v>
      </c>
      <c r="AH203" s="19">
        <v>4</v>
      </c>
      <c r="AI203" s="19">
        <v>2</v>
      </c>
      <c r="AJ203" s="19">
        <v>3</v>
      </c>
      <c r="AK203" s="19">
        <v>4</v>
      </c>
      <c r="AL203" s="19">
        <v>4</v>
      </c>
      <c r="AM203" s="19">
        <v>4</v>
      </c>
      <c r="AN203" s="19">
        <v>5</v>
      </c>
      <c r="AO203" s="19">
        <v>3</v>
      </c>
      <c r="AP203" s="19">
        <v>7</v>
      </c>
      <c r="AQ203">
        <v>70.5</v>
      </c>
      <c r="AR203" s="16">
        <v>88.2</v>
      </c>
      <c r="AS203" s="16">
        <v>80.400000000000006</v>
      </c>
      <c r="AT203" s="16">
        <v>36.299999999999997</v>
      </c>
      <c r="AU203">
        <v>72.69</v>
      </c>
      <c r="AV203" s="17">
        <v>0</v>
      </c>
      <c r="AW203">
        <v>10.32</v>
      </c>
      <c r="AX203">
        <v>16.989999999999998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36.659999999999997</v>
      </c>
      <c r="BH203">
        <v>7.54</v>
      </c>
      <c r="BI203">
        <v>10.32</v>
      </c>
      <c r="BJ203">
        <v>0</v>
      </c>
      <c r="BK203">
        <v>0</v>
      </c>
      <c r="BL203">
        <v>0</v>
      </c>
      <c r="BM203">
        <v>21.2</v>
      </c>
      <c r="BN203">
        <v>1</v>
      </c>
      <c r="BO203">
        <v>0</v>
      </c>
      <c r="BP203" s="16">
        <v>11.58</v>
      </c>
      <c r="BQ203" s="16">
        <v>1</v>
      </c>
      <c r="BR203" s="16">
        <v>0.27</v>
      </c>
      <c r="BS203" s="16">
        <v>0.27</v>
      </c>
      <c r="BT203" s="16">
        <v>0</v>
      </c>
      <c r="BU203" s="16">
        <v>0</v>
      </c>
      <c r="BV203" s="16">
        <v>0</v>
      </c>
      <c r="BW203">
        <v>0</v>
      </c>
    </row>
    <row r="204" spans="1:75" x14ac:dyDescent="0.2">
      <c r="A204">
        <v>1</v>
      </c>
      <c r="B204">
        <v>42.8884325804244</v>
      </c>
      <c r="C204">
        <v>0.24366872005475701</v>
      </c>
      <c r="D204">
        <v>8</v>
      </c>
      <c r="E204">
        <v>75</v>
      </c>
      <c r="F204">
        <v>1.74</v>
      </c>
      <c r="G204">
        <v>24.7720967102656</v>
      </c>
      <c r="H204">
        <v>0</v>
      </c>
      <c r="I204">
        <v>0</v>
      </c>
      <c r="J204" s="19">
        <v>0</v>
      </c>
      <c r="K204" s="19">
        <v>0</v>
      </c>
      <c r="L204" s="19">
        <v>1</v>
      </c>
      <c r="M204" s="19">
        <v>0</v>
      </c>
      <c r="N204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19">
        <v>0</v>
      </c>
      <c r="V204" s="15">
        <f t="shared" si="7"/>
        <v>0</v>
      </c>
      <c r="W204" s="19">
        <v>2</v>
      </c>
      <c r="X204" s="19">
        <v>2</v>
      </c>
      <c r="Y204" s="19">
        <v>2</v>
      </c>
      <c r="Z204" s="19">
        <v>4</v>
      </c>
      <c r="AA204" s="19">
        <v>1</v>
      </c>
      <c r="AB204" s="19">
        <v>3</v>
      </c>
      <c r="AC204" s="19">
        <v>4</v>
      </c>
      <c r="AD204" s="19">
        <v>5</v>
      </c>
      <c r="AE204" s="19">
        <v>3</v>
      </c>
      <c r="AF204" s="19">
        <v>5</v>
      </c>
      <c r="AG204" s="19">
        <v>4</v>
      </c>
      <c r="AH204" s="19"/>
      <c r="AI204" s="19">
        <v>4</v>
      </c>
      <c r="AJ204" s="19">
        <v>4</v>
      </c>
      <c r="AK204" s="19">
        <v>3</v>
      </c>
      <c r="AL204" s="19">
        <v>4</v>
      </c>
      <c r="AM204" s="19">
        <v>4</v>
      </c>
      <c r="AN204" s="19">
        <v>4</v>
      </c>
      <c r="AO204" s="19">
        <v>4</v>
      </c>
      <c r="AP204" s="19">
        <v>9</v>
      </c>
      <c r="AQ204">
        <v>64</v>
      </c>
      <c r="AR204" s="16">
        <v>74.3</v>
      </c>
      <c r="AS204" s="16">
        <v>81</v>
      </c>
      <c r="AT204" s="16">
        <v>58.5</v>
      </c>
      <c r="AU204">
        <v>49.17</v>
      </c>
      <c r="AV204">
        <v>0</v>
      </c>
      <c r="AW204">
        <v>34.450000000000003</v>
      </c>
      <c r="AX204">
        <v>16.22</v>
      </c>
      <c r="AY204">
        <v>0.16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2.52</v>
      </c>
      <c r="BI204">
        <v>9.18</v>
      </c>
      <c r="BJ204">
        <v>0</v>
      </c>
      <c r="BK204">
        <v>0</v>
      </c>
      <c r="BL204">
        <v>0</v>
      </c>
      <c r="BM204">
        <v>0.3</v>
      </c>
      <c r="BN204">
        <v>1</v>
      </c>
      <c r="BO204">
        <v>0</v>
      </c>
      <c r="BP204" s="16">
        <v>2.89</v>
      </c>
      <c r="BQ204" s="16">
        <v>1</v>
      </c>
      <c r="BR204" s="16">
        <v>0</v>
      </c>
      <c r="BS204" s="16">
        <v>0</v>
      </c>
      <c r="BT204" s="16">
        <v>0</v>
      </c>
      <c r="BU204" s="16">
        <v>0</v>
      </c>
      <c r="BV204" s="16">
        <v>0</v>
      </c>
      <c r="BW204">
        <v>0</v>
      </c>
    </row>
    <row r="205" spans="1:75" x14ac:dyDescent="0.2">
      <c r="A205">
        <v>2</v>
      </c>
      <c r="B205">
        <v>40.922655715263502</v>
      </c>
      <c r="C205">
        <v>19.934291581108798</v>
      </c>
      <c r="D205">
        <v>8</v>
      </c>
      <c r="E205">
        <v>107</v>
      </c>
      <c r="F205">
        <v>1.93</v>
      </c>
      <c r="G205">
        <v>28.725603371902601</v>
      </c>
      <c r="H205">
        <v>0</v>
      </c>
      <c r="I205">
        <v>0</v>
      </c>
      <c r="J205" s="19">
        <v>1</v>
      </c>
      <c r="K205" s="19">
        <v>0</v>
      </c>
      <c r="L205" s="19">
        <v>1</v>
      </c>
      <c r="M205" s="19">
        <v>0</v>
      </c>
      <c r="N205">
        <v>0</v>
      </c>
      <c r="O205" s="19">
        <v>0</v>
      </c>
      <c r="P205" s="19">
        <v>0</v>
      </c>
      <c r="Q205" s="19">
        <v>0</v>
      </c>
      <c r="R205" s="19">
        <v>0</v>
      </c>
      <c r="S205" s="19">
        <v>0</v>
      </c>
      <c r="T205" s="19">
        <v>0</v>
      </c>
      <c r="U205" s="19">
        <v>0</v>
      </c>
      <c r="V205" s="15">
        <f t="shared" si="7"/>
        <v>0</v>
      </c>
      <c r="W205" s="19">
        <v>3</v>
      </c>
      <c r="X205" s="19">
        <v>3</v>
      </c>
      <c r="Y205" s="19">
        <v>5</v>
      </c>
      <c r="Z205" s="19">
        <v>5</v>
      </c>
      <c r="AA205" s="19">
        <v>2</v>
      </c>
      <c r="AB205" s="19">
        <v>1</v>
      </c>
      <c r="AC205" s="19">
        <v>3</v>
      </c>
      <c r="AD205" s="19">
        <v>3</v>
      </c>
      <c r="AE205" s="19">
        <v>1</v>
      </c>
      <c r="AF205" s="19">
        <v>1</v>
      </c>
      <c r="AG205" s="19">
        <v>3</v>
      </c>
      <c r="AH205" s="19">
        <v>5</v>
      </c>
      <c r="AI205" s="19">
        <v>1</v>
      </c>
      <c r="AJ205" s="19">
        <v>3</v>
      </c>
      <c r="AK205" s="19">
        <v>5</v>
      </c>
      <c r="AL205" s="19">
        <v>4</v>
      </c>
      <c r="AM205" s="19">
        <v>2</v>
      </c>
      <c r="AN205" s="19">
        <v>3</v>
      </c>
      <c r="AO205" s="19">
        <v>2</v>
      </c>
      <c r="AP205" s="19">
        <v>5</v>
      </c>
      <c r="AQ205">
        <v>70.5</v>
      </c>
      <c r="AR205" s="16">
        <v>88.2</v>
      </c>
      <c r="AS205" s="16">
        <v>80.400000000000006</v>
      </c>
      <c r="AT205" s="16">
        <v>36.299999999999997</v>
      </c>
      <c r="AU205">
        <v>72.69</v>
      </c>
      <c r="AV205" s="17">
        <v>0</v>
      </c>
      <c r="AW205">
        <v>10.32</v>
      </c>
      <c r="AX205">
        <v>16.989999999999998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36.659999999999997</v>
      </c>
      <c r="BH205">
        <v>7.54</v>
      </c>
      <c r="BI205">
        <v>10.32</v>
      </c>
      <c r="BJ205">
        <v>0</v>
      </c>
      <c r="BK205">
        <v>0</v>
      </c>
      <c r="BL205">
        <v>0</v>
      </c>
      <c r="BM205">
        <v>21.2</v>
      </c>
      <c r="BN205">
        <v>1</v>
      </c>
      <c r="BO205">
        <v>0</v>
      </c>
      <c r="BP205" s="16">
        <v>11.58</v>
      </c>
      <c r="BQ205" s="16">
        <v>1</v>
      </c>
      <c r="BR205" s="16">
        <v>0.27</v>
      </c>
      <c r="BS205" s="16">
        <v>0.27</v>
      </c>
      <c r="BT205" s="16">
        <v>0</v>
      </c>
      <c r="BU205" s="16">
        <v>0</v>
      </c>
      <c r="BV205" s="16">
        <v>0</v>
      </c>
      <c r="BW205">
        <v>0</v>
      </c>
    </row>
    <row r="206" spans="1:75" x14ac:dyDescent="0.2">
      <c r="A206">
        <v>2</v>
      </c>
      <c r="B206">
        <v>55.403148528405197</v>
      </c>
      <c r="C206">
        <v>21.1416837782341</v>
      </c>
      <c r="D206">
        <v>8</v>
      </c>
      <c r="E206">
        <v>56</v>
      </c>
      <c r="F206">
        <v>1.73</v>
      </c>
      <c r="G206">
        <v>18.7109492465502</v>
      </c>
      <c r="H206">
        <v>0</v>
      </c>
      <c r="I206">
        <v>0</v>
      </c>
      <c r="J206" s="19">
        <v>1</v>
      </c>
      <c r="K206" s="19">
        <v>0</v>
      </c>
      <c r="L206" s="19">
        <v>1</v>
      </c>
      <c r="M206" s="19">
        <v>0</v>
      </c>
      <c r="N206">
        <v>0</v>
      </c>
      <c r="O206" s="19">
        <v>0</v>
      </c>
      <c r="P206" s="19">
        <v>0</v>
      </c>
      <c r="Q206" s="19">
        <v>0</v>
      </c>
      <c r="R206" s="19">
        <v>6</v>
      </c>
      <c r="S206" s="19">
        <v>0</v>
      </c>
      <c r="T206" s="19">
        <v>0</v>
      </c>
      <c r="U206" s="19">
        <v>0</v>
      </c>
      <c r="V206" s="15">
        <f t="shared" si="7"/>
        <v>0.66666666666666663</v>
      </c>
      <c r="W206" s="19">
        <v>3</v>
      </c>
      <c r="X206" s="19">
        <v>3</v>
      </c>
      <c r="Y206" s="19">
        <v>4</v>
      </c>
      <c r="Z206" s="19">
        <v>5</v>
      </c>
      <c r="AA206" s="19">
        <v>2</v>
      </c>
      <c r="AB206" s="19">
        <v>1</v>
      </c>
      <c r="AC206" s="19">
        <v>3</v>
      </c>
      <c r="AD206" s="19">
        <v>3</v>
      </c>
      <c r="AE206" s="19">
        <v>3</v>
      </c>
      <c r="AF206" s="19">
        <v>4</v>
      </c>
      <c r="AG206" s="19">
        <v>4</v>
      </c>
      <c r="AH206" s="19">
        <v>5</v>
      </c>
      <c r="AI206" s="19">
        <v>4</v>
      </c>
      <c r="AJ206" s="19">
        <v>5</v>
      </c>
      <c r="AK206" s="19">
        <v>5</v>
      </c>
      <c r="AL206" s="19">
        <v>5</v>
      </c>
      <c r="AM206" s="19">
        <v>5</v>
      </c>
      <c r="AN206" s="19">
        <v>5</v>
      </c>
      <c r="AO206" s="19">
        <v>4</v>
      </c>
      <c r="AP206" s="19">
        <v>8</v>
      </c>
      <c r="AQ206">
        <v>70.5</v>
      </c>
      <c r="AR206" s="16">
        <v>88.2</v>
      </c>
      <c r="AS206" s="16">
        <v>80.400000000000006</v>
      </c>
      <c r="AT206" s="16">
        <v>36.299999999999997</v>
      </c>
      <c r="AU206">
        <v>72.69</v>
      </c>
      <c r="AV206" s="17">
        <v>0</v>
      </c>
      <c r="AW206">
        <v>10.32</v>
      </c>
      <c r="AX206">
        <v>16.989999999999998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36.659999999999997</v>
      </c>
      <c r="BH206">
        <v>7.54</v>
      </c>
      <c r="BI206">
        <v>10.32</v>
      </c>
      <c r="BJ206">
        <v>0</v>
      </c>
      <c r="BK206">
        <v>0</v>
      </c>
      <c r="BL206">
        <v>0</v>
      </c>
      <c r="BM206">
        <v>21.2</v>
      </c>
      <c r="BN206">
        <v>1</v>
      </c>
      <c r="BO206">
        <v>0</v>
      </c>
      <c r="BP206" s="16">
        <v>11.58</v>
      </c>
      <c r="BQ206" s="16">
        <v>1</v>
      </c>
      <c r="BR206" s="16">
        <v>0.27</v>
      </c>
      <c r="BS206" s="16">
        <v>0.27</v>
      </c>
      <c r="BT206" s="16">
        <v>0</v>
      </c>
      <c r="BU206" s="16">
        <v>0</v>
      </c>
      <c r="BV206" s="16">
        <v>0</v>
      </c>
      <c r="BW206">
        <v>0</v>
      </c>
    </row>
    <row r="207" spans="1:75" x14ac:dyDescent="0.2">
      <c r="A207">
        <v>2</v>
      </c>
      <c r="B207">
        <v>24.731006160164299</v>
      </c>
      <c r="C207">
        <v>0.23271731690622899</v>
      </c>
      <c r="D207">
        <v>8</v>
      </c>
      <c r="E207">
        <v>80</v>
      </c>
      <c r="F207">
        <v>1.8</v>
      </c>
      <c r="G207">
        <v>24.6913580246914</v>
      </c>
      <c r="H207">
        <v>0</v>
      </c>
      <c r="I207">
        <v>0</v>
      </c>
      <c r="J207" s="19">
        <v>0</v>
      </c>
      <c r="K207" s="19">
        <v>2</v>
      </c>
      <c r="L207" s="19">
        <v>0</v>
      </c>
      <c r="M207" s="19">
        <v>0</v>
      </c>
      <c r="N207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5">
        <f t="shared" si="7"/>
        <v>0</v>
      </c>
      <c r="W207" s="19">
        <v>3</v>
      </c>
      <c r="X207" s="19">
        <v>2</v>
      </c>
      <c r="Y207" s="19">
        <v>4</v>
      </c>
      <c r="Z207" s="19">
        <v>5</v>
      </c>
      <c r="AA207" s="19">
        <v>3</v>
      </c>
      <c r="AB207" s="19">
        <v>3</v>
      </c>
      <c r="AC207" s="19">
        <v>4</v>
      </c>
      <c r="AD207" s="19">
        <v>5</v>
      </c>
      <c r="AE207" s="19">
        <v>3</v>
      </c>
      <c r="AF207" s="19">
        <v>5</v>
      </c>
      <c r="AG207" s="19">
        <v>5</v>
      </c>
      <c r="AH207" s="19">
        <v>5</v>
      </c>
      <c r="AI207" s="19">
        <v>5</v>
      </c>
      <c r="AJ207" s="19">
        <v>5</v>
      </c>
      <c r="AK207" s="19">
        <v>5</v>
      </c>
      <c r="AL207" s="19">
        <v>5</v>
      </c>
      <c r="AM207" s="19">
        <v>5</v>
      </c>
      <c r="AN207" s="19">
        <v>5</v>
      </c>
      <c r="AO207" s="19">
        <v>5</v>
      </c>
      <c r="AP207" s="19">
        <v>9</v>
      </c>
      <c r="AQ207">
        <v>70.5</v>
      </c>
      <c r="AR207" s="16">
        <v>88.2</v>
      </c>
      <c r="AS207" s="16">
        <v>80.400000000000006</v>
      </c>
      <c r="AT207" s="16">
        <v>36.299999999999997</v>
      </c>
      <c r="AU207">
        <v>72.69</v>
      </c>
      <c r="AV207" s="17">
        <v>0</v>
      </c>
      <c r="AW207">
        <v>10.32</v>
      </c>
      <c r="AX207">
        <v>16.989999999999998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36.659999999999997</v>
      </c>
      <c r="BH207">
        <v>7.54</v>
      </c>
      <c r="BI207">
        <v>10.32</v>
      </c>
      <c r="BJ207">
        <v>0</v>
      </c>
      <c r="BK207">
        <v>0</v>
      </c>
      <c r="BL207">
        <v>0</v>
      </c>
      <c r="BM207">
        <v>21.2</v>
      </c>
      <c r="BN207">
        <v>1</v>
      </c>
      <c r="BO207">
        <v>0</v>
      </c>
      <c r="BP207" s="16">
        <v>11.58</v>
      </c>
      <c r="BQ207" s="16">
        <v>1</v>
      </c>
      <c r="BR207" s="16">
        <v>0.27</v>
      </c>
      <c r="BS207" s="16">
        <v>0.27</v>
      </c>
      <c r="BT207" s="16">
        <v>0</v>
      </c>
      <c r="BU207" s="16">
        <v>0</v>
      </c>
      <c r="BV207" s="16">
        <v>0</v>
      </c>
      <c r="BW207">
        <v>0</v>
      </c>
    </row>
    <row r="208" spans="1:75" x14ac:dyDescent="0.2">
      <c r="A208">
        <v>2</v>
      </c>
      <c r="B208">
        <v>46.250513347022597</v>
      </c>
      <c r="C208">
        <v>22.548939082819999</v>
      </c>
      <c r="D208">
        <v>8</v>
      </c>
      <c r="E208">
        <v>70</v>
      </c>
      <c r="F208">
        <v>1.8</v>
      </c>
      <c r="G208">
        <v>21.604938271604901</v>
      </c>
      <c r="H208">
        <v>0</v>
      </c>
      <c r="I208">
        <v>0</v>
      </c>
      <c r="J208" s="19">
        <v>0</v>
      </c>
      <c r="K208" s="19">
        <v>2</v>
      </c>
      <c r="L208" s="19">
        <v>1</v>
      </c>
      <c r="M208" s="19">
        <v>0</v>
      </c>
      <c r="N208">
        <v>0</v>
      </c>
      <c r="O208" s="19">
        <v>0</v>
      </c>
      <c r="P208" s="19">
        <v>0</v>
      </c>
      <c r="Q208" s="19">
        <v>0</v>
      </c>
      <c r="R208" s="19">
        <v>0</v>
      </c>
      <c r="S208" s="19">
        <v>0</v>
      </c>
      <c r="T208" s="19">
        <v>0</v>
      </c>
      <c r="U208" s="19">
        <v>0</v>
      </c>
      <c r="V208" s="15">
        <f t="shared" si="7"/>
        <v>0</v>
      </c>
      <c r="W208" s="19">
        <v>4</v>
      </c>
      <c r="X208" s="19">
        <v>3</v>
      </c>
      <c r="Y208" s="19">
        <v>4</v>
      </c>
      <c r="Z208" s="19">
        <v>4</v>
      </c>
      <c r="AA208" s="19">
        <v>3</v>
      </c>
      <c r="AB208" s="19">
        <v>3</v>
      </c>
      <c r="AC208" s="19">
        <v>1</v>
      </c>
      <c r="AD208" s="19">
        <v>3</v>
      </c>
      <c r="AE208" s="19">
        <v>4</v>
      </c>
      <c r="AF208" s="19">
        <v>3</v>
      </c>
      <c r="AG208" s="19">
        <v>3</v>
      </c>
      <c r="AH208" s="19">
        <v>5</v>
      </c>
      <c r="AI208" s="19">
        <v>3</v>
      </c>
      <c r="AJ208" s="19">
        <v>3</v>
      </c>
      <c r="AK208" s="19">
        <v>4</v>
      </c>
      <c r="AL208" s="19">
        <v>5</v>
      </c>
      <c r="AM208" s="19">
        <v>3</v>
      </c>
      <c r="AN208" s="19">
        <v>4</v>
      </c>
      <c r="AO208" s="19">
        <v>3</v>
      </c>
      <c r="AP208" s="19">
        <v>9</v>
      </c>
      <c r="AQ208">
        <v>70.5</v>
      </c>
      <c r="AR208" s="16">
        <v>88.2</v>
      </c>
      <c r="AS208" s="16">
        <v>80.400000000000006</v>
      </c>
      <c r="AT208" s="16">
        <v>36.299999999999997</v>
      </c>
      <c r="AU208">
        <v>72.69</v>
      </c>
      <c r="AV208" s="17">
        <v>0</v>
      </c>
      <c r="AW208">
        <v>10.32</v>
      </c>
      <c r="AX208">
        <v>16.989999999999998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36.659999999999997</v>
      </c>
      <c r="BH208">
        <v>7.54</v>
      </c>
      <c r="BI208">
        <v>10.32</v>
      </c>
      <c r="BJ208">
        <v>0</v>
      </c>
      <c r="BK208">
        <v>0</v>
      </c>
      <c r="BL208">
        <v>0</v>
      </c>
      <c r="BM208">
        <v>21.2</v>
      </c>
      <c r="BN208">
        <v>1</v>
      </c>
      <c r="BO208">
        <v>0</v>
      </c>
      <c r="BP208" s="16">
        <v>11.58</v>
      </c>
      <c r="BQ208" s="16">
        <v>1</v>
      </c>
      <c r="BR208" s="16">
        <v>0.27</v>
      </c>
      <c r="BS208" s="16">
        <v>0.27</v>
      </c>
      <c r="BT208" s="16">
        <v>0</v>
      </c>
      <c r="BU208" s="16">
        <v>0</v>
      </c>
      <c r="BV208" s="16">
        <v>0</v>
      </c>
      <c r="BW208">
        <v>0</v>
      </c>
    </row>
    <row r="209" spans="1:75" x14ac:dyDescent="0.2">
      <c r="A209">
        <v>2</v>
      </c>
      <c r="B209">
        <v>21.0212183436003</v>
      </c>
      <c r="C209">
        <v>0.21355236139630401</v>
      </c>
      <c r="D209">
        <v>8</v>
      </c>
      <c r="E209">
        <v>105</v>
      </c>
      <c r="F209">
        <v>1.86</v>
      </c>
      <c r="G209">
        <v>30.350329517863301</v>
      </c>
      <c r="H209">
        <v>0</v>
      </c>
      <c r="I209">
        <v>0</v>
      </c>
      <c r="J209" s="19">
        <v>0</v>
      </c>
      <c r="K209" s="19">
        <v>0</v>
      </c>
      <c r="L209" s="19">
        <v>1</v>
      </c>
      <c r="M209" s="19">
        <v>0</v>
      </c>
      <c r="N209">
        <v>0</v>
      </c>
      <c r="O209" s="19">
        <v>0</v>
      </c>
      <c r="P209" s="19">
        <v>0</v>
      </c>
      <c r="Q209" s="19">
        <v>0</v>
      </c>
      <c r="R209" s="19">
        <v>0</v>
      </c>
      <c r="S209" s="19">
        <v>0</v>
      </c>
      <c r="T209" s="19">
        <v>0</v>
      </c>
      <c r="U209" s="19">
        <v>0</v>
      </c>
      <c r="V209" s="15">
        <f t="shared" si="7"/>
        <v>0</v>
      </c>
      <c r="W209" s="19">
        <v>2</v>
      </c>
      <c r="X209" s="19">
        <v>3</v>
      </c>
      <c r="Y209" s="19">
        <v>3</v>
      </c>
      <c r="Z209" s="19">
        <v>4</v>
      </c>
      <c r="AA209" s="19">
        <v>2</v>
      </c>
      <c r="AB209" s="19">
        <v>1</v>
      </c>
      <c r="AC209" s="19">
        <v>4</v>
      </c>
      <c r="AD209" s="19">
        <v>3</v>
      </c>
      <c r="AE209" s="19">
        <v>4</v>
      </c>
      <c r="AF209" s="19">
        <v>1</v>
      </c>
      <c r="AG209" s="19">
        <v>4</v>
      </c>
      <c r="AH209" s="19">
        <v>4</v>
      </c>
      <c r="AI209" s="19">
        <v>5</v>
      </c>
      <c r="AJ209" s="19">
        <v>4</v>
      </c>
      <c r="AK209" s="19">
        <v>4</v>
      </c>
      <c r="AL209" s="19">
        <v>4</v>
      </c>
      <c r="AM209" s="19">
        <v>5</v>
      </c>
      <c r="AN209" s="19">
        <v>5</v>
      </c>
      <c r="AO209" s="19">
        <v>5</v>
      </c>
      <c r="AP209" s="19">
        <v>9</v>
      </c>
      <c r="AQ209">
        <v>70.5</v>
      </c>
      <c r="AR209" s="16">
        <v>88.2</v>
      </c>
      <c r="AS209" s="16">
        <v>80.400000000000006</v>
      </c>
      <c r="AT209" s="16">
        <v>36.299999999999997</v>
      </c>
      <c r="AU209">
        <v>72.69</v>
      </c>
      <c r="AV209" s="17">
        <v>0</v>
      </c>
      <c r="AW209">
        <v>10.32</v>
      </c>
      <c r="AX209">
        <v>16.989999999999998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36.659999999999997</v>
      </c>
      <c r="BH209">
        <v>7.54</v>
      </c>
      <c r="BI209">
        <v>10.32</v>
      </c>
      <c r="BJ209">
        <v>0</v>
      </c>
      <c r="BK209">
        <v>0</v>
      </c>
      <c r="BL209">
        <v>0</v>
      </c>
      <c r="BM209">
        <v>21.2</v>
      </c>
      <c r="BN209">
        <v>1</v>
      </c>
      <c r="BO209">
        <v>0</v>
      </c>
      <c r="BP209" s="16">
        <v>11.58</v>
      </c>
      <c r="BQ209" s="16">
        <v>1</v>
      </c>
      <c r="BR209" s="16">
        <v>0.27</v>
      </c>
      <c r="BS209" s="16">
        <v>0.27</v>
      </c>
      <c r="BT209" s="16">
        <v>0</v>
      </c>
      <c r="BU209" s="16">
        <v>0</v>
      </c>
      <c r="BV209" s="16">
        <v>0</v>
      </c>
      <c r="BW209">
        <v>0</v>
      </c>
    </row>
    <row r="210" spans="1:75" x14ac:dyDescent="0.2">
      <c r="A210">
        <v>2</v>
      </c>
      <c r="B210">
        <v>44.840520191649603</v>
      </c>
      <c r="C210">
        <v>21.754962354551701</v>
      </c>
      <c r="D210">
        <v>8</v>
      </c>
      <c r="E210">
        <v>83</v>
      </c>
      <c r="F210">
        <v>1.81</v>
      </c>
      <c r="G210">
        <v>25.335001984066398</v>
      </c>
      <c r="H210">
        <v>0</v>
      </c>
      <c r="I210">
        <v>0</v>
      </c>
      <c r="J210" s="19">
        <v>0</v>
      </c>
      <c r="K210" s="19">
        <v>1</v>
      </c>
      <c r="L210" s="19">
        <v>0</v>
      </c>
      <c r="M210" s="19">
        <v>0</v>
      </c>
      <c r="N210">
        <v>0</v>
      </c>
      <c r="O210" s="19">
        <v>0</v>
      </c>
      <c r="P210" s="19">
        <v>0</v>
      </c>
      <c r="Q210" s="19">
        <v>0</v>
      </c>
      <c r="R210" s="19">
        <v>2</v>
      </c>
      <c r="S210" s="19">
        <v>0</v>
      </c>
      <c r="T210" s="19">
        <v>0</v>
      </c>
      <c r="U210" s="19">
        <v>0</v>
      </c>
      <c r="V210" s="15">
        <f t="shared" si="7"/>
        <v>0.22222222222222221</v>
      </c>
      <c r="W210" s="19">
        <v>2</v>
      </c>
      <c r="X210" s="19">
        <v>2</v>
      </c>
      <c r="Y210" s="19">
        <v>3</v>
      </c>
      <c r="Z210" s="19">
        <v>5</v>
      </c>
      <c r="AA210" s="19">
        <v>2</v>
      </c>
      <c r="AB210" s="19">
        <v>3</v>
      </c>
      <c r="AC210" s="19">
        <v>4</v>
      </c>
      <c r="AD210" s="19">
        <v>5</v>
      </c>
      <c r="AE210" s="19">
        <v>5</v>
      </c>
      <c r="AF210" s="19"/>
      <c r="AG210" s="19">
        <v>4</v>
      </c>
      <c r="AH210" s="19">
        <v>5</v>
      </c>
      <c r="AI210" s="19">
        <v>5</v>
      </c>
      <c r="AJ210" s="19">
        <v>5</v>
      </c>
      <c r="AK210" s="19">
        <v>5</v>
      </c>
      <c r="AL210" s="19">
        <v>5</v>
      </c>
      <c r="AM210" s="19">
        <v>5</v>
      </c>
      <c r="AN210" s="19">
        <v>5</v>
      </c>
      <c r="AO210" s="19">
        <v>5</v>
      </c>
      <c r="AP210" s="19">
        <v>10</v>
      </c>
      <c r="AQ210">
        <v>70.5</v>
      </c>
      <c r="AR210" s="16">
        <v>88.2</v>
      </c>
      <c r="AS210" s="16">
        <v>80.400000000000006</v>
      </c>
      <c r="AT210" s="16">
        <v>36.299999999999997</v>
      </c>
      <c r="AU210">
        <v>72.69</v>
      </c>
      <c r="AV210" s="17">
        <v>0</v>
      </c>
      <c r="AW210">
        <v>10.32</v>
      </c>
      <c r="AX210">
        <v>16.989999999999998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36.659999999999997</v>
      </c>
      <c r="BH210">
        <v>7.54</v>
      </c>
      <c r="BI210">
        <v>10.32</v>
      </c>
      <c r="BJ210">
        <v>0</v>
      </c>
      <c r="BK210">
        <v>0</v>
      </c>
      <c r="BL210">
        <v>0</v>
      </c>
      <c r="BM210">
        <v>21.2</v>
      </c>
      <c r="BN210">
        <v>1</v>
      </c>
      <c r="BO210">
        <v>0</v>
      </c>
      <c r="BP210" s="16">
        <v>11.58</v>
      </c>
      <c r="BQ210" s="16">
        <v>1</v>
      </c>
      <c r="BR210" s="16">
        <v>0.27</v>
      </c>
      <c r="BS210" s="16">
        <v>0.27</v>
      </c>
      <c r="BT210" s="16">
        <v>0</v>
      </c>
      <c r="BU210" s="16">
        <v>0</v>
      </c>
      <c r="BV210" s="16">
        <v>0</v>
      </c>
      <c r="BW210">
        <v>0</v>
      </c>
    </row>
    <row r="211" spans="1:75" x14ac:dyDescent="0.2">
      <c r="A211">
        <v>2</v>
      </c>
      <c r="B211">
        <v>46.381930184804901</v>
      </c>
      <c r="C211">
        <v>22.548939082819999</v>
      </c>
      <c r="D211">
        <v>8</v>
      </c>
      <c r="E211">
        <v>55</v>
      </c>
      <c r="F211">
        <v>1.7</v>
      </c>
      <c r="G211">
        <v>19.031141868512101</v>
      </c>
      <c r="H211">
        <v>0</v>
      </c>
      <c r="I211">
        <v>0</v>
      </c>
      <c r="J211" s="19">
        <v>1</v>
      </c>
      <c r="K211" s="19">
        <v>0</v>
      </c>
      <c r="L211" s="19">
        <v>1</v>
      </c>
      <c r="M211" s="19">
        <v>0</v>
      </c>
      <c r="N211">
        <v>0</v>
      </c>
      <c r="O211" s="19">
        <v>0</v>
      </c>
      <c r="P211" s="19">
        <v>0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5">
        <f t="shared" si="7"/>
        <v>0</v>
      </c>
      <c r="W211" s="19">
        <v>1</v>
      </c>
      <c r="X211" s="19">
        <v>2</v>
      </c>
      <c r="Y211" s="19"/>
      <c r="Z211" s="19">
        <v>5</v>
      </c>
      <c r="AA211" s="19">
        <v>4</v>
      </c>
      <c r="AB211" s="19">
        <v>2</v>
      </c>
      <c r="AC211" s="19">
        <v>3</v>
      </c>
      <c r="AD211" s="19">
        <v>3</v>
      </c>
      <c r="AE211" s="19">
        <v>4</v>
      </c>
      <c r="AF211" s="19">
        <v>4</v>
      </c>
      <c r="AG211" s="19">
        <v>5</v>
      </c>
      <c r="AH211" s="19">
        <v>5</v>
      </c>
      <c r="AI211" s="19">
        <v>1</v>
      </c>
      <c r="AJ211" s="19">
        <v>5</v>
      </c>
      <c r="AK211" s="19">
        <v>5</v>
      </c>
      <c r="AL211" s="19">
        <v>4</v>
      </c>
      <c r="AM211" s="19">
        <v>5</v>
      </c>
      <c r="AN211" s="19">
        <v>5</v>
      </c>
      <c r="AO211" s="19">
        <v>4</v>
      </c>
      <c r="AP211" s="19">
        <v>8</v>
      </c>
      <c r="AQ211">
        <v>70.5</v>
      </c>
      <c r="AR211" s="16">
        <v>88.2</v>
      </c>
      <c r="AS211" s="16">
        <v>80.400000000000006</v>
      </c>
      <c r="AT211" s="16">
        <v>36.299999999999997</v>
      </c>
      <c r="AU211">
        <v>72.69</v>
      </c>
      <c r="AV211" s="17">
        <v>0</v>
      </c>
      <c r="AW211">
        <v>10.32</v>
      </c>
      <c r="AX211">
        <v>16.989999999999998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36.659999999999997</v>
      </c>
      <c r="BH211">
        <v>7.54</v>
      </c>
      <c r="BI211">
        <v>10.32</v>
      </c>
      <c r="BJ211">
        <v>0</v>
      </c>
      <c r="BK211">
        <v>0</v>
      </c>
      <c r="BL211">
        <v>0</v>
      </c>
      <c r="BM211">
        <v>21.2</v>
      </c>
      <c r="BN211">
        <v>1</v>
      </c>
      <c r="BO211">
        <v>0</v>
      </c>
      <c r="BP211" s="16">
        <v>11.58</v>
      </c>
      <c r="BQ211" s="16">
        <v>1</v>
      </c>
      <c r="BR211" s="16">
        <v>0.27</v>
      </c>
      <c r="BS211" s="16">
        <v>0.27</v>
      </c>
      <c r="BT211" s="16">
        <v>0</v>
      </c>
      <c r="BU211" s="16">
        <v>0</v>
      </c>
      <c r="BV211" s="16">
        <v>0</v>
      </c>
      <c r="BW211">
        <v>0</v>
      </c>
    </row>
    <row r="212" spans="1:75" x14ac:dyDescent="0.2">
      <c r="A212">
        <v>1</v>
      </c>
      <c r="B212">
        <v>34.461327857631801</v>
      </c>
      <c r="C212">
        <v>0.31759069130732398</v>
      </c>
      <c r="D212">
        <v>8</v>
      </c>
      <c r="E212">
        <v>86</v>
      </c>
      <c r="F212">
        <v>1.73</v>
      </c>
      <c r="G212">
        <v>28.734672057202001</v>
      </c>
      <c r="H212">
        <v>0</v>
      </c>
      <c r="I212">
        <v>0</v>
      </c>
      <c r="J212" s="19">
        <v>1</v>
      </c>
      <c r="K212" s="19">
        <v>0</v>
      </c>
      <c r="L212" s="19">
        <v>0</v>
      </c>
      <c r="M212" s="19">
        <v>4</v>
      </c>
      <c r="N212">
        <v>0</v>
      </c>
      <c r="O212" s="19">
        <v>0</v>
      </c>
      <c r="P212" s="19">
        <v>0</v>
      </c>
      <c r="Q212" s="19">
        <v>0</v>
      </c>
      <c r="R212" s="19">
        <v>7</v>
      </c>
      <c r="S212" s="19">
        <v>0</v>
      </c>
      <c r="T212" s="19">
        <v>0</v>
      </c>
      <c r="U212" s="19">
        <v>4</v>
      </c>
      <c r="V212" s="15">
        <f t="shared" si="7"/>
        <v>1.6666666666666667</v>
      </c>
      <c r="W212" s="19">
        <v>3</v>
      </c>
      <c r="X212" s="19">
        <v>2</v>
      </c>
      <c r="Y212" s="19">
        <v>4</v>
      </c>
      <c r="Z212" s="19">
        <v>5</v>
      </c>
      <c r="AA212" s="19">
        <v>1</v>
      </c>
      <c r="AB212" s="19">
        <v>1</v>
      </c>
      <c r="AC212" s="19">
        <v>1</v>
      </c>
      <c r="AD212" s="19">
        <v>3</v>
      </c>
      <c r="AE212" s="19">
        <v>2</v>
      </c>
      <c r="AF212" s="19">
        <v>3</v>
      </c>
      <c r="AG212" s="19">
        <v>3</v>
      </c>
      <c r="AH212" s="19">
        <v>4</v>
      </c>
      <c r="AI212" s="19">
        <v>3</v>
      </c>
      <c r="AJ212" s="19">
        <v>4</v>
      </c>
      <c r="AK212" s="19">
        <v>4</v>
      </c>
      <c r="AL212" s="19">
        <v>4</v>
      </c>
      <c r="AM212" s="19">
        <v>3</v>
      </c>
      <c r="AN212" s="19">
        <v>4</v>
      </c>
      <c r="AO212" s="19">
        <v>3</v>
      </c>
      <c r="AP212" s="19">
        <v>8</v>
      </c>
      <c r="AQ212">
        <v>70.5</v>
      </c>
      <c r="AR212" s="16">
        <v>88.2</v>
      </c>
      <c r="AS212" s="16">
        <v>80.400000000000006</v>
      </c>
      <c r="AT212" s="16">
        <v>36.299999999999997</v>
      </c>
      <c r="AU212">
        <v>72.69</v>
      </c>
      <c r="AV212" s="17">
        <v>0</v>
      </c>
      <c r="AW212">
        <v>10.32</v>
      </c>
      <c r="AX212">
        <v>16.989999999999998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36.659999999999997</v>
      </c>
      <c r="BH212">
        <v>7.54</v>
      </c>
      <c r="BI212">
        <v>10.32</v>
      </c>
      <c r="BJ212">
        <v>0</v>
      </c>
      <c r="BK212">
        <v>0</v>
      </c>
      <c r="BL212">
        <v>0</v>
      </c>
      <c r="BM212">
        <v>21.2</v>
      </c>
      <c r="BN212">
        <v>1</v>
      </c>
      <c r="BO212">
        <v>0</v>
      </c>
      <c r="BP212" s="16">
        <v>11.58</v>
      </c>
      <c r="BQ212" s="16">
        <v>1</v>
      </c>
      <c r="BR212" s="16">
        <v>0.27</v>
      </c>
      <c r="BS212" s="16">
        <v>0.27</v>
      </c>
      <c r="BT212" s="16">
        <v>0</v>
      </c>
      <c r="BU212" s="16">
        <v>0</v>
      </c>
      <c r="BV212" s="16">
        <v>0</v>
      </c>
      <c r="BW212">
        <v>0</v>
      </c>
    </row>
    <row r="213" spans="1:75" x14ac:dyDescent="0.2">
      <c r="A213" s="24">
        <v>2</v>
      </c>
      <c r="B213">
        <v>32.287474332648898</v>
      </c>
      <c r="C213">
        <v>6.5516769336071201</v>
      </c>
      <c r="D213">
        <v>8</v>
      </c>
      <c r="E213">
        <v>78</v>
      </c>
      <c r="F213">
        <v>1.82</v>
      </c>
      <c r="G213">
        <v>23.547880690737799</v>
      </c>
      <c r="H213">
        <v>0</v>
      </c>
      <c r="I213">
        <v>0</v>
      </c>
      <c r="J213" s="26">
        <v>0</v>
      </c>
      <c r="K213" s="26">
        <v>2</v>
      </c>
      <c r="L213" s="26">
        <v>1</v>
      </c>
      <c r="M213" s="26">
        <v>0</v>
      </c>
      <c r="N213">
        <v>0</v>
      </c>
      <c r="O213" s="26">
        <v>0</v>
      </c>
      <c r="P213" s="26">
        <v>0</v>
      </c>
      <c r="Q213" s="26">
        <v>0</v>
      </c>
      <c r="R213" s="26">
        <v>0</v>
      </c>
      <c r="S213" s="26">
        <v>0</v>
      </c>
      <c r="T213" s="26">
        <v>0</v>
      </c>
      <c r="U213" s="26">
        <v>0</v>
      </c>
      <c r="V213" s="15">
        <f t="shared" si="7"/>
        <v>0</v>
      </c>
      <c r="W213" s="26">
        <v>4</v>
      </c>
      <c r="X213" s="26">
        <v>3</v>
      </c>
      <c r="Y213" s="26">
        <v>3</v>
      </c>
      <c r="Z213" s="26">
        <v>5</v>
      </c>
      <c r="AA213" s="26">
        <v>4</v>
      </c>
      <c r="AB213" s="26">
        <v>2</v>
      </c>
      <c r="AC213" s="26">
        <v>5</v>
      </c>
      <c r="AD213" s="26">
        <v>5</v>
      </c>
      <c r="AE213" s="26">
        <v>5</v>
      </c>
      <c r="AF213" s="26">
        <v>2</v>
      </c>
      <c r="AG213" s="26">
        <v>2</v>
      </c>
      <c r="AH213" s="26">
        <v>5</v>
      </c>
      <c r="AI213" s="26">
        <v>5</v>
      </c>
      <c r="AJ213" s="26">
        <v>5</v>
      </c>
      <c r="AK213" s="26">
        <v>5</v>
      </c>
      <c r="AL213" s="26">
        <v>5</v>
      </c>
      <c r="AM213" s="26">
        <v>5</v>
      </c>
      <c r="AN213" s="26">
        <v>5</v>
      </c>
      <c r="AO213" s="26">
        <v>5</v>
      </c>
      <c r="AP213" s="26">
        <v>9</v>
      </c>
      <c r="AQ213" s="24">
        <v>70</v>
      </c>
      <c r="AR213" s="27">
        <v>79.8</v>
      </c>
      <c r="AS213" s="27">
        <v>80.400000000000006</v>
      </c>
      <c r="AT213" s="27">
        <v>62.1</v>
      </c>
      <c r="AU213" s="24">
        <v>39.51</v>
      </c>
      <c r="AV213" s="29">
        <v>0</v>
      </c>
      <c r="AW213" s="24">
        <v>47.45</v>
      </c>
      <c r="AX213" s="24">
        <v>13.05</v>
      </c>
      <c r="AY213" s="24">
        <v>0</v>
      </c>
      <c r="AZ213" s="24">
        <v>0</v>
      </c>
      <c r="BA213" s="24">
        <v>0</v>
      </c>
      <c r="BB213" s="24">
        <v>0</v>
      </c>
      <c r="BC213" s="24">
        <v>0</v>
      </c>
      <c r="BD213" s="24">
        <v>0</v>
      </c>
      <c r="BE213" s="24">
        <v>0</v>
      </c>
      <c r="BF213" s="24">
        <v>0</v>
      </c>
      <c r="BG213" s="24">
        <v>0</v>
      </c>
      <c r="BH213" s="24">
        <v>30.76</v>
      </c>
      <c r="BI213" s="24">
        <v>14.19</v>
      </c>
      <c r="BJ213" s="24">
        <v>0</v>
      </c>
      <c r="BK213" s="24">
        <v>0</v>
      </c>
      <c r="BL213" s="24">
        <v>0</v>
      </c>
      <c r="BM213" s="24">
        <v>0.3</v>
      </c>
      <c r="BN213" s="24">
        <v>1</v>
      </c>
      <c r="BO213" s="24">
        <v>0</v>
      </c>
      <c r="BP213" s="27">
        <v>0.63</v>
      </c>
      <c r="BQ213" s="27">
        <v>1</v>
      </c>
      <c r="BR213" s="27">
        <v>3.55</v>
      </c>
      <c r="BS213" s="27">
        <v>4.46</v>
      </c>
      <c r="BT213" s="27">
        <v>0</v>
      </c>
      <c r="BU213" s="27">
        <v>0</v>
      </c>
      <c r="BV213" s="27">
        <v>0</v>
      </c>
      <c r="BW213" s="24">
        <v>0</v>
      </c>
    </row>
    <row r="214" spans="1:75" x14ac:dyDescent="0.2">
      <c r="A214">
        <v>2</v>
      </c>
      <c r="B214">
        <v>25.429158110883002</v>
      </c>
      <c r="C214">
        <v>0.23819301848049301</v>
      </c>
      <c r="D214">
        <v>8</v>
      </c>
      <c r="E214">
        <v>78</v>
      </c>
      <c r="F214">
        <v>1.7</v>
      </c>
      <c r="G214">
        <v>26.989619377162601</v>
      </c>
      <c r="H214">
        <v>0</v>
      </c>
      <c r="I214">
        <v>0</v>
      </c>
      <c r="J214" s="19">
        <v>0</v>
      </c>
      <c r="K214" s="19">
        <v>1</v>
      </c>
      <c r="L214" s="19">
        <v>0</v>
      </c>
      <c r="M214" s="19">
        <v>0</v>
      </c>
      <c r="N214">
        <v>0</v>
      </c>
      <c r="O214" s="19">
        <v>0</v>
      </c>
      <c r="P214" s="19">
        <v>0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5">
        <f t="shared" si="7"/>
        <v>0</v>
      </c>
      <c r="W214" s="19">
        <v>2</v>
      </c>
      <c r="X214" s="19">
        <v>2</v>
      </c>
      <c r="Y214" s="19">
        <v>3</v>
      </c>
      <c r="Z214" s="19">
        <v>3</v>
      </c>
      <c r="AA214" s="19">
        <v>3</v>
      </c>
      <c r="AB214" s="19">
        <v>3</v>
      </c>
      <c r="AC214" s="19">
        <v>3</v>
      </c>
      <c r="AD214" s="19">
        <v>4</v>
      </c>
      <c r="AE214" s="19">
        <v>4</v>
      </c>
      <c r="AF214" s="19">
        <v>4</v>
      </c>
      <c r="AG214" s="19">
        <v>4</v>
      </c>
      <c r="AH214" s="19">
        <v>4</v>
      </c>
      <c r="AI214" s="19">
        <v>4</v>
      </c>
      <c r="AJ214" s="19">
        <v>4</v>
      </c>
      <c r="AK214" s="19">
        <v>4</v>
      </c>
      <c r="AL214" s="19">
        <v>4</v>
      </c>
      <c r="AM214" s="19">
        <v>4</v>
      </c>
      <c r="AN214" s="19">
        <v>4</v>
      </c>
      <c r="AO214" s="19">
        <v>4</v>
      </c>
      <c r="AP214" s="19">
        <v>7</v>
      </c>
      <c r="AQ214">
        <v>37.5</v>
      </c>
      <c r="AR214" s="16">
        <v>87.4</v>
      </c>
      <c r="AS214" s="16">
        <v>80.400000000000006</v>
      </c>
      <c r="AT214" s="16">
        <v>18.5</v>
      </c>
      <c r="AU214">
        <v>84.21</v>
      </c>
      <c r="AV214" s="17">
        <v>0</v>
      </c>
      <c r="AW214">
        <v>0</v>
      </c>
      <c r="AX214">
        <v>0</v>
      </c>
      <c r="AY214">
        <v>15.79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26.71</v>
      </c>
      <c r="BG214">
        <v>13.13</v>
      </c>
      <c r="BH214">
        <v>49.12</v>
      </c>
      <c r="BI214">
        <v>14.67</v>
      </c>
      <c r="BJ214">
        <v>0</v>
      </c>
      <c r="BK214">
        <v>0</v>
      </c>
      <c r="BL214">
        <v>0</v>
      </c>
      <c r="BM214">
        <v>1.1000000000000001</v>
      </c>
      <c r="BN214">
        <v>1</v>
      </c>
      <c r="BO214">
        <v>0</v>
      </c>
      <c r="BP214" s="16">
        <v>4.3</v>
      </c>
      <c r="BQ214" s="16">
        <v>1</v>
      </c>
      <c r="BR214" s="16">
        <v>10.31</v>
      </c>
      <c r="BS214" s="16">
        <v>34.85</v>
      </c>
      <c r="BT214" s="16">
        <v>0</v>
      </c>
      <c r="BU214" s="16">
        <v>0</v>
      </c>
      <c r="BV214" s="16">
        <v>0</v>
      </c>
      <c r="BW214">
        <v>0</v>
      </c>
    </row>
    <row r="215" spans="1:75" x14ac:dyDescent="0.2">
      <c r="A215">
        <v>1</v>
      </c>
      <c r="B215">
        <v>20.9089664613279</v>
      </c>
      <c r="C215">
        <v>0.284736481861739</v>
      </c>
      <c r="D215">
        <v>8</v>
      </c>
      <c r="E215">
        <v>57</v>
      </c>
      <c r="F215">
        <v>1.57</v>
      </c>
      <c r="G215">
        <v>23.1246703720232</v>
      </c>
      <c r="H215">
        <v>0</v>
      </c>
      <c r="I215">
        <v>0</v>
      </c>
      <c r="J215" s="19">
        <v>0</v>
      </c>
      <c r="K215" s="19">
        <v>0</v>
      </c>
      <c r="L215" s="19">
        <v>0</v>
      </c>
      <c r="M215" s="19">
        <v>0</v>
      </c>
      <c r="N215">
        <v>0</v>
      </c>
      <c r="O215" s="19">
        <v>0</v>
      </c>
      <c r="P215" s="19">
        <v>0</v>
      </c>
      <c r="Q215" s="19">
        <v>0</v>
      </c>
      <c r="R215" s="19">
        <v>0</v>
      </c>
      <c r="S215" s="19">
        <v>0</v>
      </c>
      <c r="T215" s="19">
        <v>0</v>
      </c>
      <c r="U215" s="26">
        <v>0</v>
      </c>
      <c r="V215" s="15">
        <f t="shared" si="7"/>
        <v>0</v>
      </c>
      <c r="W215" s="19">
        <v>2</v>
      </c>
      <c r="X215" s="19">
        <v>2</v>
      </c>
      <c r="Y215" s="19">
        <v>2</v>
      </c>
      <c r="Z215" s="19">
        <v>3</v>
      </c>
      <c r="AA215" s="19">
        <v>2</v>
      </c>
      <c r="AB215" s="19">
        <v>2</v>
      </c>
      <c r="AC215" s="19">
        <v>2</v>
      </c>
      <c r="AD215" s="19">
        <v>3</v>
      </c>
      <c r="AE215" s="19">
        <v>3</v>
      </c>
      <c r="AF215" s="19">
        <v>3</v>
      </c>
      <c r="AG215" s="19">
        <v>3</v>
      </c>
      <c r="AH215" s="19">
        <v>3</v>
      </c>
      <c r="AI215" s="19">
        <v>4</v>
      </c>
      <c r="AJ215" s="19">
        <v>4</v>
      </c>
      <c r="AK215" s="19">
        <v>2</v>
      </c>
      <c r="AL215" s="19">
        <v>4</v>
      </c>
      <c r="AM215" s="19">
        <v>4</v>
      </c>
      <c r="AN215" s="19">
        <v>4</v>
      </c>
      <c r="AO215" s="19">
        <v>4</v>
      </c>
      <c r="AP215" s="19">
        <v>8</v>
      </c>
      <c r="AQ215">
        <v>28.5</v>
      </c>
      <c r="AR215" s="16">
        <v>78.400000000000006</v>
      </c>
      <c r="AS215" s="16">
        <v>80.400000000000006</v>
      </c>
      <c r="AT215" s="16">
        <v>16</v>
      </c>
      <c r="AU215">
        <v>95.22</v>
      </c>
      <c r="AV215" s="17">
        <v>0</v>
      </c>
      <c r="AW215">
        <v>4.2300000000000004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9.77</v>
      </c>
      <c r="BG215">
        <v>2.1800000000000002</v>
      </c>
      <c r="BH215">
        <v>46.81</v>
      </c>
      <c r="BI215">
        <v>10.57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 s="16">
        <v>4.2300000000000004</v>
      </c>
      <c r="BQ215" s="16">
        <v>1</v>
      </c>
      <c r="BR215" s="16">
        <v>5.41</v>
      </c>
      <c r="BS215" s="16">
        <v>8.9600000000000009</v>
      </c>
      <c r="BT215" s="16">
        <v>0</v>
      </c>
      <c r="BU215" s="16">
        <v>0</v>
      </c>
      <c r="BV215" s="16">
        <v>0</v>
      </c>
      <c r="BW215">
        <v>0</v>
      </c>
    </row>
    <row r="216" spans="1:75" x14ac:dyDescent="0.2">
      <c r="A216">
        <v>2</v>
      </c>
      <c r="B216">
        <v>26.225872689938399</v>
      </c>
      <c r="C216">
        <v>5.8973305954825497</v>
      </c>
      <c r="D216">
        <v>8</v>
      </c>
      <c r="E216">
        <v>75</v>
      </c>
      <c r="F216">
        <v>1.82</v>
      </c>
      <c r="G216">
        <v>22.642192971863299</v>
      </c>
      <c r="H216">
        <v>0</v>
      </c>
      <c r="I216">
        <v>0</v>
      </c>
      <c r="J216" s="19">
        <v>0</v>
      </c>
      <c r="K216" s="19">
        <v>0</v>
      </c>
      <c r="L216" s="19">
        <v>1</v>
      </c>
      <c r="M216" s="19">
        <v>0</v>
      </c>
      <c r="N216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5">
        <f t="shared" si="7"/>
        <v>0</v>
      </c>
      <c r="W216" s="19">
        <v>4</v>
      </c>
      <c r="X216" s="19">
        <v>3</v>
      </c>
      <c r="Y216" s="19">
        <v>4</v>
      </c>
      <c r="Z216" s="19">
        <v>4</v>
      </c>
      <c r="AA216" s="19">
        <v>3</v>
      </c>
      <c r="AB216" s="19">
        <v>3</v>
      </c>
      <c r="AC216" s="19">
        <v>3</v>
      </c>
      <c r="AD216" s="19">
        <v>4</v>
      </c>
      <c r="AE216" s="19">
        <v>2</v>
      </c>
      <c r="AF216" s="19">
        <v>2</v>
      </c>
      <c r="AG216" s="19">
        <v>3</v>
      </c>
      <c r="AH216" s="19">
        <v>4</v>
      </c>
      <c r="AI216" s="19">
        <v>2</v>
      </c>
      <c r="AJ216" s="19">
        <v>3</v>
      </c>
      <c r="AK216" s="19">
        <v>4</v>
      </c>
      <c r="AL216" s="19">
        <v>4</v>
      </c>
      <c r="AM216" s="19">
        <v>3</v>
      </c>
      <c r="AN216" s="19">
        <v>3</v>
      </c>
      <c r="AO216" s="19">
        <v>3</v>
      </c>
      <c r="AP216" s="19">
        <v>10</v>
      </c>
      <c r="AQ216">
        <v>37.5</v>
      </c>
      <c r="AR216" s="16">
        <v>87.4</v>
      </c>
      <c r="AS216" s="16">
        <v>80.400000000000006</v>
      </c>
      <c r="AT216" s="16">
        <v>18.5</v>
      </c>
      <c r="AU216">
        <v>84.21</v>
      </c>
      <c r="AV216" s="17">
        <v>0</v>
      </c>
      <c r="AW216">
        <v>0</v>
      </c>
      <c r="AX216">
        <v>0</v>
      </c>
      <c r="AY216">
        <v>15.79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26.71</v>
      </c>
      <c r="BG216">
        <v>13.13</v>
      </c>
      <c r="BH216">
        <v>49.12</v>
      </c>
      <c r="BI216">
        <v>14.67</v>
      </c>
      <c r="BJ216">
        <v>0</v>
      </c>
      <c r="BK216">
        <v>0</v>
      </c>
      <c r="BL216">
        <v>0</v>
      </c>
      <c r="BM216">
        <v>1.1000000000000001</v>
      </c>
      <c r="BN216">
        <v>1</v>
      </c>
      <c r="BO216">
        <v>0</v>
      </c>
      <c r="BP216" s="16">
        <v>4.3</v>
      </c>
      <c r="BQ216" s="16">
        <v>1</v>
      </c>
      <c r="BR216" s="16">
        <v>10.31</v>
      </c>
      <c r="BS216" s="16">
        <v>34.85</v>
      </c>
      <c r="BT216" s="16">
        <v>0</v>
      </c>
      <c r="BU216" s="16">
        <v>0</v>
      </c>
      <c r="BV216" s="16">
        <v>0</v>
      </c>
      <c r="BW216">
        <v>0</v>
      </c>
    </row>
    <row r="217" spans="1:75" x14ac:dyDescent="0.2">
      <c r="A217">
        <v>2</v>
      </c>
      <c r="B217">
        <v>22.633812457221101</v>
      </c>
      <c r="C217">
        <v>0.24914442162902101</v>
      </c>
      <c r="D217">
        <v>8</v>
      </c>
      <c r="E217">
        <v>64</v>
      </c>
      <c r="F217">
        <v>1.72</v>
      </c>
      <c r="G217">
        <v>21.633315305570601</v>
      </c>
      <c r="H217">
        <v>0</v>
      </c>
      <c r="I217">
        <v>0</v>
      </c>
      <c r="J217" s="19">
        <v>0</v>
      </c>
      <c r="K217" s="19">
        <v>2</v>
      </c>
      <c r="L217" s="19">
        <v>0</v>
      </c>
      <c r="M217" s="19">
        <v>0</v>
      </c>
      <c r="N217">
        <v>0</v>
      </c>
      <c r="O217" s="19">
        <v>0</v>
      </c>
      <c r="P217" s="19">
        <v>0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5">
        <f t="shared" si="7"/>
        <v>0</v>
      </c>
      <c r="W217" s="19">
        <v>1</v>
      </c>
      <c r="X217" s="19">
        <v>2</v>
      </c>
      <c r="Y217" s="19">
        <v>4</v>
      </c>
      <c r="Z217" s="19">
        <v>5</v>
      </c>
      <c r="AA217" s="19">
        <v>3</v>
      </c>
      <c r="AB217" s="19">
        <v>1</v>
      </c>
      <c r="AC217" s="19">
        <v>4</v>
      </c>
      <c r="AD217" s="19">
        <v>4</v>
      </c>
      <c r="AE217" s="19">
        <v>5</v>
      </c>
      <c r="AF217" s="19">
        <v>5</v>
      </c>
      <c r="AG217" s="19">
        <v>5</v>
      </c>
      <c r="AH217" s="19">
        <v>5</v>
      </c>
      <c r="AI217" s="19">
        <v>4</v>
      </c>
      <c r="AJ217" s="19">
        <v>5</v>
      </c>
      <c r="AK217" s="19">
        <v>5</v>
      </c>
      <c r="AL217" s="19">
        <v>5</v>
      </c>
      <c r="AM217" s="19">
        <v>5</v>
      </c>
      <c r="AN217" s="19">
        <v>5</v>
      </c>
      <c r="AO217" s="19">
        <v>4</v>
      </c>
      <c r="AP217" s="19">
        <v>8</v>
      </c>
      <c r="AQ217">
        <v>37.5</v>
      </c>
      <c r="AR217" s="16">
        <v>87.4</v>
      </c>
      <c r="AS217" s="16">
        <v>80.400000000000006</v>
      </c>
      <c r="AT217" s="16">
        <v>18.5</v>
      </c>
      <c r="AU217">
        <v>84.21</v>
      </c>
      <c r="AV217" s="17">
        <v>0</v>
      </c>
      <c r="AW217">
        <v>0</v>
      </c>
      <c r="AX217">
        <v>0</v>
      </c>
      <c r="AY217">
        <v>15.79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26.71</v>
      </c>
      <c r="BG217">
        <v>13.13</v>
      </c>
      <c r="BH217">
        <v>49.12</v>
      </c>
      <c r="BI217">
        <v>14.67</v>
      </c>
      <c r="BJ217">
        <v>0</v>
      </c>
      <c r="BK217">
        <v>0</v>
      </c>
      <c r="BL217">
        <v>0</v>
      </c>
      <c r="BM217">
        <v>1.1000000000000001</v>
      </c>
      <c r="BN217">
        <v>1</v>
      </c>
      <c r="BO217">
        <v>0</v>
      </c>
      <c r="BP217" s="16">
        <v>4.3</v>
      </c>
      <c r="BQ217" s="16">
        <v>1</v>
      </c>
      <c r="BR217" s="16">
        <v>10.31</v>
      </c>
      <c r="BS217" s="16">
        <v>34.85</v>
      </c>
      <c r="BT217" s="16">
        <v>0</v>
      </c>
      <c r="BU217" s="16">
        <v>0</v>
      </c>
      <c r="BV217" s="16">
        <v>0</v>
      </c>
      <c r="BW217">
        <v>0</v>
      </c>
    </row>
    <row r="218" spans="1:75" x14ac:dyDescent="0.2">
      <c r="A218">
        <v>2</v>
      </c>
      <c r="B218">
        <v>35.452429842573601</v>
      </c>
      <c r="C218">
        <v>0.25188227241615302</v>
      </c>
      <c r="D218">
        <v>8</v>
      </c>
      <c r="E218">
        <v>70</v>
      </c>
      <c r="F218">
        <v>1.7</v>
      </c>
      <c r="G218">
        <v>24.2214532871972</v>
      </c>
      <c r="H218">
        <v>0</v>
      </c>
      <c r="I218">
        <v>0</v>
      </c>
      <c r="J218" s="19">
        <v>0</v>
      </c>
      <c r="K218" s="19">
        <v>1</v>
      </c>
      <c r="L218" s="19">
        <v>0</v>
      </c>
      <c r="M218" s="19">
        <v>0</v>
      </c>
      <c r="N218">
        <v>0</v>
      </c>
      <c r="O218" s="19">
        <v>0</v>
      </c>
      <c r="P218" s="19">
        <v>0</v>
      </c>
      <c r="Q218" s="19">
        <v>0</v>
      </c>
      <c r="R218" s="19">
        <v>0</v>
      </c>
      <c r="S218" s="19">
        <v>0</v>
      </c>
      <c r="T218" s="19">
        <v>0</v>
      </c>
      <c r="U218" s="19">
        <v>0</v>
      </c>
      <c r="V218" s="15">
        <f t="shared" si="7"/>
        <v>0</v>
      </c>
      <c r="W218" s="19">
        <v>1</v>
      </c>
      <c r="X218" s="19">
        <v>3</v>
      </c>
      <c r="Y218" s="19">
        <v>3</v>
      </c>
      <c r="Z218" s="19">
        <v>3</v>
      </c>
      <c r="AA218" s="19">
        <v>1</v>
      </c>
      <c r="AB218" s="19">
        <v>1</v>
      </c>
      <c r="AC218" s="19">
        <v>3</v>
      </c>
      <c r="AD218" s="19">
        <v>3</v>
      </c>
      <c r="AE218" s="19">
        <v>5</v>
      </c>
      <c r="AF218" s="19">
        <v>5</v>
      </c>
      <c r="AG218" s="19">
        <v>5</v>
      </c>
      <c r="AH218" s="19">
        <v>5</v>
      </c>
      <c r="AI218" s="19">
        <v>1</v>
      </c>
      <c r="AJ218" s="19">
        <v>5</v>
      </c>
      <c r="AK218" s="19">
        <v>5</v>
      </c>
      <c r="AL218" s="19">
        <v>5</v>
      </c>
      <c r="AM218" s="19">
        <v>5</v>
      </c>
      <c r="AN218" s="19">
        <v>3</v>
      </c>
      <c r="AO218" s="19">
        <v>3</v>
      </c>
      <c r="AP218" s="19">
        <v>6</v>
      </c>
      <c r="AQ218">
        <v>28.5</v>
      </c>
      <c r="AR218" s="16">
        <v>78.400000000000006</v>
      </c>
      <c r="AS218" s="16">
        <v>80.400000000000006</v>
      </c>
      <c r="AT218" s="16">
        <v>16</v>
      </c>
      <c r="AU218">
        <v>95.22</v>
      </c>
      <c r="AV218" s="17">
        <v>0</v>
      </c>
      <c r="AW218">
        <v>4.2300000000000004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9.77</v>
      </c>
      <c r="BG218">
        <v>2.1800000000000002</v>
      </c>
      <c r="BH218">
        <v>46.81</v>
      </c>
      <c r="BI218">
        <v>10.57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 s="16">
        <v>4.2300000000000004</v>
      </c>
      <c r="BQ218" s="16">
        <v>1</v>
      </c>
      <c r="BR218" s="16">
        <v>5.41</v>
      </c>
      <c r="BS218" s="16">
        <v>8.9600000000000009</v>
      </c>
      <c r="BT218" s="16">
        <v>0</v>
      </c>
      <c r="BU218" s="16">
        <v>0</v>
      </c>
      <c r="BV218" s="16">
        <v>0</v>
      </c>
      <c r="BW218">
        <v>0</v>
      </c>
    </row>
    <row r="219" spans="1:75" x14ac:dyDescent="0.2">
      <c r="A219">
        <v>2</v>
      </c>
      <c r="B219">
        <v>30.209445585215601</v>
      </c>
      <c r="C219">
        <v>0.26830937713894598</v>
      </c>
      <c r="D219">
        <v>8</v>
      </c>
      <c r="E219">
        <v>70</v>
      </c>
      <c r="F219">
        <v>1.7</v>
      </c>
      <c r="G219">
        <v>24.2214532871972</v>
      </c>
      <c r="H219">
        <v>0</v>
      </c>
      <c r="I219">
        <v>0</v>
      </c>
      <c r="J219" s="19">
        <v>0</v>
      </c>
      <c r="K219" s="19">
        <v>0</v>
      </c>
      <c r="L219" s="19">
        <v>0</v>
      </c>
      <c r="M219" s="19">
        <v>0</v>
      </c>
      <c r="N219">
        <v>0</v>
      </c>
      <c r="O219" s="19">
        <v>0</v>
      </c>
      <c r="P219" s="19">
        <v>0</v>
      </c>
      <c r="Q219" s="19">
        <v>0</v>
      </c>
      <c r="R219" s="19">
        <v>0</v>
      </c>
      <c r="S219" s="19">
        <v>0</v>
      </c>
      <c r="T219" s="19">
        <v>0</v>
      </c>
      <c r="U219" s="19">
        <v>0</v>
      </c>
      <c r="V219" s="15">
        <f t="shared" si="7"/>
        <v>0</v>
      </c>
      <c r="W219" s="19">
        <v>2</v>
      </c>
      <c r="X219" s="19">
        <v>1</v>
      </c>
      <c r="Y219" s="19">
        <v>3</v>
      </c>
      <c r="Z219" s="19">
        <v>5</v>
      </c>
      <c r="AA219" s="19">
        <v>5</v>
      </c>
      <c r="AB219" s="19">
        <v>4</v>
      </c>
      <c r="AC219" s="19">
        <v>4</v>
      </c>
      <c r="AD219" s="19">
        <v>5</v>
      </c>
      <c r="AE219" s="19">
        <v>5</v>
      </c>
      <c r="AF219" s="19">
        <v>4</v>
      </c>
      <c r="AG219" s="19">
        <v>4</v>
      </c>
      <c r="AH219" s="19">
        <v>5</v>
      </c>
      <c r="AI219" s="19">
        <v>4</v>
      </c>
      <c r="AJ219" s="19">
        <v>5</v>
      </c>
      <c r="AK219" s="19">
        <v>5</v>
      </c>
      <c r="AL219" s="19">
        <v>5</v>
      </c>
      <c r="AM219" s="19">
        <v>4</v>
      </c>
      <c r="AN219" s="19">
        <v>4</v>
      </c>
      <c r="AO219" s="19">
        <v>4</v>
      </c>
      <c r="AP219" s="19">
        <v>8</v>
      </c>
      <c r="AQ219">
        <v>37.5</v>
      </c>
      <c r="AR219" s="16">
        <v>87.4</v>
      </c>
      <c r="AS219" s="16">
        <v>80.400000000000006</v>
      </c>
      <c r="AT219" s="16">
        <v>18.5</v>
      </c>
      <c r="AU219">
        <v>84.21</v>
      </c>
      <c r="AV219" s="17">
        <v>0</v>
      </c>
      <c r="AW219">
        <v>0</v>
      </c>
      <c r="AX219">
        <v>0</v>
      </c>
      <c r="AY219">
        <v>15.79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26.71</v>
      </c>
      <c r="BG219">
        <v>13.13</v>
      </c>
      <c r="BH219">
        <v>49.12</v>
      </c>
      <c r="BI219">
        <v>14.67</v>
      </c>
      <c r="BJ219">
        <v>0</v>
      </c>
      <c r="BK219">
        <v>0</v>
      </c>
      <c r="BL219">
        <v>0</v>
      </c>
      <c r="BM219">
        <v>1.1000000000000001</v>
      </c>
      <c r="BN219">
        <v>1</v>
      </c>
      <c r="BO219">
        <v>0</v>
      </c>
      <c r="BP219" s="16">
        <v>4.3</v>
      </c>
      <c r="BQ219" s="16">
        <v>1</v>
      </c>
      <c r="BR219" s="16">
        <v>10.31</v>
      </c>
      <c r="BS219" s="16">
        <v>34.85</v>
      </c>
      <c r="BT219" s="16">
        <v>0</v>
      </c>
      <c r="BU219" s="16">
        <v>0</v>
      </c>
      <c r="BV219" s="16">
        <v>0</v>
      </c>
      <c r="BW219">
        <v>0</v>
      </c>
    </row>
    <row r="220" spans="1:75" x14ac:dyDescent="0.2">
      <c r="A220">
        <v>2</v>
      </c>
      <c r="B220">
        <v>39.375770020533899</v>
      </c>
      <c r="C220">
        <v>0.32580424366872002</v>
      </c>
      <c r="D220">
        <v>4</v>
      </c>
      <c r="E220">
        <v>81</v>
      </c>
      <c r="F220">
        <v>1.7</v>
      </c>
      <c r="G220">
        <v>28.027681660899599</v>
      </c>
      <c r="H220">
        <v>0</v>
      </c>
      <c r="I220">
        <v>0</v>
      </c>
      <c r="J220" s="19">
        <v>0</v>
      </c>
      <c r="K220" s="19">
        <v>0</v>
      </c>
      <c r="L220" s="19">
        <v>1</v>
      </c>
      <c r="M220" s="19">
        <v>0</v>
      </c>
      <c r="N220">
        <v>0</v>
      </c>
      <c r="O220" s="19">
        <v>0</v>
      </c>
      <c r="P220" s="19">
        <v>0</v>
      </c>
      <c r="Q220" s="19">
        <v>0</v>
      </c>
      <c r="R220" s="19">
        <v>0</v>
      </c>
      <c r="S220" s="19">
        <v>0</v>
      </c>
      <c r="T220" s="19">
        <v>0</v>
      </c>
      <c r="U220" s="19">
        <v>0</v>
      </c>
      <c r="V220" s="15">
        <f t="shared" ref="V220:V251" si="8">AVERAGE(M220:U220)</f>
        <v>0</v>
      </c>
      <c r="W220" s="19">
        <v>3</v>
      </c>
      <c r="X220" s="19">
        <v>2</v>
      </c>
      <c r="Y220" s="19">
        <v>3</v>
      </c>
      <c r="Z220" s="19">
        <v>4</v>
      </c>
      <c r="AA220" s="19">
        <v>4</v>
      </c>
      <c r="AB220" s="19">
        <v>4</v>
      </c>
      <c r="AC220" s="19">
        <v>5</v>
      </c>
      <c r="AD220" s="19">
        <v>4</v>
      </c>
      <c r="AE220" s="19">
        <v>3</v>
      </c>
      <c r="AF220" s="19">
        <v>4</v>
      </c>
      <c r="AG220" s="19">
        <v>4</v>
      </c>
      <c r="AH220" s="19">
        <v>4</v>
      </c>
      <c r="AI220" s="19">
        <v>5</v>
      </c>
      <c r="AJ220" s="19">
        <v>5</v>
      </c>
      <c r="AK220" s="19">
        <v>4</v>
      </c>
      <c r="AL220" s="19">
        <v>5</v>
      </c>
      <c r="AM220" s="19">
        <v>4</v>
      </c>
      <c r="AN220" s="19">
        <v>4</v>
      </c>
      <c r="AO220" s="19">
        <v>4</v>
      </c>
      <c r="AP220" s="19">
        <v>8</v>
      </c>
      <c r="AQ220">
        <v>39.5</v>
      </c>
      <c r="AR220" s="16">
        <v>89.8</v>
      </c>
      <c r="AS220" s="16">
        <v>80.400000000000006</v>
      </c>
      <c r="AT220" s="16">
        <v>5.0999999999999996</v>
      </c>
      <c r="AU220">
        <v>100</v>
      </c>
      <c r="AV220" s="17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50.37</v>
      </c>
      <c r="BH220">
        <v>16.55</v>
      </c>
      <c r="BI220">
        <v>0.4</v>
      </c>
      <c r="BJ220">
        <v>0</v>
      </c>
      <c r="BK220">
        <v>27.4</v>
      </c>
      <c r="BL220">
        <v>1</v>
      </c>
      <c r="BM220">
        <v>0.1</v>
      </c>
      <c r="BN220">
        <v>1</v>
      </c>
      <c r="BO220">
        <v>0</v>
      </c>
      <c r="BP220" s="16">
        <v>1.49</v>
      </c>
      <c r="BQ220" s="16">
        <v>1</v>
      </c>
      <c r="BR220" s="16">
        <v>5.01</v>
      </c>
      <c r="BS220" s="16">
        <v>5.13</v>
      </c>
      <c r="BT220" s="16">
        <v>0</v>
      </c>
      <c r="BU220" s="16">
        <v>0</v>
      </c>
      <c r="BV220" s="16">
        <v>0</v>
      </c>
      <c r="BW220">
        <v>0</v>
      </c>
    </row>
    <row r="221" spans="1:75" x14ac:dyDescent="0.2">
      <c r="A221">
        <v>2</v>
      </c>
      <c r="B221">
        <v>34.893908281998598</v>
      </c>
      <c r="C221">
        <v>10.8829568788501</v>
      </c>
      <c r="D221">
        <v>4</v>
      </c>
      <c r="E221">
        <v>90</v>
      </c>
      <c r="F221">
        <v>1.72</v>
      </c>
      <c r="G221">
        <v>30.421849648458601</v>
      </c>
      <c r="H221">
        <v>0</v>
      </c>
      <c r="I221">
        <v>0</v>
      </c>
      <c r="J221" s="19">
        <v>1</v>
      </c>
      <c r="K221" s="19">
        <v>0</v>
      </c>
      <c r="L221" s="19">
        <v>1</v>
      </c>
      <c r="M221" s="19">
        <v>5</v>
      </c>
      <c r="N221">
        <v>0</v>
      </c>
      <c r="O221" s="19">
        <v>0</v>
      </c>
      <c r="P221" s="19">
        <v>0</v>
      </c>
      <c r="Q221" s="19">
        <v>0</v>
      </c>
      <c r="R221" s="19">
        <v>6</v>
      </c>
      <c r="S221" s="19">
        <v>6</v>
      </c>
      <c r="T221" s="19">
        <v>0</v>
      </c>
      <c r="U221" s="19">
        <v>0</v>
      </c>
      <c r="V221" s="15">
        <f t="shared" si="8"/>
        <v>1.8888888888888888</v>
      </c>
      <c r="W221" s="19">
        <v>5</v>
      </c>
      <c r="X221" s="19">
        <v>4</v>
      </c>
      <c r="Y221" s="19">
        <v>5</v>
      </c>
      <c r="Z221" s="19">
        <v>5</v>
      </c>
      <c r="AA221" s="19">
        <v>5</v>
      </c>
      <c r="AB221" s="19">
        <v>4</v>
      </c>
      <c r="AC221" s="19">
        <v>4</v>
      </c>
      <c r="AD221" s="19">
        <v>1</v>
      </c>
      <c r="AE221" s="19">
        <v>1</v>
      </c>
      <c r="AF221" s="19">
        <v>3</v>
      </c>
      <c r="AG221" s="19">
        <v>5</v>
      </c>
      <c r="AH221" s="19">
        <v>5</v>
      </c>
      <c r="AI221" s="19">
        <v>5</v>
      </c>
      <c r="AJ221" s="19">
        <v>3</v>
      </c>
      <c r="AK221" s="19">
        <v>5</v>
      </c>
      <c r="AL221" s="19">
        <v>3</v>
      </c>
      <c r="AM221" s="19">
        <v>4</v>
      </c>
      <c r="AN221" s="19">
        <v>5</v>
      </c>
      <c r="AO221" s="19">
        <v>1</v>
      </c>
      <c r="AP221" s="19">
        <v>10</v>
      </c>
      <c r="AQ221">
        <v>37.5</v>
      </c>
      <c r="AR221" s="16">
        <v>87.4</v>
      </c>
      <c r="AS221" s="16">
        <v>80.400000000000006</v>
      </c>
      <c r="AT221" s="16">
        <v>18.5</v>
      </c>
      <c r="AU221">
        <v>84.21</v>
      </c>
      <c r="AV221" s="17">
        <v>0</v>
      </c>
      <c r="AW221">
        <v>0</v>
      </c>
      <c r="AX221">
        <v>0</v>
      </c>
      <c r="AY221">
        <v>15.79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26.71</v>
      </c>
      <c r="BG221">
        <v>13.13</v>
      </c>
      <c r="BH221">
        <v>49.12</v>
      </c>
      <c r="BI221">
        <v>14.67</v>
      </c>
      <c r="BJ221">
        <v>0</v>
      </c>
      <c r="BK221">
        <v>0</v>
      </c>
      <c r="BL221">
        <v>0</v>
      </c>
      <c r="BM221">
        <v>1.1000000000000001</v>
      </c>
      <c r="BN221">
        <v>1</v>
      </c>
      <c r="BO221">
        <v>0</v>
      </c>
      <c r="BP221" s="16">
        <v>4.3</v>
      </c>
      <c r="BQ221" s="16">
        <v>1</v>
      </c>
      <c r="BR221" s="16">
        <v>10.31</v>
      </c>
      <c r="BS221" s="16">
        <v>34.85</v>
      </c>
      <c r="BT221" s="16">
        <v>0</v>
      </c>
      <c r="BU221" s="16">
        <v>0</v>
      </c>
      <c r="BV221" s="16">
        <v>0</v>
      </c>
      <c r="BW221">
        <v>0</v>
      </c>
    </row>
    <row r="222" spans="1:75" x14ac:dyDescent="0.2">
      <c r="A222">
        <v>1</v>
      </c>
      <c r="B222">
        <v>26.8364134154689</v>
      </c>
      <c r="C222">
        <v>4.9965776865160896</v>
      </c>
      <c r="D222">
        <v>4</v>
      </c>
      <c r="E222">
        <v>58</v>
      </c>
      <c r="F222">
        <v>1.56</v>
      </c>
      <c r="G222">
        <v>23.833004602235398</v>
      </c>
      <c r="H222">
        <v>0</v>
      </c>
      <c r="I222">
        <v>0</v>
      </c>
      <c r="J222" s="19">
        <v>0</v>
      </c>
      <c r="K222" s="19">
        <v>0</v>
      </c>
      <c r="L222" s="19">
        <v>0</v>
      </c>
      <c r="M222" s="19">
        <v>0</v>
      </c>
      <c r="N222">
        <v>0</v>
      </c>
      <c r="O222" s="19">
        <v>0</v>
      </c>
      <c r="P222" s="19">
        <v>0</v>
      </c>
      <c r="Q222" s="19">
        <v>0</v>
      </c>
      <c r="R222" s="19">
        <v>0</v>
      </c>
      <c r="S222" s="19">
        <v>0</v>
      </c>
      <c r="T222" s="19">
        <v>0</v>
      </c>
      <c r="U222" s="19">
        <v>0</v>
      </c>
      <c r="V222" s="15">
        <f t="shared" si="8"/>
        <v>0</v>
      </c>
      <c r="W222" s="19">
        <v>1</v>
      </c>
      <c r="X222" s="19">
        <v>1</v>
      </c>
      <c r="Y222" s="19">
        <v>4</v>
      </c>
      <c r="Z222" s="19">
        <v>5</v>
      </c>
      <c r="AA222" s="19">
        <v>2</v>
      </c>
      <c r="AB222" s="19">
        <v>3</v>
      </c>
      <c r="AC222" s="19">
        <v>1</v>
      </c>
      <c r="AD222" s="19">
        <v>3</v>
      </c>
      <c r="AE222" s="19">
        <v>3</v>
      </c>
      <c r="AF222" s="19">
        <v>3</v>
      </c>
      <c r="AG222" s="19">
        <v>4</v>
      </c>
      <c r="AH222" s="19">
        <v>5</v>
      </c>
      <c r="AI222" s="19">
        <v>3</v>
      </c>
      <c r="AJ222" s="19">
        <v>3</v>
      </c>
      <c r="AK222" s="19">
        <v>4</v>
      </c>
      <c r="AL222" s="19">
        <v>4</v>
      </c>
      <c r="AM222" s="19">
        <v>3</v>
      </c>
      <c r="AN222" s="19">
        <v>3</v>
      </c>
      <c r="AO222" s="19">
        <v>4</v>
      </c>
      <c r="AP222" s="19">
        <v>9</v>
      </c>
      <c r="AQ222">
        <v>49.5</v>
      </c>
      <c r="AR222" s="16">
        <v>90.1</v>
      </c>
      <c r="AS222" s="16">
        <v>80.400000000000006</v>
      </c>
      <c r="AT222" s="16">
        <v>9.9</v>
      </c>
      <c r="AU222">
        <v>94.62</v>
      </c>
      <c r="AV222" s="17">
        <v>0</v>
      </c>
      <c r="AW222">
        <v>0.32</v>
      </c>
      <c r="AX222">
        <v>0</v>
      </c>
      <c r="AY222">
        <v>5.05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3.42</v>
      </c>
      <c r="BG222">
        <v>32.25</v>
      </c>
      <c r="BH222">
        <v>29.89</v>
      </c>
      <c r="BI222">
        <v>8.2799999999999994</v>
      </c>
      <c r="BJ222">
        <v>0</v>
      </c>
      <c r="BK222">
        <v>12.9</v>
      </c>
      <c r="BL222">
        <v>1</v>
      </c>
      <c r="BM222">
        <v>16.600000000000001</v>
      </c>
      <c r="BN222">
        <v>1</v>
      </c>
      <c r="BO222">
        <v>1</v>
      </c>
      <c r="BP222" s="16">
        <v>2.4900000000000002</v>
      </c>
      <c r="BQ222" s="16">
        <v>1</v>
      </c>
      <c r="BR222" s="16">
        <v>4.17</v>
      </c>
      <c r="BS222" s="16">
        <v>3.7</v>
      </c>
      <c r="BT222" s="16">
        <v>0</v>
      </c>
      <c r="BU222" s="16">
        <v>0</v>
      </c>
      <c r="BV222" s="16">
        <v>0</v>
      </c>
      <c r="BW222">
        <v>0</v>
      </c>
    </row>
    <row r="223" spans="1:75" x14ac:dyDescent="0.2">
      <c r="A223">
        <v>2</v>
      </c>
      <c r="B223">
        <v>41.864476386036998</v>
      </c>
      <c r="C223">
        <v>0.26830937713894598</v>
      </c>
      <c r="D223">
        <v>4</v>
      </c>
      <c r="E223">
        <v>93</v>
      </c>
      <c r="F223">
        <v>1.8</v>
      </c>
      <c r="G223">
        <v>28.703703703703699</v>
      </c>
      <c r="H223">
        <v>1</v>
      </c>
      <c r="I223">
        <v>0</v>
      </c>
      <c r="J223" s="19">
        <v>0</v>
      </c>
      <c r="K223" s="19">
        <v>0</v>
      </c>
      <c r="L223" s="19">
        <v>1</v>
      </c>
      <c r="M223" s="19">
        <v>0</v>
      </c>
      <c r="N223">
        <v>0</v>
      </c>
      <c r="O223" s="19">
        <v>0</v>
      </c>
      <c r="P223" s="19">
        <v>0</v>
      </c>
      <c r="Q223" s="19">
        <v>0</v>
      </c>
      <c r="R223" s="19">
        <v>3</v>
      </c>
      <c r="S223" s="19">
        <v>0</v>
      </c>
      <c r="T223" s="19">
        <v>0</v>
      </c>
      <c r="U223" s="19">
        <v>0</v>
      </c>
      <c r="V223" s="15">
        <f t="shared" si="8"/>
        <v>0.33333333333333331</v>
      </c>
      <c r="W223" s="19">
        <v>2</v>
      </c>
      <c r="X223" s="19">
        <v>3</v>
      </c>
      <c r="Y223" s="19">
        <v>4</v>
      </c>
      <c r="Z223" s="19">
        <v>4</v>
      </c>
      <c r="AA223" s="19">
        <v>2</v>
      </c>
      <c r="AB223" s="19">
        <v>3</v>
      </c>
      <c r="AC223" s="19">
        <v>2</v>
      </c>
      <c r="AD223" s="19">
        <v>2</v>
      </c>
      <c r="AE223" s="19">
        <v>2</v>
      </c>
      <c r="AF223" s="19">
        <v>3</v>
      </c>
      <c r="AG223" s="19">
        <v>2</v>
      </c>
      <c r="AH223" s="19">
        <v>5</v>
      </c>
      <c r="AI223" s="19">
        <v>3</v>
      </c>
      <c r="AJ223" s="19"/>
      <c r="AK223" s="19">
        <v>4</v>
      </c>
      <c r="AL223" s="19">
        <v>4</v>
      </c>
      <c r="AM223" s="19">
        <v>4</v>
      </c>
      <c r="AN223" s="19">
        <v>4</v>
      </c>
      <c r="AO223" s="19">
        <v>3</v>
      </c>
      <c r="AP223" s="19">
        <v>7</v>
      </c>
      <c r="AQ223">
        <v>28.5</v>
      </c>
      <c r="AR223" s="16">
        <v>78.400000000000006</v>
      </c>
      <c r="AS223" s="16">
        <v>80.400000000000006</v>
      </c>
      <c r="AT223" s="16">
        <v>16</v>
      </c>
      <c r="AU223">
        <v>95.22</v>
      </c>
      <c r="AV223" s="17">
        <v>0</v>
      </c>
      <c r="AW223">
        <v>4.2300000000000004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9.77</v>
      </c>
      <c r="BG223">
        <v>2.1800000000000002</v>
      </c>
      <c r="BH223">
        <v>46.81</v>
      </c>
      <c r="BI223">
        <v>10.57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 s="16">
        <v>4.2300000000000004</v>
      </c>
      <c r="BQ223" s="16">
        <v>1</v>
      </c>
      <c r="BR223" s="16">
        <v>5.41</v>
      </c>
      <c r="BS223" s="16">
        <v>8.9600000000000009</v>
      </c>
      <c r="BT223" s="16">
        <v>0</v>
      </c>
      <c r="BU223" s="16">
        <v>0</v>
      </c>
      <c r="BV223" s="16">
        <v>0</v>
      </c>
      <c r="BW223">
        <v>0</v>
      </c>
    </row>
    <row r="224" spans="1:75" x14ac:dyDescent="0.2">
      <c r="A224">
        <v>2</v>
      </c>
      <c r="B224">
        <v>36.898015058179297</v>
      </c>
      <c r="C224">
        <v>0.229979466119096</v>
      </c>
      <c r="D224">
        <v>4</v>
      </c>
      <c r="F224">
        <v>1.76</v>
      </c>
      <c r="G224">
        <v>0</v>
      </c>
      <c r="H224">
        <v>0</v>
      </c>
      <c r="I224">
        <v>0</v>
      </c>
      <c r="J224" s="19">
        <v>0</v>
      </c>
      <c r="K224" s="19">
        <v>1</v>
      </c>
      <c r="L224" s="19">
        <v>0</v>
      </c>
      <c r="M224" s="19"/>
      <c r="N224">
        <v>0</v>
      </c>
      <c r="O224" s="19">
        <v>0</v>
      </c>
      <c r="P224" s="19">
        <v>0</v>
      </c>
      <c r="Q224" s="19">
        <v>0</v>
      </c>
      <c r="R224" s="19">
        <v>0</v>
      </c>
      <c r="S224" s="19">
        <v>0</v>
      </c>
      <c r="T224" s="19">
        <v>0</v>
      </c>
      <c r="U224" s="19">
        <v>0</v>
      </c>
      <c r="V224" s="15">
        <f t="shared" si="8"/>
        <v>0</v>
      </c>
      <c r="W224" s="19">
        <v>3</v>
      </c>
      <c r="X224" s="19">
        <v>3</v>
      </c>
      <c r="Y224" s="19">
        <v>4</v>
      </c>
      <c r="Z224" s="19">
        <v>4</v>
      </c>
      <c r="AA224" s="19">
        <v>3</v>
      </c>
      <c r="AB224" s="19">
        <v>2</v>
      </c>
      <c r="AC224" s="19">
        <v>3</v>
      </c>
      <c r="AD224" s="19">
        <v>3</v>
      </c>
      <c r="AE224" s="19">
        <v>5</v>
      </c>
      <c r="AF224" s="19">
        <v>4</v>
      </c>
      <c r="AG224" s="19">
        <v>4</v>
      </c>
      <c r="AH224" s="19">
        <v>5</v>
      </c>
      <c r="AI224" s="19">
        <v>3</v>
      </c>
      <c r="AJ224" s="19">
        <v>4</v>
      </c>
      <c r="AK224" s="19">
        <v>4</v>
      </c>
      <c r="AL224" s="19">
        <v>4</v>
      </c>
      <c r="AM224" s="19">
        <v>4</v>
      </c>
      <c r="AN224" s="19">
        <v>4</v>
      </c>
      <c r="AO224" s="19">
        <v>4</v>
      </c>
      <c r="AP224" s="19">
        <v>8</v>
      </c>
      <c r="AQ224">
        <v>39.5</v>
      </c>
      <c r="AR224" s="16">
        <v>89.8</v>
      </c>
      <c r="AS224" s="16">
        <v>80.400000000000006</v>
      </c>
      <c r="AT224" s="16">
        <v>5.0999999999999996</v>
      </c>
      <c r="AU224">
        <v>100</v>
      </c>
      <c r="AV224" s="17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50.37</v>
      </c>
      <c r="BH224">
        <v>16.55</v>
      </c>
      <c r="BI224">
        <v>0.4</v>
      </c>
      <c r="BJ224">
        <v>0</v>
      </c>
      <c r="BK224">
        <v>27.4</v>
      </c>
      <c r="BL224">
        <v>1</v>
      </c>
      <c r="BM224">
        <v>0.1</v>
      </c>
      <c r="BN224">
        <v>1</v>
      </c>
      <c r="BO224">
        <v>0</v>
      </c>
      <c r="BP224" s="16">
        <v>1.49</v>
      </c>
      <c r="BQ224" s="16">
        <v>1</v>
      </c>
      <c r="BR224" s="16">
        <v>5.01</v>
      </c>
      <c r="BS224" s="16">
        <v>5.13</v>
      </c>
      <c r="BT224" s="16">
        <v>0</v>
      </c>
      <c r="BU224" s="16">
        <v>0</v>
      </c>
      <c r="BV224" s="16">
        <v>0</v>
      </c>
      <c r="BW224">
        <v>0</v>
      </c>
    </row>
    <row r="225" spans="1:75" x14ac:dyDescent="0.2">
      <c r="A225">
        <v>1</v>
      </c>
      <c r="B225">
        <v>19.6167008898015</v>
      </c>
      <c r="C225">
        <v>0.323066392881588</v>
      </c>
      <c r="D225">
        <v>4</v>
      </c>
      <c r="E225">
        <v>60</v>
      </c>
      <c r="F225">
        <v>1.6</v>
      </c>
      <c r="G225">
        <v>23.4375</v>
      </c>
      <c r="H225">
        <v>0</v>
      </c>
      <c r="I225">
        <v>0</v>
      </c>
      <c r="J225" s="19">
        <v>0</v>
      </c>
      <c r="K225" s="19">
        <v>0</v>
      </c>
      <c r="L225" s="19">
        <v>0</v>
      </c>
      <c r="M225" s="19">
        <v>0</v>
      </c>
      <c r="N225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5">
        <f t="shared" si="8"/>
        <v>0</v>
      </c>
      <c r="W225" s="19">
        <v>3</v>
      </c>
      <c r="X225" s="19">
        <v>1</v>
      </c>
      <c r="Y225" s="19">
        <v>2</v>
      </c>
      <c r="Z225" s="19">
        <v>3</v>
      </c>
      <c r="AA225" s="19">
        <v>1</v>
      </c>
      <c r="AB225" s="19">
        <v>1</v>
      </c>
      <c r="AC225" s="19">
        <v>4</v>
      </c>
      <c r="AD225" s="19">
        <v>5</v>
      </c>
      <c r="AE225" s="19">
        <v>5</v>
      </c>
      <c r="AF225" s="19">
        <v>5</v>
      </c>
      <c r="AG225" s="19">
        <v>5</v>
      </c>
      <c r="AH225" s="19">
        <v>5</v>
      </c>
      <c r="AI225" s="19">
        <v>5</v>
      </c>
      <c r="AJ225" s="19">
        <v>5</v>
      </c>
      <c r="AK225" s="19">
        <v>5</v>
      </c>
      <c r="AL225" s="19">
        <v>5</v>
      </c>
      <c r="AM225" s="19">
        <v>5</v>
      </c>
      <c r="AN225" s="19">
        <v>5</v>
      </c>
      <c r="AO225" s="19">
        <v>5</v>
      </c>
      <c r="AP225" s="19">
        <v>10</v>
      </c>
      <c r="AQ225">
        <v>28.5</v>
      </c>
      <c r="AR225" s="16">
        <v>78.400000000000006</v>
      </c>
      <c r="AS225" s="16">
        <v>80.400000000000006</v>
      </c>
      <c r="AT225" s="16">
        <v>16</v>
      </c>
      <c r="AU225">
        <v>95.22</v>
      </c>
      <c r="AV225" s="17">
        <v>0</v>
      </c>
      <c r="AW225">
        <v>4.2300000000000004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9.77</v>
      </c>
      <c r="BG225">
        <v>2.1800000000000002</v>
      </c>
      <c r="BH225">
        <v>46.81</v>
      </c>
      <c r="BI225">
        <v>10.57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 s="16">
        <v>4.2300000000000004</v>
      </c>
      <c r="BQ225" s="16">
        <v>1</v>
      </c>
      <c r="BR225" s="16">
        <v>5.41</v>
      </c>
      <c r="BS225" s="16">
        <v>8.9600000000000009</v>
      </c>
      <c r="BT225" s="16">
        <v>0</v>
      </c>
      <c r="BU225" s="16">
        <v>0</v>
      </c>
      <c r="BV225" s="16">
        <v>0</v>
      </c>
      <c r="BW225">
        <v>0</v>
      </c>
    </row>
    <row r="226" spans="1:75" x14ac:dyDescent="0.2">
      <c r="A226">
        <v>2</v>
      </c>
      <c r="B226">
        <v>41.3333333333333</v>
      </c>
      <c r="C226">
        <v>21.752224503764499</v>
      </c>
      <c r="D226">
        <v>4</v>
      </c>
      <c r="E226">
        <v>82</v>
      </c>
      <c r="F226">
        <v>1.81</v>
      </c>
      <c r="G226">
        <v>25.029760996306599</v>
      </c>
      <c r="H226">
        <v>0</v>
      </c>
      <c r="I226">
        <v>0</v>
      </c>
      <c r="J226" s="19">
        <v>1</v>
      </c>
      <c r="K226" s="19">
        <v>2</v>
      </c>
      <c r="L226" s="19">
        <v>0</v>
      </c>
      <c r="M226" s="19"/>
      <c r="N226">
        <v>0</v>
      </c>
      <c r="O226" s="19">
        <v>3</v>
      </c>
      <c r="P226" s="19"/>
      <c r="Q226" s="19"/>
      <c r="R226" s="19"/>
      <c r="S226" s="19"/>
      <c r="T226" s="19"/>
      <c r="U226" s="19"/>
      <c r="V226" s="15">
        <f t="shared" si="8"/>
        <v>1.5</v>
      </c>
      <c r="W226" s="19">
        <v>4</v>
      </c>
      <c r="X226" s="19">
        <v>4</v>
      </c>
      <c r="Y226" s="19">
        <v>4</v>
      </c>
      <c r="Z226" s="19">
        <v>5</v>
      </c>
      <c r="AA226" s="19">
        <v>5</v>
      </c>
      <c r="AB226" s="19">
        <v>5</v>
      </c>
      <c r="AC226" s="19">
        <v>4</v>
      </c>
      <c r="AD226" s="19">
        <v>5</v>
      </c>
      <c r="AE226" s="19">
        <v>1</v>
      </c>
      <c r="AF226" s="19">
        <v>4</v>
      </c>
      <c r="AG226" s="19">
        <v>3</v>
      </c>
      <c r="AH226" s="19">
        <v>5</v>
      </c>
      <c r="AI226" s="19">
        <v>1</v>
      </c>
      <c r="AJ226" s="19">
        <v>1</v>
      </c>
      <c r="AK226" s="19">
        <v>3</v>
      </c>
      <c r="AL226" s="19">
        <v>3</v>
      </c>
      <c r="AM226" s="19">
        <v>5</v>
      </c>
      <c r="AN226" s="19">
        <v>3</v>
      </c>
      <c r="AO226" s="19">
        <v>1</v>
      </c>
      <c r="AP226" s="19">
        <v>4</v>
      </c>
      <c r="AQ226">
        <v>37.5</v>
      </c>
      <c r="AR226" s="16">
        <v>87.4</v>
      </c>
      <c r="AS226" s="16">
        <v>80.400000000000006</v>
      </c>
      <c r="AT226" s="16">
        <v>18.5</v>
      </c>
      <c r="AU226">
        <v>84.21</v>
      </c>
      <c r="AV226" s="17">
        <v>0</v>
      </c>
      <c r="AW226">
        <v>0</v>
      </c>
      <c r="AX226">
        <v>0</v>
      </c>
      <c r="AY226">
        <v>15.79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26.71</v>
      </c>
      <c r="BG226">
        <v>13.13</v>
      </c>
      <c r="BH226">
        <v>49.12</v>
      </c>
      <c r="BI226">
        <v>14.67</v>
      </c>
      <c r="BJ226">
        <v>0</v>
      </c>
      <c r="BK226">
        <v>0</v>
      </c>
      <c r="BL226">
        <v>0</v>
      </c>
      <c r="BM226">
        <v>1.1000000000000001</v>
      </c>
      <c r="BN226">
        <v>1</v>
      </c>
      <c r="BO226">
        <v>0</v>
      </c>
      <c r="BP226" s="16">
        <v>4.3</v>
      </c>
      <c r="BQ226" s="16">
        <v>1</v>
      </c>
      <c r="BR226" s="16">
        <v>10.31</v>
      </c>
      <c r="BS226" s="16">
        <v>34.85</v>
      </c>
      <c r="BT226" s="16">
        <v>0</v>
      </c>
      <c r="BU226" s="16">
        <v>0</v>
      </c>
      <c r="BV226" s="16">
        <v>0</v>
      </c>
      <c r="BW226">
        <v>0</v>
      </c>
    </row>
    <row r="227" spans="1:75" x14ac:dyDescent="0.2">
      <c r="A227">
        <v>2</v>
      </c>
      <c r="B227">
        <v>25.880903490759799</v>
      </c>
      <c r="C227">
        <v>0.10951403148528401</v>
      </c>
      <c r="D227">
        <v>4</v>
      </c>
      <c r="E227">
        <v>68</v>
      </c>
      <c r="F227">
        <v>1.75</v>
      </c>
      <c r="G227">
        <v>22.2040816326531</v>
      </c>
      <c r="H227">
        <v>0</v>
      </c>
      <c r="I227">
        <v>0</v>
      </c>
      <c r="J227" s="19">
        <v>0</v>
      </c>
      <c r="K227" s="19">
        <v>0</v>
      </c>
      <c r="L227" s="19">
        <v>0</v>
      </c>
      <c r="M227" s="19">
        <v>0</v>
      </c>
      <c r="N227">
        <v>0</v>
      </c>
      <c r="O227" s="19">
        <v>0</v>
      </c>
      <c r="P227" s="19">
        <v>0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5">
        <f t="shared" si="8"/>
        <v>0</v>
      </c>
      <c r="W227" s="19">
        <v>1</v>
      </c>
      <c r="X227" s="19">
        <v>1</v>
      </c>
      <c r="Y227" s="19">
        <v>5</v>
      </c>
      <c r="Z227" s="19">
        <v>5</v>
      </c>
      <c r="AA227" s="19">
        <v>3</v>
      </c>
      <c r="AB227" s="19">
        <v>1</v>
      </c>
      <c r="AC227" s="19">
        <v>4</v>
      </c>
      <c r="AD227" s="19">
        <v>5</v>
      </c>
      <c r="AE227" s="19">
        <v>2</v>
      </c>
      <c r="AF227" s="19">
        <v>5</v>
      </c>
      <c r="AG227" s="19">
        <v>3</v>
      </c>
      <c r="AH227" s="19">
        <v>5</v>
      </c>
      <c r="AI227" s="19">
        <v>5</v>
      </c>
      <c r="AJ227" s="19">
        <v>5</v>
      </c>
      <c r="AK227" s="19">
        <v>1</v>
      </c>
      <c r="AL227" s="19">
        <v>5</v>
      </c>
      <c r="AM227" s="19">
        <v>5</v>
      </c>
      <c r="AN227" s="19">
        <v>4</v>
      </c>
      <c r="AO227" s="19">
        <v>5</v>
      </c>
      <c r="AP227" s="19">
        <v>10</v>
      </c>
      <c r="AQ227">
        <v>48.5</v>
      </c>
      <c r="AR227" s="16">
        <v>89.7</v>
      </c>
      <c r="AS227" s="16">
        <v>80.400000000000006</v>
      </c>
      <c r="AT227" s="16">
        <v>9.3000000000000007</v>
      </c>
      <c r="AU227">
        <v>100</v>
      </c>
      <c r="AV227" s="1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1.65</v>
      </c>
      <c r="BG227">
        <v>2.69</v>
      </c>
      <c r="BH227">
        <v>54.55</v>
      </c>
      <c r="BI227">
        <v>11.29</v>
      </c>
      <c r="BJ227">
        <v>0</v>
      </c>
      <c r="BK227">
        <v>0</v>
      </c>
      <c r="BL227">
        <v>0</v>
      </c>
      <c r="BM227">
        <v>30.6</v>
      </c>
      <c r="BN227">
        <v>1</v>
      </c>
      <c r="BO227">
        <v>0</v>
      </c>
      <c r="BP227" s="16">
        <v>3.34</v>
      </c>
      <c r="BQ227" s="16">
        <v>1</v>
      </c>
      <c r="BR227" s="16">
        <v>1.45</v>
      </c>
      <c r="BS227" s="16">
        <v>1.46</v>
      </c>
      <c r="BT227" s="16">
        <v>0</v>
      </c>
      <c r="BU227" s="16">
        <v>0</v>
      </c>
      <c r="BV227" s="16">
        <v>0</v>
      </c>
      <c r="BW227">
        <v>0</v>
      </c>
    </row>
    <row r="228" spans="1:75" x14ac:dyDescent="0.2">
      <c r="A228">
        <v>2</v>
      </c>
      <c r="B228">
        <v>36.136892539356602</v>
      </c>
      <c r="C228">
        <v>0.31759069130732398</v>
      </c>
      <c r="D228">
        <v>4</v>
      </c>
      <c r="E228">
        <v>75</v>
      </c>
      <c r="F228">
        <v>1.7</v>
      </c>
      <c r="G228">
        <v>25.951557093425599</v>
      </c>
      <c r="H228">
        <v>0</v>
      </c>
      <c r="I228">
        <v>0</v>
      </c>
      <c r="J228" s="19">
        <v>0</v>
      </c>
      <c r="K228" s="19">
        <v>0</v>
      </c>
      <c r="L228" s="19">
        <v>1</v>
      </c>
      <c r="M228" s="19">
        <v>0</v>
      </c>
      <c r="N228">
        <v>0</v>
      </c>
      <c r="O228" s="19">
        <v>0</v>
      </c>
      <c r="P228" s="19">
        <v>0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5">
        <f t="shared" si="8"/>
        <v>0</v>
      </c>
      <c r="W228" s="19">
        <v>2</v>
      </c>
      <c r="X228" s="19">
        <v>2</v>
      </c>
      <c r="Y228" s="19">
        <v>3</v>
      </c>
      <c r="Z228" s="19">
        <v>5</v>
      </c>
      <c r="AA228" s="19">
        <v>2</v>
      </c>
      <c r="AB228" s="19">
        <v>5</v>
      </c>
      <c r="AC228" s="19">
        <v>5</v>
      </c>
      <c r="AD228" s="19">
        <v>4</v>
      </c>
      <c r="AE228" s="19">
        <v>3</v>
      </c>
      <c r="AF228" s="19">
        <v>5</v>
      </c>
      <c r="AG228" s="19">
        <v>5</v>
      </c>
      <c r="AH228" s="19">
        <v>5</v>
      </c>
      <c r="AI228" s="19">
        <v>5</v>
      </c>
      <c r="AJ228" s="19">
        <v>5</v>
      </c>
      <c r="AK228" s="19">
        <v>5</v>
      </c>
      <c r="AL228" s="19">
        <v>5</v>
      </c>
      <c r="AM228" s="19">
        <v>5</v>
      </c>
      <c r="AN228" s="19">
        <v>5</v>
      </c>
      <c r="AO228" s="19">
        <v>4</v>
      </c>
      <c r="AP228" s="19">
        <v>10</v>
      </c>
      <c r="AQ228">
        <v>52.5</v>
      </c>
      <c r="AR228" s="16">
        <v>78.3</v>
      </c>
      <c r="AS228" s="16">
        <v>80.400000000000006</v>
      </c>
      <c r="AT228" s="16">
        <v>33.200000000000003</v>
      </c>
      <c r="AU228">
        <v>67.5</v>
      </c>
      <c r="AV228" s="17">
        <v>0</v>
      </c>
      <c r="AW228">
        <v>21.37</v>
      </c>
      <c r="AX228">
        <v>0</v>
      </c>
      <c r="AY228">
        <v>3.99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5.93</v>
      </c>
      <c r="BH228">
        <v>42.2</v>
      </c>
      <c r="BI228">
        <v>15.97</v>
      </c>
      <c r="BJ228">
        <v>7.14</v>
      </c>
      <c r="BK228">
        <v>0</v>
      </c>
      <c r="BL228">
        <v>0</v>
      </c>
      <c r="BM228">
        <v>1.7</v>
      </c>
      <c r="BN228">
        <v>1</v>
      </c>
      <c r="BO228">
        <v>0</v>
      </c>
      <c r="BP228" s="16">
        <v>1.04</v>
      </c>
      <c r="BQ228" s="16">
        <v>1</v>
      </c>
      <c r="BR228" s="16">
        <v>8.9</v>
      </c>
      <c r="BS228" s="16">
        <v>9.7899999999999991</v>
      </c>
      <c r="BT228" s="16">
        <v>2.99</v>
      </c>
      <c r="BU228" s="16">
        <v>4</v>
      </c>
      <c r="BV228" s="16">
        <v>3</v>
      </c>
      <c r="BW228">
        <v>0</v>
      </c>
    </row>
    <row r="229" spans="1:75" x14ac:dyDescent="0.2">
      <c r="A229">
        <v>2</v>
      </c>
      <c r="B229">
        <v>43.772758384668002</v>
      </c>
      <c r="C229">
        <v>0.17522245037645401</v>
      </c>
      <c r="D229">
        <v>4</v>
      </c>
      <c r="E229">
        <v>72</v>
      </c>
      <c r="F229">
        <v>1.6</v>
      </c>
      <c r="G229">
        <v>28.125</v>
      </c>
      <c r="H229">
        <v>0</v>
      </c>
      <c r="I229">
        <v>0</v>
      </c>
      <c r="J229" s="19">
        <v>0</v>
      </c>
      <c r="K229" s="19">
        <v>2</v>
      </c>
      <c r="L229" s="19">
        <v>0</v>
      </c>
      <c r="M229" s="19">
        <v>0</v>
      </c>
      <c r="N229">
        <v>0</v>
      </c>
      <c r="O229" s="19">
        <v>0</v>
      </c>
      <c r="P229" s="19">
        <v>0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5">
        <f t="shared" si="8"/>
        <v>0</v>
      </c>
      <c r="W229" s="19">
        <v>2</v>
      </c>
      <c r="X229" s="19">
        <v>2</v>
      </c>
      <c r="Y229" s="19">
        <v>2</v>
      </c>
      <c r="Z229" s="19">
        <v>5</v>
      </c>
      <c r="AA229" s="19">
        <v>2</v>
      </c>
      <c r="AB229" s="19">
        <v>2</v>
      </c>
      <c r="AC229" s="19">
        <v>2</v>
      </c>
      <c r="AD229" s="19">
        <v>4</v>
      </c>
      <c r="AE229" s="19">
        <v>5</v>
      </c>
      <c r="AF229" s="19"/>
      <c r="AG229" s="19">
        <v>5</v>
      </c>
      <c r="AH229" s="19">
        <v>5</v>
      </c>
      <c r="AI229" s="19">
        <v>5</v>
      </c>
      <c r="AJ229" s="19">
        <v>5</v>
      </c>
      <c r="AK229" s="19">
        <v>5</v>
      </c>
      <c r="AL229" s="19">
        <v>5</v>
      </c>
      <c r="AM229" s="19">
        <v>5</v>
      </c>
      <c r="AN229" s="19">
        <v>5</v>
      </c>
      <c r="AO229" s="19">
        <v>5</v>
      </c>
      <c r="AP229" s="19">
        <v>9</v>
      </c>
      <c r="AQ229">
        <v>21.5</v>
      </c>
      <c r="AR229" s="16">
        <v>54.9</v>
      </c>
      <c r="AS229" s="16">
        <v>80.400000000000006</v>
      </c>
      <c r="AT229" s="16">
        <v>17.899999999999999</v>
      </c>
      <c r="AU229">
        <v>90.61</v>
      </c>
      <c r="AV229" s="17">
        <v>0</v>
      </c>
      <c r="AW229">
        <v>0</v>
      </c>
      <c r="AX229">
        <v>2.4500000000000002</v>
      </c>
      <c r="AY229">
        <v>6.94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12.16</v>
      </c>
      <c r="BG229">
        <v>24.45</v>
      </c>
      <c r="BH229">
        <v>4.8</v>
      </c>
      <c r="BI229">
        <v>5.1100000000000003</v>
      </c>
      <c r="BJ229">
        <v>0</v>
      </c>
      <c r="BK229">
        <v>0</v>
      </c>
      <c r="BL229">
        <v>0</v>
      </c>
      <c r="BM229">
        <v>2.9</v>
      </c>
      <c r="BN229">
        <v>1</v>
      </c>
      <c r="BO229">
        <v>1</v>
      </c>
      <c r="BP229" s="16">
        <v>0</v>
      </c>
      <c r="BQ229" s="16">
        <v>0</v>
      </c>
      <c r="BR229" s="16">
        <v>0.67</v>
      </c>
      <c r="BS229" s="16">
        <v>0.65</v>
      </c>
      <c r="BT229" s="16">
        <v>0</v>
      </c>
      <c r="BU229" s="16">
        <v>0</v>
      </c>
      <c r="BV229" s="16">
        <v>0</v>
      </c>
      <c r="BW229">
        <v>0</v>
      </c>
    </row>
    <row r="230" spans="1:75" x14ac:dyDescent="0.2">
      <c r="A230">
        <v>1</v>
      </c>
      <c r="B230">
        <v>37.582477754962397</v>
      </c>
      <c r="C230">
        <v>0.32580424366872002</v>
      </c>
      <c r="D230">
        <v>4</v>
      </c>
      <c r="E230">
        <v>57</v>
      </c>
      <c r="F230">
        <v>1.6</v>
      </c>
      <c r="G230">
        <v>22.265625</v>
      </c>
      <c r="H230">
        <v>0</v>
      </c>
      <c r="I230">
        <v>0</v>
      </c>
      <c r="J230" s="19">
        <v>0</v>
      </c>
      <c r="K230" s="19">
        <v>0</v>
      </c>
      <c r="L230" s="19">
        <v>1</v>
      </c>
      <c r="M230" s="19"/>
      <c r="N230">
        <v>0</v>
      </c>
      <c r="O230" s="19">
        <v>0</v>
      </c>
      <c r="P230" s="19">
        <v>0</v>
      </c>
      <c r="Q230" s="19">
        <v>0</v>
      </c>
      <c r="R230" s="19">
        <v>0</v>
      </c>
      <c r="S230" s="19">
        <v>0</v>
      </c>
      <c r="T230" s="19"/>
      <c r="U230" s="19"/>
      <c r="V230" s="15">
        <f t="shared" si="8"/>
        <v>0</v>
      </c>
      <c r="W230" s="19">
        <v>1</v>
      </c>
      <c r="X230" s="19">
        <v>1</v>
      </c>
      <c r="Y230" s="19">
        <v>3</v>
      </c>
      <c r="Z230" s="19">
        <v>5</v>
      </c>
      <c r="AA230" s="19">
        <v>1</v>
      </c>
      <c r="AB230" s="19">
        <v>1</v>
      </c>
      <c r="AC230" s="19">
        <v>5</v>
      </c>
      <c r="AD230" s="19">
        <v>5</v>
      </c>
      <c r="AE230" s="19">
        <v>5</v>
      </c>
      <c r="AF230" s="19">
        <v>5</v>
      </c>
      <c r="AG230" s="19">
        <v>5</v>
      </c>
      <c r="AH230" s="19">
        <v>5</v>
      </c>
      <c r="AI230" s="19">
        <v>3</v>
      </c>
      <c r="AJ230" s="19">
        <v>3</v>
      </c>
      <c r="AK230" s="19">
        <v>5</v>
      </c>
      <c r="AL230" s="19">
        <v>4</v>
      </c>
      <c r="AM230" s="19">
        <v>4</v>
      </c>
      <c r="AN230" s="19">
        <v>5</v>
      </c>
      <c r="AO230" s="19">
        <v>5</v>
      </c>
      <c r="AP230" s="19">
        <v>10</v>
      </c>
      <c r="AQ230">
        <v>21.5</v>
      </c>
      <c r="AR230" s="16">
        <v>54.9</v>
      </c>
      <c r="AS230" s="16">
        <v>80.400000000000006</v>
      </c>
      <c r="AT230" s="16">
        <v>17.899999999999999</v>
      </c>
      <c r="AU230">
        <v>90.61</v>
      </c>
      <c r="AV230" s="17">
        <v>0</v>
      </c>
      <c r="AW230">
        <v>0</v>
      </c>
      <c r="AX230">
        <v>2.4500000000000002</v>
      </c>
      <c r="AY230">
        <v>6.94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12.16</v>
      </c>
      <c r="BG230">
        <v>24.45</v>
      </c>
      <c r="BH230">
        <v>4.8</v>
      </c>
      <c r="BI230">
        <v>5.1100000000000003</v>
      </c>
      <c r="BJ230">
        <v>0</v>
      </c>
      <c r="BK230">
        <v>0</v>
      </c>
      <c r="BL230">
        <v>0</v>
      </c>
      <c r="BM230">
        <v>2.9</v>
      </c>
      <c r="BN230">
        <v>1</v>
      </c>
      <c r="BO230">
        <v>1</v>
      </c>
      <c r="BP230" s="16">
        <v>0</v>
      </c>
      <c r="BQ230" s="16">
        <v>0</v>
      </c>
      <c r="BR230" s="16">
        <v>0.67</v>
      </c>
      <c r="BS230" s="16">
        <v>0.65</v>
      </c>
      <c r="BT230" s="16">
        <v>0</v>
      </c>
      <c r="BU230" s="16">
        <v>0</v>
      </c>
      <c r="BV230" s="16">
        <v>0</v>
      </c>
      <c r="BW230">
        <v>0</v>
      </c>
    </row>
    <row r="231" spans="1:75" x14ac:dyDescent="0.2">
      <c r="A231">
        <v>2</v>
      </c>
      <c r="B231">
        <v>32.093086926762503</v>
      </c>
      <c r="C231">
        <v>0.30663928815879499</v>
      </c>
      <c r="D231">
        <v>4</v>
      </c>
      <c r="E231">
        <v>65</v>
      </c>
      <c r="F231">
        <v>1.68</v>
      </c>
      <c r="G231">
        <v>23.030045351473898</v>
      </c>
      <c r="H231">
        <v>0</v>
      </c>
      <c r="I231">
        <v>0</v>
      </c>
      <c r="J231" s="19">
        <v>0</v>
      </c>
      <c r="K231" s="19">
        <v>0</v>
      </c>
      <c r="L231" s="19">
        <v>1</v>
      </c>
      <c r="M231" s="19">
        <v>0</v>
      </c>
      <c r="N231">
        <v>0</v>
      </c>
      <c r="O231" s="19">
        <v>0</v>
      </c>
      <c r="P231" s="19">
        <v>0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5">
        <f t="shared" si="8"/>
        <v>0</v>
      </c>
      <c r="W231" s="19">
        <v>1</v>
      </c>
      <c r="X231" s="19">
        <v>2</v>
      </c>
      <c r="Y231" s="19">
        <v>2</v>
      </c>
      <c r="Z231" s="19">
        <v>4</v>
      </c>
      <c r="AA231" s="19">
        <v>2</v>
      </c>
      <c r="AB231" s="19">
        <v>2</v>
      </c>
      <c r="AC231" s="19">
        <v>4</v>
      </c>
      <c r="AD231" s="19">
        <v>4</v>
      </c>
      <c r="AE231" s="19">
        <v>4</v>
      </c>
      <c r="AF231" s="19">
        <v>5</v>
      </c>
      <c r="AG231" s="19">
        <v>5</v>
      </c>
      <c r="AH231" s="19">
        <v>4</v>
      </c>
      <c r="AI231" s="19">
        <v>4</v>
      </c>
      <c r="AJ231" s="19">
        <v>5</v>
      </c>
      <c r="AK231" s="19">
        <v>5</v>
      </c>
      <c r="AL231" s="19">
        <v>5</v>
      </c>
      <c r="AM231" s="19">
        <v>5</v>
      </c>
      <c r="AN231" s="19">
        <v>4</v>
      </c>
      <c r="AO231" s="19">
        <v>4</v>
      </c>
      <c r="AP231" s="19">
        <v>8</v>
      </c>
      <c r="AQ231">
        <v>21.5</v>
      </c>
      <c r="AR231" s="16">
        <v>54.9</v>
      </c>
      <c r="AS231" s="16">
        <v>80.400000000000006</v>
      </c>
      <c r="AT231" s="16">
        <v>17.899999999999999</v>
      </c>
      <c r="AU231">
        <v>90.61</v>
      </c>
      <c r="AV231" s="17">
        <v>0</v>
      </c>
      <c r="AW231">
        <v>0</v>
      </c>
      <c r="AX231">
        <v>2.4500000000000002</v>
      </c>
      <c r="AY231">
        <v>6.94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12.16</v>
      </c>
      <c r="BG231">
        <v>24.45</v>
      </c>
      <c r="BH231">
        <v>4.8</v>
      </c>
      <c r="BI231">
        <v>5.1100000000000003</v>
      </c>
      <c r="BJ231">
        <v>0</v>
      </c>
      <c r="BK231">
        <v>0</v>
      </c>
      <c r="BL231">
        <v>0</v>
      </c>
      <c r="BM231">
        <v>2.9</v>
      </c>
      <c r="BN231">
        <v>1</v>
      </c>
      <c r="BO231">
        <v>1</v>
      </c>
      <c r="BP231" s="16">
        <v>0</v>
      </c>
      <c r="BQ231" s="16">
        <v>0</v>
      </c>
      <c r="BR231" s="16">
        <v>0.67</v>
      </c>
      <c r="BS231" s="16">
        <v>0.65</v>
      </c>
      <c r="BT231" s="16">
        <v>0</v>
      </c>
      <c r="BU231" s="16">
        <v>0</v>
      </c>
      <c r="BV231" s="16">
        <v>0</v>
      </c>
      <c r="BW231">
        <v>0</v>
      </c>
    </row>
    <row r="232" spans="1:75" x14ac:dyDescent="0.2">
      <c r="A232">
        <v>2</v>
      </c>
      <c r="B232">
        <v>28.7063655030801</v>
      </c>
      <c r="C232">
        <v>6.0479123887748099</v>
      </c>
      <c r="D232">
        <v>4</v>
      </c>
      <c r="E232">
        <v>87</v>
      </c>
      <c r="F232">
        <v>1.74</v>
      </c>
      <c r="G232">
        <v>28.735632183907999</v>
      </c>
      <c r="H232">
        <v>0</v>
      </c>
      <c r="I232">
        <v>0</v>
      </c>
      <c r="J232" s="19">
        <v>1</v>
      </c>
      <c r="K232" s="19">
        <v>3</v>
      </c>
      <c r="L232" s="19">
        <v>1</v>
      </c>
      <c r="M232" s="19">
        <v>0</v>
      </c>
      <c r="N232">
        <v>0</v>
      </c>
      <c r="O232" s="19">
        <v>5</v>
      </c>
      <c r="P232" s="19">
        <v>0</v>
      </c>
      <c r="Q232" s="19">
        <v>0</v>
      </c>
      <c r="R232" s="19">
        <v>6</v>
      </c>
      <c r="S232" s="19">
        <v>0</v>
      </c>
      <c r="T232" s="19">
        <v>0</v>
      </c>
      <c r="U232" s="19">
        <v>0</v>
      </c>
      <c r="V232" s="15">
        <f t="shared" si="8"/>
        <v>1.2222222222222223</v>
      </c>
      <c r="W232" s="19">
        <v>2</v>
      </c>
      <c r="X232" s="19">
        <v>2</v>
      </c>
      <c r="Y232" s="19">
        <v>3</v>
      </c>
      <c r="Z232" s="19">
        <v>5</v>
      </c>
      <c r="AA232" s="19">
        <v>4</v>
      </c>
      <c r="AB232" s="19">
        <v>3</v>
      </c>
      <c r="AC232" s="19">
        <v>4</v>
      </c>
      <c r="AD232" s="19">
        <v>4</v>
      </c>
      <c r="AE232" s="19">
        <v>5</v>
      </c>
      <c r="AF232" s="19">
        <v>3</v>
      </c>
      <c r="AG232" s="19">
        <v>4</v>
      </c>
      <c r="AH232" s="19">
        <v>4</v>
      </c>
      <c r="AI232" s="19">
        <v>4</v>
      </c>
      <c r="AJ232" s="19">
        <v>4</v>
      </c>
      <c r="AK232" s="19">
        <v>5</v>
      </c>
      <c r="AL232" s="19">
        <v>4</v>
      </c>
      <c r="AM232" s="19">
        <v>4</v>
      </c>
      <c r="AN232" s="19">
        <v>4</v>
      </c>
      <c r="AO232" s="19">
        <v>3</v>
      </c>
      <c r="AP232" s="19">
        <v>8</v>
      </c>
      <c r="AQ232">
        <v>21.5</v>
      </c>
      <c r="AR232" s="16">
        <v>54.9</v>
      </c>
      <c r="AS232" s="16">
        <v>80.400000000000006</v>
      </c>
      <c r="AT232" s="16">
        <v>17.899999999999999</v>
      </c>
      <c r="AU232">
        <v>90.61</v>
      </c>
      <c r="AV232" s="17">
        <v>0</v>
      </c>
      <c r="AW232">
        <v>0</v>
      </c>
      <c r="AX232">
        <v>2.4500000000000002</v>
      </c>
      <c r="AY232">
        <v>6.94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12.16</v>
      </c>
      <c r="BG232">
        <v>24.45</v>
      </c>
      <c r="BH232">
        <v>4.8</v>
      </c>
      <c r="BI232">
        <v>5.1100000000000003</v>
      </c>
      <c r="BJ232">
        <v>0</v>
      </c>
      <c r="BK232">
        <v>0</v>
      </c>
      <c r="BL232">
        <v>0</v>
      </c>
      <c r="BM232">
        <v>2.9</v>
      </c>
      <c r="BN232">
        <v>1</v>
      </c>
      <c r="BO232">
        <v>1</v>
      </c>
      <c r="BP232" s="16">
        <v>0</v>
      </c>
      <c r="BQ232" s="16">
        <v>0</v>
      </c>
      <c r="BR232" s="16">
        <v>0.67</v>
      </c>
      <c r="BS232" s="16">
        <v>0.65</v>
      </c>
      <c r="BT232" s="16">
        <v>0</v>
      </c>
      <c r="BU232" s="16">
        <v>0</v>
      </c>
      <c r="BV232" s="16">
        <v>0</v>
      </c>
      <c r="BW232">
        <v>0</v>
      </c>
    </row>
    <row r="233" spans="1:75" x14ac:dyDescent="0.2">
      <c r="A233">
        <v>1</v>
      </c>
      <c r="B233">
        <v>29.9794661190965</v>
      </c>
      <c r="C233">
        <v>0.28747433264887101</v>
      </c>
      <c r="D233">
        <v>4</v>
      </c>
      <c r="E233">
        <v>57</v>
      </c>
      <c r="F233">
        <v>1.61</v>
      </c>
      <c r="G233">
        <v>21.9898923652637</v>
      </c>
      <c r="H233">
        <v>0</v>
      </c>
      <c r="I233">
        <v>0</v>
      </c>
      <c r="J233" s="19">
        <v>0</v>
      </c>
      <c r="K233" s="19">
        <v>0</v>
      </c>
      <c r="L233" s="19">
        <v>1</v>
      </c>
      <c r="M233" s="19">
        <v>0</v>
      </c>
      <c r="N233">
        <v>0</v>
      </c>
      <c r="O233" s="19">
        <v>0</v>
      </c>
      <c r="P233" s="19">
        <v>0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5">
        <f t="shared" si="8"/>
        <v>0</v>
      </c>
      <c r="W233" s="19">
        <v>1</v>
      </c>
      <c r="X233" s="19">
        <v>1</v>
      </c>
      <c r="Y233" s="19">
        <v>3</v>
      </c>
      <c r="Z233" s="19">
        <v>4</v>
      </c>
      <c r="AA233" s="19">
        <v>1</v>
      </c>
      <c r="AB233" s="19">
        <v>1</v>
      </c>
      <c r="AC233" s="19">
        <v>2</v>
      </c>
      <c r="AD233" s="19">
        <v>3</v>
      </c>
      <c r="AE233" s="19">
        <v>3</v>
      </c>
      <c r="AF233" s="19">
        <v>3</v>
      </c>
      <c r="AG233" s="19">
        <v>3</v>
      </c>
      <c r="AH233" s="19">
        <v>5</v>
      </c>
      <c r="AI233" s="19">
        <v>3</v>
      </c>
      <c r="AJ233" s="19">
        <v>3</v>
      </c>
      <c r="AK233" s="19">
        <v>4</v>
      </c>
      <c r="AL233" s="19">
        <v>5</v>
      </c>
      <c r="AM233" s="19">
        <v>3</v>
      </c>
      <c r="AN233" s="19">
        <v>3</v>
      </c>
      <c r="AO233" s="19">
        <v>4</v>
      </c>
      <c r="AP233" s="19">
        <v>10</v>
      </c>
      <c r="AQ233">
        <v>21.5</v>
      </c>
      <c r="AR233" s="16">
        <v>54.9</v>
      </c>
      <c r="AS233" s="16">
        <v>80.400000000000006</v>
      </c>
      <c r="AT233" s="16">
        <v>17.899999999999999</v>
      </c>
      <c r="AU233">
        <v>90.61</v>
      </c>
      <c r="AV233" s="17">
        <v>0</v>
      </c>
      <c r="AW233">
        <v>0</v>
      </c>
      <c r="AX233">
        <v>2.4500000000000002</v>
      </c>
      <c r="AY233">
        <v>6.94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12.16</v>
      </c>
      <c r="BG233">
        <v>24.45</v>
      </c>
      <c r="BH233">
        <v>4.8</v>
      </c>
      <c r="BI233">
        <v>5.1100000000000003</v>
      </c>
      <c r="BJ233">
        <v>0</v>
      </c>
      <c r="BK233">
        <v>0</v>
      </c>
      <c r="BL233">
        <v>0</v>
      </c>
      <c r="BM233">
        <v>2.9</v>
      </c>
      <c r="BN233">
        <v>1</v>
      </c>
      <c r="BO233">
        <v>1</v>
      </c>
      <c r="BP233" s="16">
        <v>0</v>
      </c>
      <c r="BQ233" s="16">
        <v>0</v>
      </c>
      <c r="BR233" s="16">
        <v>0.67</v>
      </c>
      <c r="BS233" s="16">
        <v>0.65</v>
      </c>
      <c r="BT233" s="16">
        <v>0</v>
      </c>
      <c r="BU233" s="16">
        <v>0</v>
      </c>
      <c r="BV233" s="16">
        <v>0</v>
      </c>
      <c r="BW233">
        <v>0</v>
      </c>
    </row>
    <row r="234" spans="1:75" x14ac:dyDescent="0.2">
      <c r="A234">
        <v>1</v>
      </c>
      <c r="B234">
        <v>50.932238193018499</v>
      </c>
      <c r="C234">
        <v>6.5626283367556502</v>
      </c>
      <c r="D234">
        <v>8</v>
      </c>
      <c r="E234">
        <v>83</v>
      </c>
      <c r="F234">
        <v>1.66</v>
      </c>
      <c r="G234">
        <v>30.120481927710799</v>
      </c>
      <c r="H234">
        <v>0</v>
      </c>
      <c r="I234">
        <v>0</v>
      </c>
      <c r="J234" s="19">
        <v>0</v>
      </c>
      <c r="K234" s="19">
        <v>0</v>
      </c>
      <c r="L234" s="19">
        <v>0</v>
      </c>
      <c r="M234" s="19"/>
      <c r="N234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2</v>
      </c>
      <c r="V234" s="15">
        <f t="shared" si="8"/>
        <v>0.25</v>
      </c>
      <c r="W234" s="19">
        <v>3</v>
      </c>
      <c r="X234" s="19">
        <v>2</v>
      </c>
      <c r="Y234" s="19">
        <v>2</v>
      </c>
      <c r="Z234" s="19">
        <v>4</v>
      </c>
      <c r="AA234" s="19">
        <v>3</v>
      </c>
      <c r="AB234" s="19">
        <v>1</v>
      </c>
      <c r="AC234" s="19">
        <v>1</v>
      </c>
      <c r="AD234" s="19">
        <v>3</v>
      </c>
      <c r="AE234" s="19">
        <v>1</v>
      </c>
      <c r="AF234" s="19">
        <v>1</v>
      </c>
      <c r="AG234" s="19">
        <v>3</v>
      </c>
      <c r="AH234" s="19">
        <v>5</v>
      </c>
      <c r="AI234" s="19">
        <v>3</v>
      </c>
      <c r="AJ234" s="19">
        <v>3</v>
      </c>
      <c r="AK234" s="19">
        <v>3</v>
      </c>
      <c r="AL234" s="19">
        <v>5</v>
      </c>
      <c r="AM234" s="19">
        <v>2</v>
      </c>
      <c r="AN234" s="19">
        <v>3</v>
      </c>
      <c r="AO234" s="19">
        <v>3</v>
      </c>
      <c r="AP234" s="19">
        <v>5</v>
      </c>
      <c r="AQ234">
        <v>35</v>
      </c>
      <c r="AR234" s="16">
        <v>78.8</v>
      </c>
      <c r="AS234" s="16">
        <v>80.400000000000006</v>
      </c>
      <c r="AT234" s="16">
        <v>17.2</v>
      </c>
      <c r="AU234">
        <v>72.069999999999993</v>
      </c>
      <c r="AV234">
        <v>11.09</v>
      </c>
      <c r="AW234">
        <v>1.1200000000000001</v>
      </c>
      <c r="AX234">
        <v>0</v>
      </c>
      <c r="AY234">
        <v>15.71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1.66</v>
      </c>
      <c r="BH234">
        <v>34.99</v>
      </c>
      <c r="BI234">
        <v>0</v>
      </c>
      <c r="BJ234">
        <v>0</v>
      </c>
      <c r="BK234">
        <v>0</v>
      </c>
      <c r="BL234">
        <v>0</v>
      </c>
      <c r="BM234">
        <v>11.2</v>
      </c>
      <c r="BN234">
        <v>1</v>
      </c>
      <c r="BO234">
        <v>0</v>
      </c>
      <c r="BP234" s="16">
        <v>0</v>
      </c>
      <c r="BQ234" s="16">
        <v>0</v>
      </c>
      <c r="BR234" s="16">
        <v>6.16</v>
      </c>
      <c r="BS234" s="16">
        <v>7.21</v>
      </c>
      <c r="BT234" s="16">
        <v>0</v>
      </c>
      <c r="BU234" s="16">
        <v>0</v>
      </c>
      <c r="BV234" s="16">
        <v>0</v>
      </c>
      <c r="BW234">
        <v>0</v>
      </c>
    </row>
    <row r="235" spans="1:75" x14ac:dyDescent="0.2">
      <c r="A235">
        <v>2</v>
      </c>
      <c r="B235">
        <v>51.843942505133498</v>
      </c>
      <c r="C235">
        <v>16.1095140314853</v>
      </c>
      <c r="D235">
        <v>8</v>
      </c>
      <c r="E235">
        <v>85</v>
      </c>
      <c r="F235">
        <v>1.84</v>
      </c>
      <c r="G235">
        <v>25.106332703213599</v>
      </c>
      <c r="H235">
        <v>0</v>
      </c>
      <c r="I235">
        <v>0</v>
      </c>
      <c r="J235" s="19">
        <v>0</v>
      </c>
      <c r="K235" s="19">
        <v>0</v>
      </c>
      <c r="L235" s="19">
        <v>0</v>
      </c>
      <c r="M235" s="19">
        <v>0</v>
      </c>
      <c r="O235" s="19"/>
      <c r="P235" s="19"/>
      <c r="Q235" s="19"/>
      <c r="R235" s="19"/>
      <c r="S235" s="19"/>
      <c r="T235" s="19"/>
      <c r="U235" s="19"/>
      <c r="V235" s="15">
        <f t="shared" si="8"/>
        <v>0</v>
      </c>
      <c r="W235" s="19">
        <v>4</v>
      </c>
      <c r="X235" s="19">
        <v>2</v>
      </c>
      <c r="Y235" s="19">
        <v>5</v>
      </c>
      <c r="Z235" s="19">
        <v>4</v>
      </c>
      <c r="AA235" s="19">
        <v>3</v>
      </c>
      <c r="AB235" s="19">
        <v>1</v>
      </c>
      <c r="AC235" s="19">
        <v>4</v>
      </c>
      <c r="AD235" s="19">
        <v>4</v>
      </c>
      <c r="AE235" s="19">
        <v>2</v>
      </c>
      <c r="AF235" s="19">
        <v>4</v>
      </c>
      <c r="AG235" s="19">
        <v>2</v>
      </c>
      <c r="AH235" s="19">
        <v>5</v>
      </c>
      <c r="AI235" s="19">
        <v>2</v>
      </c>
      <c r="AJ235" s="19">
        <v>5</v>
      </c>
      <c r="AK235" s="19">
        <v>5</v>
      </c>
      <c r="AL235" s="19">
        <v>5</v>
      </c>
      <c r="AM235" s="19">
        <v>5</v>
      </c>
      <c r="AN235" s="19">
        <v>5</v>
      </c>
      <c r="AO235" s="19">
        <v>3</v>
      </c>
      <c r="AP235" s="19">
        <v>8</v>
      </c>
      <c r="AQ235">
        <v>35</v>
      </c>
      <c r="AR235" s="16">
        <v>78.8</v>
      </c>
      <c r="AS235" s="16">
        <v>80.400000000000006</v>
      </c>
      <c r="AT235" s="16">
        <v>17.2</v>
      </c>
      <c r="AU235">
        <v>72.069999999999993</v>
      </c>
      <c r="AV235">
        <v>11.09</v>
      </c>
      <c r="AW235">
        <v>1.1200000000000001</v>
      </c>
      <c r="AX235">
        <v>0</v>
      </c>
      <c r="AY235">
        <v>15.71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1.66</v>
      </c>
      <c r="BH235">
        <v>34.99</v>
      </c>
      <c r="BI235">
        <v>0</v>
      </c>
      <c r="BJ235">
        <v>0</v>
      </c>
      <c r="BK235">
        <v>0</v>
      </c>
      <c r="BL235">
        <v>0</v>
      </c>
      <c r="BM235">
        <v>11.2</v>
      </c>
      <c r="BN235">
        <v>1</v>
      </c>
      <c r="BO235">
        <v>0</v>
      </c>
      <c r="BP235" s="16">
        <v>0</v>
      </c>
      <c r="BQ235" s="16">
        <v>0</v>
      </c>
      <c r="BR235" s="16">
        <v>6.16</v>
      </c>
      <c r="BS235" s="16">
        <v>7.21</v>
      </c>
      <c r="BT235" s="16">
        <v>0</v>
      </c>
      <c r="BU235" s="16">
        <v>0</v>
      </c>
      <c r="BV235" s="16">
        <v>0</v>
      </c>
      <c r="BW235">
        <v>0</v>
      </c>
    </row>
    <row r="236" spans="1:75" x14ac:dyDescent="0.2">
      <c r="A236">
        <v>2</v>
      </c>
      <c r="B236">
        <v>42.154688569473002</v>
      </c>
      <c r="C236">
        <v>21.207392197125301</v>
      </c>
      <c r="D236">
        <v>8</v>
      </c>
      <c r="E236">
        <v>105</v>
      </c>
      <c r="F236">
        <v>1.78</v>
      </c>
      <c r="G236">
        <v>33.139755081429101</v>
      </c>
      <c r="H236">
        <v>0</v>
      </c>
      <c r="I236">
        <v>0</v>
      </c>
      <c r="J236" s="19">
        <v>1</v>
      </c>
      <c r="K236" s="19">
        <v>0</v>
      </c>
      <c r="L236" s="19">
        <v>1</v>
      </c>
      <c r="M236" s="19">
        <v>0</v>
      </c>
      <c r="N236">
        <v>0</v>
      </c>
      <c r="O236" s="19">
        <v>0</v>
      </c>
      <c r="P236" s="19">
        <v>0</v>
      </c>
      <c r="Q236" s="19">
        <v>0</v>
      </c>
      <c r="R236" s="19">
        <v>0</v>
      </c>
      <c r="S236" s="19">
        <v>0</v>
      </c>
      <c r="T236" s="19">
        <v>0</v>
      </c>
      <c r="U236" s="19">
        <v>0</v>
      </c>
      <c r="V236" s="15">
        <f t="shared" si="8"/>
        <v>0</v>
      </c>
      <c r="W236" s="19">
        <v>3</v>
      </c>
      <c r="X236" s="19">
        <v>2</v>
      </c>
      <c r="Y236" s="19">
        <v>2</v>
      </c>
      <c r="Z236" s="19">
        <v>5</v>
      </c>
      <c r="AA236" s="19">
        <v>3</v>
      </c>
      <c r="AB236" s="19">
        <v>1</v>
      </c>
      <c r="AC236" s="19">
        <v>4</v>
      </c>
      <c r="AD236" s="19">
        <v>4</v>
      </c>
      <c r="AE236" s="19">
        <v>4</v>
      </c>
      <c r="AF236" s="19">
        <v>2</v>
      </c>
      <c r="AG236" s="19">
        <v>5</v>
      </c>
      <c r="AH236" s="19">
        <v>5</v>
      </c>
      <c r="AI236" s="19">
        <v>4</v>
      </c>
      <c r="AJ236" s="19">
        <v>5</v>
      </c>
      <c r="AK236" s="19">
        <v>4</v>
      </c>
      <c r="AL236" s="19">
        <v>5</v>
      </c>
      <c r="AM236" s="19">
        <v>5</v>
      </c>
      <c r="AN236" s="19">
        <v>4</v>
      </c>
      <c r="AO236" s="19">
        <v>2</v>
      </c>
      <c r="AP236" s="19">
        <v>5</v>
      </c>
      <c r="AQ236">
        <v>35</v>
      </c>
      <c r="AR236" s="16">
        <v>78.8</v>
      </c>
      <c r="AS236" s="16">
        <v>80.400000000000006</v>
      </c>
      <c r="AT236" s="16">
        <v>17.2</v>
      </c>
      <c r="AU236">
        <v>72.069999999999993</v>
      </c>
      <c r="AV236">
        <v>11.09</v>
      </c>
      <c r="AW236">
        <v>1.1200000000000001</v>
      </c>
      <c r="AX236">
        <v>0</v>
      </c>
      <c r="AY236">
        <v>15.71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1.66</v>
      </c>
      <c r="BH236">
        <v>34.99</v>
      </c>
      <c r="BI236">
        <v>0</v>
      </c>
      <c r="BJ236">
        <v>0</v>
      </c>
      <c r="BK236">
        <v>0</v>
      </c>
      <c r="BL236">
        <v>0</v>
      </c>
      <c r="BM236">
        <v>11.2</v>
      </c>
      <c r="BN236">
        <v>1</v>
      </c>
      <c r="BO236">
        <v>0</v>
      </c>
      <c r="BP236" s="16">
        <v>0</v>
      </c>
      <c r="BQ236" s="16">
        <v>0</v>
      </c>
      <c r="BR236" s="16">
        <v>6.16</v>
      </c>
      <c r="BS236" s="16">
        <v>7.21</v>
      </c>
      <c r="BT236" s="16">
        <v>0</v>
      </c>
      <c r="BU236" s="16">
        <v>0</v>
      </c>
      <c r="BV236" s="16">
        <v>0</v>
      </c>
      <c r="BW236">
        <v>0</v>
      </c>
    </row>
    <row r="237" spans="1:75" x14ac:dyDescent="0.2">
      <c r="A237">
        <v>2</v>
      </c>
      <c r="B237">
        <v>21.973990417522199</v>
      </c>
      <c r="C237">
        <v>0.29568788501026699</v>
      </c>
      <c r="D237">
        <v>8</v>
      </c>
      <c r="E237">
        <v>60</v>
      </c>
      <c r="F237">
        <v>1.74</v>
      </c>
      <c r="G237">
        <v>19.817677368212401</v>
      </c>
      <c r="H237">
        <v>0</v>
      </c>
      <c r="I237">
        <v>0</v>
      </c>
      <c r="J237" s="19">
        <v>0</v>
      </c>
      <c r="K237" s="19">
        <v>1</v>
      </c>
      <c r="L237" s="19">
        <v>0</v>
      </c>
      <c r="M237" s="19">
        <v>0</v>
      </c>
      <c r="N237">
        <v>0</v>
      </c>
      <c r="O237" s="19">
        <v>0</v>
      </c>
      <c r="P237" s="19">
        <v>0</v>
      </c>
      <c r="Q237" s="19">
        <v>0</v>
      </c>
      <c r="R237" s="19">
        <v>0</v>
      </c>
      <c r="S237" s="19">
        <v>0</v>
      </c>
      <c r="T237" s="19">
        <v>0</v>
      </c>
      <c r="U237" s="19">
        <v>0</v>
      </c>
      <c r="V237" s="15">
        <f t="shared" si="8"/>
        <v>0</v>
      </c>
      <c r="W237" s="19">
        <v>2</v>
      </c>
      <c r="X237" s="19">
        <v>2</v>
      </c>
      <c r="Y237" s="19">
        <v>3</v>
      </c>
      <c r="Z237" s="19">
        <v>1</v>
      </c>
      <c r="AA237" s="19">
        <v>1</v>
      </c>
      <c r="AB237" s="19">
        <v>1</v>
      </c>
      <c r="AC237" s="19">
        <v>3</v>
      </c>
      <c r="AD237" s="19">
        <v>3</v>
      </c>
      <c r="AE237" s="19">
        <v>3</v>
      </c>
      <c r="AF237" s="19">
        <v>4</v>
      </c>
      <c r="AG237" s="19">
        <v>4</v>
      </c>
      <c r="AH237" s="19">
        <v>4</v>
      </c>
      <c r="AI237" s="19">
        <v>3</v>
      </c>
      <c r="AJ237" s="19">
        <v>4</v>
      </c>
      <c r="AK237" s="19">
        <v>4</v>
      </c>
      <c r="AL237" s="19">
        <v>5</v>
      </c>
      <c r="AM237" s="19">
        <v>4</v>
      </c>
      <c r="AN237" s="19">
        <v>4</v>
      </c>
      <c r="AO237" s="19">
        <v>4</v>
      </c>
      <c r="AP237" s="19">
        <v>8</v>
      </c>
      <c r="AQ237">
        <v>35</v>
      </c>
      <c r="AR237" s="16">
        <v>78.8</v>
      </c>
      <c r="AS237" s="16">
        <v>80.400000000000006</v>
      </c>
      <c r="AT237" s="16">
        <v>17.2</v>
      </c>
      <c r="AU237">
        <v>72.069999999999993</v>
      </c>
      <c r="AV237">
        <v>11.09</v>
      </c>
      <c r="AW237">
        <v>1.1200000000000001</v>
      </c>
      <c r="AX237">
        <v>0</v>
      </c>
      <c r="AY237">
        <v>15.71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1.66</v>
      </c>
      <c r="BH237">
        <v>34.99</v>
      </c>
      <c r="BI237">
        <v>0</v>
      </c>
      <c r="BJ237">
        <v>0</v>
      </c>
      <c r="BK237">
        <v>0</v>
      </c>
      <c r="BL237">
        <v>0</v>
      </c>
      <c r="BM237">
        <v>11.2</v>
      </c>
      <c r="BN237">
        <v>1</v>
      </c>
      <c r="BO237">
        <v>0</v>
      </c>
      <c r="BP237" s="16">
        <v>0</v>
      </c>
      <c r="BQ237" s="16">
        <v>0</v>
      </c>
      <c r="BR237" s="16">
        <v>6.16</v>
      </c>
      <c r="BS237" s="16">
        <v>7.21</v>
      </c>
      <c r="BT237" s="16">
        <v>0</v>
      </c>
      <c r="BU237" s="16">
        <v>0</v>
      </c>
      <c r="BV237" s="16">
        <v>0</v>
      </c>
      <c r="BW237">
        <v>0</v>
      </c>
    </row>
    <row r="238" spans="1:75" x14ac:dyDescent="0.2">
      <c r="A238">
        <v>2</v>
      </c>
      <c r="B238">
        <v>26.691307323750902</v>
      </c>
      <c r="C238">
        <v>0.34496919917864499</v>
      </c>
      <c r="D238">
        <v>8</v>
      </c>
      <c r="E238">
        <v>60</v>
      </c>
      <c r="F238">
        <v>1.78</v>
      </c>
      <c r="G238">
        <v>18.9370029036738</v>
      </c>
      <c r="H238">
        <v>0</v>
      </c>
      <c r="I238">
        <v>0</v>
      </c>
      <c r="J238" s="19">
        <v>0</v>
      </c>
      <c r="K238" s="19">
        <v>3</v>
      </c>
      <c r="L238" s="19">
        <v>0</v>
      </c>
      <c r="M238" s="19">
        <v>0</v>
      </c>
      <c r="N238">
        <v>0</v>
      </c>
      <c r="O238" s="19">
        <v>0</v>
      </c>
      <c r="P238" s="19">
        <v>0</v>
      </c>
      <c r="Q238" s="19">
        <v>0</v>
      </c>
      <c r="R238" s="19">
        <v>0</v>
      </c>
      <c r="S238" s="19">
        <v>0</v>
      </c>
      <c r="T238" s="19">
        <v>0</v>
      </c>
      <c r="U238" s="19">
        <v>0</v>
      </c>
      <c r="V238" s="15">
        <f t="shared" si="8"/>
        <v>0</v>
      </c>
      <c r="W238" s="19">
        <v>1</v>
      </c>
      <c r="X238" s="19">
        <v>2</v>
      </c>
      <c r="Y238" s="19">
        <v>5</v>
      </c>
      <c r="Z238" s="19">
        <v>2</v>
      </c>
      <c r="AA238" s="19">
        <v>5</v>
      </c>
      <c r="AB238" s="19">
        <v>5</v>
      </c>
      <c r="AC238" s="19">
        <v>5</v>
      </c>
      <c r="AD238" s="19">
        <v>5</v>
      </c>
      <c r="AE238" s="19">
        <v>5</v>
      </c>
      <c r="AF238" s="19">
        <v>5</v>
      </c>
      <c r="AG238" s="19">
        <v>5</v>
      </c>
      <c r="AH238" s="19">
        <v>5</v>
      </c>
      <c r="AI238" s="19">
        <v>5</v>
      </c>
      <c r="AJ238" s="19">
        <v>5</v>
      </c>
      <c r="AK238" s="19">
        <v>5</v>
      </c>
      <c r="AL238" s="19">
        <v>5</v>
      </c>
      <c r="AM238" s="19">
        <v>5</v>
      </c>
      <c r="AN238" s="19">
        <v>5</v>
      </c>
      <c r="AO238" s="19">
        <v>5</v>
      </c>
      <c r="AP238" s="19">
        <v>10</v>
      </c>
      <c r="AQ238">
        <v>35</v>
      </c>
      <c r="AR238" s="16">
        <v>78.8</v>
      </c>
      <c r="AS238" s="16">
        <v>80.400000000000006</v>
      </c>
      <c r="AT238" s="16">
        <v>17.2</v>
      </c>
      <c r="AU238">
        <v>72.069999999999993</v>
      </c>
      <c r="AV238">
        <v>11.09</v>
      </c>
      <c r="AW238">
        <v>1.1200000000000001</v>
      </c>
      <c r="AX238">
        <v>0</v>
      </c>
      <c r="AY238">
        <v>15.71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1.66</v>
      </c>
      <c r="BH238">
        <v>34.99</v>
      </c>
      <c r="BI238">
        <v>0</v>
      </c>
      <c r="BJ238">
        <v>0</v>
      </c>
      <c r="BK238">
        <v>0</v>
      </c>
      <c r="BL238">
        <v>0</v>
      </c>
      <c r="BM238">
        <v>11.2</v>
      </c>
      <c r="BN238">
        <v>1</v>
      </c>
      <c r="BO238">
        <v>0</v>
      </c>
      <c r="BP238" s="16">
        <v>0</v>
      </c>
      <c r="BQ238" s="16">
        <v>0</v>
      </c>
      <c r="BR238" s="16">
        <v>6.16</v>
      </c>
      <c r="BS238" s="16">
        <v>7.21</v>
      </c>
      <c r="BT238" s="16">
        <v>0</v>
      </c>
      <c r="BU238" s="16">
        <v>0</v>
      </c>
      <c r="BV238" s="16">
        <v>0</v>
      </c>
      <c r="BW238">
        <v>0</v>
      </c>
    </row>
    <row r="239" spans="1:75" x14ac:dyDescent="0.2">
      <c r="A239">
        <v>2</v>
      </c>
      <c r="B239">
        <v>31.8193018480493</v>
      </c>
      <c r="C239">
        <v>10.5872689938398</v>
      </c>
      <c r="D239">
        <v>8</v>
      </c>
      <c r="H239">
        <v>0</v>
      </c>
      <c r="I239">
        <v>0</v>
      </c>
      <c r="J239" s="19">
        <v>1</v>
      </c>
      <c r="K239" s="19">
        <v>2</v>
      </c>
      <c r="L239" s="19">
        <v>0</v>
      </c>
      <c r="M239" s="19">
        <v>0</v>
      </c>
      <c r="N239">
        <v>0</v>
      </c>
      <c r="O239" s="19">
        <v>0</v>
      </c>
      <c r="P239" s="19">
        <v>0</v>
      </c>
      <c r="Q239" s="19">
        <v>0</v>
      </c>
      <c r="R239" s="19">
        <v>0</v>
      </c>
      <c r="S239" s="19">
        <v>0</v>
      </c>
      <c r="T239" s="19">
        <v>0</v>
      </c>
      <c r="U239" s="19">
        <v>4</v>
      </c>
      <c r="V239" s="15">
        <f t="shared" si="8"/>
        <v>0.44444444444444442</v>
      </c>
      <c r="W239" s="19">
        <v>3</v>
      </c>
      <c r="X239" s="19">
        <v>2</v>
      </c>
      <c r="Y239" s="19">
        <v>2</v>
      </c>
      <c r="Z239" s="19">
        <v>5</v>
      </c>
      <c r="AA239" s="19">
        <v>2</v>
      </c>
      <c r="AB239" s="19">
        <v>5</v>
      </c>
      <c r="AC239" s="19">
        <v>3</v>
      </c>
      <c r="AD239" s="19">
        <v>5</v>
      </c>
      <c r="AE239" s="19">
        <v>3</v>
      </c>
      <c r="AF239" s="19">
        <v>4</v>
      </c>
      <c r="AG239" s="19">
        <v>4</v>
      </c>
      <c r="AH239" s="19">
        <v>5</v>
      </c>
      <c r="AI239" s="19">
        <v>1</v>
      </c>
      <c r="AJ239" s="19">
        <v>4</v>
      </c>
      <c r="AK239" s="19">
        <v>4</v>
      </c>
      <c r="AL239" s="19">
        <v>5</v>
      </c>
      <c r="AM239" s="19">
        <v>3</v>
      </c>
      <c r="AN239" s="19">
        <v>3</v>
      </c>
      <c r="AO239" s="19">
        <v>4</v>
      </c>
      <c r="AP239" s="19"/>
      <c r="AQ239">
        <v>35</v>
      </c>
      <c r="AR239" s="16">
        <v>78.8</v>
      </c>
      <c r="AS239" s="16">
        <v>80.400000000000006</v>
      </c>
      <c r="AT239" s="16">
        <v>17.2</v>
      </c>
      <c r="AU239">
        <v>72.069999999999993</v>
      </c>
      <c r="AV239">
        <v>11.09</v>
      </c>
      <c r="AW239">
        <v>1.1200000000000001</v>
      </c>
      <c r="AX239">
        <v>0</v>
      </c>
      <c r="AY239">
        <v>15.71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1.66</v>
      </c>
      <c r="BH239">
        <v>34.99</v>
      </c>
      <c r="BI239">
        <v>0</v>
      </c>
      <c r="BJ239">
        <v>0</v>
      </c>
      <c r="BK239">
        <v>0</v>
      </c>
      <c r="BL239">
        <v>0</v>
      </c>
      <c r="BM239">
        <v>11.2</v>
      </c>
      <c r="BN239">
        <v>1</v>
      </c>
      <c r="BO239">
        <v>0</v>
      </c>
      <c r="BP239" s="16">
        <v>0</v>
      </c>
      <c r="BQ239" s="16">
        <v>0</v>
      </c>
      <c r="BR239" s="16">
        <v>6.16</v>
      </c>
      <c r="BS239" s="16">
        <v>7.21</v>
      </c>
      <c r="BT239" s="16">
        <v>0</v>
      </c>
      <c r="BU239" s="16">
        <v>0</v>
      </c>
      <c r="BV239" s="16">
        <v>0</v>
      </c>
      <c r="BW239">
        <v>0</v>
      </c>
    </row>
    <row r="240" spans="1:75" x14ac:dyDescent="0.2">
      <c r="A240" s="24">
        <v>2</v>
      </c>
      <c r="B240">
        <v>19.712525667351098</v>
      </c>
      <c r="C240">
        <v>0.27652292950034202</v>
      </c>
      <c r="D240">
        <v>8</v>
      </c>
      <c r="E240">
        <v>68</v>
      </c>
      <c r="F240">
        <v>1.87</v>
      </c>
      <c r="G240">
        <v>19.445794846864398</v>
      </c>
      <c r="H240">
        <v>0</v>
      </c>
      <c r="I240">
        <v>0</v>
      </c>
      <c r="J240" s="26">
        <v>0</v>
      </c>
      <c r="K240" s="26">
        <v>0</v>
      </c>
      <c r="L240" s="26">
        <v>0</v>
      </c>
      <c r="M240" s="26">
        <v>0</v>
      </c>
      <c r="N240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19">
        <v>0</v>
      </c>
      <c r="U240" s="26">
        <v>0</v>
      </c>
      <c r="V240" s="15">
        <f t="shared" si="8"/>
        <v>0</v>
      </c>
      <c r="W240" s="26">
        <v>1</v>
      </c>
      <c r="X240" s="26">
        <v>1</v>
      </c>
      <c r="Y240" s="26">
        <v>1</v>
      </c>
      <c r="Z240" s="26">
        <v>5</v>
      </c>
      <c r="AA240" s="26">
        <v>2</v>
      </c>
      <c r="AB240" s="26">
        <v>1</v>
      </c>
      <c r="AC240" s="26">
        <v>3</v>
      </c>
      <c r="AD240" s="26">
        <v>5</v>
      </c>
      <c r="AE240" s="26">
        <v>5</v>
      </c>
      <c r="AF240" s="26">
        <v>4</v>
      </c>
      <c r="AG240" s="26">
        <v>5</v>
      </c>
      <c r="AH240" s="26">
        <v>5</v>
      </c>
      <c r="AI240" s="26">
        <v>3</v>
      </c>
      <c r="AJ240" s="26">
        <v>4</v>
      </c>
      <c r="AK240" s="26">
        <v>4</v>
      </c>
      <c r="AL240" s="26">
        <v>5</v>
      </c>
      <c r="AM240" s="26"/>
      <c r="AN240" s="26"/>
      <c r="AO240" s="26"/>
      <c r="AP240" s="26"/>
      <c r="AQ240" s="24">
        <v>95.5</v>
      </c>
      <c r="AR240" s="27">
        <v>99.1</v>
      </c>
      <c r="AS240" s="27">
        <v>80.400000000000006</v>
      </c>
      <c r="AT240" s="27">
        <v>90.4</v>
      </c>
      <c r="AU240" s="24">
        <v>24.15</v>
      </c>
      <c r="AV240" s="29">
        <v>0</v>
      </c>
      <c r="AW240" s="24">
        <v>31.26</v>
      </c>
      <c r="AX240" s="24">
        <v>44.6</v>
      </c>
      <c r="AY240" s="24">
        <v>0</v>
      </c>
      <c r="AZ240" s="24">
        <v>0</v>
      </c>
      <c r="BA240" s="24">
        <v>0</v>
      </c>
      <c r="BB240" s="24">
        <v>0</v>
      </c>
      <c r="BC240" s="24">
        <v>0</v>
      </c>
      <c r="BD240" s="24">
        <v>0</v>
      </c>
      <c r="BE240" s="24">
        <v>0</v>
      </c>
      <c r="BF240" s="24">
        <v>0</v>
      </c>
      <c r="BG240" s="24">
        <v>0</v>
      </c>
      <c r="BH240" s="24">
        <v>24.75</v>
      </c>
      <c r="BI240" s="24">
        <v>2.4700000000000002</v>
      </c>
      <c r="BJ240" s="24">
        <v>0</v>
      </c>
      <c r="BK240" s="24">
        <v>0</v>
      </c>
      <c r="BL240" s="24">
        <v>0</v>
      </c>
      <c r="BM240" s="24">
        <v>0.2</v>
      </c>
      <c r="BN240" s="24">
        <v>1</v>
      </c>
      <c r="BO240" s="24">
        <v>0</v>
      </c>
      <c r="BP240" s="27">
        <v>0.63</v>
      </c>
      <c r="BQ240" s="27">
        <v>1</v>
      </c>
      <c r="BR240" s="27">
        <v>0</v>
      </c>
      <c r="BS240" s="27">
        <v>0</v>
      </c>
      <c r="BT240" s="27">
        <v>0</v>
      </c>
      <c r="BU240" s="27">
        <v>0</v>
      </c>
      <c r="BV240" s="27">
        <v>0</v>
      </c>
      <c r="BW240" s="24">
        <v>0</v>
      </c>
    </row>
    <row r="241" spans="1:75" x14ac:dyDescent="0.2">
      <c r="A241">
        <v>2</v>
      </c>
      <c r="B241">
        <v>52.457221081451102</v>
      </c>
      <c r="C241">
        <v>21.1498973305955</v>
      </c>
      <c r="D241">
        <v>4</v>
      </c>
      <c r="E241">
        <v>62</v>
      </c>
      <c r="F241">
        <v>1.66</v>
      </c>
      <c r="G241">
        <v>22.4996371026274</v>
      </c>
      <c r="H241">
        <v>1</v>
      </c>
      <c r="I241">
        <v>1</v>
      </c>
      <c r="J241" s="19">
        <v>1</v>
      </c>
      <c r="K241" s="19">
        <v>0</v>
      </c>
      <c r="L241" s="19">
        <v>0</v>
      </c>
      <c r="M241" s="19">
        <v>7</v>
      </c>
      <c r="N241">
        <v>0</v>
      </c>
      <c r="O241" s="19">
        <v>0</v>
      </c>
      <c r="P241" s="19">
        <v>0</v>
      </c>
      <c r="Q241" s="19">
        <v>0</v>
      </c>
      <c r="R241" s="19">
        <v>0</v>
      </c>
      <c r="S241" s="19">
        <v>0</v>
      </c>
      <c r="T241" s="19">
        <v>0</v>
      </c>
      <c r="U241" s="19">
        <v>0</v>
      </c>
      <c r="V241" s="15">
        <f t="shared" si="8"/>
        <v>0.77777777777777779</v>
      </c>
      <c r="W241" s="19">
        <v>2</v>
      </c>
      <c r="X241" s="19">
        <v>2</v>
      </c>
      <c r="Y241" s="19">
        <v>4</v>
      </c>
      <c r="Z241" s="19">
        <v>3</v>
      </c>
      <c r="AA241" s="19">
        <v>2</v>
      </c>
      <c r="AB241" s="19">
        <v>3</v>
      </c>
      <c r="AC241" s="19">
        <v>2</v>
      </c>
      <c r="AD241" s="19">
        <v>2</v>
      </c>
      <c r="AE241" s="19">
        <v>2</v>
      </c>
      <c r="AF241" s="19">
        <v>3</v>
      </c>
      <c r="AG241" s="19">
        <v>3</v>
      </c>
      <c r="AH241" s="19">
        <v>5</v>
      </c>
      <c r="AI241" s="19">
        <v>1</v>
      </c>
      <c r="AJ241" s="19">
        <v>3</v>
      </c>
      <c r="AK241" s="19">
        <v>4</v>
      </c>
      <c r="AL241" s="19">
        <v>4</v>
      </c>
      <c r="AM241" s="19">
        <v>3</v>
      </c>
      <c r="AN241" s="19">
        <v>4</v>
      </c>
      <c r="AO241" s="19">
        <v>2</v>
      </c>
      <c r="AP241" s="19">
        <v>7</v>
      </c>
      <c r="AQ241" s="15">
        <v>38.5</v>
      </c>
      <c r="AR241" s="17">
        <v>55</v>
      </c>
      <c r="AS241" s="17">
        <v>114</v>
      </c>
      <c r="AT241" s="17">
        <v>7.8</v>
      </c>
      <c r="AU241" s="17">
        <v>95.15</v>
      </c>
      <c r="AV241" s="17">
        <v>0</v>
      </c>
      <c r="AW241" s="17">
        <v>3.78</v>
      </c>
      <c r="AX241" s="17">
        <v>0</v>
      </c>
      <c r="AY241" s="17">
        <v>1.07</v>
      </c>
      <c r="AZ241" s="17">
        <v>0</v>
      </c>
      <c r="BA241" s="17">
        <v>0</v>
      </c>
      <c r="BB241" s="17">
        <v>0</v>
      </c>
      <c r="BC241" s="17">
        <v>0</v>
      </c>
      <c r="BD241" s="17">
        <v>0</v>
      </c>
      <c r="BE241" s="17">
        <v>0</v>
      </c>
      <c r="BF241" s="17">
        <v>0</v>
      </c>
      <c r="BG241" s="17">
        <v>15.05</v>
      </c>
      <c r="BH241" s="17">
        <v>4.58</v>
      </c>
      <c r="BI241" s="17">
        <v>0.1</v>
      </c>
      <c r="BJ241" s="17">
        <v>0</v>
      </c>
      <c r="BK241" s="17">
        <v>0</v>
      </c>
      <c r="BL241" s="17">
        <v>0</v>
      </c>
      <c r="BM241" s="15">
        <v>22.8</v>
      </c>
      <c r="BN241" s="15">
        <v>1</v>
      </c>
      <c r="BO241" s="15">
        <v>0</v>
      </c>
      <c r="BP241" s="15">
        <v>0</v>
      </c>
      <c r="BQ241" s="15">
        <v>0</v>
      </c>
      <c r="BR241" s="15">
        <v>7.84</v>
      </c>
      <c r="BS241" s="15">
        <v>3.54</v>
      </c>
      <c r="BT241" s="15">
        <v>0</v>
      </c>
      <c r="BU241" s="15">
        <v>0</v>
      </c>
      <c r="BV241" s="15">
        <v>0</v>
      </c>
      <c r="BW241" s="15">
        <v>0</v>
      </c>
    </row>
    <row r="242" spans="1:75" x14ac:dyDescent="0.2">
      <c r="A242">
        <v>1</v>
      </c>
      <c r="B242">
        <v>39.425051334702303</v>
      </c>
      <c r="C242">
        <v>8.9965776865160905</v>
      </c>
      <c r="D242">
        <v>8</v>
      </c>
      <c r="F242">
        <v>1.61</v>
      </c>
      <c r="G242">
        <v>0</v>
      </c>
      <c r="H242">
        <v>0</v>
      </c>
      <c r="I242">
        <v>0</v>
      </c>
      <c r="J242" s="19">
        <v>1</v>
      </c>
      <c r="K242" s="19">
        <v>0</v>
      </c>
      <c r="L242" s="19">
        <v>1</v>
      </c>
      <c r="M242" s="19">
        <v>0</v>
      </c>
      <c r="N242">
        <v>0</v>
      </c>
      <c r="O242" s="19">
        <v>0</v>
      </c>
      <c r="P242" s="19">
        <v>0</v>
      </c>
      <c r="Q242" s="19">
        <v>0</v>
      </c>
      <c r="R242" s="19">
        <v>0</v>
      </c>
      <c r="S242" s="19">
        <v>0</v>
      </c>
      <c r="T242" s="19">
        <v>0</v>
      </c>
      <c r="U242" s="19">
        <v>0</v>
      </c>
      <c r="V242" s="15">
        <f t="shared" si="8"/>
        <v>0</v>
      </c>
      <c r="W242" s="19">
        <v>3</v>
      </c>
      <c r="X242" s="19">
        <v>2</v>
      </c>
      <c r="Y242" s="19">
        <v>4</v>
      </c>
      <c r="Z242" s="19">
        <v>5</v>
      </c>
      <c r="AA242" s="19">
        <v>2</v>
      </c>
      <c r="AB242" s="19">
        <v>1</v>
      </c>
      <c r="AC242" s="19">
        <v>1</v>
      </c>
      <c r="AD242" s="19">
        <v>2</v>
      </c>
      <c r="AE242" s="19">
        <v>1</v>
      </c>
      <c r="AF242" s="19">
        <v>3</v>
      </c>
      <c r="AG242" s="19">
        <v>2</v>
      </c>
      <c r="AH242" s="19">
        <v>3</v>
      </c>
      <c r="AI242" s="19">
        <v>2</v>
      </c>
      <c r="AJ242" s="19">
        <v>3</v>
      </c>
      <c r="AK242" s="19">
        <v>5</v>
      </c>
      <c r="AL242" s="19">
        <v>4</v>
      </c>
      <c r="AM242" s="19">
        <v>4</v>
      </c>
      <c r="AN242" s="19">
        <v>4</v>
      </c>
      <c r="AO242" s="19">
        <v>4</v>
      </c>
      <c r="AP242" s="19">
        <v>5</v>
      </c>
      <c r="AQ242">
        <v>19.5</v>
      </c>
      <c r="AR242" s="16">
        <v>74.3</v>
      </c>
      <c r="AS242" s="16">
        <v>80.400000000000006</v>
      </c>
      <c r="AT242" s="16">
        <v>7.8</v>
      </c>
      <c r="AU242">
        <v>89.52</v>
      </c>
      <c r="AV242">
        <v>8.69</v>
      </c>
      <c r="AW242">
        <v>1.79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18.73</v>
      </c>
      <c r="BH242">
        <v>9.35</v>
      </c>
      <c r="BI242">
        <v>0</v>
      </c>
      <c r="BJ242">
        <v>0</v>
      </c>
      <c r="BK242">
        <v>0</v>
      </c>
      <c r="BL242"/>
      <c r="BM242">
        <v>3.92</v>
      </c>
      <c r="BN242">
        <v>1</v>
      </c>
      <c r="BO242">
        <v>1</v>
      </c>
      <c r="BP242" s="16">
        <v>2.2400000000000002</v>
      </c>
      <c r="BQ242" s="16">
        <v>1</v>
      </c>
      <c r="BR242" s="16">
        <v>5.49</v>
      </c>
      <c r="BS242" s="16">
        <v>7.22</v>
      </c>
      <c r="BT242" s="16">
        <v>0</v>
      </c>
      <c r="BU242" s="16">
        <v>0</v>
      </c>
      <c r="BV242" s="16">
        <v>0</v>
      </c>
      <c r="BW242">
        <v>0</v>
      </c>
    </row>
    <row r="243" spans="1:75" x14ac:dyDescent="0.2">
      <c r="A243">
        <v>2</v>
      </c>
      <c r="B243">
        <v>27.184120465434599</v>
      </c>
      <c r="C243">
        <v>0.36139630390143701</v>
      </c>
      <c r="D243">
        <v>8</v>
      </c>
      <c r="E243">
        <v>59</v>
      </c>
      <c r="F243">
        <v>1.76</v>
      </c>
      <c r="G243">
        <v>19.0470041322314</v>
      </c>
      <c r="H243">
        <v>0</v>
      </c>
      <c r="I243">
        <v>0</v>
      </c>
      <c r="J243" s="19">
        <v>1</v>
      </c>
      <c r="K243" s="19">
        <v>2</v>
      </c>
      <c r="L243" s="19">
        <v>1</v>
      </c>
      <c r="M243" s="19">
        <v>0</v>
      </c>
      <c r="N243">
        <v>0</v>
      </c>
      <c r="O243" s="19">
        <v>0</v>
      </c>
      <c r="P243" s="19">
        <v>0</v>
      </c>
      <c r="Q243" s="19">
        <v>0</v>
      </c>
      <c r="R243" s="19">
        <v>5</v>
      </c>
      <c r="S243" s="19">
        <v>0</v>
      </c>
      <c r="T243" s="19">
        <v>0</v>
      </c>
      <c r="U243" s="19">
        <v>7</v>
      </c>
      <c r="V243" s="15">
        <f t="shared" si="8"/>
        <v>1.3333333333333333</v>
      </c>
      <c r="W243" s="19">
        <v>1</v>
      </c>
      <c r="X243" s="19">
        <v>1</v>
      </c>
      <c r="Y243" s="19">
        <v>4</v>
      </c>
      <c r="Z243" s="19">
        <v>5</v>
      </c>
      <c r="AA243" s="19">
        <v>2</v>
      </c>
      <c r="AB243" s="19">
        <v>2</v>
      </c>
      <c r="AC243" s="19">
        <v>4</v>
      </c>
      <c r="AD243" s="19">
        <v>4</v>
      </c>
      <c r="AE243" s="19">
        <v>4</v>
      </c>
      <c r="AF243" s="19">
        <v>5</v>
      </c>
      <c r="AG243" s="19">
        <v>5</v>
      </c>
      <c r="AH243" s="19">
        <v>5</v>
      </c>
      <c r="AI243" s="19">
        <v>4</v>
      </c>
      <c r="AJ243" s="19">
        <v>5</v>
      </c>
      <c r="AK243" s="19">
        <v>5</v>
      </c>
      <c r="AL243" s="19">
        <v>5</v>
      </c>
      <c r="AM243" s="19">
        <v>5</v>
      </c>
      <c r="AN243" s="19">
        <v>5</v>
      </c>
      <c r="AO243" s="19">
        <v>1</v>
      </c>
      <c r="AP243" s="19">
        <v>10</v>
      </c>
      <c r="AQ243">
        <v>19.5</v>
      </c>
      <c r="AR243" s="16">
        <v>74.3</v>
      </c>
      <c r="AS243" s="16">
        <v>80.400000000000006</v>
      </c>
      <c r="AT243" s="16">
        <v>7.8</v>
      </c>
      <c r="AU243">
        <v>89.52</v>
      </c>
      <c r="AV243">
        <v>8.69</v>
      </c>
      <c r="AW243">
        <v>1.79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18.73</v>
      </c>
      <c r="BH243">
        <v>9.35</v>
      </c>
      <c r="BI243">
        <v>0</v>
      </c>
      <c r="BJ243">
        <v>0</v>
      </c>
      <c r="BK243">
        <v>0</v>
      </c>
      <c r="BL243"/>
      <c r="BM243">
        <v>3.92</v>
      </c>
      <c r="BN243">
        <v>1</v>
      </c>
      <c r="BO243">
        <v>1</v>
      </c>
      <c r="BP243" s="16">
        <v>2.2400000000000002</v>
      </c>
      <c r="BQ243" s="16">
        <v>1</v>
      </c>
      <c r="BR243" s="16">
        <v>5.49</v>
      </c>
      <c r="BS243" s="16">
        <v>7.22</v>
      </c>
      <c r="BT243" s="16">
        <v>0</v>
      </c>
      <c r="BU243" s="16">
        <v>0</v>
      </c>
      <c r="BV243" s="16">
        <v>0</v>
      </c>
      <c r="BW243">
        <v>0</v>
      </c>
    </row>
    <row r="244" spans="1:75" x14ac:dyDescent="0.2">
      <c r="A244">
        <v>2</v>
      </c>
      <c r="B244">
        <v>48.698151950718703</v>
      </c>
      <c r="C244">
        <v>21.804243668720101</v>
      </c>
      <c r="D244">
        <v>8</v>
      </c>
      <c r="E244">
        <v>80</v>
      </c>
      <c r="F244">
        <v>1.8</v>
      </c>
      <c r="G244">
        <v>24.6913580246914</v>
      </c>
      <c r="H244">
        <v>0</v>
      </c>
      <c r="I244">
        <v>0</v>
      </c>
      <c r="J244" s="19">
        <v>1</v>
      </c>
      <c r="K244" s="19">
        <v>0</v>
      </c>
      <c r="L244" s="19">
        <v>1</v>
      </c>
      <c r="M244" s="19">
        <v>0</v>
      </c>
      <c r="N244">
        <v>0</v>
      </c>
      <c r="O244" s="19">
        <v>0</v>
      </c>
      <c r="P244" s="19">
        <v>0</v>
      </c>
      <c r="Q244" s="19">
        <v>0</v>
      </c>
      <c r="R244" s="19">
        <v>0</v>
      </c>
      <c r="S244" s="19">
        <v>0</v>
      </c>
      <c r="T244" s="19">
        <v>0</v>
      </c>
      <c r="U244" s="19">
        <v>10</v>
      </c>
      <c r="V244" s="15">
        <f t="shared" si="8"/>
        <v>1.1111111111111112</v>
      </c>
      <c r="W244" s="19">
        <v>4</v>
      </c>
      <c r="X244" s="19">
        <v>4</v>
      </c>
      <c r="Y244" s="19">
        <v>5</v>
      </c>
      <c r="Z244" s="19">
        <v>5</v>
      </c>
      <c r="AA244" s="19">
        <v>5</v>
      </c>
      <c r="AB244" s="19">
        <v>4</v>
      </c>
      <c r="AC244" s="19">
        <v>5</v>
      </c>
      <c r="AD244" s="19">
        <v>5</v>
      </c>
      <c r="AE244" s="19">
        <v>3</v>
      </c>
      <c r="AF244" s="19">
        <v>3</v>
      </c>
      <c r="AG244" s="19">
        <v>3</v>
      </c>
      <c r="AH244" s="19">
        <v>3</v>
      </c>
      <c r="AI244" s="19">
        <v>2</v>
      </c>
      <c r="AJ244" s="19">
        <v>3</v>
      </c>
      <c r="AK244" s="19">
        <v>4</v>
      </c>
      <c r="AL244" s="19">
        <v>4</v>
      </c>
      <c r="AM244" s="19">
        <v>2</v>
      </c>
      <c r="AN244" s="19">
        <v>3</v>
      </c>
      <c r="AO244" s="19">
        <v>3</v>
      </c>
      <c r="AP244" s="19">
        <v>10</v>
      </c>
      <c r="AQ244">
        <v>19.5</v>
      </c>
      <c r="AR244" s="16">
        <v>74.3</v>
      </c>
      <c r="AS244" s="16">
        <v>80.400000000000006</v>
      </c>
      <c r="AT244" s="16">
        <v>7.8</v>
      </c>
      <c r="AU244">
        <v>89.52</v>
      </c>
      <c r="AV244">
        <v>8.69</v>
      </c>
      <c r="AW244">
        <v>1.79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18.73</v>
      </c>
      <c r="BH244">
        <v>9.35</v>
      </c>
      <c r="BI244">
        <v>0</v>
      </c>
      <c r="BJ244">
        <v>0</v>
      </c>
      <c r="BK244">
        <v>0</v>
      </c>
      <c r="BL244"/>
      <c r="BM244">
        <v>3.92</v>
      </c>
      <c r="BN244">
        <v>1</v>
      </c>
      <c r="BO244">
        <v>1</v>
      </c>
      <c r="BP244" s="16">
        <v>2.2400000000000002</v>
      </c>
      <c r="BQ244" s="16">
        <v>1</v>
      </c>
      <c r="BR244" s="16">
        <v>5.49</v>
      </c>
      <c r="BS244" s="16">
        <v>7.22</v>
      </c>
      <c r="BT244" s="16">
        <v>0</v>
      </c>
      <c r="BU244" s="16">
        <v>0</v>
      </c>
      <c r="BV244" s="16">
        <v>0</v>
      </c>
      <c r="BW244">
        <v>0</v>
      </c>
    </row>
    <row r="245" spans="1:75" x14ac:dyDescent="0.2">
      <c r="A245">
        <v>1</v>
      </c>
      <c r="B245">
        <v>45.023956194387402</v>
      </c>
      <c r="C245">
        <v>0.26830937713894598</v>
      </c>
      <c r="D245">
        <v>8</v>
      </c>
      <c r="E245">
        <v>72</v>
      </c>
      <c r="F245">
        <v>1.65</v>
      </c>
      <c r="G245">
        <v>26.446280991735499</v>
      </c>
      <c r="H245">
        <v>0</v>
      </c>
      <c r="I245">
        <v>0</v>
      </c>
      <c r="J245" s="19">
        <v>0</v>
      </c>
      <c r="K245" s="19">
        <v>0</v>
      </c>
      <c r="L245" s="19">
        <v>0</v>
      </c>
      <c r="M245" s="19">
        <v>0</v>
      </c>
      <c r="N245">
        <v>0</v>
      </c>
      <c r="O245" s="19">
        <v>0</v>
      </c>
      <c r="P245" s="19">
        <v>0</v>
      </c>
      <c r="Q245" s="19">
        <v>0</v>
      </c>
      <c r="R245" s="19">
        <v>0</v>
      </c>
      <c r="S245" s="19">
        <v>0</v>
      </c>
      <c r="T245" s="19">
        <v>0</v>
      </c>
      <c r="U245" s="19">
        <v>0</v>
      </c>
      <c r="V245" s="15">
        <f t="shared" si="8"/>
        <v>0</v>
      </c>
      <c r="W245" s="19">
        <v>1</v>
      </c>
      <c r="X245" s="19">
        <v>1</v>
      </c>
      <c r="Y245" s="19">
        <v>4</v>
      </c>
      <c r="Z245" s="19">
        <v>4</v>
      </c>
      <c r="AA245" s="19">
        <v>1</v>
      </c>
      <c r="AB245" s="19">
        <v>1</v>
      </c>
      <c r="AC245" s="19">
        <v>1</v>
      </c>
      <c r="AD245" s="19">
        <v>2</v>
      </c>
      <c r="AE245" s="19">
        <v>4</v>
      </c>
      <c r="AF245" s="19">
        <v>4</v>
      </c>
      <c r="AG245" s="19">
        <v>4</v>
      </c>
      <c r="AH245" s="19">
        <v>5</v>
      </c>
      <c r="AI245" s="19">
        <v>5</v>
      </c>
      <c r="AJ245" s="19">
        <v>5</v>
      </c>
      <c r="AK245" s="19">
        <v>5</v>
      </c>
      <c r="AL245" s="19">
        <v>5</v>
      </c>
      <c r="AM245" s="19">
        <v>5</v>
      </c>
      <c r="AN245" s="19">
        <v>5</v>
      </c>
      <c r="AO245" s="19">
        <v>5</v>
      </c>
      <c r="AP245" s="19">
        <v>10</v>
      </c>
      <c r="AQ245">
        <v>19.5</v>
      </c>
      <c r="AR245" s="16">
        <v>74.3</v>
      </c>
      <c r="AS245" s="16">
        <v>80.400000000000006</v>
      </c>
      <c r="AT245" s="16">
        <v>7.8</v>
      </c>
      <c r="AU245">
        <v>89.52</v>
      </c>
      <c r="AV245">
        <v>8.69</v>
      </c>
      <c r="AW245">
        <v>1.79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18.73</v>
      </c>
      <c r="BH245">
        <v>9.35</v>
      </c>
      <c r="BI245">
        <v>0</v>
      </c>
      <c r="BJ245">
        <v>0</v>
      </c>
      <c r="BK245">
        <v>0</v>
      </c>
      <c r="BL245"/>
      <c r="BM245">
        <v>3.92</v>
      </c>
      <c r="BN245">
        <v>1</v>
      </c>
      <c r="BO245">
        <v>1</v>
      </c>
      <c r="BP245" s="16">
        <v>2.2400000000000002</v>
      </c>
      <c r="BQ245" s="16">
        <v>1</v>
      </c>
      <c r="BR245" s="16">
        <v>5.49</v>
      </c>
      <c r="BS245" s="16">
        <v>7.22</v>
      </c>
      <c r="BT245" s="16">
        <v>0</v>
      </c>
      <c r="BU245" s="16">
        <v>0</v>
      </c>
      <c r="BV245" s="16">
        <v>0</v>
      </c>
      <c r="BW245">
        <v>0</v>
      </c>
    </row>
    <row r="246" spans="1:75" x14ac:dyDescent="0.2">
      <c r="A246">
        <v>2</v>
      </c>
      <c r="B246">
        <v>47.931553730321703</v>
      </c>
      <c r="C246">
        <v>21.724845995893201</v>
      </c>
      <c r="D246">
        <v>8</v>
      </c>
      <c r="E246">
        <v>62</v>
      </c>
      <c r="F246">
        <v>1.7</v>
      </c>
      <c r="G246">
        <v>21.453287197231798</v>
      </c>
      <c r="H246">
        <v>0</v>
      </c>
      <c r="I246">
        <v>0</v>
      </c>
      <c r="J246" s="19">
        <v>1</v>
      </c>
      <c r="K246" s="19">
        <v>0</v>
      </c>
      <c r="L246" s="19">
        <v>1</v>
      </c>
      <c r="M246" s="19">
        <v>4</v>
      </c>
      <c r="N246">
        <v>0</v>
      </c>
      <c r="O246" s="19">
        <v>0</v>
      </c>
      <c r="P246" s="19">
        <v>0</v>
      </c>
      <c r="Q246" s="19">
        <v>4</v>
      </c>
      <c r="R246" s="19">
        <v>0</v>
      </c>
      <c r="S246" s="19">
        <v>0</v>
      </c>
      <c r="T246" s="19">
        <v>8</v>
      </c>
      <c r="U246" s="19">
        <v>8</v>
      </c>
      <c r="V246" s="15">
        <f t="shared" si="8"/>
        <v>2.6666666666666665</v>
      </c>
      <c r="W246" s="19">
        <v>3</v>
      </c>
      <c r="X246" s="19">
        <v>3</v>
      </c>
      <c r="Y246" s="19">
        <v>4</v>
      </c>
      <c r="Z246" s="19">
        <v>5</v>
      </c>
      <c r="AA246" s="19">
        <v>3</v>
      </c>
      <c r="AB246" s="19">
        <v>5</v>
      </c>
      <c r="AC246" s="19">
        <v>4</v>
      </c>
      <c r="AD246" s="19">
        <v>4</v>
      </c>
      <c r="AE246" s="19">
        <v>3</v>
      </c>
      <c r="AF246" s="19">
        <v>2</v>
      </c>
      <c r="AG246" s="19">
        <v>4</v>
      </c>
      <c r="AH246" s="19">
        <v>5</v>
      </c>
      <c r="AI246" s="19">
        <v>2</v>
      </c>
      <c r="AJ246" s="19">
        <v>2</v>
      </c>
      <c r="AK246" s="19">
        <v>3</v>
      </c>
      <c r="AL246" s="19">
        <v>4</v>
      </c>
      <c r="AM246" s="19">
        <v>2</v>
      </c>
      <c r="AN246" s="19">
        <v>3</v>
      </c>
      <c r="AO246" s="19">
        <v>2</v>
      </c>
      <c r="AP246" s="19">
        <v>4</v>
      </c>
      <c r="AQ246">
        <v>21.5</v>
      </c>
      <c r="AR246" s="16">
        <v>78.400000000000006</v>
      </c>
      <c r="AS246" s="16">
        <v>80.400000000000006</v>
      </c>
      <c r="AT246" s="16">
        <v>9.6</v>
      </c>
      <c r="AU246">
        <v>84.68</v>
      </c>
      <c r="AV246">
        <v>14.18</v>
      </c>
      <c r="AW246">
        <v>1.1200000000000001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9.51</v>
      </c>
      <c r="BH246">
        <v>25.42</v>
      </c>
      <c r="BI246">
        <v>0</v>
      </c>
      <c r="BJ246">
        <v>0</v>
      </c>
      <c r="BK246">
        <v>0</v>
      </c>
      <c r="BL246">
        <v>2</v>
      </c>
      <c r="BM246">
        <v>3.2</v>
      </c>
      <c r="BN246">
        <v>1</v>
      </c>
      <c r="BO246">
        <v>0</v>
      </c>
      <c r="BP246" s="16">
        <v>0.36</v>
      </c>
      <c r="BQ246" s="16">
        <v>1</v>
      </c>
      <c r="BR246" s="16">
        <v>8.32</v>
      </c>
      <c r="BS246" s="16">
        <v>8.31</v>
      </c>
      <c r="BT246" s="16">
        <v>0</v>
      </c>
      <c r="BU246" s="16">
        <v>0</v>
      </c>
      <c r="BV246" s="16">
        <v>0</v>
      </c>
      <c r="BW246">
        <v>0</v>
      </c>
    </row>
    <row r="247" spans="1:75" x14ac:dyDescent="0.2">
      <c r="A247">
        <v>2</v>
      </c>
      <c r="B247">
        <v>27.167693360711802</v>
      </c>
      <c r="C247">
        <v>6.0643394934975996</v>
      </c>
      <c r="D247">
        <v>8</v>
      </c>
      <c r="E247">
        <v>80</v>
      </c>
      <c r="F247">
        <v>1.68</v>
      </c>
      <c r="G247">
        <v>28.344671201814101</v>
      </c>
      <c r="H247">
        <v>0</v>
      </c>
      <c r="I247">
        <v>0</v>
      </c>
      <c r="J247" s="19">
        <v>0</v>
      </c>
      <c r="K247" s="19">
        <v>0</v>
      </c>
      <c r="L247" s="19">
        <v>0</v>
      </c>
      <c r="M247" s="19">
        <v>0</v>
      </c>
      <c r="N247">
        <v>0</v>
      </c>
      <c r="O247" s="19">
        <v>0</v>
      </c>
      <c r="P247" s="19">
        <v>0</v>
      </c>
      <c r="Q247" s="19">
        <v>0</v>
      </c>
      <c r="R247" s="19">
        <v>0</v>
      </c>
      <c r="S247" s="19">
        <v>0</v>
      </c>
      <c r="T247" s="19">
        <v>0</v>
      </c>
      <c r="U247" s="19">
        <v>0</v>
      </c>
      <c r="V247" s="15">
        <f t="shared" si="8"/>
        <v>0</v>
      </c>
      <c r="W247" s="19">
        <v>3</v>
      </c>
      <c r="X247" s="19">
        <v>3</v>
      </c>
      <c r="Y247" s="19">
        <v>2</v>
      </c>
      <c r="Z247" s="19">
        <v>2</v>
      </c>
      <c r="AA247" s="19">
        <v>1</v>
      </c>
      <c r="AB247" s="19">
        <v>1</v>
      </c>
      <c r="AC247" s="19">
        <v>1</v>
      </c>
      <c r="AD247" s="19">
        <v>2</v>
      </c>
      <c r="AE247" s="19">
        <v>1</v>
      </c>
      <c r="AF247" s="19">
        <v>2</v>
      </c>
      <c r="AG247" s="19">
        <v>3</v>
      </c>
      <c r="AH247" s="19">
        <v>4</v>
      </c>
      <c r="AI247" s="19">
        <v>1</v>
      </c>
      <c r="AJ247" s="19">
        <v>3</v>
      </c>
      <c r="AK247" s="19">
        <v>4</v>
      </c>
      <c r="AL247" s="19">
        <v>3</v>
      </c>
      <c r="AM247" s="19">
        <v>3</v>
      </c>
      <c r="AN247" s="19">
        <v>3</v>
      </c>
      <c r="AO247" s="19">
        <v>3</v>
      </c>
      <c r="AP247" s="19">
        <v>10</v>
      </c>
      <c r="AQ247">
        <v>21.5</v>
      </c>
      <c r="AR247" s="16">
        <v>78.400000000000006</v>
      </c>
      <c r="AS247" s="16">
        <v>80.400000000000006</v>
      </c>
      <c r="AT247" s="16">
        <v>9.6</v>
      </c>
      <c r="AU247">
        <v>84.68</v>
      </c>
      <c r="AV247">
        <v>14.18</v>
      </c>
      <c r="AW247">
        <v>1.1200000000000001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9.51</v>
      </c>
      <c r="BH247">
        <v>25.42</v>
      </c>
      <c r="BI247">
        <v>0</v>
      </c>
      <c r="BJ247">
        <v>0</v>
      </c>
      <c r="BK247">
        <v>0</v>
      </c>
      <c r="BL247">
        <v>2</v>
      </c>
      <c r="BM247">
        <v>3.2</v>
      </c>
      <c r="BN247">
        <v>1</v>
      </c>
      <c r="BO247">
        <v>0</v>
      </c>
      <c r="BP247" s="16">
        <v>0.36</v>
      </c>
      <c r="BQ247" s="16">
        <v>1</v>
      </c>
      <c r="BR247" s="16">
        <v>8.32</v>
      </c>
      <c r="BS247" s="16">
        <v>8.31</v>
      </c>
      <c r="BT247" s="16">
        <v>0</v>
      </c>
      <c r="BU247" s="16">
        <v>0</v>
      </c>
      <c r="BV247" s="16">
        <v>0</v>
      </c>
      <c r="BW247">
        <v>0</v>
      </c>
    </row>
    <row r="248" spans="1:75" x14ac:dyDescent="0.2">
      <c r="A248">
        <v>2</v>
      </c>
      <c r="B248">
        <v>48.4462696783025</v>
      </c>
      <c r="C248">
        <v>22.105407255304598</v>
      </c>
      <c r="D248">
        <v>8</v>
      </c>
      <c r="E248">
        <v>92</v>
      </c>
      <c r="F248">
        <v>1.83</v>
      </c>
      <c r="G248">
        <v>27.4717071277136</v>
      </c>
      <c r="H248">
        <v>0</v>
      </c>
      <c r="I248">
        <v>0</v>
      </c>
      <c r="J248" s="19">
        <v>0</v>
      </c>
      <c r="K248" s="19">
        <v>2</v>
      </c>
      <c r="L248" s="19">
        <v>0</v>
      </c>
      <c r="M248" s="19">
        <v>0</v>
      </c>
      <c r="N248">
        <v>0</v>
      </c>
      <c r="O248" s="19">
        <v>0</v>
      </c>
      <c r="P248" s="19">
        <v>0</v>
      </c>
      <c r="Q248" s="19">
        <v>0</v>
      </c>
      <c r="R248" s="19">
        <v>0</v>
      </c>
      <c r="S248" s="19">
        <v>0</v>
      </c>
      <c r="T248" s="19">
        <v>0</v>
      </c>
      <c r="U248" s="19">
        <v>0</v>
      </c>
      <c r="V248" s="15">
        <f t="shared" si="8"/>
        <v>0</v>
      </c>
      <c r="W248" s="19">
        <v>3</v>
      </c>
      <c r="X248" s="19">
        <v>3</v>
      </c>
      <c r="Y248" s="19">
        <v>5</v>
      </c>
      <c r="Z248" s="19">
        <v>5</v>
      </c>
      <c r="AA248" s="19">
        <v>3</v>
      </c>
      <c r="AB248" s="19">
        <v>5</v>
      </c>
      <c r="AC248" s="19">
        <v>5</v>
      </c>
      <c r="AD248" s="19">
        <v>4</v>
      </c>
      <c r="AE248" s="19">
        <v>3</v>
      </c>
      <c r="AF248" s="19">
        <v>2</v>
      </c>
      <c r="AG248" s="19">
        <v>5</v>
      </c>
      <c r="AH248" s="19">
        <v>5</v>
      </c>
      <c r="AI248" s="19">
        <v>3</v>
      </c>
      <c r="AJ248" s="19">
        <v>3</v>
      </c>
      <c r="AK248" s="19">
        <v>4</v>
      </c>
      <c r="AL248" s="19">
        <v>5</v>
      </c>
      <c r="AM248" s="19">
        <v>2</v>
      </c>
      <c r="AN248" s="19">
        <v>5</v>
      </c>
      <c r="AO248" s="19">
        <v>4</v>
      </c>
      <c r="AP248" s="19">
        <v>9</v>
      </c>
      <c r="AQ248">
        <v>21.5</v>
      </c>
      <c r="AR248" s="16">
        <v>78.400000000000006</v>
      </c>
      <c r="AS248" s="16">
        <v>80.400000000000006</v>
      </c>
      <c r="AT248" s="16">
        <v>9.6</v>
      </c>
      <c r="AU248">
        <v>84.68</v>
      </c>
      <c r="AV248">
        <v>14.18</v>
      </c>
      <c r="AW248">
        <v>1.1200000000000001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9.51</v>
      </c>
      <c r="BH248">
        <v>25.42</v>
      </c>
      <c r="BI248">
        <v>0</v>
      </c>
      <c r="BJ248">
        <v>0</v>
      </c>
      <c r="BK248">
        <v>0</v>
      </c>
      <c r="BL248">
        <v>2</v>
      </c>
      <c r="BM248">
        <v>3.2</v>
      </c>
      <c r="BN248">
        <v>1</v>
      </c>
      <c r="BO248">
        <v>0</v>
      </c>
      <c r="BP248" s="16">
        <v>0.36</v>
      </c>
      <c r="BQ248" s="16">
        <v>1</v>
      </c>
      <c r="BR248" s="16">
        <v>8.32</v>
      </c>
      <c r="BS248" s="16">
        <v>8.31</v>
      </c>
      <c r="BT248" s="16">
        <v>0</v>
      </c>
      <c r="BU248" s="16">
        <v>0</v>
      </c>
      <c r="BV248" s="16">
        <v>0</v>
      </c>
      <c r="BW248">
        <v>0</v>
      </c>
    </row>
    <row r="249" spans="1:75" x14ac:dyDescent="0.2">
      <c r="A249">
        <v>1</v>
      </c>
      <c r="B249">
        <v>24.618754277891899</v>
      </c>
      <c r="C249">
        <v>0.26830937713894598</v>
      </c>
      <c r="D249">
        <v>8</v>
      </c>
      <c r="E249">
        <v>50</v>
      </c>
      <c r="F249">
        <v>1.58</v>
      </c>
      <c r="G249">
        <v>20.028841531805799</v>
      </c>
      <c r="H249">
        <v>0</v>
      </c>
      <c r="I249">
        <v>0</v>
      </c>
      <c r="J249" s="19">
        <v>1</v>
      </c>
      <c r="K249" s="19">
        <v>0</v>
      </c>
      <c r="L249" s="19">
        <v>1</v>
      </c>
      <c r="M249" s="19">
        <v>0</v>
      </c>
      <c r="N249">
        <v>0</v>
      </c>
      <c r="O249" s="19">
        <v>0</v>
      </c>
      <c r="P249" s="19">
        <v>0</v>
      </c>
      <c r="Q249" s="19">
        <v>0</v>
      </c>
      <c r="R249" s="19">
        <v>0</v>
      </c>
      <c r="S249" s="19">
        <v>0</v>
      </c>
      <c r="T249" s="19">
        <v>0</v>
      </c>
      <c r="U249" s="19">
        <v>0</v>
      </c>
      <c r="V249" s="15">
        <f t="shared" si="8"/>
        <v>0</v>
      </c>
      <c r="W249" s="19">
        <v>1</v>
      </c>
      <c r="X249" s="19">
        <v>3</v>
      </c>
      <c r="Y249" s="19">
        <v>4</v>
      </c>
      <c r="Z249" s="19">
        <v>5</v>
      </c>
      <c r="AA249" s="19">
        <v>3</v>
      </c>
      <c r="AB249" s="19">
        <v>2</v>
      </c>
      <c r="AC249" s="19">
        <v>2</v>
      </c>
      <c r="AD249" s="19">
        <v>5</v>
      </c>
      <c r="AE249" s="19">
        <v>5</v>
      </c>
      <c r="AF249" s="19">
        <v>5</v>
      </c>
      <c r="AG249" s="19">
        <v>5</v>
      </c>
      <c r="AH249" s="19">
        <v>5</v>
      </c>
      <c r="AI249" s="19">
        <v>4</v>
      </c>
      <c r="AJ249" s="19">
        <v>5</v>
      </c>
      <c r="AK249" s="19">
        <v>5</v>
      </c>
      <c r="AL249" s="19">
        <v>5</v>
      </c>
      <c r="AM249" s="19">
        <v>5</v>
      </c>
      <c r="AN249" s="19">
        <v>5</v>
      </c>
      <c r="AO249" s="19">
        <v>5</v>
      </c>
      <c r="AP249" s="19">
        <v>10</v>
      </c>
      <c r="AQ249">
        <v>21.5</v>
      </c>
      <c r="AR249" s="16">
        <v>78.400000000000006</v>
      </c>
      <c r="AS249" s="16">
        <v>80.400000000000006</v>
      </c>
      <c r="AT249" s="16">
        <v>9.6</v>
      </c>
      <c r="AU249">
        <v>84.68</v>
      </c>
      <c r="AV249">
        <v>14.18</v>
      </c>
      <c r="AW249">
        <v>1.1200000000000001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9.51</v>
      </c>
      <c r="BH249">
        <v>25.42</v>
      </c>
      <c r="BI249">
        <v>0</v>
      </c>
      <c r="BJ249">
        <v>0</v>
      </c>
      <c r="BK249">
        <v>0</v>
      </c>
      <c r="BL249">
        <v>2</v>
      </c>
      <c r="BM249">
        <v>3.2</v>
      </c>
      <c r="BN249">
        <v>1</v>
      </c>
      <c r="BO249">
        <v>0</v>
      </c>
      <c r="BP249" s="16">
        <v>0.36</v>
      </c>
      <c r="BQ249" s="16">
        <v>1</v>
      </c>
      <c r="BR249" s="16">
        <v>8.32</v>
      </c>
      <c r="BS249" s="16">
        <v>8.31</v>
      </c>
      <c r="BT249" s="16">
        <v>0</v>
      </c>
      <c r="BU249" s="16">
        <v>0</v>
      </c>
      <c r="BV249" s="16">
        <v>0</v>
      </c>
      <c r="BW249">
        <v>0</v>
      </c>
    </row>
    <row r="250" spans="1:75" x14ac:dyDescent="0.2">
      <c r="A250">
        <v>2</v>
      </c>
      <c r="B250">
        <v>33.7987679671458</v>
      </c>
      <c r="C250">
        <v>0.27926078028747398</v>
      </c>
      <c r="D250">
        <v>8</v>
      </c>
      <c r="E250">
        <v>64</v>
      </c>
      <c r="F250">
        <v>1.7</v>
      </c>
      <c r="G250">
        <v>22.145328719723199</v>
      </c>
      <c r="H250">
        <v>0</v>
      </c>
      <c r="I250">
        <v>0</v>
      </c>
      <c r="J250" s="19">
        <v>0</v>
      </c>
      <c r="K250" s="19">
        <v>0</v>
      </c>
      <c r="L250" s="19">
        <v>1</v>
      </c>
      <c r="M250" s="19">
        <v>0</v>
      </c>
      <c r="N250">
        <v>0</v>
      </c>
      <c r="O250" s="19">
        <v>0</v>
      </c>
      <c r="P250" s="19">
        <v>0</v>
      </c>
      <c r="Q250" s="19">
        <v>0</v>
      </c>
      <c r="R250" s="19">
        <v>0</v>
      </c>
      <c r="S250" s="19">
        <v>0</v>
      </c>
      <c r="T250" s="19">
        <v>0</v>
      </c>
      <c r="U250" s="19">
        <v>0</v>
      </c>
      <c r="V250" s="15">
        <f t="shared" si="8"/>
        <v>0</v>
      </c>
      <c r="W250" s="19">
        <v>2</v>
      </c>
      <c r="X250" s="19">
        <v>2</v>
      </c>
      <c r="Y250" s="19">
        <v>5</v>
      </c>
      <c r="Z250" s="19">
        <v>5</v>
      </c>
      <c r="AA250" s="19">
        <v>2</v>
      </c>
      <c r="AB250" s="19">
        <v>2</v>
      </c>
      <c r="AC250" s="19">
        <v>3</v>
      </c>
      <c r="AD250" s="19">
        <v>3</v>
      </c>
      <c r="AE250" s="19">
        <v>4</v>
      </c>
      <c r="AF250" s="19">
        <v>3</v>
      </c>
      <c r="AG250" s="19">
        <v>5</v>
      </c>
      <c r="AH250" s="19">
        <v>5</v>
      </c>
      <c r="AI250" s="19">
        <v>5</v>
      </c>
      <c r="AJ250" s="19">
        <v>5</v>
      </c>
      <c r="AK250" s="19">
        <v>5</v>
      </c>
      <c r="AL250" s="19">
        <v>5</v>
      </c>
      <c r="AM250" s="19">
        <v>5</v>
      </c>
      <c r="AN250" s="19">
        <v>5</v>
      </c>
      <c r="AO250" s="19">
        <v>5</v>
      </c>
      <c r="AP250" s="19">
        <v>10</v>
      </c>
      <c r="AQ250">
        <v>21.5</v>
      </c>
      <c r="AR250" s="16">
        <v>78.400000000000006</v>
      </c>
      <c r="AS250" s="16">
        <v>80.400000000000006</v>
      </c>
      <c r="AT250" s="16">
        <v>9.6</v>
      </c>
      <c r="AU250">
        <v>84.68</v>
      </c>
      <c r="AV250">
        <v>14.18</v>
      </c>
      <c r="AW250">
        <v>1.1200000000000001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9.51</v>
      </c>
      <c r="BH250">
        <v>25.42</v>
      </c>
      <c r="BI250">
        <v>0</v>
      </c>
      <c r="BJ250">
        <v>0</v>
      </c>
      <c r="BK250">
        <v>0</v>
      </c>
      <c r="BL250">
        <v>2</v>
      </c>
      <c r="BM250">
        <v>3.2</v>
      </c>
      <c r="BN250">
        <v>1</v>
      </c>
      <c r="BO250">
        <v>0</v>
      </c>
      <c r="BP250" s="16">
        <v>0.36</v>
      </c>
      <c r="BQ250" s="16">
        <v>1</v>
      </c>
      <c r="BR250" s="16">
        <v>8.32</v>
      </c>
      <c r="BS250" s="16">
        <v>8.31</v>
      </c>
      <c r="BT250" s="16">
        <v>0</v>
      </c>
      <c r="BU250" s="16">
        <v>0</v>
      </c>
      <c r="BV250" s="16">
        <v>0</v>
      </c>
      <c r="BW250">
        <v>0</v>
      </c>
    </row>
    <row r="251" spans="1:75" x14ac:dyDescent="0.2">
      <c r="A251">
        <v>2</v>
      </c>
      <c r="B251">
        <v>42.672142368240898</v>
      </c>
      <c r="C251">
        <v>20.377823408624199</v>
      </c>
      <c r="D251">
        <v>8</v>
      </c>
      <c r="E251">
        <v>102</v>
      </c>
      <c r="F251">
        <v>1.79</v>
      </c>
      <c r="G251">
        <v>31.834212415342801</v>
      </c>
      <c r="H251">
        <v>0</v>
      </c>
      <c r="I251">
        <v>0</v>
      </c>
      <c r="J251" s="19"/>
      <c r="K251" s="19">
        <v>0</v>
      </c>
      <c r="L251" s="19">
        <v>0</v>
      </c>
      <c r="M251" s="19">
        <v>0</v>
      </c>
      <c r="N251">
        <v>7</v>
      </c>
      <c r="O251" s="19">
        <v>0</v>
      </c>
      <c r="P251" s="19">
        <v>0</v>
      </c>
      <c r="Q251" s="19">
        <v>0</v>
      </c>
      <c r="R251" s="19">
        <v>0</v>
      </c>
      <c r="S251" s="19">
        <v>0</v>
      </c>
      <c r="T251" s="19">
        <v>0</v>
      </c>
      <c r="U251" s="19">
        <v>0</v>
      </c>
      <c r="V251" s="15">
        <f t="shared" si="8"/>
        <v>0.77777777777777779</v>
      </c>
      <c r="W251" s="19">
        <v>3</v>
      </c>
      <c r="X251" s="19">
        <v>2</v>
      </c>
      <c r="Y251" s="19">
        <v>3</v>
      </c>
      <c r="Z251" s="19">
        <v>4</v>
      </c>
      <c r="AA251" s="19">
        <v>3</v>
      </c>
      <c r="AB251" s="19">
        <v>3</v>
      </c>
      <c r="AC251" s="19">
        <v>3</v>
      </c>
      <c r="AD251" s="19">
        <v>3</v>
      </c>
      <c r="AE251" s="19">
        <v>3</v>
      </c>
      <c r="AF251" s="19">
        <v>3</v>
      </c>
      <c r="AG251" s="19">
        <v>3</v>
      </c>
      <c r="AH251" s="19">
        <v>4</v>
      </c>
      <c r="AI251" s="19">
        <v>3</v>
      </c>
      <c r="AJ251" s="19">
        <v>3</v>
      </c>
      <c r="AK251" s="19">
        <v>3</v>
      </c>
      <c r="AL251" s="19">
        <v>4</v>
      </c>
      <c r="AM251" s="19">
        <v>3</v>
      </c>
      <c r="AN251" s="19">
        <v>3</v>
      </c>
      <c r="AO251" s="19">
        <v>3</v>
      </c>
      <c r="AP251" s="19">
        <v>9</v>
      </c>
      <c r="AQ251">
        <v>33.5</v>
      </c>
      <c r="AR251" s="16">
        <v>91.5</v>
      </c>
      <c r="AS251" s="16">
        <v>80.400000000000006</v>
      </c>
      <c r="AT251" s="16">
        <v>20</v>
      </c>
      <c r="AU251">
        <v>84.58</v>
      </c>
      <c r="AV251" s="17">
        <v>0</v>
      </c>
      <c r="AW251">
        <v>15.42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13.79</v>
      </c>
      <c r="BH251">
        <v>2.67</v>
      </c>
      <c r="BI251">
        <v>11.54</v>
      </c>
      <c r="BJ251">
        <v>0</v>
      </c>
      <c r="BK251">
        <v>12.3</v>
      </c>
      <c r="BL251">
        <v>2</v>
      </c>
      <c r="BM251">
        <v>0</v>
      </c>
      <c r="BN251">
        <v>1</v>
      </c>
      <c r="BO251">
        <v>0</v>
      </c>
      <c r="BP251" s="16">
        <v>0.25</v>
      </c>
      <c r="BQ251" s="16">
        <v>1</v>
      </c>
      <c r="BR251" s="16">
        <v>0.55000000000000004</v>
      </c>
      <c r="BS251" s="16">
        <v>0.55000000000000004</v>
      </c>
      <c r="BT251" s="16">
        <v>0</v>
      </c>
      <c r="BU251" s="16">
        <v>0</v>
      </c>
      <c r="BV251" s="16">
        <v>0</v>
      </c>
      <c r="BW251">
        <v>0</v>
      </c>
    </row>
    <row r="252" spans="1:75" x14ac:dyDescent="0.2">
      <c r="A252">
        <v>2</v>
      </c>
      <c r="B252">
        <v>43.036276522929498</v>
      </c>
      <c r="C252">
        <v>21.629021218343599</v>
      </c>
      <c r="D252">
        <v>8</v>
      </c>
      <c r="E252">
        <v>80</v>
      </c>
      <c r="F252">
        <v>1.6</v>
      </c>
      <c r="G252">
        <v>31.25</v>
      </c>
      <c r="H252">
        <v>0</v>
      </c>
      <c r="I252">
        <v>0</v>
      </c>
      <c r="J252" s="19">
        <v>1</v>
      </c>
      <c r="K252" s="19">
        <v>0</v>
      </c>
      <c r="L252" s="19">
        <v>1</v>
      </c>
      <c r="M252" s="19">
        <v>0</v>
      </c>
      <c r="N252">
        <v>3</v>
      </c>
      <c r="O252" s="19">
        <v>5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5">
        <f t="shared" ref="V252:V283" si="9">AVERAGE(M252:U252)</f>
        <v>0.88888888888888884</v>
      </c>
      <c r="W252" s="19">
        <v>4</v>
      </c>
      <c r="X252" s="19">
        <v>3</v>
      </c>
      <c r="Y252" s="19">
        <v>4</v>
      </c>
      <c r="Z252" s="19">
        <v>5</v>
      </c>
      <c r="AA252" s="19">
        <v>2</v>
      </c>
      <c r="AB252" s="19">
        <v>2</v>
      </c>
      <c r="AC252" s="19">
        <v>4</v>
      </c>
      <c r="AD252" s="19">
        <v>5</v>
      </c>
      <c r="AE252" s="19">
        <v>5</v>
      </c>
      <c r="AF252" s="19">
        <v>3</v>
      </c>
      <c r="AG252" s="19">
        <v>3</v>
      </c>
      <c r="AH252" s="19">
        <v>5</v>
      </c>
      <c r="AI252" s="19">
        <v>3</v>
      </c>
      <c r="AJ252" s="19">
        <v>3</v>
      </c>
      <c r="AK252" s="19">
        <v>3</v>
      </c>
      <c r="AL252" s="19">
        <v>4</v>
      </c>
      <c r="AM252" s="19">
        <v>4</v>
      </c>
      <c r="AN252" s="19">
        <v>4</v>
      </c>
      <c r="AO252" s="19">
        <v>3</v>
      </c>
      <c r="AP252" s="19">
        <v>10</v>
      </c>
      <c r="AQ252">
        <v>33.5</v>
      </c>
      <c r="AR252" s="16">
        <v>91.5</v>
      </c>
      <c r="AS252" s="16">
        <v>80.400000000000006</v>
      </c>
      <c r="AT252" s="16">
        <v>20</v>
      </c>
      <c r="AU252">
        <v>84.58</v>
      </c>
      <c r="AV252" s="17">
        <v>0</v>
      </c>
      <c r="AW252">
        <v>15.42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13.79</v>
      </c>
      <c r="BH252">
        <v>2.67</v>
      </c>
      <c r="BI252">
        <v>11.54</v>
      </c>
      <c r="BJ252">
        <v>0</v>
      </c>
      <c r="BK252">
        <v>12.3</v>
      </c>
      <c r="BL252">
        <v>2</v>
      </c>
      <c r="BM252">
        <v>0</v>
      </c>
      <c r="BN252">
        <v>1</v>
      </c>
      <c r="BO252">
        <v>0</v>
      </c>
      <c r="BP252" s="16">
        <v>0.25</v>
      </c>
      <c r="BQ252" s="16">
        <v>1</v>
      </c>
      <c r="BR252" s="16">
        <v>0.55000000000000004</v>
      </c>
      <c r="BS252" s="16">
        <v>0.55000000000000004</v>
      </c>
      <c r="BT252" s="16">
        <v>0</v>
      </c>
      <c r="BU252" s="16">
        <v>0</v>
      </c>
      <c r="BV252" s="16">
        <v>0</v>
      </c>
      <c r="BW252">
        <v>0</v>
      </c>
    </row>
    <row r="253" spans="1:75" x14ac:dyDescent="0.2">
      <c r="A253" s="24">
        <v>2</v>
      </c>
      <c r="B253">
        <v>42.981519507186903</v>
      </c>
      <c r="C253">
        <v>14.417522245037601</v>
      </c>
      <c r="D253">
        <v>4</v>
      </c>
      <c r="E253">
        <v>80</v>
      </c>
      <c r="F253">
        <v>1.75</v>
      </c>
      <c r="G253">
        <v>26.122448979591798</v>
      </c>
      <c r="H253">
        <v>0</v>
      </c>
      <c r="I253">
        <v>0</v>
      </c>
      <c r="J253" s="26"/>
      <c r="K253" s="26">
        <v>0</v>
      </c>
      <c r="L253" s="26">
        <v>1</v>
      </c>
      <c r="M253" s="26">
        <v>0</v>
      </c>
      <c r="N253">
        <v>0</v>
      </c>
      <c r="O253" s="26">
        <v>0</v>
      </c>
      <c r="P253" s="26">
        <v>0</v>
      </c>
      <c r="Q253" s="26">
        <v>0</v>
      </c>
      <c r="R253" s="26">
        <v>0</v>
      </c>
      <c r="S253" s="26">
        <v>0</v>
      </c>
      <c r="T253" s="26">
        <v>0</v>
      </c>
      <c r="U253" s="26">
        <v>0</v>
      </c>
      <c r="V253" s="15">
        <f t="shared" si="9"/>
        <v>0</v>
      </c>
      <c r="W253" s="26"/>
      <c r="X253" s="26">
        <v>3</v>
      </c>
      <c r="Y253" s="26">
        <v>5</v>
      </c>
      <c r="Z253" s="26">
        <v>5</v>
      </c>
      <c r="AA253" s="26">
        <v>3</v>
      </c>
      <c r="AB253" s="26">
        <v>3</v>
      </c>
      <c r="AC253" s="26">
        <v>3</v>
      </c>
      <c r="AD253" s="26">
        <v>3</v>
      </c>
      <c r="AE253" s="26">
        <v>3</v>
      </c>
      <c r="AF253" s="26">
        <v>3</v>
      </c>
      <c r="AG253" s="26">
        <v>4</v>
      </c>
      <c r="AH253" s="26">
        <v>5</v>
      </c>
      <c r="AI253" s="26">
        <v>3</v>
      </c>
      <c r="AJ253" s="26">
        <v>4</v>
      </c>
      <c r="AK253" s="26">
        <v>5</v>
      </c>
      <c r="AL253" s="26">
        <v>5</v>
      </c>
      <c r="AM253" s="26">
        <v>5</v>
      </c>
      <c r="AN253" s="26">
        <v>5</v>
      </c>
      <c r="AO253" s="26">
        <v>4</v>
      </c>
      <c r="AP253" s="26">
        <v>9</v>
      </c>
      <c r="AQ253" s="24">
        <v>95.5</v>
      </c>
      <c r="AR253" s="27">
        <v>99.1</v>
      </c>
      <c r="AS253" s="27">
        <v>80.400000000000006</v>
      </c>
      <c r="AT253" s="27">
        <v>90.4</v>
      </c>
      <c r="AU253" s="24">
        <v>24.15</v>
      </c>
      <c r="AV253" s="29">
        <v>0</v>
      </c>
      <c r="AW253" s="24">
        <v>31.26</v>
      </c>
      <c r="AX253" s="24">
        <v>44.6</v>
      </c>
      <c r="AY253" s="24">
        <v>0</v>
      </c>
      <c r="AZ253" s="24">
        <v>0</v>
      </c>
      <c r="BA253" s="24">
        <v>0</v>
      </c>
      <c r="BB253" s="24">
        <v>0</v>
      </c>
      <c r="BC253" s="24">
        <v>0</v>
      </c>
      <c r="BD253" s="24">
        <v>0</v>
      </c>
      <c r="BE253" s="24">
        <v>0</v>
      </c>
      <c r="BF253" s="24">
        <v>0</v>
      </c>
      <c r="BG253" s="24">
        <v>0</v>
      </c>
      <c r="BH253" s="24">
        <v>24.75</v>
      </c>
      <c r="BI253" s="24">
        <v>2.4700000000000002</v>
      </c>
      <c r="BJ253" s="24">
        <v>0</v>
      </c>
      <c r="BK253" s="24">
        <v>0</v>
      </c>
      <c r="BL253" s="24">
        <v>0</v>
      </c>
      <c r="BM253" s="24">
        <v>0.2</v>
      </c>
      <c r="BN253" s="24">
        <v>1</v>
      </c>
      <c r="BO253" s="24">
        <v>0</v>
      </c>
      <c r="BP253" s="27">
        <v>0.63</v>
      </c>
      <c r="BQ253" s="27">
        <v>1</v>
      </c>
      <c r="BR253" s="27">
        <v>0</v>
      </c>
      <c r="BS253" s="27">
        <v>0</v>
      </c>
      <c r="BT253" s="27">
        <v>0</v>
      </c>
      <c r="BU253" s="27">
        <v>0</v>
      </c>
      <c r="BV253" s="27">
        <v>0</v>
      </c>
      <c r="BW253" s="24">
        <v>0</v>
      </c>
    </row>
    <row r="254" spans="1:75" x14ac:dyDescent="0.2">
      <c r="A254" s="24">
        <v>2</v>
      </c>
      <c r="B254">
        <v>23.310061601642701</v>
      </c>
      <c r="C254">
        <v>0.29568788501026699</v>
      </c>
      <c r="D254">
        <v>8</v>
      </c>
      <c r="E254">
        <v>76</v>
      </c>
      <c r="F254">
        <v>1.8</v>
      </c>
      <c r="G254">
        <v>23.456790123456798</v>
      </c>
      <c r="H254">
        <v>0</v>
      </c>
      <c r="I254">
        <v>0</v>
      </c>
      <c r="J254" s="26">
        <v>0</v>
      </c>
      <c r="K254" s="26">
        <v>0</v>
      </c>
      <c r="L254" s="26">
        <v>0</v>
      </c>
      <c r="M254" s="26">
        <v>0</v>
      </c>
      <c r="N254">
        <v>0</v>
      </c>
      <c r="O254" s="26">
        <v>0</v>
      </c>
      <c r="P254" s="26">
        <v>0</v>
      </c>
      <c r="Q254" s="26">
        <v>0</v>
      </c>
      <c r="R254" s="26">
        <v>0</v>
      </c>
      <c r="S254" s="26">
        <v>0</v>
      </c>
      <c r="T254" s="26">
        <v>0</v>
      </c>
      <c r="U254" s="26">
        <v>0</v>
      </c>
      <c r="V254" s="15">
        <f t="shared" si="9"/>
        <v>0</v>
      </c>
      <c r="W254" s="26">
        <v>3</v>
      </c>
      <c r="X254" s="26">
        <v>2</v>
      </c>
      <c r="Y254" s="26">
        <v>2</v>
      </c>
      <c r="Z254" s="26">
        <v>4</v>
      </c>
      <c r="AA254" s="26">
        <v>2</v>
      </c>
      <c r="AB254" s="26">
        <v>1</v>
      </c>
      <c r="AC254" s="26">
        <v>3</v>
      </c>
      <c r="AD254" s="26">
        <v>2</v>
      </c>
      <c r="AE254" s="26">
        <v>3</v>
      </c>
      <c r="AF254" s="26">
        <v>3</v>
      </c>
      <c r="AG254" s="26">
        <v>3</v>
      </c>
      <c r="AH254" s="26">
        <v>3</v>
      </c>
      <c r="AI254" s="26">
        <v>2</v>
      </c>
      <c r="AJ254" s="26">
        <v>4</v>
      </c>
      <c r="AK254" s="26">
        <v>3</v>
      </c>
      <c r="AL254" s="26">
        <v>4</v>
      </c>
      <c r="AM254" s="26">
        <v>3</v>
      </c>
      <c r="AN254" s="26">
        <v>3</v>
      </c>
      <c r="AO254" s="26">
        <v>4</v>
      </c>
      <c r="AP254" s="26">
        <v>7</v>
      </c>
      <c r="AQ254" s="24">
        <v>95.5</v>
      </c>
      <c r="AR254" s="27">
        <v>99.1</v>
      </c>
      <c r="AS254" s="27">
        <v>80.400000000000006</v>
      </c>
      <c r="AT254" s="27">
        <v>90.4</v>
      </c>
      <c r="AU254" s="24">
        <v>24.15</v>
      </c>
      <c r="AV254" s="29">
        <v>0</v>
      </c>
      <c r="AW254" s="24">
        <v>31.26</v>
      </c>
      <c r="AX254" s="24">
        <v>44.6</v>
      </c>
      <c r="AY254" s="24">
        <v>0</v>
      </c>
      <c r="AZ254" s="24">
        <v>0</v>
      </c>
      <c r="BA254" s="24">
        <v>0</v>
      </c>
      <c r="BB254" s="24">
        <v>0</v>
      </c>
      <c r="BC254" s="24">
        <v>0</v>
      </c>
      <c r="BD254" s="24">
        <v>0</v>
      </c>
      <c r="BE254" s="24">
        <v>0</v>
      </c>
      <c r="BF254" s="24">
        <v>0</v>
      </c>
      <c r="BG254" s="24">
        <v>0</v>
      </c>
      <c r="BH254" s="24">
        <v>24.75</v>
      </c>
      <c r="BI254" s="24">
        <v>2.4700000000000002</v>
      </c>
      <c r="BJ254" s="24">
        <v>0</v>
      </c>
      <c r="BK254" s="24">
        <v>0</v>
      </c>
      <c r="BL254" s="24">
        <v>0</v>
      </c>
      <c r="BM254" s="24">
        <v>0.2</v>
      </c>
      <c r="BN254" s="24">
        <v>1</v>
      </c>
      <c r="BO254" s="24">
        <v>0</v>
      </c>
      <c r="BP254" s="27">
        <v>0.63</v>
      </c>
      <c r="BQ254" s="27">
        <v>1</v>
      </c>
      <c r="BR254" s="27">
        <v>0</v>
      </c>
      <c r="BS254" s="27">
        <v>0</v>
      </c>
      <c r="BT254" s="27">
        <v>0</v>
      </c>
      <c r="BU254" s="27">
        <v>0</v>
      </c>
      <c r="BV254" s="27">
        <v>0</v>
      </c>
      <c r="BW254" s="24">
        <v>0</v>
      </c>
    </row>
    <row r="255" spans="1:75" x14ac:dyDescent="0.2">
      <c r="A255" s="24">
        <v>2</v>
      </c>
      <c r="B255">
        <v>37.278576317590698</v>
      </c>
      <c r="C255">
        <v>15.64681724846</v>
      </c>
      <c r="D255">
        <v>8</v>
      </c>
      <c r="E255">
        <v>107</v>
      </c>
      <c r="F255">
        <v>1.84</v>
      </c>
      <c r="G255">
        <v>31.604442344045399</v>
      </c>
      <c r="H255">
        <v>0</v>
      </c>
      <c r="I255">
        <v>0</v>
      </c>
      <c r="J255" s="26">
        <v>1</v>
      </c>
      <c r="K255" s="26">
        <v>2</v>
      </c>
      <c r="L255" s="26">
        <v>0</v>
      </c>
      <c r="M255" s="26">
        <v>0</v>
      </c>
      <c r="N255">
        <v>7</v>
      </c>
      <c r="O255" s="26">
        <v>6</v>
      </c>
      <c r="P255" s="26">
        <v>3</v>
      </c>
      <c r="Q255" s="26">
        <v>4</v>
      </c>
      <c r="R255" s="26">
        <v>8</v>
      </c>
      <c r="S255" s="26">
        <v>9</v>
      </c>
      <c r="T255" s="26">
        <v>0</v>
      </c>
      <c r="U255" s="26">
        <v>0</v>
      </c>
      <c r="V255" s="15">
        <f t="shared" si="9"/>
        <v>4.1111111111111107</v>
      </c>
      <c r="W255" s="26">
        <v>5</v>
      </c>
      <c r="X255" s="26">
        <v>2</v>
      </c>
      <c r="Y255" s="26">
        <v>5</v>
      </c>
      <c r="Z255" s="26">
        <v>5</v>
      </c>
      <c r="AA255" s="26">
        <v>1</v>
      </c>
      <c r="AB255" s="26">
        <v>5</v>
      </c>
      <c r="AC255" s="26">
        <v>1</v>
      </c>
      <c r="AD255" s="26">
        <v>1</v>
      </c>
      <c r="AE255" s="26">
        <v>1</v>
      </c>
      <c r="AF255" s="26">
        <v>1</v>
      </c>
      <c r="AG255" s="26">
        <v>1</v>
      </c>
      <c r="AH255" s="26">
        <v>5</v>
      </c>
      <c r="AI255" s="26">
        <v>1</v>
      </c>
      <c r="AJ255" s="26">
        <v>1</v>
      </c>
      <c r="AK255" s="26">
        <v>1</v>
      </c>
      <c r="AL255" s="26">
        <v>3</v>
      </c>
      <c r="AM255" s="26">
        <v>1</v>
      </c>
      <c r="AN255" s="26">
        <v>1</v>
      </c>
      <c r="AO255" s="26">
        <v>1</v>
      </c>
      <c r="AP255" s="26">
        <v>8</v>
      </c>
      <c r="AQ255" s="24">
        <v>43</v>
      </c>
      <c r="AR255" s="27">
        <v>91.8</v>
      </c>
      <c r="AS255" s="27">
        <v>83.4</v>
      </c>
      <c r="AT255" s="27">
        <v>25.8</v>
      </c>
      <c r="AU255" s="24">
        <v>68.3</v>
      </c>
      <c r="AV255" s="24">
        <v>0</v>
      </c>
      <c r="AW255" s="24">
        <v>0</v>
      </c>
      <c r="AX255" s="24">
        <v>0</v>
      </c>
      <c r="AY255" s="24">
        <v>31.54</v>
      </c>
      <c r="AZ255" s="24">
        <v>0</v>
      </c>
      <c r="BA255" s="24">
        <v>0</v>
      </c>
      <c r="BB255" s="24">
        <v>0</v>
      </c>
      <c r="BC255" s="24">
        <v>0</v>
      </c>
      <c r="BD255" s="24">
        <v>0</v>
      </c>
      <c r="BE255" s="24">
        <v>0</v>
      </c>
      <c r="BF255" s="24">
        <v>48.27</v>
      </c>
      <c r="BG255" s="24">
        <v>58.3</v>
      </c>
      <c r="BH255" s="24">
        <v>1.34</v>
      </c>
      <c r="BI255" s="24">
        <v>0</v>
      </c>
      <c r="BJ255" s="24">
        <v>0.16</v>
      </c>
      <c r="BK255" s="24">
        <v>0</v>
      </c>
      <c r="BL255" s="24">
        <v>0</v>
      </c>
      <c r="BM255" s="24">
        <v>11</v>
      </c>
      <c r="BN255" s="24">
        <v>1</v>
      </c>
      <c r="BO255" s="24">
        <v>1</v>
      </c>
      <c r="BP255" s="27">
        <v>2.4500000000000002</v>
      </c>
      <c r="BQ255" s="27">
        <v>1</v>
      </c>
      <c r="BR255" s="27">
        <v>3.68</v>
      </c>
      <c r="BS255" s="27">
        <v>1.63</v>
      </c>
      <c r="BT255" s="27">
        <v>0</v>
      </c>
      <c r="BU255" s="27">
        <v>0</v>
      </c>
      <c r="BV255" s="27">
        <v>0</v>
      </c>
      <c r="BW255" s="24">
        <v>0</v>
      </c>
    </row>
    <row r="256" spans="1:75" x14ac:dyDescent="0.2">
      <c r="A256" s="24">
        <v>2</v>
      </c>
      <c r="B256">
        <v>39.3538672142368</v>
      </c>
      <c r="C256">
        <v>18.206707734428502</v>
      </c>
      <c r="D256">
        <v>8</v>
      </c>
      <c r="E256">
        <v>85</v>
      </c>
      <c r="F256">
        <v>1.87</v>
      </c>
      <c r="G256">
        <v>24.307243558580499</v>
      </c>
      <c r="H256">
        <v>0</v>
      </c>
      <c r="I256">
        <v>0</v>
      </c>
      <c r="J256" s="26">
        <v>0</v>
      </c>
      <c r="K256" s="26">
        <v>1</v>
      </c>
      <c r="L256" s="26">
        <v>0</v>
      </c>
      <c r="M256" s="26">
        <v>0</v>
      </c>
      <c r="N256">
        <v>0</v>
      </c>
      <c r="O256" s="26">
        <v>0</v>
      </c>
      <c r="P256" s="26">
        <v>0</v>
      </c>
      <c r="Q256" s="26">
        <v>0</v>
      </c>
      <c r="R256" s="26">
        <v>0</v>
      </c>
      <c r="S256" s="26">
        <v>0</v>
      </c>
      <c r="T256" s="26">
        <v>0</v>
      </c>
      <c r="U256" s="26">
        <v>0</v>
      </c>
      <c r="V256" s="15">
        <f t="shared" si="9"/>
        <v>0</v>
      </c>
      <c r="W256" s="26">
        <v>4</v>
      </c>
      <c r="X256" s="26">
        <v>3</v>
      </c>
      <c r="Y256" s="26">
        <v>4</v>
      </c>
      <c r="Z256" s="26">
        <v>5</v>
      </c>
      <c r="AA256" s="26">
        <v>2</v>
      </c>
      <c r="AB256" s="26">
        <v>1</v>
      </c>
      <c r="AC256" s="26">
        <v>2</v>
      </c>
      <c r="AD256" s="26">
        <v>3</v>
      </c>
      <c r="AE256" s="26">
        <v>3</v>
      </c>
      <c r="AF256" s="26">
        <v>3</v>
      </c>
      <c r="AG256" s="26">
        <v>3</v>
      </c>
      <c r="AH256" s="26">
        <v>5</v>
      </c>
      <c r="AI256" s="26">
        <v>5</v>
      </c>
      <c r="AJ256" s="26">
        <v>3</v>
      </c>
      <c r="AK256" s="26">
        <v>3</v>
      </c>
      <c r="AL256" s="26">
        <v>5</v>
      </c>
      <c r="AM256" s="26">
        <v>4</v>
      </c>
      <c r="AN256" s="26">
        <v>4</v>
      </c>
      <c r="AO256" s="26">
        <v>4</v>
      </c>
      <c r="AP256" s="26">
        <v>10</v>
      </c>
      <c r="AQ256" s="24">
        <v>43</v>
      </c>
      <c r="AR256" s="27">
        <v>91.8</v>
      </c>
      <c r="AS256" s="27">
        <v>83.4</v>
      </c>
      <c r="AT256" s="27">
        <v>25.8</v>
      </c>
      <c r="AU256" s="24">
        <v>68.3</v>
      </c>
      <c r="AV256" s="24">
        <v>0</v>
      </c>
      <c r="AW256" s="24">
        <v>0</v>
      </c>
      <c r="AX256" s="24">
        <v>0</v>
      </c>
      <c r="AY256" s="24">
        <v>31.54</v>
      </c>
      <c r="AZ256" s="24">
        <v>0</v>
      </c>
      <c r="BA256" s="24">
        <v>0</v>
      </c>
      <c r="BB256" s="24">
        <v>0</v>
      </c>
      <c r="BC256" s="24">
        <v>0</v>
      </c>
      <c r="BD256" s="24">
        <v>0</v>
      </c>
      <c r="BE256" s="24">
        <v>0</v>
      </c>
      <c r="BF256" s="24">
        <v>48.27</v>
      </c>
      <c r="BG256" s="24">
        <v>58.3</v>
      </c>
      <c r="BH256" s="24">
        <v>1.34</v>
      </c>
      <c r="BI256" s="24">
        <v>0</v>
      </c>
      <c r="BJ256" s="24">
        <v>0.16</v>
      </c>
      <c r="BK256" s="24">
        <v>0</v>
      </c>
      <c r="BL256" s="24">
        <v>0</v>
      </c>
      <c r="BM256" s="24">
        <v>11</v>
      </c>
      <c r="BN256" s="24">
        <v>1</v>
      </c>
      <c r="BO256" s="24">
        <v>1</v>
      </c>
      <c r="BP256" s="27">
        <v>2.4500000000000002</v>
      </c>
      <c r="BQ256" s="27">
        <v>1</v>
      </c>
      <c r="BR256" s="27">
        <v>3.68</v>
      </c>
      <c r="BS256" s="27">
        <v>1.63</v>
      </c>
      <c r="BT256" s="27">
        <v>0</v>
      </c>
      <c r="BU256" s="27">
        <v>0</v>
      </c>
      <c r="BV256" s="27">
        <v>0</v>
      </c>
      <c r="BW256" s="24">
        <v>0</v>
      </c>
    </row>
    <row r="257" spans="1:75" x14ac:dyDescent="0.2">
      <c r="A257" s="24">
        <v>2</v>
      </c>
      <c r="B257">
        <v>0.23271731690622899</v>
      </c>
      <c r="C257">
        <v>5.9712525667351102</v>
      </c>
      <c r="D257">
        <v>8</v>
      </c>
      <c r="E257">
        <v>67</v>
      </c>
      <c r="F257">
        <v>1.72</v>
      </c>
      <c r="G257">
        <v>22.6473769605192</v>
      </c>
      <c r="H257">
        <v>0</v>
      </c>
      <c r="I257">
        <v>0</v>
      </c>
      <c r="J257" s="26">
        <v>0</v>
      </c>
      <c r="K257" s="26">
        <v>2</v>
      </c>
      <c r="L257" s="26">
        <v>0</v>
      </c>
      <c r="M257" s="26">
        <v>0</v>
      </c>
      <c r="N257">
        <v>0</v>
      </c>
      <c r="O257" s="26">
        <v>0</v>
      </c>
      <c r="P257" s="26">
        <v>0</v>
      </c>
      <c r="Q257" s="26">
        <v>0</v>
      </c>
      <c r="R257" s="26">
        <v>6</v>
      </c>
      <c r="S257" s="26">
        <v>4</v>
      </c>
      <c r="T257" s="26">
        <v>0</v>
      </c>
      <c r="U257" s="26">
        <v>0</v>
      </c>
      <c r="V257" s="15">
        <f t="shared" si="9"/>
        <v>1.1111111111111112</v>
      </c>
      <c r="W257" s="26">
        <v>3</v>
      </c>
      <c r="X257" s="26">
        <v>3</v>
      </c>
      <c r="Y257" s="26">
        <v>4</v>
      </c>
      <c r="Z257" s="26">
        <v>4</v>
      </c>
      <c r="AA257" s="26">
        <v>3</v>
      </c>
      <c r="AB257" s="26">
        <v>3</v>
      </c>
      <c r="AC257" s="26">
        <v>4</v>
      </c>
      <c r="AD257" s="26">
        <v>4</v>
      </c>
      <c r="AE257" s="26">
        <v>5</v>
      </c>
      <c r="AF257" s="26">
        <v>5</v>
      </c>
      <c r="AG257" s="26">
        <v>5</v>
      </c>
      <c r="AH257" s="26">
        <v>5</v>
      </c>
      <c r="AI257" s="26">
        <v>3</v>
      </c>
      <c r="AJ257" s="26">
        <v>4</v>
      </c>
      <c r="AK257" s="26">
        <v>4</v>
      </c>
      <c r="AL257" s="26">
        <v>4</v>
      </c>
      <c r="AM257" s="26">
        <v>4</v>
      </c>
      <c r="AN257" s="26">
        <v>4</v>
      </c>
      <c r="AO257" s="26">
        <v>5</v>
      </c>
      <c r="AP257" s="26">
        <v>8</v>
      </c>
      <c r="AQ257" s="24">
        <v>43</v>
      </c>
      <c r="AR257" s="27">
        <v>91.8</v>
      </c>
      <c r="AS257" s="27">
        <v>83.4</v>
      </c>
      <c r="AT257" s="27">
        <v>25.8</v>
      </c>
      <c r="AU257" s="24">
        <v>68.3</v>
      </c>
      <c r="AV257" s="24">
        <v>0</v>
      </c>
      <c r="AW257" s="24">
        <v>0</v>
      </c>
      <c r="AX257" s="24">
        <v>0</v>
      </c>
      <c r="AY257" s="24">
        <v>31.54</v>
      </c>
      <c r="AZ257" s="24">
        <v>0</v>
      </c>
      <c r="BA257" s="24">
        <v>0</v>
      </c>
      <c r="BB257" s="24">
        <v>0</v>
      </c>
      <c r="BC257" s="24">
        <v>0</v>
      </c>
      <c r="BD257" s="24">
        <v>0</v>
      </c>
      <c r="BE257" s="24">
        <v>0</v>
      </c>
      <c r="BF257" s="24">
        <v>48.27</v>
      </c>
      <c r="BG257" s="24">
        <v>58.3</v>
      </c>
      <c r="BH257" s="24">
        <v>1.34</v>
      </c>
      <c r="BI257" s="24">
        <v>0</v>
      </c>
      <c r="BJ257" s="24">
        <v>0.16</v>
      </c>
      <c r="BK257" s="24">
        <v>0</v>
      </c>
      <c r="BL257" s="24">
        <v>0</v>
      </c>
      <c r="BM257" s="24">
        <v>11</v>
      </c>
      <c r="BN257" s="24">
        <v>1</v>
      </c>
      <c r="BO257" s="24">
        <v>1</v>
      </c>
      <c r="BP257" s="27">
        <v>2.4500000000000002</v>
      </c>
      <c r="BQ257" s="27">
        <v>1</v>
      </c>
      <c r="BR257" s="27">
        <v>3.68</v>
      </c>
      <c r="BS257" s="27">
        <v>1.63</v>
      </c>
      <c r="BT257" s="27">
        <v>0</v>
      </c>
      <c r="BU257" s="27">
        <v>0</v>
      </c>
      <c r="BV257" s="27">
        <v>0</v>
      </c>
      <c r="BW257" s="24">
        <v>0</v>
      </c>
    </row>
    <row r="258" spans="1:75" x14ac:dyDescent="0.2">
      <c r="A258" s="24">
        <v>2</v>
      </c>
      <c r="B258">
        <v>29.505817932922699</v>
      </c>
      <c r="C258">
        <v>6.0670773442847397</v>
      </c>
      <c r="D258">
        <v>8</v>
      </c>
      <c r="E258">
        <v>90</v>
      </c>
      <c r="F258">
        <v>1.67</v>
      </c>
      <c r="G258">
        <v>32.270787765785798</v>
      </c>
      <c r="H258">
        <v>0</v>
      </c>
      <c r="I258">
        <v>0</v>
      </c>
      <c r="J258" s="26">
        <v>1</v>
      </c>
      <c r="K258" s="26">
        <v>0</v>
      </c>
      <c r="L258" s="26">
        <v>0</v>
      </c>
      <c r="M258" s="26">
        <v>0</v>
      </c>
      <c r="N258">
        <v>6</v>
      </c>
      <c r="O258" s="26">
        <v>6</v>
      </c>
      <c r="P258" s="26">
        <v>6</v>
      </c>
      <c r="Q258" s="26">
        <v>6</v>
      </c>
      <c r="R258" s="26">
        <v>6</v>
      </c>
      <c r="S258" s="26">
        <v>6</v>
      </c>
      <c r="T258" s="26">
        <v>6</v>
      </c>
      <c r="U258" s="26">
        <v>6</v>
      </c>
      <c r="V258" s="15">
        <f t="shared" si="9"/>
        <v>5.333333333333333</v>
      </c>
      <c r="W258" s="26">
        <v>1</v>
      </c>
      <c r="X258" s="26">
        <v>2</v>
      </c>
      <c r="Y258" s="26">
        <v>4</v>
      </c>
      <c r="Z258" s="26">
        <v>5</v>
      </c>
      <c r="AA258" s="26">
        <v>4</v>
      </c>
      <c r="AB258" s="26">
        <v>4</v>
      </c>
      <c r="AC258" s="26">
        <v>5</v>
      </c>
      <c r="AD258" s="26">
        <v>5</v>
      </c>
      <c r="AE258" s="26">
        <v>5</v>
      </c>
      <c r="AF258" s="26">
        <v>3</v>
      </c>
      <c r="AG258" s="26">
        <v>3</v>
      </c>
      <c r="AH258" s="26">
        <v>5</v>
      </c>
      <c r="AI258" s="26">
        <v>5</v>
      </c>
      <c r="AJ258" s="26">
        <v>3</v>
      </c>
      <c r="AK258" s="26">
        <v>4</v>
      </c>
      <c r="AL258" s="26">
        <v>4</v>
      </c>
      <c r="AM258" s="26">
        <v>3</v>
      </c>
      <c r="AN258" s="26">
        <v>3</v>
      </c>
      <c r="AO258" s="26">
        <v>4</v>
      </c>
      <c r="AP258" s="26">
        <v>10</v>
      </c>
      <c r="AQ258" s="24">
        <v>43</v>
      </c>
      <c r="AR258" s="27">
        <v>91.8</v>
      </c>
      <c r="AS258" s="27">
        <v>83.4</v>
      </c>
      <c r="AT258" s="27">
        <v>25.8</v>
      </c>
      <c r="AU258" s="24">
        <v>68.3</v>
      </c>
      <c r="AV258" s="24">
        <v>0</v>
      </c>
      <c r="AW258" s="24">
        <v>0</v>
      </c>
      <c r="AX258" s="24">
        <v>0</v>
      </c>
      <c r="AY258" s="24">
        <v>31.54</v>
      </c>
      <c r="AZ258" s="24">
        <v>0</v>
      </c>
      <c r="BA258" s="24">
        <v>0</v>
      </c>
      <c r="BB258" s="24">
        <v>0</v>
      </c>
      <c r="BC258" s="24">
        <v>0</v>
      </c>
      <c r="BD258" s="24">
        <v>0</v>
      </c>
      <c r="BE258" s="24">
        <v>0</v>
      </c>
      <c r="BF258" s="24">
        <v>48.27</v>
      </c>
      <c r="BG258" s="24">
        <v>58.3</v>
      </c>
      <c r="BH258" s="24">
        <v>1.34</v>
      </c>
      <c r="BI258" s="24">
        <v>0</v>
      </c>
      <c r="BJ258" s="24">
        <v>0.16</v>
      </c>
      <c r="BK258" s="24">
        <v>0</v>
      </c>
      <c r="BL258" s="24">
        <v>0</v>
      </c>
      <c r="BM258" s="24">
        <v>11</v>
      </c>
      <c r="BN258" s="24">
        <v>1</v>
      </c>
      <c r="BO258" s="24">
        <v>1</v>
      </c>
      <c r="BP258" s="27">
        <v>2.4500000000000002</v>
      </c>
      <c r="BQ258" s="27">
        <v>1</v>
      </c>
      <c r="BR258" s="27">
        <v>3.68</v>
      </c>
      <c r="BS258" s="27">
        <v>1.63</v>
      </c>
      <c r="BT258" s="27">
        <v>0</v>
      </c>
      <c r="BU258" s="27">
        <v>0</v>
      </c>
      <c r="BV258" s="27">
        <v>0</v>
      </c>
      <c r="BW258" s="24">
        <v>0</v>
      </c>
    </row>
    <row r="259" spans="1:75" x14ac:dyDescent="0.2">
      <c r="A259" s="24">
        <v>2</v>
      </c>
      <c r="B259">
        <v>18.724161533196401</v>
      </c>
      <c r="C259">
        <v>0.32580424366872002</v>
      </c>
      <c r="D259">
        <v>8</v>
      </c>
      <c r="E259">
        <v>65</v>
      </c>
      <c r="F259">
        <v>1.72</v>
      </c>
      <c r="G259">
        <v>21.971335857220101</v>
      </c>
      <c r="H259">
        <v>0</v>
      </c>
      <c r="I259">
        <v>0</v>
      </c>
      <c r="J259" s="26">
        <v>1</v>
      </c>
      <c r="K259" s="26">
        <v>0</v>
      </c>
      <c r="L259" s="26">
        <v>1</v>
      </c>
      <c r="M259" s="26">
        <v>0</v>
      </c>
      <c r="O259" s="26"/>
      <c r="P259" s="26">
        <v>0</v>
      </c>
      <c r="Q259" s="26">
        <v>0</v>
      </c>
      <c r="R259" s="26">
        <v>0</v>
      </c>
      <c r="S259" s="26">
        <v>0</v>
      </c>
      <c r="T259" s="26">
        <v>0</v>
      </c>
      <c r="U259" s="26">
        <v>0</v>
      </c>
      <c r="V259" s="15">
        <f t="shared" si="9"/>
        <v>0</v>
      </c>
      <c r="W259" s="26">
        <v>2</v>
      </c>
      <c r="X259" s="26">
        <v>2</v>
      </c>
      <c r="Y259" s="26">
        <v>3</v>
      </c>
      <c r="Z259" s="26">
        <v>3</v>
      </c>
      <c r="AA259" s="26">
        <v>2</v>
      </c>
      <c r="AB259" s="26">
        <v>1</v>
      </c>
      <c r="AC259" s="26">
        <v>3</v>
      </c>
      <c r="AD259" s="26">
        <v>3</v>
      </c>
      <c r="AE259" s="26">
        <v>4</v>
      </c>
      <c r="AF259" s="26">
        <v>3</v>
      </c>
      <c r="AG259" s="26">
        <v>4</v>
      </c>
      <c r="AH259" s="26">
        <v>5</v>
      </c>
      <c r="AI259" s="26">
        <v>2</v>
      </c>
      <c r="AJ259" s="26">
        <v>2</v>
      </c>
      <c r="AK259" s="26">
        <v>2</v>
      </c>
      <c r="AL259" s="26">
        <v>4</v>
      </c>
      <c r="AM259" s="26">
        <v>3</v>
      </c>
      <c r="AN259" s="26">
        <v>2</v>
      </c>
      <c r="AO259" s="26">
        <v>3</v>
      </c>
      <c r="AP259" s="26">
        <v>6</v>
      </c>
      <c r="AQ259" s="24">
        <v>43</v>
      </c>
      <c r="AR259" s="27">
        <v>91.8</v>
      </c>
      <c r="AS259" s="27">
        <v>83.4</v>
      </c>
      <c r="AT259" s="27">
        <v>25.8</v>
      </c>
      <c r="AU259" s="24">
        <v>68.3</v>
      </c>
      <c r="AV259" s="24">
        <v>0</v>
      </c>
      <c r="AW259" s="24">
        <v>0</v>
      </c>
      <c r="AX259" s="24">
        <v>0</v>
      </c>
      <c r="AY259" s="24">
        <v>31.54</v>
      </c>
      <c r="AZ259" s="24">
        <v>0</v>
      </c>
      <c r="BA259" s="24">
        <v>0</v>
      </c>
      <c r="BB259" s="24">
        <v>0</v>
      </c>
      <c r="BC259" s="24">
        <v>0</v>
      </c>
      <c r="BD259" s="24">
        <v>0</v>
      </c>
      <c r="BE259" s="24">
        <v>0</v>
      </c>
      <c r="BF259" s="24">
        <v>48.27</v>
      </c>
      <c r="BG259" s="24">
        <v>58.3</v>
      </c>
      <c r="BH259" s="24">
        <v>1.34</v>
      </c>
      <c r="BI259" s="24">
        <v>0</v>
      </c>
      <c r="BJ259" s="24">
        <v>0.16</v>
      </c>
      <c r="BK259" s="24">
        <v>0</v>
      </c>
      <c r="BL259" s="24">
        <v>0</v>
      </c>
      <c r="BM259" s="24">
        <v>11</v>
      </c>
      <c r="BN259" s="24">
        <v>1</v>
      </c>
      <c r="BO259" s="24">
        <v>1</v>
      </c>
      <c r="BP259" s="27">
        <v>2.4500000000000002</v>
      </c>
      <c r="BQ259" s="27">
        <v>1</v>
      </c>
      <c r="BR259" s="27">
        <v>3.68</v>
      </c>
      <c r="BS259" s="27">
        <v>1.63</v>
      </c>
      <c r="BT259" s="27">
        <v>0</v>
      </c>
      <c r="BU259" s="27">
        <v>0</v>
      </c>
      <c r="BV259" s="27">
        <v>0</v>
      </c>
      <c r="BW259" s="24">
        <v>0</v>
      </c>
    </row>
    <row r="260" spans="1:75" x14ac:dyDescent="0.2">
      <c r="A260" s="24">
        <v>2</v>
      </c>
      <c r="B260">
        <v>28.021902806297099</v>
      </c>
      <c r="C260">
        <v>0.26009582477755</v>
      </c>
      <c r="D260">
        <v>8</v>
      </c>
      <c r="E260">
        <v>65</v>
      </c>
      <c r="F260">
        <v>1.75</v>
      </c>
      <c r="G260">
        <v>21.224489795918402</v>
      </c>
      <c r="H260">
        <v>0</v>
      </c>
      <c r="I260">
        <v>0</v>
      </c>
      <c r="J260" s="26">
        <v>0</v>
      </c>
      <c r="K260" s="26">
        <v>0</v>
      </c>
      <c r="L260" s="26">
        <v>1</v>
      </c>
      <c r="M260" s="26">
        <v>0</v>
      </c>
      <c r="N260">
        <v>0</v>
      </c>
      <c r="O260" s="26">
        <v>0</v>
      </c>
      <c r="P260" s="26">
        <v>0</v>
      </c>
      <c r="Q260" s="26">
        <v>0</v>
      </c>
      <c r="R260" s="26">
        <v>0</v>
      </c>
      <c r="S260" s="26">
        <v>0</v>
      </c>
      <c r="T260" s="26">
        <v>0</v>
      </c>
      <c r="U260" s="26">
        <v>0</v>
      </c>
      <c r="V260" s="15">
        <f t="shared" si="9"/>
        <v>0</v>
      </c>
      <c r="W260" s="26">
        <v>1</v>
      </c>
      <c r="X260" s="26">
        <v>1</v>
      </c>
      <c r="Y260" s="26">
        <v>2</v>
      </c>
      <c r="Z260" s="26">
        <v>5</v>
      </c>
      <c r="AA260" s="26">
        <v>3</v>
      </c>
      <c r="AB260" s="26">
        <v>1</v>
      </c>
      <c r="AC260" s="26">
        <v>4</v>
      </c>
      <c r="AD260" s="26">
        <v>5</v>
      </c>
      <c r="AE260" s="26">
        <v>5</v>
      </c>
      <c r="AF260" s="26">
        <v>2</v>
      </c>
      <c r="AG260" s="26">
        <v>5</v>
      </c>
      <c r="AH260" s="26">
        <v>5</v>
      </c>
      <c r="AI260" s="26">
        <v>5</v>
      </c>
      <c r="AJ260" s="26">
        <v>5</v>
      </c>
      <c r="AK260" s="26">
        <v>5</v>
      </c>
      <c r="AL260" s="26">
        <v>5</v>
      </c>
      <c r="AM260" s="26">
        <v>4</v>
      </c>
      <c r="AN260" s="26">
        <v>4</v>
      </c>
      <c r="AO260" s="26">
        <v>4</v>
      </c>
      <c r="AP260" s="26">
        <v>10</v>
      </c>
      <c r="AQ260" s="24">
        <v>43</v>
      </c>
      <c r="AR260" s="27">
        <v>91.8</v>
      </c>
      <c r="AS260" s="27">
        <v>83.4</v>
      </c>
      <c r="AT260" s="27">
        <v>25.8</v>
      </c>
      <c r="AU260" s="24">
        <v>68.3</v>
      </c>
      <c r="AV260" s="24">
        <v>0</v>
      </c>
      <c r="AW260" s="24">
        <v>0</v>
      </c>
      <c r="AX260" s="24">
        <v>0</v>
      </c>
      <c r="AY260" s="24">
        <v>31.54</v>
      </c>
      <c r="AZ260" s="24">
        <v>0</v>
      </c>
      <c r="BA260" s="24">
        <v>0</v>
      </c>
      <c r="BB260" s="24">
        <v>0</v>
      </c>
      <c r="BC260" s="24">
        <v>0</v>
      </c>
      <c r="BD260" s="24">
        <v>0</v>
      </c>
      <c r="BE260" s="24">
        <v>0</v>
      </c>
      <c r="BF260" s="24">
        <v>48.27</v>
      </c>
      <c r="BG260" s="24">
        <v>58.3</v>
      </c>
      <c r="BH260" s="24">
        <v>1.34</v>
      </c>
      <c r="BI260" s="24">
        <v>0</v>
      </c>
      <c r="BJ260" s="24">
        <v>0.16</v>
      </c>
      <c r="BK260" s="24">
        <v>0</v>
      </c>
      <c r="BL260" s="24">
        <v>0</v>
      </c>
      <c r="BM260" s="24">
        <v>11</v>
      </c>
      <c r="BN260" s="24">
        <v>1</v>
      </c>
      <c r="BO260" s="24">
        <v>1</v>
      </c>
      <c r="BP260" s="27">
        <v>2.4500000000000002</v>
      </c>
      <c r="BQ260" s="27">
        <v>1</v>
      </c>
      <c r="BR260" s="27">
        <v>3.68</v>
      </c>
      <c r="BS260" s="27">
        <v>1.63</v>
      </c>
      <c r="BT260" s="27">
        <v>0</v>
      </c>
      <c r="BU260" s="27">
        <v>0</v>
      </c>
      <c r="BV260" s="27">
        <v>0</v>
      </c>
      <c r="BW260" s="24">
        <v>0</v>
      </c>
    </row>
    <row r="261" spans="1:75" x14ac:dyDescent="0.2">
      <c r="A261" s="24">
        <v>2</v>
      </c>
      <c r="B261">
        <v>28.084873374401099</v>
      </c>
      <c r="C261">
        <v>0.32580424366872002</v>
      </c>
      <c r="D261">
        <v>8</v>
      </c>
      <c r="E261">
        <v>90</v>
      </c>
      <c r="F261">
        <v>1.86</v>
      </c>
      <c r="G261">
        <v>26.014568158168601</v>
      </c>
      <c r="H261">
        <v>0</v>
      </c>
      <c r="I261">
        <v>0</v>
      </c>
      <c r="J261" s="26">
        <v>0</v>
      </c>
      <c r="K261" s="26">
        <v>1</v>
      </c>
      <c r="L261" s="26">
        <v>0</v>
      </c>
      <c r="M261" s="26">
        <v>0</v>
      </c>
      <c r="N261">
        <v>0</v>
      </c>
      <c r="O261" s="26">
        <v>0</v>
      </c>
      <c r="P261" s="26">
        <v>0</v>
      </c>
      <c r="Q261" s="26">
        <v>0</v>
      </c>
      <c r="R261" s="26">
        <v>0</v>
      </c>
      <c r="S261" s="26">
        <v>0</v>
      </c>
      <c r="T261" s="26">
        <v>0</v>
      </c>
      <c r="U261" s="26">
        <v>0</v>
      </c>
      <c r="V261" s="15">
        <f t="shared" si="9"/>
        <v>0</v>
      </c>
      <c r="W261" s="26">
        <v>1</v>
      </c>
      <c r="X261" s="26">
        <v>1</v>
      </c>
      <c r="Y261" s="26">
        <v>2</v>
      </c>
      <c r="Z261" s="26">
        <v>5</v>
      </c>
      <c r="AA261" s="26">
        <v>1</v>
      </c>
      <c r="AB261" s="26">
        <v>1</v>
      </c>
      <c r="AC261" s="26">
        <v>4</v>
      </c>
      <c r="AD261" s="26">
        <v>3</v>
      </c>
      <c r="AE261" s="26">
        <v>4</v>
      </c>
      <c r="AF261" s="26">
        <v>5</v>
      </c>
      <c r="AG261" s="26">
        <v>5</v>
      </c>
      <c r="AH261" s="26">
        <v>5</v>
      </c>
      <c r="AI261" s="26">
        <v>5</v>
      </c>
      <c r="AJ261" s="26">
        <v>5</v>
      </c>
      <c r="AK261" s="26">
        <v>5</v>
      </c>
      <c r="AL261" s="26">
        <v>5</v>
      </c>
      <c r="AM261" s="26">
        <v>5</v>
      </c>
      <c r="AN261" s="26">
        <v>5</v>
      </c>
      <c r="AO261" s="26">
        <v>5</v>
      </c>
      <c r="AP261" s="26">
        <v>10</v>
      </c>
      <c r="AQ261" s="24">
        <v>43</v>
      </c>
      <c r="AR261" s="27">
        <v>91.8</v>
      </c>
      <c r="AS261" s="27">
        <v>83.4</v>
      </c>
      <c r="AT261" s="27">
        <v>25.8</v>
      </c>
      <c r="AU261" s="24">
        <v>68.3</v>
      </c>
      <c r="AV261" s="24">
        <v>0</v>
      </c>
      <c r="AW261" s="24">
        <v>0</v>
      </c>
      <c r="AX261" s="24">
        <v>0</v>
      </c>
      <c r="AY261" s="24">
        <v>31.54</v>
      </c>
      <c r="AZ261" s="24">
        <v>0</v>
      </c>
      <c r="BA261" s="24">
        <v>0</v>
      </c>
      <c r="BB261" s="24">
        <v>0</v>
      </c>
      <c r="BC261" s="24">
        <v>0</v>
      </c>
      <c r="BD261" s="24">
        <v>0</v>
      </c>
      <c r="BE261" s="24">
        <v>0</v>
      </c>
      <c r="BF261" s="24">
        <v>48.27</v>
      </c>
      <c r="BG261" s="24">
        <v>58.3</v>
      </c>
      <c r="BH261" s="24">
        <v>1.34</v>
      </c>
      <c r="BI261" s="24">
        <v>0</v>
      </c>
      <c r="BJ261" s="24">
        <v>0.16</v>
      </c>
      <c r="BK261" s="24">
        <v>0</v>
      </c>
      <c r="BL261" s="24">
        <v>0</v>
      </c>
      <c r="BM261" s="24">
        <v>11</v>
      </c>
      <c r="BN261" s="24">
        <v>1</v>
      </c>
      <c r="BO261" s="24">
        <v>1</v>
      </c>
      <c r="BP261" s="27">
        <v>2.4500000000000002</v>
      </c>
      <c r="BQ261" s="27">
        <v>1</v>
      </c>
      <c r="BR261" s="27">
        <v>3.68</v>
      </c>
      <c r="BS261" s="27">
        <v>1.63</v>
      </c>
      <c r="BT261" s="27">
        <v>0</v>
      </c>
      <c r="BU261" s="27">
        <v>0</v>
      </c>
      <c r="BV261" s="27">
        <v>0</v>
      </c>
      <c r="BW261" s="24">
        <v>0</v>
      </c>
    </row>
    <row r="262" spans="1:75" x14ac:dyDescent="0.2">
      <c r="A262">
        <v>2</v>
      </c>
      <c r="B262">
        <v>36.898015058179297</v>
      </c>
      <c r="C262">
        <v>0.10677618069815201</v>
      </c>
      <c r="D262">
        <v>8</v>
      </c>
      <c r="E262">
        <v>75</v>
      </c>
      <c r="F262">
        <v>1.74</v>
      </c>
      <c r="G262">
        <v>24.7720967102656</v>
      </c>
      <c r="H262">
        <v>0</v>
      </c>
      <c r="I262">
        <v>0</v>
      </c>
      <c r="J262" s="19">
        <v>0</v>
      </c>
      <c r="K262" s="19">
        <v>2</v>
      </c>
      <c r="L262" s="19">
        <v>0</v>
      </c>
      <c r="M262" s="19">
        <v>0</v>
      </c>
      <c r="N262">
        <v>0</v>
      </c>
      <c r="O262" s="19">
        <v>0</v>
      </c>
      <c r="P262" s="19">
        <v>0</v>
      </c>
      <c r="Q262" s="19">
        <v>0</v>
      </c>
      <c r="R262" s="19">
        <v>0</v>
      </c>
      <c r="S262" s="19">
        <v>0</v>
      </c>
      <c r="T262" s="19">
        <v>0</v>
      </c>
      <c r="U262" s="19">
        <v>0</v>
      </c>
      <c r="V262" s="15">
        <f t="shared" si="9"/>
        <v>0</v>
      </c>
      <c r="W262" s="19">
        <v>2</v>
      </c>
      <c r="X262" s="19">
        <v>3</v>
      </c>
      <c r="Y262" s="19">
        <v>4</v>
      </c>
      <c r="Z262" s="19">
        <v>4</v>
      </c>
      <c r="AA262" s="19">
        <v>2</v>
      </c>
      <c r="AB262" s="19">
        <v>1</v>
      </c>
      <c r="AC262" s="19">
        <v>3</v>
      </c>
      <c r="AD262" s="19">
        <v>3</v>
      </c>
      <c r="AE262" s="19">
        <v>3</v>
      </c>
      <c r="AF262" s="19">
        <v>4</v>
      </c>
      <c r="AG262" s="19">
        <v>4</v>
      </c>
      <c r="AH262" s="19">
        <v>4</v>
      </c>
      <c r="AI262" s="19">
        <v>3</v>
      </c>
      <c r="AJ262" s="19">
        <v>4</v>
      </c>
      <c r="AK262" s="19">
        <v>3</v>
      </c>
      <c r="AL262" s="19">
        <v>4</v>
      </c>
      <c r="AM262" s="19">
        <v>4</v>
      </c>
      <c r="AN262" s="19">
        <v>4</v>
      </c>
      <c r="AO262" s="19">
        <v>4</v>
      </c>
      <c r="AP262" s="19">
        <v>9</v>
      </c>
      <c r="AQ262">
        <v>41.5</v>
      </c>
      <c r="AR262" s="16">
        <v>70</v>
      </c>
      <c r="AS262" s="16">
        <v>83.4</v>
      </c>
      <c r="AT262" s="16">
        <v>33.4</v>
      </c>
      <c r="AU262">
        <v>67.05</v>
      </c>
      <c r="AV262">
        <v>0</v>
      </c>
      <c r="AW262">
        <v>5.87</v>
      </c>
      <c r="AX262">
        <v>12.48</v>
      </c>
      <c r="AY262">
        <v>14.6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18.75</v>
      </c>
      <c r="BH262">
        <v>14.73</v>
      </c>
      <c r="BI262">
        <v>5.87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1</v>
      </c>
      <c r="BP262" s="16">
        <v>1.6</v>
      </c>
      <c r="BQ262" s="16">
        <v>1</v>
      </c>
      <c r="BR262" s="16">
        <v>6.47</v>
      </c>
      <c r="BS262" s="16">
        <v>6.24</v>
      </c>
      <c r="BT262" s="16">
        <v>0</v>
      </c>
      <c r="BU262" s="16">
        <v>0</v>
      </c>
      <c r="BV262" s="16">
        <v>0</v>
      </c>
      <c r="BW262">
        <v>0</v>
      </c>
    </row>
    <row r="263" spans="1:75" x14ac:dyDescent="0.2">
      <c r="A263">
        <v>2</v>
      </c>
      <c r="B263">
        <v>26.015058179329198</v>
      </c>
      <c r="C263">
        <v>0.323066392881588</v>
      </c>
      <c r="D263">
        <v>8</v>
      </c>
      <c r="E263">
        <v>88</v>
      </c>
      <c r="F263">
        <v>1.82</v>
      </c>
      <c r="G263">
        <v>26.5668397536529</v>
      </c>
      <c r="H263">
        <v>0</v>
      </c>
      <c r="I263">
        <v>0</v>
      </c>
      <c r="J263" s="19">
        <v>0</v>
      </c>
      <c r="K263" s="19">
        <v>0</v>
      </c>
      <c r="L263" s="19">
        <v>0</v>
      </c>
      <c r="M263" s="19">
        <v>0</v>
      </c>
      <c r="N263">
        <v>0</v>
      </c>
      <c r="O263" s="19">
        <v>0</v>
      </c>
      <c r="P263" s="19">
        <v>0</v>
      </c>
      <c r="Q263" s="19">
        <v>0</v>
      </c>
      <c r="R263" s="19">
        <v>0</v>
      </c>
      <c r="S263" s="19">
        <v>0</v>
      </c>
      <c r="T263" s="19">
        <v>0</v>
      </c>
      <c r="U263" s="19">
        <v>0</v>
      </c>
      <c r="V263" s="15">
        <f t="shared" si="9"/>
        <v>0</v>
      </c>
      <c r="W263" s="19">
        <v>1</v>
      </c>
      <c r="X263" s="19">
        <v>2</v>
      </c>
      <c r="Y263" s="19">
        <v>2</v>
      </c>
      <c r="Z263" s="19">
        <v>5</v>
      </c>
      <c r="AA263" s="19">
        <v>3</v>
      </c>
      <c r="AB263" s="19">
        <v>4</v>
      </c>
      <c r="AC263" s="19">
        <v>3</v>
      </c>
      <c r="AD263" s="19">
        <v>5</v>
      </c>
      <c r="AE263" s="19">
        <v>5</v>
      </c>
      <c r="AF263" s="19">
        <v>4</v>
      </c>
      <c r="AG263" s="19">
        <v>4</v>
      </c>
      <c r="AH263" s="19">
        <v>4</v>
      </c>
      <c r="AI263" s="19">
        <v>4</v>
      </c>
      <c r="AJ263" s="19">
        <v>4</v>
      </c>
      <c r="AK263" s="19">
        <v>4</v>
      </c>
      <c r="AL263" s="19">
        <v>5</v>
      </c>
      <c r="AM263" s="19">
        <v>4</v>
      </c>
      <c r="AN263" s="19">
        <v>4</v>
      </c>
      <c r="AO263" s="19">
        <v>4</v>
      </c>
      <c r="AP263" s="19">
        <v>7</v>
      </c>
      <c r="AQ263">
        <v>41.5</v>
      </c>
      <c r="AR263" s="16">
        <v>70</v>
      </c>
      <c r="AS263" s="16">
        <v>83.4</v>
      </c>
      <c r="AT263" s="16">
        <v>33.4</v>
      </c>
      <c r="AU263">
        <v>67.05</v>
      </c>
      <c r="AV263">
        <v>0</v>
      </c>
      <c r="AW263">
        <v>5.87</v>
      </c>
      <c r="AX263">
        <v>12.48</v>
      </c>
      <c r="AY263">
        <v>14.6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18.75</v>
      </c>
      <c r="BH263">
        <v>14.73</v>
      </c>
      <c r="BI263">
        <v>5.87</v>
      </c>
      <c r="BJ263">
        <v>0</v>
      </c>
      <c r="BK263">
        <v>0</v>
      </c>
      <c r="BL263">
        <v>0</v>
      </c>
      <c r="BM263">
        <v>0</v>
      </c>
      <c r="BN263">
        <v>1</v>
      </c>
      <c r="BO263">
        <v>1</v>
      </c>
      <c r="BP263" s="16">
        <v>1.6</v>
      </c>
      <c r="BQ263" s="16">
        <v>1</v>
      </c>
      <c r="BR263" s="16">
        <v>6.47</v>
      </c>
      <c r="BS263" s="16">
        <v>6.24</v>
      </c>
      <c r="BT263" s="16">
        <v>0</v>
      </c>
      <c r="BU263" s="16">
        <v>0</v>
      </c>
      <c r="BV263" s="16">
        <v>0</v>
      </c>
      <c r="BW263">
        <v>0</v>
      </c>
    </row>
    <row r="264" spans="1:75" x14ac:dyDescent="0.2">
      <c r="A264">
        <v>2</v>
      </c>
      <c r="B264">
        <v>36.758384668035603</v>
      </c>
      <c r="C264">
        <v>0.31485284052019202</v>
      </c>
      <c r="D264">
        <v>8</v>
      </c>
      <c r="E264">
        <v>89</v>
      </c>
      <c r="F264">
        <v>1.84</v>
      </c>
      <c r="G264">
        <v>26.287807183364801</v>
      </c>
      <c r="H264">
        <v>0</v>
      </c>
      <c r="I264">
        <v>0</v>
      </c>
      <c r="J264" s="19">
        <v>0</v>
      </c>
      <c r="K264" s="19">
        <v>3</v>
      </c>
      <c r="L264" s="19">
        <v>0</v>
      </c>
      <c r="M264" s="19">
        <v>0</v>
      </c>
      <c r="N264">
        <v>0</v>
      </c>
      <c r="O264" s="19">
        <v>0</v>
      </c>
      <c r="P264" s="19">
        <v>0</v>
      </c>
      <c r="Q264" s="19">
        <v>0</v>
      </c>
      <c r="R264" s="19">
        <v>0</v>
      </c>
      <c r="S264" s="19">
        <v>0</v>
      </c>
      <c r="T264" s="19">
        <v>0</v>
      </c>
      <c r="U264" s="19">
        <v>0</v>
      </c>
      <c r="V264" s="15">
        <f t="shared" si="9"/>
        <v>0</v>
      </c>
      <c r="W264" s="19">
        <v>2</v>
      </c>
      <c r="X264" s="19">
        <v>2</v>
      </c>
      <c r="Y264" s="19">
        <v>3</v>
      </c>
      <c r="Z264" s="19">
        <v>5</v>
      </c>
      <c r="AA264" s="19">
        <v>3</v>
      </c>
      <c r="AB264" s="19">
        <v>1</v>
      </c>
      <c r="AC264" s="19">
        <v>1</v>
      </c>
      <c r="AD264" s="19">
        <v>4</v>
      </c>
      <c r="AE264" s="19">
        <v>4</v>
      </c>
      <c r="AF264" s="19">
        <v>2</v>
      </c>
      <c r="AG264" s="19">
        <v>4</v>
      </c>
      <c r="AH264" s="19">
        <v>4</v>
      </c>
      <c r="AI264" s="19">
        <v>2</v>
      </c>
      <c r="AJ264" s="19">
        <v>4</v>
      </c>
      <c r="AK264" s="19">
        <v>4</v>
      </c>
      <c r="AL264" s="19">
        <v>5</v>
      </c>
      <c r="AM264" s="19">
        <v>3</v>
      </c>
      <c r="AN264" s="19">
        <v>3</v>
      </c>
      <c r="AO264" s="19">
        <v>4</v>
      </c>
      <c r="AP264" s="19">
        <v>9</v>
      </c>
      <c r="AQ264">
        <v>41.5</v>
      </c>
      <c r="AR264" s="16">
        <v>70</v>
      </c>
      <c r="AS264" s="16">
        <v>83.4</v>
      </c>
      <c r="AT264" s="16">
        <v>33.4</v>
      </c>
      <c r="AU264">
        <v>67.05</v>
      </c>
      <c r="AV264">
        <v>0</v>
      </c>
      <c r="AW264">
        <v>5.87</v>
      </c>
      <c r="AX264">
        <v>12.48</v>
      </c>
      <c r="AY264">
        <v>14.6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18.75</v>
      </c>
      <c r="BH264">
        <v>14.73</v>
      </c>
      <c r="BI264">
        <v>5.87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1</v>
      </c>
      <c r="BP264" s="16">
        <v>1.6</v>
      </c>
      <c r="BQ264" s="16">
        <v>1</v>
      </c>
      <c r="BR264" s="16">
        <v>6.47</v>
      </c>
      <c r="BS264" s="16">
        <v>6.24</v>
      </c>
      <c r="BT264" s="16">
        <v>0</v>
      </c>
      <c r="BU264" s="16">
        <v>0</v>
      </c>
      <c r="BV264" s="16">
        <v>0</v>
      </c>
      <c r="BW264">
        <v>0</v>
      </c>
    </row>
    <row r="265" spans="1:75" x14ac:dyDescent="0.2">
      <c r="A265">
        <v>2</v>
      </c>
      <c r="B265">
        <v>45.240246406570797</v>
      </c>
      <c r="C265">
        <v>20.1232032854209</v>
      </c>
      <c r="D265">
        <v>8</v>
      </c>
      <c r="E265">
        <v>80</v>
      </c>
      <c r="F265">
        <v>1.72</v>
      </c>
      <c r="G265">
        <v>27.041644131963199</v>
      </c>
      <c r="H265">
        <v>0</v>
      </c>
      <c r="I265">
        <v>0</v>
      </c>
      <c r="J265" s="19">
        <v>0</v>
      </c>
      <c r="K265" s="19">
        <v>0</v>
      </c>
      <c r="L265" s="19">
        <v>1</v>
      </c>
      <c r="M265" s="19">
        <v>0</v>
      </c>
      <c r="N265">
        <v>0</v>
      </c>
      <c r="O265" s="19">
        <v>6</v>
      </c>
      <c r="P265" s="19">
        <v>0</v>
      </c>
      <c r="Q265" s="19">
        <v>0</v>
      </c>
      <c r="R265" s="19">
        <v>0</v>
      </c>
      <c r="S265" s="19">
        <v>0</v>
      </c>
      <c r="T265" s="19">
        <v>0</v>
      </c>
      <c r="U265" s="19">
        <v>0</v>
      </c>
      <c r="V265" s="15">
        <f t="shared" si="9"/>
        <v>0.66666666666666663</v>
      </c>
      <c r="W265" s="19">
        <v>3</v>
      </c>
      <c r="X265" s="19">
        <v>2</v>
      </c>
      <c r="Y265" s="19">
        <v>3</v>
      </c>
      <c r="Z265" s="19">
        <v>5</v>
      </c>
      <c r="AA265" s="19">
        <v>1</v>
      </c>
      <c r="AB265" s="19">
        <v>1</v>
      </c>
      <c r="AC265" s="19">
        <v>3</v>
      </c>
      <c r="AD265" s="19">
        <v>3</v>
      </c>
      <c r="AE265" s="19">
        <v>4</v>
      </c>
      <c r="AF265" s="19">
        <v>4</v>
      </c>
      <c r="AG265" s="19">
        <v>5</v>
      </c>
      <c r="AH265" s="19">
        <v>5</v>
      </c>
      <c r="AI265" s="19">
        <v>3</v>
      </c>
      <c r="AJ265" s="19">
        <v>4</v>
      </c>
      <c r="AK265" s="19">
        <v>4</v>
      </c>
      <c r="AL265" s="19">
        <v>4</v>
      </c>
      <c r="AM265" s="19">
        <v>3</v>
      </c>
      <c r="AN265" s="19">
        <v>3</v>
      </c>
      <c r="AO265" s="19">
        <v>3</v>
      </c>
      <c r="AP265" s="19">
        <v>5</v>
      </c>
      <c r="AQ265">
        <v>41.5</v>
      </c>
      <c r="AR265" s="16">
        <v>70</v>
      </c>
      <c r="AS265" s="16">
        <v>83.4</v>
      </c>
      <c r="AT265" s="16">
        <v>33.4</v>
      </c>
      <c r="AU265">
        <v>67.05</v>
      </c>
      <c r="AV265">
        <v>0</v>
      </c>
      <c r="AW265">
        <v>5.87</v>
      </c>
      <c r="AX265">
        <v>12.48</v>
      </c>
      <c r="AY265">
        <v>14.6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18.75</v>
      </c>
      <c r="BH265">
        <v>14.73</v>
      </c>
      <c r="BI265">
        <v>5.87</v>
      </c>
      <c r="BJ265">
        <v>0</v>
      </c>
      <c r="BK265">
        <v>0</v>
      </c>
      <c r="BL265">
        <v>0</v>
      </c>
      <c r="BM265">
        <v>0</v>
      </c>
      <c r="BN265">
        <v>1</v>
      </c>
      <c r="BO265">
        <v>1</v>
      </c>
      <c r="BP265" s="16">
        <v>1.6</v>
      </c>
      <c r="BQ265" s="16">
        <v>1</v>
      </c>
      <c r="BR265" s="16">
        <v>6.47</v>
      </c>
      <c r="BS265" s="16">
        <v>6.24</v>
      </c>
      <c r="BT265" s="16">
        <v>0</v>
      </c>
      <c r="BU265" s="16">
        <v>0</v>
      </c>
      <c r="BV265" s="16">
        <v>0</v>
      </c>
      <c r="BW265">
        <v>0</v>
      </c>
    </row>
    <row r="266" spans="1:75" x14ac:dyDescent="0.2">
      <c r="A266">
        <v>2</v>
      </c>
      <c r="B266">
        <v>19.652292950034202</v>
      </c>
      <c r="C266">
        <v>0.25735797399041799</v>
      </c>
      <c r="D266">
        <v>8</v>
      </c>
      <c r="E266">
        <v>90</v>
      </c>
      <c r="F266">
        <v>1.8</v>
      </c>
      <c r="G266">
        <v>27.7777777777778</v>
      </c>
      <c r="H266">
        <v>0</v>
      </c>
      <c r="I266">
        <v>0</v>
      </c>
      <c r="J266" s="19">
        <v>1</v>
      </c>
      <c r="K266" s="19">
        <v>0</v>
      </c>
      <c r="L266" s="19">
        <v>0</v>
      </c>
      <c r="M266" s="19">
        <v>0</v>
      </c>
      <c r="N266">
        <v>0</v>
      </c>
      <c r="O266" s="19">
        <v>0</v>
      </c>
      <c r="P266" s="19">
        <v>0</v>
      </c>
      <c r="Q266" s="19">
        <v>0</v>
      </c>
      <c r="R266" s="19">
        <v>0</v>
      </c>
      <c r="S266" s="19">
        <v>0</v>
      </c>
      <c r="T266" s="19">
        <v>0</v>
      </c>
      <c r="U266" s="19">
        <v>0</v>
      </c>
      <c r="V266" s="15">
        <f t="shared" si="9"/>
        <v>0</v>
      </c>
      <c r="W266" s="19">
        <v>3</v>
      </c>
      <c r="X266" s="19">
        <v>2</v>
      </c>
      <c r="Y266" s="19">
        <v>3</v>
      </c>
      <c r="Z266" s="19">
        <v>5</v>
      </c>
      <c r="AA266" s="19">
        <v>2</v>
      </c>
      <c r="AB266" s="19">
        <v>3</v>
      </c>
      <c r="AC266" s="19">
        <v>3</v>
      </c>
      <c r="AD266" s="19">
        <v>5</v>
      </c>
      <c r="AE266" s="19">
        <v>5</v>
      </c>
      <c r="AF266" s="19">
        <v>4</v>
      </c>
      <c r="AG266" s="19">
        <v>4</v>
      </c>
      <c r="AH266" s="19">
        <v>5</v>
      </c>
      <c r="AI266" s="19">
        <v>5</v>
      </c>
      <c r="AJ266" s="19">
        <v>5</v>
      </c>
      <c r="AK266" s="19">
        <v>4</v>
      </c>
      <c r="AL266" s="19">
        <v>5</v>
      </c>
      <c r="AM266" s="19">
        <v>4</v>
      </c>
      <c r="AN266" s="19">
        <v>3</v>
      </c>
      <c r="AO266" s="19">
        <v>5</v>
      </c>
      <c r="AP266" s="19">
        <v>10</v>
      </c>
      <c r="AQ266">
        <v>41.5</v>
      </c>
      <c r="AR266" s="16">
        <v>70</v>
      </c>
      <c r="AS266" s="16">
        <v>83.4</v>
      </c>
      <c r="AT266" s="16">
        <v>33.4</v>
      </c>
      <c r="AU266">
        <v>67.05</v>
      </c>
      <c r="AV266">
        <v>0</v>
      </c>
      <c r="AW266">
        <v>5.87</v>
      </c>
      <c r="AX266">
        <v>12.48</v>
      </c>
      <c r="AY266">
        <v>14.6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18.75</v>
      </c>
      <c r="BH266">
        <v>14.73</v>
      </c>
      <c r="BI266">
        <v>5.87</v>
      </c>
      <c r="BJ266">
        <v>0</v>
      </c>
      <c r="BK266">
        <v>0</v>
      </c>
      <c r="BL266">
        <v>0</v>
      </c>
      <c r="BM266">
        <v>0</v>
      </c>
      <c r="BN266">
        <v>1</v>
      </c>
      <c r="BO266">
        <v>1</v>
      </c>
      <c r="BP266" s="16">
        <v>1.6</v>
      </c>
      <c r="BQ266" s="16">
        <v>1</v>
      </c>
      <c r="BR266" s="16">
        <v>6.47</v>
      </c>
      <c r="BS266" s="16">
        <v>6.24</v>
      </c>
      <c r="BT266" s="16">
        <v>0</v>
      </c>
      <c r="BU266" s="16">
        <v>0</v>
      </c>
      <c r="BV266" s="16">
        <v>0</v>
      </c>
      <c r="BW266">
        <v>0</v>
      </c>
    </row>
    <row r="267" spans="1:75" x14ac:dyDescent="0.2">
      <c r="A267">
        <v>2</v>
      </c>
      <c r="B267">
        <v>33.245722108145102</v>
      </c>
      <c r="C267">
        <v>0.28747433264887101</v>
      </c>
      <c r="D267">
        <v>8</v>
      </c>
      <c r="E267">
        <v>110</v>
      </c>
      <c r="F267">
        <v>1.83</v>
      </c>
      <c r="G267">
        <v>32.846606348353198</v>
      </c>
      <c r="H267">
        <v>0</v>
      </c>
      <c r="I267">
        <v>0</v>
      </c>
      <c r="J267" s="19">
        <v>0</v>
      </c>
      <c r="K267" s="19">
        <v>2</v>
      </c>
      <c r="L267" s="19">
        <v>1</v>
      </c>
      <c r="M267" s="19">
        <v>0</v>
      </c>
      <c r="N267">
        <v>0</v>
      </c>
      <c r="O267" s="19">
        <v>0</v>
      </c>
      <c r="P267" s="19">
        <v>0</v>
      </c>
      <c r="Q267" s="19">
        <v>0</v>
      </c>
      <c r="R267" s="19">
        <v>0</v>
      </c>
      <c r="S267" s="19">
        <v>0</v>
      </c>
      <c r="T267" s="19">
        <v>0</v>
      </c>
      <c r="U267" s="19">
        <v>0</v>
      </c>
      <c r="V267" s="15">
        <f t="shared" si="9"/>
        <v>0</v>
      </c>
      <c r="W267" s="19">
        <v>1</v>
      </c>
      <c r="X267" s="19">
        <v>2</v>
      </c>
      <c r="Y267" s="19">
        <v>5</v>
      </c>
      <c r="Z267" s="19">
        <v>5</v>
      </c>
      <c r="AA267" s="19">
        <v>3</v>
      </c>
      <c r="AB267" s="19">
        <v>1</v>
      </c>
      <c r="AC267" s="19">
        <v>2</v>
      </c>
      <c r="AD267" s="19">
        <v>3</v>
      </c>
      <c r="AE267" s="19">
        <v>4</v>
      </c>
      <c r="AF267" s="19">
        <v>4</v>
      </c>
      <c r="AG267" s="19">
        <v>4</v>
      </c>
      <c r="AH267" s="19">
        <v>5</v>
      </c>
      <c r="AI267" s="19">
        <v>3</v>
      </c>
      <c r="AJ267" s="19">
        <v>5</v>
      </c>
      <c r="AK267" s="19">
        <v>4</v>
      </c>
      <c r="AL267" s="19">
        <v>5</v>
      </c>
      <c r="AM267" s="19">
        <v>4</v>
      </c>
      <c r="AN267" s="19">
        <v>4</v>
      </c>
      <c r="AO267" s="19">
        <v>4</v>
      </c>
      <c r="AP267" s="19">
        <v>8</v>
      </c>
      <c r="AQ267">
        <v>41.5</v>
      </c>
      <c r="AR267" s="16">
        <v>70</v>
      </c>
      <c r="AS267" s="16">
        <v>83.4</v>
      </c>
      <c r="AT267" s="16">
        <v>33.4</v>
      </c>
      <c r="AU267">
        <v>67.05</v>
      </c>
      <c r="AV267">
        <v>0</v>
      </c>
      <c r="AW267">
        <v>5.87</v>
      </c>
      <c r="AX267">
        <v>12.48</v>
      </c>
      <c r="AY267">
        <v>14.6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18.75</v>
      </c>
      <c r="BH267">
        <v>14.73</v>
      </c>
      <c r="BI267">
        <v>5.87</v>
      </c>
      <c r="BJ267">
        <v>0</v>
      </c>
      <c r="BK267">
        <v>0</v>
      </c>
      <c r="BL267">
        <v>0</v>
      </c>
      <c r="BM267">
        <v>0</v>
      </c>
      <c r="BN267">
        <v>1</v>
      </c>
      <c r="BO267">
        <v>1</v>
      </c>
      <c r="BP267" s="16">
        <v>1.6</v>
      </c>
      <c r="BQ267" s="16">
        <v>1</v>
      </c>
      <c r="BR267" s="16">
        <v>6.47</v>
      </c>
      <c r="BS267" s="16">
        <v>6.24</v>
      </c>
      <c r="BT267" s="16">
        <v>0</v>
      </c>
      <c r="BU267" s="16">
        <v>0</v>
      </c>
      <c r="BV267" s="16">
        <v>0</v>
      </c>
      <c r="BW267">
        <v>0</v>
      </c>
    </row>
    <row r="268" spans="1:75" x14ac:dyDescent="0.2">
      <c r="A268">
        <v>2</v>
      </c>
      <c r="B268">
        <v>20.845995893223801</v>
      </c>
      <c r="C268">
        <v>0.31759069130732398</v>
      </c>
      <c r="D268">
        <v>8</v>
      </c>
      <c r="F268">
        <v>1.6</v>
      </c>
      <c r="G268">
        <v>0</v>
      </c>
      <c r="H268">
        <v>0</v>
      </c>
      <c r="I268">
        <v>0</v>
      </c>
      <c r="J268" s="19">
        <v>0</v>
      </c>
      <c r="K268" s="19">
        <v>2</v>
      </c>
      <c r="L268" s="19">
        <v>0</v>
      </c>
      <c r="M268" s="19">
        <v>0</v>
      </c>
      <c r="N268">
        <v>0</v>
      </c>
      <c r="O268" s="19">
        <v>0</v>
      </c>
      <c r="P268" s="19">
        <v>0</v>
      </c>
      <c r="Q268" s="19">
        <v>0</v>
      </c>
      <c r="R268" s="19">
        <v>0</v>
      </c>
      <c r="S268" s="19">
        <v>0</v>
      </c>
      <c r="T268" s="19">
        <v>0</v>
      </c>
      <c r="U268" s="19">
        <v>0</v>
      </c>
      <c r="V268" s="15">
        <f t="shared" si="9"/>
        <v>0</v>
      </c>
      <c r="W268" s="19">
        <v>1</v>
      </c>
      <c r="X268" s="19">
        <v>1</v>
      </c>
      <c r="Y268" s="19">
        <v>3</v>
      </c>
      <c r="Z268" s="19">
        <v>5</v>
      </c>
      <c r="AA268" s="19">
        <v>1</v>
      </c>
      <c r="AB268" s="19">
        <v>2</v>
      </c>
      <c r="AC268" s="19">
        <v>1</v>
      </c>
      <c r="AD268" s="19">
        <v>3</v>
      </c>
      <c r="AE268" s="19">
        <v>5</v>
      </c>
      <c r="AF268" s="19">
        <v>5</v>
      </c>
      <c r="AG268" s="19">
        <v>5</v>
      </c>
      <c r="AH268" s="19">
        <v>5</v>
      </c>
      <c r="AI268" s="19">
        <v>4</v>
      </c>
      <c r="AJ268" s="19">
        <v>5</v>
      </c>
      <c r="AK268" s="19">
        <v>2</v>
      </c>
      <c r="AL268" s="19">
        <v>5</v>
      </c>
      <c r="AM268" s="19">
        <v>5</v>
      </c>
      <c r="AN268" s="19">
        <v>5</v>
      </c>
      <c r="AO268" s="19">
        <v>5</v>
      </c>
      <c r="AP268" s="19">
        <v>8</v>
      </c>
      <c r="AQ268">
        <v>52.5</v>
      </c>
      <c r="AR268" s="16">
        <v>84.4</v>
      </c>
      <c r="AS268" s="16">
        <v>83.4</v>
      </c>
      <c r="AT268" s="16">
        <v>45.2</v>
      </c>
      <c r="AU268">
        <v>36.520000000000003</v>
      </c>
      <c r="AV268">
        <v>0</v>
      </c>
      <c r="AW268">
        <v>24.46</v>
      </c>
      <c r="AX268">
        <v>5.81</v>
      </c>
      <c r="AY268">
        <v>9.5399999999999991</v>
      </c>
      <c r="AZ268">
        <v>0</v>
      </c>
      <c r="BA268">
        <v>22.12</v>
      </c>
      <c r="BB268">
        <v>2.71</v>
      </c>
      <c r="BC268">
        <v>5.34</v>
      </c>
      <c r="BD268">
        <v>3.86</v>
      </c>
      <c r="BE268">
        <v>0</v>
      </c>
      <c r="BF268">
        <v>0</v>
      </c>
      <c r="BG268">
        <v>4.3</v>
      </c>
      <c r="BH268">
        <v>3.92</v>
      </c>
      <c r="BI268">
        <v>7.14</v>
      </c>
      <c r="BJ268">
        <v>0.77</v>
      </c>
      <c r="BK268">
        <v>0</v>
      </c>
      <c r="BL268">
        <v>0</v>
      </c>
      <c r="BM268">
        <v>1.4</v>
      </c>
      <c r="BN268">
        <v>1</v>
      </c>
      <c r="BO268">
        <v>1</v>
      </c>
      <c r="BP268" s="16">
        <v>7.0000000000000007E-2</v>
      </c>
      <c r="BQ268" s="16">
        <v>1</v>
      </c>
      <c r="BR268" s="16">
        <v>0.05</v>
      </c>
      <c r="BS268" s="16">
        <v>0.05</v>
      </c>
      <c r="BT268" s="16">
        <v>5.76</v>
      </c>
      <c r="BU268" s="16">
        <v>0</v>
      </c>
      <c r="BV268" s="16">
        <v>0</v>
      </c>
      <c r="BW268">
        <v>1</v>
      </c>
    </row>
    <row r="269" spans="1:75" x14ac:dyDescent="0.2">
      <c r="A269">
        <v>2</v>
      </c>
      <c r="B269">
        <v>21.5249828884326</v>
      </c>
      <c r="C269">
        <v>0.23819301848049301</v>
      </c>
      <c r="D269">
        <v>8</v>
      </c>
      <c r="E269">
        <v>76</v>
      </c>
      <c r="F269">
        <v>1.8</v>
      </c>
      <c r="G269">
        <v>23.456790123456798</v>
      </c>
      <c r="H269">
        <v>0</v>
      </c>
      <c r="I269">
        <v>0</v>
      </c>
      <c r="J269" s="19">
        <v>0</v>
      </c>
      <c r="K269" s="19">
        <v>1</v>
      </c>
      <c r="L269" s="19">
        <v>0</v>
      </c>
      <c r="M269" s="19">
        <v>0</v>
      </c>
      <c r="N269">
        <v>0</v>
      </c>
      <c r="O269" s="19">
        <v>0</v>
      </c>
      <c r="P269" s="19">
        <v>0</v>
      </c>
      <c r="Q269" s="19">
        <v>0</v>
      </c>
      <c r="R269" s="19">
        <v>0</v>
      </c>
      <c r="S269" s="19">
        <v>0</v>
      </c>
      <c r="T269" s="19">
        <v>0</v>
      </c>
      <c r="U269" s="19">
        <v>0</v>
      </c>
      <c r="V269" s="15">
        <f t="shared" si="9"/>
        <v>0</v>
      </c>
      <c r="W269" s="19">
        <v>1</v>
      </c>
      <c r="X269" s="19">
        <v>1</v>
      </c>
      <c r="Y269" s="19">
        <v>1</v>
      </c>
      <c r="Z269" s="19">
        <v>4</v>
      </c>
      <c r="AA269" s="19">
        <v>2</v>
      </c>
      <c r="AB269" s="19">
        <v>1</v>
      </c>
      <c r="AC269" s="19">
        <v>3</v>
      </c>
      <c r="AD269" s="19">
        <v>3</v>
      </c>
      <c r="AE269" s="19">
        <v>3</v>
      </c>
      <c r="AF269" s="19">
        <v>5</v>
      </c>
      <c r="AG269" s="19">
        <v>5</v>
      </c>
      <c r="AH269" s="19">
        <v>5</v>
      </c>
      <c r="AI269" s="19">
        <v>5</v>
      </c>
      <c r="AJ269" s="19">
        <v>5</v>
      </c>
      <c r="AK269" s="19">
        <v>5</v>
      </c>
      <c r="AL269" s="19">
        <v>5</v>
      </c>
      <c r="AM269" s="19">
        <v>5</v>
      </c>
      <c r="AN269" s="19">
        <v>5</v>
      </c>
      <c r="AO269" s="19">
        <v>5</v>
      </c>
      <c r="AP269" s="19">
        <v>10</v>
      </c>
      <c r="AQ269">
        <v>35</v>
      </c>
      <c r="AR269" s="16">
        <v>78.8</v>
      </c>
      <c r="AS269" s="16">
        <v>80.400000000000006</v>
      </c>
      <c r="AT269" s="16">
        <v>17.2</v>
      </c>
      <c r="AU269">
        <v>72.069999999999993</v>
      </c>
      <c r="AV269">
        <v>11.09</v>
      </c>
      <c r="AW269">
        <v>1.1200000000000001</v>
      </c>
      <c r="AX269">
        <v>0</v>
      </c>
      <c r="AY269">
        <v>15.71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1.66</v>
      </c>
      <c r="BH269">
        <v>34.99</v>
      </c>
      <c r="BI269">
        <v>0</v>
      </c>
      <c r="BJ269">
        <v>0</v>
      </c>
      <c r="BK269">
        <v>0</v>
      </c>
      <c r="BL269">
        <v>0</v>
      </c>
      <c r="BM269">
        <v>11.2</v>
      </c>
      <c r="BN269">
        <v>1</v>
      </c>
      <c r="BO269">
        <v>0</v>
      </c>
      <c r="BP269" s="16">
        <v>0</v>
      </c>
      <c r="BQ269" s="16">
        <v>0</v>
      </c>
      <c r="BR269" s="16">
        <v>6.16</v>
      </c>
      <c r="BS269" s="16">
        <v>7.21</v>
      </c>
      <c r="BT269" s="16">
        <v>0</v>
      </c>
      <c r="BU269" s="16">
        <v>0</v>
      </c>
      <c r="BV269" s="16">
        <v>0</v>
      </c>
      <c r="BW269">
        <v>0</v>
      </c>
    </row>
    <row r="270" spans="1:75" x14ac:dyDescent="0.2">
      <c r="A270">
        <v>2</v>
      </c>
      <c r="B270">
        <v>40.213552361396303</v>
      </c>
      <c r="C270">
        <v>19.597535934291599</v>
      </c>
      <c r="D270">
        <v>8</v>
      </c>
      <c r="E270">
        <v>82</v>
      </c>
      <c r="F270">
        <v>1.77</v>
      </c>
      <c r="G270">
        <v>26.173832551310301</v>
      </c>
      <c r="H270">
        <v>0</v>
      </c>
      <c r="I270">
        <v>0</v>
      </c>
      <c r="J270" s="19">
        <v>0</v>
      </c>
      <c r="K270" s="19">
        <v>0</v>
      </c>
      <c r="L270" s="19">
        <v>0</v>
      </c>
      <c r="M270" s="19">
        <v>0</v>
      </c>
      <c r="N270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5">
        <f t="shared" si="9"/>
        <v>0</v>
      </c>
      <c r="W270" s="19">
        <v>5</v>
      </c>
      <c r="X270" s="19">
        <v>2</v>
      </c>
      <c r="Y270" s="19">
        <v>4</v>
      </c>
      <c r="Z270" s="19">
        <v>5</v>
      </c>
      <c r="AA270" s="19">
        <v>2</v>
      </c>
      <c r="AB270" s="19">
        <v>1</v>
      </c>
      <c r="AC270" s="19">
        <v>2</v>
      </c>
      <c r="AD270" s="19">
        <v>3</v>
      </c>
      <c r="AE270" s="19">
        <v>4</v>
      </c>
      <c r="AF270" s="19">
        <v>2</v>
      </c>
      <c r="AG270" s="19">
        <v>2</v>
      </c>
      <c r="AH270" s="19">
        <v>5</v>
      </c>
      <c r="AI270" s="19">
        <v>1</v>
      </c>
      <c r="AJ270" s="19">
        <v>4</v>
      </c>
      <c r="AK270" s="19">
        <v>4</v>
      </c>
      <c r="AL270" s="19">
        <v>4</v>
      </c>
      <c r="AM270" s="19">
        <v>3</v>
      </c>
      <c r="AN270" s="19">
        <v>4</v>
      </c>
      <c r="AO270" s="19">
        <v>2</v>
      </c>
      <c r="AP270" s="19">
        <v>9</v>
      </c>
      <c r="AQ270">
        <v>35</v>
      </c>
      <c r="AR270" s="16">
        <v>78.8</v>
      </c>
      <c r="AS270" s="16">
        <v>80.400000000000006</v>
      </c>
      <c r="AT270" s="16">
        <v>17.2</v>
      </c>
      <c r="AU270">
        <v>72.069999999999993</v>
      </c>
      <c r="AV270">
        <v>11.09</v>
      </c>
      <c r="AW270">
        <v>1.1200000000000001</v>
      </c>
      <c r="AX270">
        <v>0</v>
      </c>
      <c r="AY270">
        <v>15.71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1.66</v>
      </c>
      <c r="BH270">
        <v>34.99</v>
      </c>
      <c r="BI270">
        <v>0</v>
      </c>
      <c r="BJ270">
        <v>0</v>
      </c>
      <c r="BK270">
        <v>0</v>
      </c>
      <c r="BL270">
        <v>0</v>
      </c>
      <c r="BM270">
        <v>11.2</v>
      </c>
      <c r="BN270">
        <v>1</v>
      </c>
      <c r="BO270">
        <v>0</v>
      </c>
      <c r="BP270" s="16">
        <v>0</v>
      </c>
      <c r="BQ270" s="16">
        <v>0</v>
      </c>
      <c r="BR270" s="16">
        <v>6.16</v>
      </c>
      <c r="BS270" s="16">
        <v>7.21</v>
      </c>
      <c r="BT270" s="16">
        <v>0</v>
      </c>
      <c r="BU270" s="16">
        <v>0</v>
      </c>
      <c r="BV270" s="16">
        <v>0</v>
      </c>
      <c r="BW270">
        <v>0</v>
      </c>
    </row>
    <row r="271" spans="1:75" x14ac:dyDescent="0.2">
      <c r="A271">
        <v>1</v>
      </c>
      <c r="B271">
        <v>28.4243668720055</v>
      </c>
      <c r="C271">
        <v>0.24914442162902101</v>
      </c>
      <c r="D271">
        <v>8</v>
      </c>
      <c r="E271">
        <v>70</v>
      </c>
      <c r="F271">
        <v>1.62</v>
      </c>
      <c r="G271">
        <v>26.672763298277701</v>
      </c>
      <c r="H271">
        <v>0</v>
      </c>
      <c r="I271">
        <v>0</v>
      </c>
      <c r="J271" s="19">
        <v>1</v>
      </c>
      <c r="K271" s="19">
        <v>1</v>
      </c>
      <c r="L271" s="19">
        <v>1</v>
      </c>
      <c r="M271" s="19">
        <v>2</v>
      </c>
      <c r="N271">
        <v>0</v>
      </c>
      <c r="O271" s="19">
        <v>0</v>
      </c>
      <c r="P271" s="19">
        <v>0</v>
      </c>
      <c r="Q271" s="19">
        <v>0</v>
      </c>
      <c r="R271" s="19">
        <v>8</v>
      </c>
      <c r="S271" s="19">
        <v>8</v>
      </c>
      <c r="T271" s="19">
        <v>0</v>
      </c>
      <c r="U271" s="19">
        <v>0</v>
      </c>
      <c r="V271" s="15">
        <f t="shared" si="9"/>
        <v>2</v>
      </c>
      <c r="W271" s="19">
        <v>3</v>
      </c>
      <c r="X271" s="19">
        <v>2</v>
      </c>
      <c r="Y271" s="19">
        <v>2</v>
      </c>
      <c r="Z271" s="19">
        <v>5</v>
      </c>
      <c r="AA271" s="19">
        <v>1</v>
      </c>
      <c r="AB271" s="19">
        <v>1</v>
      </c>
      <c r="AC271" s="19">
        <v>2</v>
      </c>
      <c r="AD271" s="19">
        <v>3</v>
      </c>
      <c r="AE271" s="19">
        <v>2</v>
      </c>
      <c r="AF271" s="19">
        <v>3</v>
      </c>
      <c r="AG271" s="19">
        <v>5</v>
      </c>
      <c r="AH271" s="19">
        <v>5</v>
      </c>
      <c r="AI271" s="19">
        <v>2</v>
      </c>
      <c r="AJ271" s="19"/>
      <c r="AK271" s="19">
        <v>4</v>
      </c>
      <c r="AL271" s="19">
        <v>5</v>
      </c>
      <c r="AM271" s="19">
        <v>4</v>
      </c>
      <c r="AN271" s="19">
        <v>4</v>
      </c>
      <c r="AO271" s="19">
        <v>4</v>
      </c>
      <c r="AP271" s="19">
        <v>9</v>
      </c>
      <c r="AQ271">
        <v>35</v>
      </c>
      <c r="AR271" s="16">
        <v>78.8</v>
      </c>
      <c r="AS271" s="16">
        <v>80.400000000000006</v>
      </c>
      <c r="AT271" s="16">
        <v>17.2</v>
      </c>
      <c r="AU271">
        <v>72.069999999999993</v>
      </c>
      <c r="AV271">
        <v>11.09</v>
      </c>
      <c r="AW271">
        <v>1.1200000000000001</v>
      </c>
      <c r="AX271">
        <v>0</v>
      </c>
      <c r="AY271">
        <v>15.71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1.66</v>
      </c>
      <c r="BH271">
        <v>34.99</v>
      </c>
      <c r="BI271">
        <v>0</v>
      </c>
      <c r="BJ271">
        <v>0</v>
      </c>
      <c r="BK271">
        <v>0</v>
      </c>
      <c r="BL271">
        <v>0</v>
      </c>
      <c r="BM271">
        <v>11.2</v>
      </c>
      <c r="BN271">
        <v>1</v>
      </c>
      <c r="BO271">
        <v>0</v>
      </c>
      <c r="BP271" s="16">
        <v>0</v>
      </c>
      <c r="BQ271" s="16">
        <v>0</v>
      </c>
      <c r="BR271" s="16">
        <v>6.16</v>
      </c>
      <c r="BS271" s="16">
        <v>7.21</v>
      </c>
      <c r="BT271" s="16">
        <v>0</v>
      </c>
      <c r="BU271" s="16">
        <v>0</v>
      </c>
      <c r="BV271" s="16">
        <v>0</v>
      </c>
      <c r="BW271">
        <v>0</v>
      </c>
    </row>
    <row r="272" spans="1:75" x14ac:dyDescent="0.2">
      <c r="A272">
        <v>1</v>
      </c>
      <c r="B272">
        <v>42.6666666666667</v>
      </c>
      <c r="C272">
        <v>6.5598904859685101</v>
      </c>
      <c r="D272">
        <v>4</v>
      </c>
      <c r="E272">
        <v>62</v>
      </c>
      <c r="F272">
        <v>1.56</v>
      </c>
      <c r="G272">
        <v>25.4766600920447</v>
      </c>
      <c r="H272">
        <v>0</v>
      </c>
      <c r="I272">
        <v>0</v>
      </c>
      <c r="J272" s="19">
        <v>0</v>
      </c>
      <c r="K272" s="19">
        <v>3</v>
      </c>
      <c r="L272" s="19">
        <v>0</v>
      </c>
      <c r="M272" s="19">
        <v>0</v>
      </c>
      <c r="N272">
        <v>0</v>
      </c>
      <c r="O272" s="19">
        <v>0</v>
      </c>
      <c r="P272" s="19"/>
      <c r="Q272" s="19">
        <v>3</v>
      </c>
      <c r="R272" s="19">
        <v>3</v>
      </c>
      <c r="S272" s="19"/>
      <c r="T272" s="19">
        <v>0</v>
      </c>
      <c r="U272" s="19">
        <v>0</v>
      </c>
      <c r="V272" s="15">
        <f t="shared" si="9"/>
        <v>0.8571428571428571</v>
      </c>
      <c r="W272" s="19">
        <v>2</v>
      </c>
      <c r="X272" s="19">
        <v>3</v>
      </c>
      <c r="Y272" s="19">
        <v>3</v>
      </c>
      <c r="Z272" s="19">
        <v>5</v>
      </c>
      <c r="AA272" s="19">
        <v>2</v>
      </c>
      <c r="AB272" s="19">
        <v>3</v>
      </c>
      <c r="AC272" s="19">
        <v>3</v>
      </c>
      <c r="AD272" s="19">
        <v>4</v>
      </c>
      <c r="AE272" s="19">
        <v>3</v>
      </c>
      <c r="AF272" s="19">
        <v>4</v>
      </c>
      <c r="AG272" s="19">
        <v>5</v>
      </c>
      <c r="AH272" s="19">
        <v>5</v>
      </c>
      <c r="AI272" s="19">
        <v>3</v>
      </c>
      <c r="AJ272" s="19">
        <v>4</v>
      </c>
      <c r="AK272" s="19">
        <v>5</v>
      </c>
      <c r="AL272" s="19">
        <v>5</v>
      </c>
      <c r="AM272" s="19">
        <v>3</v>
      </c>
      <c r="AN272" s="19">
        <v>4</v>
      </c>
      <c r="AO272" s="19">
        <v>5</v>
      </c>
      <c r="AP272" s="19">
        <v>10</v>
      </c>
      <c r="AQ272">
        <v>24.5</v>
      </c>
      <c r="AR272" s="16">
        <v>70</v>
      </c>
      <c r="AS272" s="16">
        <v>80.400000000000006</v>
      </c>
      <c r="AT272" s="16">
        <v>15.5</v>
      </c>
      <c r="AU272">
        <v>85.6</v>
      </c>
      <c r="AV272">
        <v>0</v>
      </c>
      <c r="AW272">
        <v>0</v>
      </c>
      <c r="AX272">
        <v>0</v>
      </c>
      <c r="AY272">
        <v>14.4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6.46</v>
      </c>
      <c r="BH272">
        <v>24.97</v>
      </c>
      <c r="BI272">
        <v>15</v>
      </c>
      <c r="BJ272">
        <v>0</v>
      </c>
      <c r="BK272">
        <v>0</v>
      </c>
      <c r="BL272">
        <v>0</v>
      </c>
      <c r="BM272">
        <v>3.6</v>
      </c>
      <c r="BN272">
        <v>1</v>
      </c>
      <c r="BO272">
        <v>1</v>
      </c>
      <c r="BP272" s="16">
        <v>0.63</v>
      </c>
      <c r="BQ272" s="16">
        <v>1</v>
      </c>
      <c r="BR272" s="16">
        <v>3.25</v>
      </c>
      <c r="BS272" s="16">
        <v>3.26</v>
      </c>
      <c r="BT272" s="16">
        <v>0</v>
      </c>
      <c r="BU272" s="16">
        <v>0</v>
      </c>
      <c r="BV272" s="16">
        <v>0</v>
      </c>
      <c r="BW272">
        <v>0</v>
      </c>
    </row>
    <row r="273" spans="1:75" x14ac:dyDescent="0.2">
      <c r="A273">
        <v>2</v>
      </c>
      <c r="B273">
        <v>53.7577002053388</v>
      </c>
      <c r="C273">
        <v>22.026009582477801</v>
      </c>
      <c r="D273">
        <v>8</v>
      </c>
      <c r="E273">
        <v>79</v>
      </c>
      <c r="F273">
        <v>1.81</v>
      </c>
      <c r="G273">
        <v>24.1140380330271</v>
      </c>
      <c r="H273">
        <v>0</v>
      </c>
      <c r="I273">
        <v>0</v>
      </c>
      <c r="J273" s="19">
        <v>0</v>
      </c>
      <c r="K273" s="19">
        <v>3</v>
      </c>
      <c r="L273" s="19">
        <v>0</v>
      </c>
      <c r="M273" s="19">
        <v>0</v>
      </c>
      <c r="N273">
        <v>7</v>
      </c>
      <c r="O273" s="19">
        <v>0</v>
      </c>
      <c r="P273" s="19">
        <v>0</v>
      </c>
      <c r="Q273" s="19">
        <v>0</v>
      </c>
      <c r="R273" s="19">
        <v>0</v>
      </c>
      <c r="S273" s="19">
        <v>0</v>
      </c>
      <c r="T273" s="19">
        <v>0</v>
      </c>
      <c r="U273" s="19">
        <v>0</v>
      </c>
      <c r="V273" s="15">
        <f t="shared" si="9"/>
        <v>0.77777777777777779</v>
      </c>
      <c r="W273" s="19">
        <v>2</v>
      </c>
      <c r="X273" s="19">
        <v>3</v>
      </c>
      <c r="Y273" s="19">
        <v>4</v>
      </c>
      <c r="Z273" s="19">
        <v>5</v>
      </c>
      <c r="AA273" s="19">
        <v>3</v>
      </c>
      <c r="AB273" s="19">
        <v>3</v>
      </c>
      <c r="AC273" s="19">
        <v>4</v>
      </c>
      <c r="AD273" s="19">
        <v>3</v>
      </c>
      <c r="AE273" s="19">
        <v>3</v>
      </c>
      <c r="AF273" s="19">
        <v>5</v>
      </c>
      <c r="AG273" s="19">
        <v>5</v>
      </c>
      <c r="AH273" s="19">
        <v>5</v>
      </c>
      <c r="AI273" s="19">
        <v>4</v>
      </c>
      <c r="AJ273" s="19">
        <v>5</v>
      </c>
      <c r="AK273" s="19">
        <v>5</v>
      </c>
      <c r="AL273" s="19">
        <v>5</v>
      </c>
      <c r="AM273" s="19">
        <v>5</v>
      </c>
      <c r="AN273" s="19">
        <v>5</v>
      </c>
      <c r="AO273" s="19">
        <v>4</v>
      </c>
      <c r="AP273" s="19">
        <v>8</v>
      </c>
      <c r="AQ273">
        <v>34.5</v>
      </c>
      <c r="AR273" s="16">
        <v>76.2</v>
      </c>
      <c r="AS273" s="16">
        <v>80.400000000000006</v>
      </c>
      <c r="AT273" s="16">
        <v>34.1</v>
      </c>
      <c r="AU273">
        <v>70.97</v>
      </c>
      <c r="AV273" s="17">
        <v>0</v>
      </c>
      <c r="AW273">
        <v>11.02</v>
      </c>
      <c r="AX273">
        <v>18.010000000000002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 s="16">
        <v>0</v>
      </c>
      <c r="BQ273" s="16">
        <v>0</v>
      </c>
      <c r="BR273" s="16">
        <v>0</v>
      </c>
      <c r="BS273" s="16">
        <v>0</v>
      </c>
      <c r="BT273" s="16">
        <v>0</v>
      </c>
      <c r="BU273" s="16">
        <v>0</v>
      </c>
      <c r="BV273" s="16">
        <v>0</v>
      </c>
      <c r="BW273">
        <v>0</v>
      </c>
    </row>
    <row r="274" spans="1:75" x14ac:dyDescent="0.2">
      <c r="A274">
        <v>2</v>
      </c>
      <c r="B274">
        <v>42.253251197809703</v>
      </c>
      <c r="C274">
        <v>21.609856262833699</v>
      </c>
      <c r="D274">
        <v>8</v>
      </c>
      <c r="E274">
        <v>70</v>
      </c>
      <c r="F274">
        <v>1.75</v>
      </c>
      <c r="G274">
        <v>22.8571428571429</v>
      </c>
      <c r="H274">
        <v>0</v>
      </c>
      <c r="I274">
        <v>0</v>
      </c>
      <c r="J274" s="19">
        <v>0</v>
      </c>
      <c r="K274" s="19">
        <v>2</v>
      </c>
      <c r="L274" s="19">
        <v>1</v>
      </c>
      <c r="M274" s="19">
        <v>0</v>
      </c>
      <c r="O274" s="19">
        <v>0</v>
      </c>
      <c r="P274" s="19">
        <v>0</v>
      </c>
      <c r="Q274" s="19">
        <v>0</v>
      </c>
      <c r="R274" s="19">
        <v>0</v>
      </c>
      <c r="S274" s="19">
        <v>0</v>
      </c>
      <c r="T274" s="19">
        <v>0</v>
      </c>
      <c r="U274" s="19">
        <v>0</v>
      </c>
      <c r="V274" s="15">
        <f t="shared" si="9"/>
        <v>0</v>
      </c>
      <c r="W274" s="19">
        <v>1</v>
      </c>
      <c r="X274" s="19">
        <v>2</v>
      </c>
      <c r="Y274" s="19">
        <v>3</v>
      </c>
      <c r="Z274" s="19">
        <v>5</v>
      </c>
      <c r="AA274" s="19">
        <v>3</v>
      </c>
      <c r="AB274" s="19">
        <v>1</v>
      </c>
      <c r="AC274" s="19">
        <v>5</v>
      </c>
      <c r="AD274" s="19">
        <v>4</v>
      </c>
      <c r="AE274" s="19">
        <v>5</v>
      </c>
      <c r="AF274" s="19">
        <v>5</v>
      </c>
      <c r="AG274" s="19">
        <v>5</v>
      </c>
      <c r="AH274" s="19">
        <v>5</v>
      </c>
      <c r="AI274" s="19">
        <v>3</v>
      </c>
      <c r="AJ274" s="19">
        <v>5</v>
      </c>
      <c r="AK274" s="19">
        <v>5</v>
      </c>
      <c r="AL274" s="19">
        <v>5</v>
      </c>
      <c r="AM274" s="19">
        <v>5</v>
      </c>
      <c r="AN274" s="19">
        <v>5</v>
      </c>
      <c r="AO274" s="19">
        <v>5</v>
      </c>
      <c r="AP274" s="19">
        <v>10</v>
      </c>
      <c r="AQ274">
        <v>34.5</v>
      </c>
      <c r="AR274" s="16">
        <v>76.2</v>
      </c>
      <c r="AS274" s="16">
        <v>80.400000000000006</v>
      </c>
      <c r="AT274" s="16">
        <v>34.1</v>
      </c>
      <c r="AU274">
        <v>70.97</v>
      </c>
      <c r="AV274" s="17">
        <v>0</v>
      </c>
      <c r="AW274">
        <v>11.02</v>
      </c>
      <c r="AX274">
        <v>18.010000000000002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 s="16">
        <v>0</v>
      </c>
      <c r="BQ274" s="16">
        <v>0</v>
      </c>
      <c r="BR274" s="16">
        <v>0</v>
      </c>
      <c r="BS274" s="16">
        <v>0</v>
      </c>
      <c r="BT274" s="16">
        <v>0</v>
      </c>
      <c r="BU274" s="16">
        <v>0</v>
      </c>
      <c r="BV274" s="16">
        <v>0</v>
      </c>
      <c r="BW274">
        <v>0</v>
      </c>
    </row>
    <row r="275" spans="1:75" x14ac:dyDescent="0.2">
      <c r="A275">
        <v>2</v>
      </c>
      <c r="B275">
        <v>48.980150581793303</v>
      </c>
      <c r="C275">
        <v>22.157426420260101</v>
      </c>
      <c r="D275">
        <v>8</v>
      </c>
      <c r="F275">
        <v>1.77</v>
      </c>
      <c r="G275">
        <v>0</v>
      </c>
      <c r="H275">
        <v>0</v>
      </c>
      <c r="I275">
        <v>0</v>
      </c>
      <c r="J275" s="19">
        <v>1</v>
      </c>
      <c r="K275" s="19">
        <v>0</v>
      </c>
      <c r="L275" s="19">
        <v>1</v>
      </c>
      <c r="M275" s="19">
        <v>4</v>
      </c>
      <c r="N275">
        <v>4</v>
      </c>
      <c r="O275" s="19"/>
      <c r="P275" s="19">
        <v>0</v>
      </c>
      <c r="Q275" s="19">
        <v>0</v>
      </c>
      <c r="R275" s="19">
        <v>0</v>
      </c>
      <c r="S275" s="19">
        <v>0</v>
      </c>
      <c r="T275" s="19">
        <v>0</v>
      </c>
      <c r="U275" s="19">
        <v>4</v>
      </c>
      <c r="V275" s="15">
        <f t="shared" si="9"/>
        <v>1.5</v>
      </c>
      <c r="W275" s="19">
        <v>2</v>
      </c>
      <c r="X275" s="19"/>
      <c r="Y275" s="19">
        <v>4</v>
      </c>
      <c r="Z275" s="19">
        <v>4</v>
      </c>
      <c r="AA275" s="19">
        <v>3</v>
      </c>
      <c r="AB275" s="19">
        <v>3</v>
      </c>
      <c r="AC275" s="19">
        <v>3</v>
      </c>
      <c r="AD275" s="19">
        <v>3</v>
      </c>
      <c r="AE275" s="19">
        <v>2</v>
      </c>
      <c r="AF275" s="19">
        <v>3</v>
      </c>
      <c r="AG275" s="19">
        <v>3</v>
      </c>
      <c r="AH275" s="19">
        <v>4</v>
      </c>
      <c r="AI275" s="19">
        <v>3</v>
      </c>
      <c r="AJ275" s="19">
        <v>3</v>
      </c>
      <c r="AK275" s="19">
        <v>4</v>
      </c>
      <c r="AL275" s="19">
        <v>4</v>
      </c>
      <c r="AM275" s="19">
        <v>3</v>
      </c>
      <c r="AN275" s="19">
        <v>3</v>
      </c>
      <c r="AO275" s="19">
        <v>4</v>
      </c>
      <c r="AP275" s="19"/>
      <c r="AQ275">
        <v>34.5</v>
      </c>
      <c r="AR275" s="16">
        <v>76.2</v>
      </c>
      <c r="AS275" s="16">
        <v>80.400000000000006</v>
      </c>
      <c r="AT275" s="16">
        <v>34.1</v>
      </c>
      <c r="AU275">
        <v>70.97</v>
      </c>
      <c r="AV275" s="17">
        <v>0</v>
      </c>
      <c r="AW275">
        <v>11.02</v>
      </c>
      <c r="AX275">
        <v>18.010000000000002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 s="16">
        <v>0</v>
      </c>
      <c r="BQ275" s="16">
        <v>0</v>
      </c>
      <c r="BR275" s="16">
        <v>0</v>
      </c>
      <c r="BS275" s="16">
        <v>0</v>
      </c>
      <c r="BT275" s="16">
        <v>0</v>
      </c>
      <c r="BU275" s="16">
        <v>0</v>
      </c>
      <c r="BV275" s="16">
        <v>0</v>
      </c>
      <c r="BW275">
        <v>0</v>
      </c>
    </row>
    <row r="276" spans="1:75" x14ac:dyDescent="0.2">
      <c r="A276">
        <v>2</v>
      </c>
      <c r="B276">
        <v>52.8898015058179</v>
      </c>
      <c r="C276">
        <v>21.508555783709799</v>
      </c>
      <c r="D276">
        <v>4</v>
      </c>
      <c r="E276">
        <v>97</v>
      </c>
      <c r="F276">
        <v>1.82</v>
      </c>
      <c r="G276">
        <v>29.283902910276499</v>
      </c>
      <c r="H276">
        <v>1</v>
      </c>
      <c r="I276">
        <v>1</v>
      </c>
      <c r="J276" s="19">
        <v>0</v>
      </c>
      <c r="K276" s="19">
        <v>0</v>
      </c>
      <c r="L276" s="19">
        <v>1</v>
      </c>
      <c r="M276" s="19">
        <v>4</v>
      </c>
      <c r="N276">
        <v>0</v>
      </c>
      <c r="O276" s="19">
        <v>0</v>
      </c>
      <c r="P276" s="19">
        <v>0</v>
      </c>
      <c r="Q276" s="19">
        <v>0</v>
      </c>
      <c r="R276" s="19">
        <v>0</v>
      </c>
      <c r="S276" s="19">
        <v>0</v>
      </c>
      <c r="T276" s="19">
        <v>0</v>
      </c>
      <c r="U276" s="19">
        <v>5</v>
      </c>
      <c r="V276" s="15">
        <f t="shared" si="9"/>
        <v>1</v>
      </c>
      <c r="W276" s="19">
        <v>3</v>
      </c>
      <c r="X276" s="19">
        <v>3</v>
      </c>
      <c r="Y276" s="19">
        <v>5</v>
      </c>
      <c r="Z276" s="19">
        <v>5</v>
      </c>
      <c r="AA276" s="19">
        <v>5</v>
      </c>
      <c r="AB276" s="19">
        <v>4</v>
      </c>
      <c r="AC276" s="19">
        <v>4</v>
      </c>
      <c r="AD276" s="19">
        <v>4</v>
      </c>
      <c r="AE276" s="19">
        <v>5</v>
      </c>
      <c r="AF276" s="19">
        <v>4</v>
      </c>
      <c r="AG276" s="19">
        <v>4</v>
      </c>
      <c r="AH276" s="19">
        <v>4</v>
      </c>
      <c r="AI276" s="19">
        <v>4</v>
      </c>
      <c r="AJ276" s="19">
        <v>3</v>
      </c>
      <c r="AK276" s="19">
        <v>4</v>
      </c>
      <c r="AL276" s="19">
        <v>4</v>
      </c>
      <c r="AM276" s="19">
        <v>4</v>
      </c>
      <c r="AN276" s="19">
        <v>4</v>
      </c>
      <c r="AO276" s="19">
        <v>4</v>
      </c>
      <c r="AP276" s="19">
        <v>8</v>
      </c>
      <c r="AQ276">
        <v>34.5</v>
      </c>
      <c r="AR276" s="16">
        <v>76.2</v>
      </c>
      <c r="AS276" s="16">
        <v>80.400000000000006</v>
      </c>
      <c r="AT276" s="16">
        <v>34.1</v>
      </c>
      <c r="AU276">
        <v>70.97</v>
      </c>
      <c r="AV276" s="17">
        <v>0</v>
      </c>
      <c r="AW276">
        <v>11.02</v>
      </c>
      <c r="AX276">
        <v>18.010000000000002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 s="16">
        <v>0</v>
      </c>
      <c r="BQ276" s="16">
        <v>0</v>
      </c>
      <c r="BR276" s="16">
        <v>0</v>
      </c>
      <c r="BS276" s="16">
        <v>0</v>
      </c>
      <c r="BT276" s="16">
        <v>0</v>
      </c>
      <c r="BU276" s="16">
        <v>0</v>
      </c>
      <c r="BV276" s="16">
        <v>0</v>
      </c>
      <c r="BW276">
        <v>0</v>
      </c>
    </row>
    <row r="277" spans="1:75" x14ac:dyDescent="0.2">
      <c r="A277">
        <v>2</v>
      </c>
      <c r="B277">
        <v>43.389459274469502</v>
      </c>
      <c r="C277">
        <v>21.598904859685099</v>
      </c>
      <c r="D277">
        <v>8</v>
      </c>
      <c r="E277">
        <v>110</v>
      </c>
      <c r="F277">
        <v>1.74</v>
      </c>
      <c r="G277">
        <v>36.332408508389499</v>
      </c>
      <c r="H277">
        <v>1</v>
      </c>
      <c r="J277" s="19">
        <v>0</v>
      </c>
      <c r="K277" s="19">
        <v>0</v>
      </c>
      <c r="L277" s="19">
        <v>0</v>
      </c>
      <c r="M277" s="19">
        <v>0</v>
      </c>
      <c r="N277">
        <v>0</v>
      </c>
      <c r="O277" s="19">
        <v>0</v>
      </c>
      <c r="P277" s="19">
        <v>5</v>
      </c>
      <c r="Q277" s="19">
        <v>8</v>
      </c>
      <c r="R277" s="19">
        <v>0</v>
      </c>
      <c r="S277" s="19">
        <v>0</v>
      </c>
      <c r="T277" s="19">
        <v>0</v>
      </c>
      <c r="U277" s="19">
        <v>0</v>
      </c>
      <c r="V277" s="15">
        <f t="shared" si="9"/>
        <v>1.4444444444444444</v>
      </c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>
        <v>3</v>
      </c>
      <c r="AN277" s="19">
        <v>3</v>
      </c>
      <c r="AO277" s="19">
        <v>2</v>
      </c>
      <c r="AP277" s="19">
        <v>3</v>
      </c>
      <c r="AQ277">
        <v>34.5</v>
      </c>
      <c r="AR277" s="16">
        <v>76.2</v>
      </c>
      <c r="AS277" s="16">
        <v>80.400000000000006</v>
      </c>
      <c r="AT277" s="16">
        <v>34.1</v>
      </c>
      <c r="AU277">
        <v>70.97</v>
      </c>
      <c r="AV277" s="17">
        <v>0</v>
      </c>
      <c r="AW277">
        <v>11.02</v>
      </c>
      <c r="AX277">
        <v>18.010000000000002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 s="16">
        <v>0</v>
      </c>
      <c r="BQ277" s="16">
        <v>0</v>
      </c>
      <c r="BR277" s="16">
        <v>0</v>
      </c>
      <c r="BS277" s="16">
        <v>0</v>
      </c>
      <c r="BT277" s="16">
        <v>0</v>
      </c>
      <c r="BU277" s="16">
        <v>0</v>
      </c>
      <c r="BV277" s="16">
        <v>0</v>
      </c>
      <c r="BW277">
        <v>0</v>
      </c>
    </row>
    <row r="278" spans="1:75" x14ac:dyDescent="0.2">
      <c r="A278">
        <v>2</v>
      </c>
      <c r="B278">
        <v>37.524982888432604</v>
      </c>
      <c r="C278">
        <v>0.34496919917864499</v>
      </c>
      <c r="D278">
        <v>4</v>
      </c>
      <c r="E278">
        <v>85</v>
      </c>
      <c r="F278">
        <v>1.72</v>
      </c>
      <c r="G278">
        <v>28.7317468902109</v>
      </c>
      <c r="H278">
        <v>0</v>
      </c>
      <c r="I278">
        <v>0</v>
      </c>
      <c r="J278" s="19">
        <v>0</v>
      </c>
      <c r="K278" s="19">
        <v>0</v>
      </c>
      <c r="L278" s="19">
        <v>0</v>
      </c>
      <c r="M278" s="19">
        <v>0</v>
      </c>
      <c r="N278">
        <v>0</v>
      </c>
      <c r="O278" s="19">
        <v>0</v>
      </c>
      <c r="P278" s="19">
        <v>0</v>
      </c>
      <c r="Q278" s="19">
        <v>0</v>
      </c>
      <c r="R278" s="19">
        <v>4</v>
      </c>
      <c r="S278" s="19">
        <v>2</v>
      </c>
      <c r="T278" s="19">
        <v>0</v>
      </c>
      <c r="U278" s="19">
        <v>5</v>
      </c>
      <c r="V278" s="15">
        <f t="shared" si="9"/>
        <v>1.2222222222222223</v>
      </c>
      <c r="W278" s="19">
        <v>2</v>
      </c>
      <c r="X278" s="19">
        <v>3</v>
      </c>
      <c r="Y278" s="19">
        <v>3</v>
      </c>
      <c r="Z278" s="19">
        <v>5</v>
      </c>
      <c r="AA278" s="19">
        <v>2</v>
      </c>
      <c r="AB278" s="19">
        <v>1</v>
      </c>
      <c r="AC278" s="19">
        <v>4</v>
      </c>
      <c r="AD278" s="19">
        <v>4</v>
      </c>
      <c r="AE278" s="19">
        <v>3</v>
      </c>
      <c r="AF278" s="19">
        <v>3</v>
      </c>
      <c r="AG278" s="19">
        <v>4</v>
      </c>
      <c r="AH278" s="19">
        <v>5</v>
      </c>
      <c r="AI278" s="19">
        <v>3</v>
      </c>
      <c r="AJ278" s="19">
        <v>4</v>
      </c>
      <c r="AK278" s="19">
        <v>5</v>
      </c>
      <c r="AL278" s="19">
        <v>4</v>
      </c>
      <c r="AM278" s="19">
        <v>4</v>
      </c>
      <c r="AN278" s="19">
        <v>4</v>
      </c>
      <c r="AO278" s="19">
        <v>5</v>
      </c>
      <c r="AP278" s="19">
        <v>10</v>
      </c>
      <c r="AQ278">
        <v>31</v>
      </c>
      <c r="AR278" s="16">
        <v>82.6</v>
      </c>
      <c r="AS278" s="16">
        <v>83.4</v>
      </c>
      <c r="AT278" s="16">
        <v>5.7</v>
      </c>
      <c r="AU278">
        <v>99.97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7.3</v>
      </c>
      <c r="BG278">
        <v>53.74</v>
      </c>
      <c r="BH278">
        <v>0</v>
      </c>
      <c r="BI278">
        <v>0</v>
      </c>
      <c r="BJ278">
        <v>0</v>
      </c>
      <c r="BK278">
        <v>17.600000000000001</v>
      </c>
      <c r="BL278">
        <v>1</v>
      </c>
      <c r="BM278">
        <v>2.4</v>
      </c>
      <c r="BN278">
        <v>0</v>
      </c>
      <c r="BO278">
        <v>1</v>
      </c>
      <c r="BP278" s="16">
        <v>0</v>
      </c>
      <c r="BQ278" s="16">
        <v>0</v>
      </c>
      <c r="BR278" s="16">
        <v>5.21</v>
      </c>
      <c r="BS278" s="16">
        <v>2.59</v>
      </c>
      <c r="BT278" s="16">
        <v>0</v>
      </c>
      <c r="BU278" s="16">
        <v>0</v>
      </c>
      <c r="BV278" s="16">
        <v>0</v>
      </c>
      <c r="BW278">
        <v>0</v>
      </c>
    </row>
    <row r="279" spans="1:75" x14ac:dyDescent="0.2">
      <c r="A279">
        <v>2</v>
      </c>
      <c r="B279">
        <v>25.834360027378501</v>
      </c>
      <c r="C279">
        <v>0.284736481861739</v>
      </c>
      <c r="D279">
        <v>4</v>
      </c>
      <c r="E279">
        <v>68</v>
      </c>
      <c r="F279">
        <v>1.77</v>
      </c>
      <c r="G279">
        <v>21.7051294327939</v>
      </c>
      <c r="H279">
        <v>0</v>
      </c>
      <c r="I279">
        <v>0</v>
      </c>
      <c r="J279" s="19">
        <v>0</v>
      </c>
      <c r="K279" s="19">
        <v>1</v>
      </c>
      <c r="L279" s="19">
        <v>1</v>
      </c>
      <c r="M279" s="19">
        <v>0</v>
      </c>
      <c r="N27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5">
        <f t="shared" si="9"/>
        <v>0</v>
      </c>
      <c r="W279" s="19">
        <v>2</v>
      </c>
      <c r="X279" s="19"/>
      <c r="Y279" s="19">
        <v>3</v>
      </c>
      <c r="Z279" s="19">
        <v>5</v>
      </c>
      <c r="AA279" s="19">
        <v>2</v>
      </c>
      <c r="AB279" s="19">
        <v>1</v>
      </c>
      <c r="AC279" s="19">
        <v>4</v>
      </c>
      <c r="AD279" s="19">
        <v>3</v>
      </c>
      <c r="AE279" s="19">
        <v>2</v>
      </c>
      <c r="AF279" s="19">
        <v>2</v>
      </c>
      <c r="AG279" s="19">
        <v>4</v>
      </c>
      <c r="AH279" s="19">
        <v>4</v>
      </c>
      <c r="AI279" s="19">
        <v>4</v>
      </c>
      <c r="AJ279" s="19">
        <v>4</v>
      </c>
      <c r="AK279" s="19">
        <v>4</v>
      </c>
      <c r="AL279" s="19">
        <v>5</v>
      </c>
      <c r="AM279" s="19">
        <v>4</v>
      </c>
      <c r="AN279" s="19">
        <v>5</v>
      </c>
      <c r="AO279" s="19">
        <v>4</v>
      </c>
      <c r="AP279" s="19">
        <v>8</v>
      </c>
      <c r="AQ279">
        <v>31</v>
      </c>
      <c r="AR279" s="16">
        <v>82.6</v>
      </c>
      <c r="AS279" s="16">
        <v>83.4</v>
      </c>
      <c r="AT279" s="16">
        <v>5.7</v>
      </c>
      <c r="AU279">
        <v>99.97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7.3</v>
      </c>
      <c r="BG279">
        <v>53.74</v>
      </c>
      <c r="BH279">
        <v>0</v>
      </c>
      <c r="BI279">
        <v>0</v>
      </c>
      <c r="BJ279">
        <v>0</v>
      </c>
      <c r="BK279">
        <v>17.600000000000001</v>
      </c>
      <c r="BL279">
        <v>1</v>
      </c>
      <c r="BM279">
        <v>2.4</v>
      </c>
      <c r="BN279">
        <v>0</v>
      </c>
      <c r="BO279">
        <v>1</v>
      </c>
      <c r="BP279" s="16">
        <v>0</v>
      </c>
      <c r="BQ279" s="16">
        <v>0</v>
      </c>
      <c r="BR279" s="16">
        <v>5.21</v>
      </c>
      <c r="BS279" s="16">
        <v>2.59</v>
      </c>
      <c r="BT279" s="16">
        <v>0</v>
      </c>
      <c r="BU279" s="16">
        <v>0</v>
      </c>
      <c r="BV279" s="16">
        <v>0</v>
      </c>
      <c r="BW279">
        <v>0</v>
      </c>
    </row>
    <row r="280" spans="1:75" x14ac:dyDescent="0.2">
      <c r="A280">
        <v>1</v>
      </c>
      <c r="B280">
        <v>25.026694045174501</v>
      </c>
      <c r="C280">
        <v>0.26830937713894598</v>
      </c>
      <c r="D280">
        <v>8</v>
      </c>
      <c r="E280">
        <v>69</v>
      </c>
      <c r="F280">
        <v>1.63</v>
      </c>
      <c r="G280">
        <v>25.970115548195299</v>
      </c>
      <c r="H280">
        <v>0</v>
      </c>
      <c r="I280">
        <v>0</v>
      </c>
      <c r="J280" s="19">
        <v>0</v>
      </c>
      <c r="K280" s="19">
        <v>0</v>
      </c>
      <c r="L280" s="19">
        <v>1</v>
      </c>
      <c r="M280" s="19">
        <v>0</v>
      </c>
      <c r="N280">
        <v>0</v>
      </c>
      <c r="O280" s="19">
        <v>0</v>
      </c>
      <c r="P280" s="19">
        <v>0</v>
      </c>
      <c r="Q280" s="19">
        <v>0</v>
      </c>
      <c r="R280" s="19">
        <v>0</v>
      </c>
      <c r="S280" s="19">
        <v>0</v>
      </c>
      <c r="T280" s="19">
        <v>0</v>
      </c>
      <c r="U280" s="19">
        <v>0</v>
      </c>
      <c r="V280" s="15">
        <f t="shared" si="9"/>
        <v>0</v>
      </c>
      <c r="W280" s="19">
        <v>1</v>
      </c>
      <c r="X280" s="19">
        <v>2</v>
      </c>
      <c r="Y280" s="19">
        <v>3</v>
      </c>
      <c r="Z280" s="19">
        <v>5</v>
      </c>
      <c r="AA280" s="19">
        <v>3</v>
      </c>
      <c r="AB280" s="19">
        <v>3</v>
      </c>
      <c r="AC280" s="19">
        <v>3</v>
      </c>
      <c r="AD280" s="19">
        <v>4</v>
      </c>
      <c r="AE280" s="19">
        <v>5</v>
      </c>
      <c r="AF280" s="19">
        <v>5</v>
      </c>
      <c r="AG280" s="19">
        <v>5</v>
      </c>
      <c r="AH280" s="19">
        <v>5</v>
      </c>
      <c r="AI280" s="19">
        <v>5</v>
      </c>
      <c r="AJ280" s="19">
        <v>5</v>
      </c>
      <c r="AK280" s="19">
        <v>5</v>
      </c>
      <c r="AL280" s="19">
        <v>5</v>
      </c>
      <c r="AM280" s="19">
        <v>5</v>
      </c>
      <c r="AN280" s="19">
        <v>5</v>
      </c>
      <c r="AO280" s="19">
        <v>4</v>
      </c>
      <c r="AP280" s="19">
        <v>8</v>
      </c>
      <c r="AQ280">
        <v>31</v>
      </c>
      <c r="AR280" s="16">
        <v>82.6</v>
      </c>
      <c r="AS280" s="16">
        <v>83.4</v>
      </c>
      <c r="AT280" s="16">
        <v>5.7</v>
      </c>
      <c r="AU280">
        <v>99.97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7.3</v>
      </c>
      <c r="BG280">
        <v>53.74</v>
      </c>
      <c r="BH280">
        <v>0</v>
      </c>
      <c r="BI280">
        <v>0</v>
      </c>
      <c r="BJ280">
        <v>0</v>
      </c>
      <c r="BK280">
        <v>17.600000000000001</v>
      </c>
      <c r="BL280">
        <v>1</v>
      </c>
      <c r="BM280">
        <v>2.4</v>
      </c>
      <c r="BN280">
        <v>0</v>
      </c>
      <c r="BO280">
        <v>1</v>
      </c>
      <c r="BP280" s="16">
        <v>0</v>
      </c>
      <c r="BQ280" s="16">
        <v>0</v>
      </c>
      <c r="BR280" s="16">
        <v>5.21</v>
      </c>
      <c r="BS280" s="16">
        <v>2.59</v>
      </c>
      <c r="BT280" s="16">
        <v>0</v>
      </c>
      <c r="BU280" s="16">
        <v>0</v>
      </c>
      <c r="BV280" s="16">
        <v>0</v>
      </c>
      <c r="BW280">
        <v>0</v>
      </c>
    </row>
    <row r="281" spans="1:75" x14ac:dyDescent="0.2">
      <c r="A281">
        <v>2</v>
      </c>
      <c r="B281">
        <v>22.357289527720699</v>
      </c>
      <c r="C281">
        <v>0.2217659137577</v>
      </c>
      <c r="D281">
        <v>4</v>
      </c>
      <c r="E281">
        <v>70</v>
      </c>
      <c r="F281">
        <v>1.67</v>
      </c>
      <c r="G281">
        <v>25.099501595611201</v>
      </c>
      <c r="H281">
        <v>0</v>
      </c>
      <c r="I281">
        <v>0</v>
      </c>
      <c r="J281" s="19">
        <v>0</v>
      </c>
      <c r="K281" s="19">
        <v>2</v>
      </c>
      <c r="L281" s="19">
        <v>1</v>
      </c>
      <c r="M281" s="19">
        <v>0</v>
      </c>
      <c r="N281">
        <v>0</v>
      </c>
      <c r="O281" s="19">
        <v>0</v>
      </c>
      <c r="P281" s="19">
        <v>0</v>
      </c>
      <c r="Q281" s="19">
        <v>0</v>
      </c>
      <c r="R281" s="19">
        <v>0</v>
      </c>
      <c r="S281" s="19">
        <v>0</v>
      </c>
      <c r="T281" s="19">
        <v>0</v>
      </c>
      <c r="U281" s="19">
        <v>0</v>
      </c>
      <c r="V281" s="15">
        <f t="shared" si="9"/>
        <v>0</v>
      </c>
      <c r="W281" s="19">
        <v>1</v>
      </c>
      <c r="X281" s="19">
        <v>1</v>
      </c>
      <c r="Y281" s="19">
        <v>2</v>
      </c>
      <c r="Z281" s="19">
        <v>3</v>
      </c>
      <c r="AA281" s="19">
        <v>2</v>
      </c>
      <c r="AB281" s="19">
        <v>1</v>
      </c>
      <c r="AC281" s="19">
        <v>2</v>
      </c>
      <c r="AD281" s="19">
        <v>4</v>
      </c>
      <c r="AE281" s="19">
        <v>4</v>
      </c>
      <c r="AF281" s="19">
        <v>5</v>
      </c>
      <c r="AG281" s="19">
        <v>5</v>
      </c>
      <c r="AH281" s="19">
        <v>5</v>
      </c>
      <c r="AI281" s="19">
        <v>5</v>
      </c>
      <c r="AJ281" s="19">
        <v>5</v>
      </c>
      <c r="AK281" s="19">
        <v>5</v>
      </c>
      <c r="AL281" s="19">
        <v>5</v>
      </c>
      <c r="AM281" s="19">
        <v>5</v>
      </c>
      <c r="AN281" s="19">
        <v>5</v>
      </c>
      <c r="AO281" s="19">
        <v>5</v>
      </c>
      <c r="AP281" s="19">
        <v>10</v>
      </c>
      <c r="AQ281">
        <v>31</v>
      </c>
      <c r="AR281" s="16">
        <v>82.6</v>
      </c>
      <c r="AS281" s="16">
        <v>83.4</v>
      </c>
      <c r="AT281" s="16">
        <v>5.7</v>
      </c>
      <c r="AU281">
        <v>99.97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7.3</v>
      </c>
      <c r="BG281">
        <v>53.74</v>
      </c>
      <c r="BH281">
        <v>0</v>
      </c>
      <c r="BI281">
        <v>0</v>
      </c>
      <c r="BJ281">
        <v>0</v>
      </c>
      <c r="BK281">
        <v>17.600000000000001</v>
      </c>
      <c r="BL281">
        <v>1</v>
      </c>
      <c r="BM281">
        <v>2.4</v>
      </c>
      <c r="BN281">
        <v>0</v>
      </c>
      <c r="BO281">
        <v>1</v>
      </c>
      <c r="BP281" s="16">
        <v>0</v>
      </c>
      <c r="BQ281" s="16">
        <v>0</v>
      </c>
      <c r="BR281" s="16">
        <v>5.21</v>
      </c>
      <c r="BS281" s="16">
        <v>2.59</v>
      </c>
      <c r="BT281" s="16">
        <v>0</v>
      </c>
      <c r="BU281" s="16">
        <v>0</v>
      </c>
      <c r="BV281" s="16">
        <v>0</v>
      </c>
      <c r="BW281">
        <v>0</v>
      </c>
    </row>
    <row r="282" spans="1:75" x14ac:dyDescent="0.2">
      <c r="A282">
        <v>2</v>
      </c>
      <c r="B282">
        <v>28.487337440109499</v>
      </c>
      <c r="C282">
        <v>0.334017796030116</v>
      </c>
      <c r="D282">
        <v>4</v>
      </c>
      <c r="E282">
        <v>75</v>
      </c>
      <c r="H282">
        <v>0</v>
      </c>
      <c r="I282">
        <v>0</v>
      </c>
      <c r="J282" s="19">
        <v>1</v>
      </c>
      <c r="K282" s="19">
        <v>1</v>
      </c>
      <c r="L282" s="19">
        <v>0</v>
      </c>
      <c r="M282" s="19">
        <v>0</v>
      </c>
      <c r="N282">
        <v>0</v>
      </c>
      <c r="O282" s="19">
        <v>0</v>
      </c>
      <c r="P282" s="19">
        <v>0</v>
      </c>
      <c r="Q282" s="19">
        <v>0</v>
      </c>
      <c r="R282" s="19">
        <v>3</v>
      </c>
      <c r="S282" s="19">
        <v>0</v>
      </c>
      <c r="T282" s="19">
        <v>0</v>
      </c>
      <c r="U282" s="19">
        <v>0</v>
      </c>
      <c r="V282" s="15">
        <f t="shared" si="9"/>
        <v>0.33333333333333331</v>
      </c>
      <c r="W282" s="19">
        <v>1</v>
      </c>
      <c r="X282" s="19">
        <v>2</v>
      </c>
      <c r="Y282" s="19">
        <v>4</v>
      </c>
      <c r="Z282" s="19">
        <v>5</v>
      </c>
      <c r="AA282" s="19">
        <v>2</v>
      </c>
      <c r="AB282" s="19">
        <v>2</v>
      </c>
      <c r="AC282" s="19">
        <v>5</v>
      </c>
      <c r="AD282" s="19">
        <v>4</v>
      </c>
      <c r="AE282" s="19">
        <v>5</v>
      </c>
      <c r="AF282" s="19">
        <v>4</v>
      </c>
      <c r="AG282" s="19">
        <v>5</v>
      </c>
      <c r="AH282" s="19">
        <v>5</v>
      </c>
      <c r="AI282" s="19">
        <v>5</v>
      </c>
      <c r="AJ282" s="19">
        <v>4</v>
      </c>
      <c r="AK282" s="19">
        <v>4</v>
      </c>
      <c r="AL282" s="19">
        <v>5</v>
      </c>
      <c r="AM282" s="19"/>
      <c r="AN282" s="19"/>
      <c r="AO282" s="19"/>
      <c r="AP282" s="19"/>
      <c r="AQ282">
        <v>31</v>
      </c>
      <c r="AR282" s="16">
        <v>82.6</v>
      </c>
      <c r="AS282" s="16">
        <v>83.4</v>
      </c>
      <c r="AT282" s="16">
        <v>5.7</v>
      </c>
      <c r="AU282">
        <v>99.97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7.3</v>
      </c>
      <c r="BG282">
        <v>53.74</v>
      </c>
      <c r="BH282">
        <v>0</v>
      </c>
      <c r="BI282">
        <v>0</v>
      </c>
      <c r="BJ282">
        <v>0</v>
      </c>
      <c r="BK282">
        <v>17.600000000000001</v>
      </c>
      <c r="BL282">
        <v>1</v>
      </c>
      <c r="BM282">
        <v>2.4</v>
      </c>
      <c r="BN282">
        <v>0</v>
      </c>
      <c r="BO282">
        <v>1</v>
      </c>
      <c r="BP282" s="16">
        <v>0</v>
      </c>
      <c r="BQ282" s="16">
        <v>0</v>
      </c>
      <c r="BR282" s="16">
        <v>5.21</v>
      </c>
      <c r="BS282" s="16">
        <v>2.59</v>
      </c>
      <c r="BT282" s="16">
        <v>0</v>
      </c>
      <c r="BU282" s="16">
        <v>0</v>
      </c>
      <c r="BV282" s="16">
        <v>0</v>
      </c>
      <c r="BW282">
        <v>0</v>
      </c>
    </row>
    <row r="283" spans="1:75" x14ac:dyDescent="0.2">
      <c r="A283">
        <v>1</v>
      </c>
      <c r="B283">
        <v>23.373032169746701</v>
      </c>
      <c r="C283">
        <v>0.29295003422313498</v>
      </c>
      <c r="D283">
        <v>4</v>
      </c>
      <c r="E283">
        <v>51</v>
      </c>
      <c r="F283">
        <v>1.65</v>
      </c>
      <c r="G283">
        <v>18.732782369146001</v>
      </c>
      <c r="H283">
        <v>0</v>
      </c>
      <c r="I283">
        <v>0</v>
      </c>
      <c r="J283" s="19">
        <v>0</v>
      </c>
      <c r="K283" s="19">
        <v>0</v>
      </c>
      <c r="L283" s="19">
        <v>1</v>
      </c>
      <c r="M283" s="19">
        <v>0</v>
      </c>
      <c r="N283">
        <v>0</v>
      </c>
      <c r="O283" s="19">
        <v>0</v>
      </c>
      <c r="P283" s="19">
        <v>0</v>
      </c>
      <c r="Q283" s="19">
        <v>0</v>
      </c>
      <c r="R283" s="19">
        <v>0</v>
      </c>
      <c r="S283" s="19">
        <v>0</v>
      </c>
      <c r="T283" s="19">
        <v>0</v>
      </c>
      <c r="U283" s="19">
        <v>0</v>
      </c>
      <c r="V283" s="15">
        <f t="shared" si="9"/>
        <v>0</v>
      </c>
      <c r="W283" s="19">
        <v>1</v>
      </c>
      <c r="X283" s="19">
        <v>1</v>
      </c>
      <c r="Y283" s="19">
        <v>2</v>
      </c>
      <c r="Z283" s="19">
        <v>5</v>
      </c>
      <c r="AA283" s="19">
        <v>1</v>
      </c>
      <c r="AB283" s="19">
        <v>2</v>
      </c>
      <c r="AC283" s="19">
        <v>1</v>
      </c>
      <c r="AD283" s="19">
        <v>3</v>
      </c>
      <c r="AE283" s="19">
        <v>5</v>
      </c>
      <c r="AF283" s="19">
        <v>5</v>
      </c>
      <c r="AG283" s="19">
        <v>5</v>
      </c>
      <c r="AH283" s="19">
        <v>5</v>
      </c>
      <c r="AI283" s="19">
        <v>5</v>
      </c>
      <c r="AJ283" s="19">
        <v>5</v>
      </c>
      <c r="AK283" s="19">
        <v>5</v>
      </c>
      <c r="AL283" s="19">
        <v>5</v>
      </c>
      <c r="AM283" s="19">
        <v>5</v>
      </c>
      <c r="AN283" s="19">
        <v>5</v>
      </c>
      <c r="AO283" s="19">
        <v>5</v>
      </c>
      <c r="AP283" s="19">
        <v>8</v>
      </c>
      <c r="AQ283">
        <v>38.5</v>
      </c>
      <c r="AR283" s="16">
        <v>77.5</v>
      </c>
      <c r="AS283" s="16">
        <v>83.4</v>
      </c>
      <c r="AT283" s="16">
        <v>19.100000000000001</v>
      </c>
      <c r="AU283">
        <v>78.180000000000007</v>
      </c>
      <c r="AV283">
        <v>0</v>
      </c>
      <c r="AW283">
        <v>2.48</v>
      </c>
      <c r="AX283">
        <v>0</v>
      </c>
      <c r="AY283">
        <v>19.34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4.1100000000000003</v>
      </c>
      <c r="BH283">
        <v>21.82</v>
      </c>
      <c r="BI283">
        <v>10.65</v>
      </c>
      <c r="BJ283">
        <v>0</v>
      </c>
      <c r="BK283">
        <v>16.899999999999999</v>
      </c>
      <c r="BL283">
        <v>1</v>
      </c>
      <c r="BM283">
        <v>0</v>
      </c>
      <c r="BN283">
        <v>0</v>
      </c>
      <c r="BO283">
        <v>0</v>
      </c>
      <c r="BP283" s="16">
        <v>0</v>
      </c>
      <c r="BQ283" s="16">
        <v>0</v>
      </c>
      <c r="BR283" s="16">
        <v>2.48</v>
      </c>
      <c r="BS283" s="16">
        <v>2.48</v>
      </c>
      <c r="BT283" s="16">
        <v>0</v>
      </c>
      <c r="BU283" s="16">
        <v>0</v>
      </c>
      <c r="BV283" s="16">
        <v>0</v>
      </c>
      <c r="BW283">
        <v>0</v>
      </c>
    </row>
    <row r="284" spans="1:75" x14ac:dyDescent="0.2">
      <c r="A284">
        <v>1</v>
      </c>
      <c r="B284">
        <v>31.800136892539399</v>
      </c>
      <c r="C284">
        <v>0.284736481861739</v>
      </c>
      <c r="D284">
        <v>4</v>
      </c>
      <c r="E284">
        <v>62</v>
      </c>
      <c r="F284">
        <v>1.65</v>
      </c>
      <c r="G284">
        <v>22.77318640955</v>
      </c>
      <c r="H284">
        <v>0</v>
      </c>
      <c r="I284">
        <v>0</v>
      </c>
      <c r="J284" s="19">
        <v>1</v>
      </c>
      <c r="K284" s="19">
        <v>1</v>
      </c>
      <c r="L284" s="19">
        <v>0</v>
      </c>
      <c r="M284" s="19">
        <v>0</v>
      </c>
      <c r="N284">
        <v>0</v>
      </c>
      <c r="O284" s="19">
        <v>0</v>
      </c>
      <c r="P284" s="19">
        <v>0</v>
      </c>
      <c r="Q284" s="19">
        <v>0</v>
      </c>
      <c r="R284" s="19">
        <v>6</v>
      </c>
      <c r="S284" s="19">
        <v>0</v>
      </c>
      <c r="T284" s="19">
        <v>0</v>
      </c>
      <c r="U284" s="19">
        <v>0</v>
      </c>
      <c r="V284" s="15">
        <f t="shared" ref="V284:V315" si="10">AVERAGE(M284:U284)</f>
        <v>0.66666666666666663</v>
      </c>
      <c r="W284" s="19">
        <v>2</v>
      </c>
      <c r="X284" s="19">
        <v>2</v>
      </c>
      <c r="Y284" s="19">
        <v>2</v>
      </c>
      <c r="Z284" s="19">
        <v>4</v>
      </c>
      <c r="AA284" s="19"/>
      <c r="AB284" s="19">
        <v>2</v>
      </c>
      <c r="AC284" s="19">
        <v>3</v>
      </c>
      <c r="AD284" s="19">
        <v>3</v>
      </c>
      <c r="AE284" s="19">
        <v>5</v>
      </c>
      <c r="AF284" s="19">
        <v>5</v>
      </c>
      <c r="AG284" s="19">
        <v>5</v>
      </c>
      <c r="AH284" s="19">
        <v>5</v>
      </c>
      <c r="AI284" s="19">
        <v>5</v>
      </c>
      <c r="AJ284" s="19">
        <v>5</v>
      </c>
      <c r="AK284" s="19">
        <v>5</v>
      </c>
      <c r="AL284" s="19">
        <v>5</v>
      </c>
      <c r="AM284" s="19">
        <v>5</v>
      </c>
      <c r="AN284" s="19">
        <v>5</v>
      </c>
      <c r="AO284" s="19">
        <v>5</v>
      </c>
      <c r="AP284" s="19">
        <v>9</v>
      </c>
      <c r="AQ284">
        <v>31</v>
      </c>
      <c r="AR284" s="16">
        <v>82.6</v>
      </c>
      <c r="AS284" s="16">
        <v>83.4</v>
      </c>
      <c r="AT284" s="16">
        <v>5.7</v>
      </c>
      <c r="AU284">
        <v>99.97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7.3</v>
      </c>
      <c r="BG284">
        <v>53.74</v>
      </c>
      <c r="BH284">
        <v>0</v>
      </c>
      <c r="BI284">
        <v>0</v>
      </c>
      <c r="BJ284">
        <v>0</v>
      </c>
      <c r="BK284">
        <v>17.600000000000001</v>
      </c>
      <c r="BL284">
        <v>1</v>
      </c>
      <c r="BM284">
        <v>2.4</v>
      </c>
      <c r="BN284">
        <v>0</v>
      </c>
      <c r="BO284">
        <v>1</v>
      </c>
      <c r="BP284" s="16">
        <v>0</v>
      </c>
      <c r="BQ284" s="16">
        <v>0</v>
      </c>
      <c r="BR284" s="16">
        <v>5.21</v>
      </c>
      <c r="BS284" s="16">
        <v>2.59</v>
      </c>
      <c r="BT284" s="16">
        <v>0</v>
      </c>
      <c r="BU284" s="16">
        <v>0</v>
      </c>
      <c r="BV284" s="16">
        <v>0</v>
      </c>
      <c r="BW284">
        <v>0</v>
      </c>
    </row>
    <row r="285" spans="1:75" x14ac:dyDescent="0.2">
      <c r="A285">
        <v>2</v>
      </c>
      <c r="B285">
        <v>0.38603696098562601</v>
      </c>
      <c r="C285">
        <v>0.284736481861739</v>
      </c>
      <c r="D285">
        <v>4</v>
      </c>
      <c r="E285">
        <v>99.8</v>
      </c>
      <c r="F285">
        <v>1.74</v>
      </c>
      <c r="G285">
        <v>32.963403355793403</v>
      </c>
      <c r="H285">
        <v>0</v>
      </c>
      <c r="I285">
        <v>0</v>
      </c>
      <c r="J285" s="19">
        <v>0</v>
      </c>
      <c r="K285" s="19">
        <v>3</v>
      </c>
      <c r="L285" s="19">
        <v>0</v>
      </c>
      <c r="M285" s="19">
        <v>0</v>
      </c>
      <c r="N285">
        <v>0</v>
      </c>
      <c r="O285" s="19">
        <v>0</v>
      </c>
      <c r="P285" s="19"/>
      <c r="Q285" s="19"/>
      <c r="R285" s="19">
        <v>0</v>
      </c>
      <c r="S285" s="19">
        <v>0</v>
      </c>
      <c r="T285" s="19">
        <v>0</v>
      </c>
      <c r="U285" s="19">
        <v>0</v>
      </c>
      <c r="V285" s="15">
        <f t="shared" si="10"/>
        <v>0</v>
      </c>
      <c r="W285" s="19">
        <v>1</v>
      </c>
      <c r="X285" s="19">
        <v>2</v>
      </c>
      <c r="Y285" s="19">
        <v>2</v>
      </c>
      <c r="Z285" s="19">
        <v>4</v>
      </c>
      <c r="AA285" s="19">
        <v>2</v>
      </c>
      <c r="AB285" s="19">
        <v>1</v>
      </c>
      <c r="AC285" s="19">
        <v>2</v>
      </c>
      <c r="AD285" s="19">
        <v>3</v>
      </c>
      <c r="AE285" s="19">
        <v>5</v>
      </c>
      <c r="AF285" s="19">
        <v>5</v>
      </c>
      <c r="AG285" s="19">
        <v>5</v>
      </c>
      <c r="AH285" s="19">
        <v>5</v>
      </c>
      <c r="AI285" s="19">
        <v>4</v>
      </c>
      <c r="AJ285" s="19">
        <v>5</v>
      </c>
      <c r="AK285" s="19">
        <v>5</v>
      </c>
      <c r="AL285" s="19">
        <v>5</v>
      </c>
      <c r="AM285" s="19">
        <v>5</v>
      </c>
      <c r="AN285" s="19">
        <v>5</v>
      </c>
      <c r="AO285" s="19">
        <v>5</v>
      </c>
      <c r="AP285" s="19">
        <v>9</v>
      </c>
      <c r="AQ285">
        <v>31</v>
      </c>
      <c r="AR285" s="16">
        <v>82.6</v>
      </c>
      <c r="AS285" s="16">
        <v>83.4</v>
      </c>
      <c r="AT285" s="16">
        <v>5.7</v>
      </c>
      <c r="AU285">
        <v>99.97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7.3</v>
      </c>
      <c r="BG285">
        <v>53.74</v>
      </c>
      <c r="BH285">
        <v>0</v>
      </c>
      <c r="BI285">
        <v>0</v>
      </c>
      <c r="BJ285">
        <v>0</v>
      </c>
      <c r="BK285">
        <v>17.600000000000001</v>
      </c>
      <c r="BL285">
        <v>1</v>
      </c>
      <c r="BM285">
        <v>2.4</v>
      </c>
      <c r="BN285">
        <v>0</v>
      </c>
      <c r="BO285">
        <v>1</v>
      </c>
      <c r="BP285" s="16">
        <v>0</v>
      </c>
      <c r="BQ285" s="16">
        <v>0</v>
      </c>
      <c r="BR285" s="16">
        <v>5.21</v>
      </c>
      <c r="BS285" s="16">
        <v>2.59</v>
      </c>
      <c r="BT285" s="16">
        <v>0</v>
      </c>
      <c r="BU285" s="16">
        <v>0</v>
      </c>
      <c r="BV285" s="16">
        <v>0</v>
      </c>
      <c r="BW285">
        <v>0</v>
      </c>
    </row>
    <row r="286" spans="1:75" x14ac:dyDescent="0.2">
      <c r="A286">
        <v>1</v>
      </c>
      <c r="B286">
        <v>29.319644079397701</v>
      </c>
      <c r="C286">
        <v>5.1225188227241603</v>
      </c>
      <c r="D286">
        <v>4</v>
      </c>
      <c r="E286">
        <v>66</v>
      </c>
      <c r="F286">
        <v>1.66</v>
      </c>
      <c r="G286">
        <v>23.9512265931195</v>
      </c>
      <c r="H286">
        <v>0</v>
      </c>
      <c r="I286">
        <v>0</v>
      </c>
      <c r="J286" s="19">
        <v>0</v>
      </c>
      <c r="K286" s="19">
        <v>2</v>
      </c>
      <c r="L286" s="19">
        <v>0</v>
      </c>
      <c r="M286" s="19">
        <v>0</v>
      </c>
      <c r="N286">
        <v>0</v>
      </c>
      <c r="O286" s="19">
        <v>0</v>
      </c>
      <c r="P286" s="19">
        <v>0</v>
      </c>
      <c r="Q286" s="19">
        <v>0</v>
      </c>
      <c r="R286" s="19">
        <v>0</v>
      </c>
      <c r="S286" s="19">
        <v>0</v>
      </c>
      <c r="T286" s="19">
        <v>0</v>
      </c>
      <c r="U286" s="19">
        <v>0</v>
      </c>
      <c r="V286" s="15">
        <f t="shared" si="10"/>
        <v>0</v>
      </c>
      <c r="W286" s="19">
        <v>2</v>
      </c>
      <c r="X286" s="19">
        <v>3</v>
      </c>
      <c r="Y286" s="19">
        <v>3</v>
      </c>
      <c r="Z286" s="19">
        <v>3</v>
      </c>
      <c r="AA286" s="19">
        <v>3</v>
      </c>
      <c r="AB286" s="19">
        <v>3</v>
      </c>
      <c r="AC286" s="19">
        <v>3</v>
      </c>
      <c r="AD286" s="19">
        <v>3</v>
      </c>
      <c r="AE286" s="19">
        <v>3</v>
      </c>
      <c r="AF286" s="19">
        <v>3</v>
      </c>
      <c r="AG286" s="19">
        <v>3</v>
      </c>
      <c r="AH286" s="19">
        <v>5</v>
      </c>
      <c r="AI286" s="19">
        <v>4</v>
      </c>
      <c r="AJ286" s="19">
        <v>5</v>
      </c>
      <c r="AK286" s="19">
        <v>5</v>
      </c>
      <c r="AL286" s="19">
        <v>5</v>
      </c>
      <c r="AM286" s="19">
        <v>5</v>
      </c>
      <c r="AN286" s="19">
        <v>5</v>
      </c>
      <c r="AO286" s="19">
        <v>5</v>
      </c>
      <c r="AP286" s="19">
        <v>10</v>
      </c>
      <c r="AQ286">
        <v>31</v>
      </c>
      <c r="AR286" s="16">
        <v>82.6</v>
      </c>
      <c r="AS286" s="16">
        <v>83.4</v>
      </c>
      <c r="AT286" s="16">
        <v>5.7</v>
      </c>
      <c r="AU286">
        <v>99.97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7.3</v>
      </c>
      <c r="BG286">
        <v>53.74</v>
      </c>
      <c r="BH286">
        <v>0</v>
      </c>
      <c r="BI286">
        <v>0</v>
      </c>
      <c r="BJ286">
        <v>0</v>
      </c>
      <c r="BK286">
        <v>17.600000000000001</v>
      </c>
      <c r="BL286">
        <v>1</v>
      </c>
      <c r="BM286">
        <v>2.4</v>
      </c>
      <c r="BN286">
        <v>0</v>
      </c>
      <c r="BO286">
        <v>1</v>
      </c>
      <c r="BP286" s="16">
        <v>0</v>
      </c>
      <c r="BQ286" s="16">
        <v>0</v>
      </c>
      <c r="BR286" s="16">
        <v>5.21</v>
      </c>
      <c r="BS286" s="16">
        <v>2.59</v>
      </c>
      <c r="BT286" s="16">
        <v>0</v>
      </c>
      <c r="BU286" s="16">
        <v>0</v>
      </c>
      <c r="BV286" s="16">
        <v>0</v>
      </c>
      <c r="BW286">
        <v>0</v>
      </c>
    </row>
    <row r="287" spans="1:75" x14ac:dyDescent="0.2">
      <c r="A287">
        <v>1</v>
      </c>
      <c r="B287">
        <v>21.793292265571498</v>
      </c>
      <c r="C287">
        <v>0.26830937713894598</v>
      </c>
      <c r="D287">
        <v>4</v>
      </c>
      <c r="E287">
        <v>68</v>
      </c>
      <c r="F287">
        <v>1.63</v>
      </c>
      <c r="G287">
        <v>25.593737061989501</v>
      </c>
      <c r="H287">
        <v>0</v>
      </c>
      <c r="I287">
        <v>0</v>
      </c>
      <c r="J287" s="19">
        <v>0</v>
      </c>
      <c r="K287" s="19">
        <v>0</v>
      </c>
      <c r="L287" s="19">
        <v>1</v>
      </c>
      <c r="M287" s="19">
        <v>0</v>
      </c>
      <c r="N287">
        <v>0</v>
      </c>
      <c r="O287" s="19">
        <v>0</v>
      </c>
      <c r="P287" s="19">
        <v>0</v>
      </c>
      <c r="Q287" s="19">
        <v>0</v>
      </c>
      <c r="R287" s="19">
        <v>0</v>
      </c>
      <c r="S287" s="19">
        <v>0</v>
      </c>
      <c r="T287" s="19">
        <v>0</v>
      </c>
      <c r="U287" s="19">
        <v>0</v>
      </c>
      <c r="V287" s="15">
        <f t="shared" si="10"/>
        <v>0</v>
      </c>
      <c r="W287" s="19">
        <v>2</v>
      </c>
      <c r="X287" s="19">
        <v>2</v>
      </c>
      <c r="Y287" s="19">
        <v>3</v>
      </c>
      <c r="Z287" s="19">
        <v>5</v>
      </c>
      <c r="AA287" s="19">
        <v>2</v>
      </c>
      <c r="AB287" s="19">
        <v>2</v>
      </c>
      <c r="AC287" s="19">
        <v>3</v>
      </c>
      <c r="AD287" s="19">
        <v>3</v>
      </c>
      <c r="AE287" s="19">
        <v>4</v>
      </c>
      <c r="AF287" s="19">
        <v>4</v>
      </c>
      <c r="AG287" s="19">
        <v>5</v>
      </c>
      <c r="AH287" s="19">
        <v>5</v>
      </c>
      <c r="AI287" s="19">
        <v>4</v>
      </c>
      <c r="AJ287" s="19">
        <v>5</v>
      </c>
      <c r="AK287" s="19">
        <v>5</v>
      </c>
      <c r="AL287" s="19">
        <v>5</v>
      </c>
      <c r="AM287" s="19">
        <v>5</v>
      </c>
      <c r="AN287" s="19">
        <v>5</v>
      </c>
      <c r="AO287" s="19">
        <v>4</v>
      </c>
      <c r="AP287" s="19">
        <v>7</v>
      </c>
      <c r="AQ287">
        <v>31</v>
      </c>
      <c r="AR287" s="16">
        <v>82.6</v>
      </c>
      <c r="AS287" s="16">
        <v>83.4</v>
      </c>
      <c r="AT287" s="16">
        <v>5.7</v>
      </c>
      <c r="AU287">
        <v>99.97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7.3</v>
      </c>
      <c r="BG287">
        <v>53.74</v>
      </c>
      <c r="BH287">
        <v>0</v>
      </c>
      <c r="BI287">
        <v>0</v>
      </c>
      <c r="BJ287">
        <v>0</v>
      </c>
      <c r="BK287">
        <v>17.600000000000001</v>
      </c>
      <c r="BL287">
        <v>1</v>
      </c>
      <c r="BM287">
        <v>2.4</v>
      </c>
      <c r="BN287">
        <v>0</v>
      </c>
      <c r="BO287">
        <v>1</v>
      </c>
      <c r="BP287" s="16">
        <v>0</v>
      </c>
      <c r="BQ287" s="16">
        <v>0</v>
      </c>
      <c r="BR287" s="16">
        <v>5.21</v>
      </c>
      <c r="BS287" s="16">
        <v>2.59</v>
      </c>
      <c r="BT287" s="16">
        <v>0</v>
      </c>
      <c r="BU287" s="16">
        <v>0</v>
      </c>
      <c r="BV287" s="16">
        <v>0</v>
      </c>
      <c r="BW287">
        <v>0</v>
      </c>
    </row>
    <row r="288" spans="1:75" x14ac:dyDescent="0.2">
      <c r="A288" s="24">
        <v>2</v>
      </c>
      <c r="B288">
        <v>35.912388774811802</v>
      </c>
      <c r="C288">
        <v>6.1218343600273801</v>
      </c>
      <c r="D288">
        <v>8</v>
      </c>
      <c r="E288">
        <v>74</v>
      </c>
      <c r="F288">
        <v>1.84</v>
      </c>
      <c r="G288">
        <v>21.8572778827977</v>
      </c>
      <c r="H288">
        <v>1</v>
      </c>
      <c r="I288">
        <v>1</v>
      </c>
      <c r="J288" s="26">
        <v>0</v>
      </c>
      <c r="K288" s="26">
        <v>2</v>
      </c>
      <c r="L288" s="26">
        <v>1</v>
      </c>
      <c r="M288" s="26">
        <v>0</v>
      </c>
      <c r="N288">
        <v>0</v>
      </c>
      <c r="O288" s="26">
        <v>0</v>
      </c>
      <c r="P288" s="26">
        <v>0</v>
      </c>
      <c r="Q288" s="26">
        <v>0</v>
      </c>
      <c r="R288" s="26">
        <v>0</v>
      </c>
      <c r="S288" s="26">
        <v>0</v>
      </c>
      <c r="T288" s="26">
        <v>0</v>
      </c>
      <c r="U288" s="26">
        <v>0</v>
      </c>
      <c r="V288" s="15">
        <f t="shared" si="10"/>
        <v>0</v>
      </c>
      <c r="W288" s="26">
        <v>3</v>
      </c>
      <c r="X288" s="26">
        <v>1</v>
      </c>
      <c r="Y288" s="26">
        <v>3</v>
      </c>
      <c r="Z288" s="26">
        <v>4</v>
      </c>
      <c r="AA288" s="26">
        <v>2</v>
      </c>
      <c r="AB288" s="26">
        <v>1</v>
      </c>
      <c r="AC288" s="26">
        <v>3</v>
      </c>
      <c r="AD288" s="26">
        <v>4</v>
      </c>
      <c r="AE288" s="26">
        <v>3</v>
      </c>
      <c r="AF288" s="26">
        <v>3</v>
      </c>
      <c r="AG288" s="26">
        <v>4</v>
      </c>
      <c r="AH288" s="26">
        <v>5</v>
      </c>
      <c r="AI288" s="26">
        <v>2</v>
      </c>
      <c r="AJ288" s="26">
        <v>3</v>
      </c>
      <c r="AK288" s="26">
        <v>3</v>
      </c>
      <c r="AL288" s="26">
        <v>4</v>
      </c>
      <c r="AM288" s="26">
        <v>3</v>
      </c>
      <c r="AN288" s="26">
        <v>4</v>
      </c>
      <c r="AO288" s="26">
        <v>4</v>
      </c>
      <c r="AP288" s="26">
        <v>10</v>
      </c>
      <c r="AQ288" s="24">
        <v>38</v>
      </c>
      <c r="AR288" s="27">
        <v>85.5</v>
      </c>
      <c r="AS288" s="27">
        <v>83.4</v>
      </c>
      <c r="AT288" s="27">
        <v>28.7</v>
      </c>
      <c r="AU288" s="24">
        <v>61.84</v>
      </c>
      <c r="AV288" s="24">
        <v>0</v>
      </c>
      <c r="AW288" s="24">
        <v>0</v>
      </c>
      <c r="AX288" s="24">
        <v>0</v>
      </c>
      <c r="AY288" s="24">
        <v>37.42</v>
      </c>
      <c r="AZ288" s="24">
        <v>0</v>
      </c>
      <c r="BA288" s="24">
        <v>0.73</v>
      </c>
      <c r="BB288" s="24">
        <v>0</v>
      </c>
      <c r="BC288" s="24">
        <v>0</v>
      </c>
      <c r="BD288" s="24">
        <v>0.74</v>
      </c>
      <c r="BE288" s="24">
        <v>0</v>
      </c>
      <c r="BF288" s="24">
        <v>7.34</v>
      </c>
      <c r="BG288" s="24">
        <v>25.37</v>
      </c>
      <c r="BH288" s="24">
        <v>15.03</v>
      </c>
      <c r="BI288" s="24">
        <v>30.09</v>
      </c>
      <c r="BJ288" s="24">
        <v>0</v>
      </c>
      <c r="BK288" s="24">
        <v>0</v>
      </c>
      <c r="BL288" s="24">
        <v>0</v>
      </c>
      <c r="BM288" s="24">
        <v>1.7</v>
      </c>
      <c r="BN288" s="24">
        <v>0</v>
      </c>
      <c r="BO288" s="24">
        <v>1</v>
      </c>
      <c r="BP288" s="27">
        <v>1.55</v>
      </c>
      <c r="BQ288" s="27">
        <v>1</v>
      </c>
      <c r="BR288" s="27">
        <v>5.74</v>
      </c>
      <c r="BS288" s="27">
        <v>3.64</v>
      </c>
      <c r="BT288" s="27">
        <v>0</v>
      </c>
      <c r="BU288" s="27">
        <v>0</v>
      </c>
      <c r="BV288" s="27">
        <v>0</v>
      </c>
      <c r="BW288" s="24">
        <v>0</v>
      </c>
    </row>
    <row r="289" spans="1:75" x14ac:dyDescent="0.2">
      <c r="A289" s="24">
        <v>1</v>
      </c>
      <c r="B289">
        <v>50.253251197809703</v>
      </c>
      <c r="C289">
        <v>6.0451745379876796</v>
      </c>
      <c r="D289">
        <v>8</v>
      </c>
      <c r="E289">
        <v>67</v>
      </c>
      <c r="F289">
        <v>1.56</v>
      </c>
      <c r="G289">
        <v>27.531229454306398</v>
      </c>
      <c r="H289">
        <v>1</v>
      </c>
      <c r="I289">
        <v>1</v>
      </c>
      <c r="J289" s="26">
        <v>1</v>
      </c>
      <c r="K289" s="26">
        <v>1</v>
      </c>
      <c r="L289" s="26">
        <v>0</v>
      </c>
      <c r="M289" s="26">
        <v>7</v>
      </c>
      <c r="N289">
        <v>7</v>
      </c>
      <c r="O289" s="26">
        <v>7</v>
      </c>
      <c r="P289" s="26">
        <v>0</v>
      </c>
      <c r="Q289" s="26">
        <v>0</v>
      </c>
      <c r="R289" s="26">
        <v>0</v>
      </c>
      <c r="S289" s="26">
        <v>0</v>
      </c>
      <c r="T289" s="26">
        <v>0</v>
      </c>
      <c r="U289" s="26">
        <v>0</v>
      </c>
      <c r="V289" s="15">
        <f t="shared" si="10"/>
        <v>2.3333333333333335</v>
      </c>
      <c r="W289" s="26">
        <v>3</v>
      </c>
      <c r="X289" s="26">
        <v>2</v>
      </c>
      <c r="Y289" s="26">
        <v>4</v>
      </c>
      <c r="Z289" s="26">
        <v>5</v>
      </c>
      <c r="AA289" s="26">
        <v>3</v>
      </c>
      <c r="AB289" s="26">
        <v>3</v>
      </c>
      <c r="AC289" s="26">
        <v>3</v>
      </c>
      <c r="AD289" s="26">
        <v>3</v>
      </c>
      <c r="AE289" s="26">
        <v>3</v>
      </c>
      <c r="AF289" s="26">
        <v>3</v>
      </c>
      <c r="AG289" s="26">
        <v>3</v>
      </c>
      <c r="AH289" s="26">
        <v>5</v>
      </c>
      <c r="AI289" s="26">
        <v>3</v>
      </c>
      <c r="AJ289" s="26">
        <v>3</v>
      </c>
      <c r="AK289" s="26">
        <v>3</v>
      </c>
      <c r="AL289" s="26">
        <v>5</v>
      </c>
      <c r="AM289" s="26">
        <v>2</v>
      </c>
      <c r="AN289" s="26">
        <v>3</v>
      </c>
      <c r="AO289" s="26">
        <v>3</v>
      </c>
      <c r="AP289" s="26">
        <v>5</v>
      </c>
      <c r="AQ289" s="24">
        <v>38</v>
      </c>
      <c r="AR289" s="27">
        <v>85.5</v>
      </c>
      <c r="AS289" s="27">
        <v>83.4</v>
      </c>
      <c r="AT289" s="27">
        <v>28.7</v>
      </c>
      <c r="AU289" s="24">
        <v>61.84</v>
      </c>
      <c r="AV289" s="24">
        <v>0</v>
      </c>
      <c r="AW289" s="24">
        <v>0</v>
      </c>
      <c r="AX289" s="24">
        <v>0</v>
      </c>
      <c r="AY289" s="24">
        <v>37.42</v>
      </c>
      <c r="AZ289" s="24">
        <v>0</v>
      </c>
      <c r="BA289" s="24">
        <v>0.73</v>
      </c>
      <c r="BB289" s="24">
        <v>0</v>
      </c>
      <c r="BC289" s="24">
        <v>0</v>
      </c>
      <c r="BD289" s="24">
        <v>0.74</v>
      </c>
      <c r="BE289" s="24">
        <v>0</v>
      </c>
      <c r="BF289" s="24">
        <v>7.34</v>
      </c>
      <c r="BG289" s="24">
        <v>25.37</v>
      </c>
      <c r="BH289" s="24">
        <v>15.03</v>
      </c>
      <c r="BI289" s="24">
        <v>30.09</v>
      </c>
      <c r="BJ289" s="24">
        <v>0</v>
      </c>
      <c r="BK289" s="24">
        <v>0</v>
      </c>
      <c r="BL289" s="24">
        <v>0</v>
      </c>
      <c r="BM289" s="24">
        <v>1.7</v>
      </c>
      <c r="BN289" s="24">
        <v>0</v>
      </c>
      <c r="BO289" s="24">
        <v>1</v>
      </c>
      <c r="BP289" s="27">
        <v>1.55</v>
      </c>
      <c r="BQ289" s="27">
        <v>1</v>
      </c>
      <c r="BR289" s="27">
        <v>5.74</v>
      </c>
      <c r="BS289" s="27">
        <v>3.64</v>
      </c>
      <c r="BT289" s="27">
        <v>0</v>
      </c>
      <c r="BU289" s="27">
        <v>0</v>
      </c>
      <c r="BV289" s="27">
        <v>0</v>
      </c>
      <c r="BW289" s="24">
        <v>0</v>
      </c>
    </row>
    <row r="290" spans="1:75" x14ac:dyDescent="0.2">
      <c r="A290" s="24">
        <v>1</v>
      </c>
      <c r="B290">
        <v>38.997946611909697</v>
      </c>
      <c r="C290">
        <v>0.31759069130732398</v>
      </c>
      <c r="D290">
        <v>8</v>
      </c>
      <c r="E290">
        <v>90</v>
      </c>
      <c r="F290">
        <v>1.65</v>
      </c>
      <c r="G290">
        <v>33.057851239669397</v>
      </c>
      <c r="H290">
        <v>0</v>
      </c>
      <c r="I290">
        <v>0</v>
      </c>
      <c r="J290" s="26">
        <v>0</v>
      </c>
      <c r="K290" s="26">
        <v>0</v>
      </c>
      <c r="L290" s="26">
        <v>0</v>
      </c>
      <c r="M290" s="26">
        <v>0</v>
      </c>
      <c r="N290">
        <v>0</v>
      </c>
      <c r="O290" s="26">
        <v>0</v>
      </c>
      <c r="P290" s="26">
        <v>0</v>
      </c>
      <c r="Q290" s="26">
        <v>0</v>
      </c>
      <c r="R290" s="26">
        <v>0</v>
      </c>
      <c r="S290" s="26">
        <v>0</v>
      </c>
      <c r="T290" s="26">
        <v>0</v>
      </c>
      <c r="U290" s="26">
        <v>0</v>
      </c>
      <c r="V290" s="15">
        <f t="shared" si="10"/>
        <v>0</v>
      </c>
      <c r="W290" s="26">
        <v>2</v>
      </c>
      <c r="X290" s="26">
        <v>2</v>
      </c>
      <c r="Y290" s="26">
        <v>4</v>
      </c>
      <c r="Z290" s="26">
        <v>4</v>
      </c>
      <c r="AA290" s="26">
        <v>4</v>
      </c>
      <c r="AB290" s="26">
        <v>4</v>
      </c>
      <c r="AC290" s="26">
        <v>2</v>
      </c>
      <c r="AD290" s="26">
        <v>2</v>
      </c>
      <c r="AE290" s="26">
        <v>4</v>
      </c>
      <c r="AF290" s="26">
        <v>4</v>
      </c>
      <c r="AG290" s="26">
        <v>3</v>
      </c>
      <c r="AH290" s="26">
        <v>3</v>
      </c>
      <c r="AI290" s="26">
        <v>3</v>
      </c>
      <c r="AJ290" s="26">
        <v>3</v>
      </c>
      <c r="AK290" s="26">
        <v>4</v>
      </c>
      <c r="AL290" s="26">
        <v>4</v>
      </c>
      <c r="AM290" s="26">
        <v>3</v>
      </c>
      <c r="AN290" s="26">
        <v>4</v>
      </c>
      <c r="AO290" s="26">
        <v>4</v>
      </c>
      <c r="AP290" s="26">
        <v>10</v>
      </c>
      <c r="AQ290" s="24">
        <v>38</v>
      </c>
      <c r="AR290" s="27">
        <v>85.5</v>
      </c>
      <c r="AS290" s="27">
        <v>83.4</v>
      </c>
      <c r="AT290" s="27">
        <v>28.7</v>
      </c>
      <c r="AU290" s="24">
        <v>61.84</v>
      </c>
      <c r="AV290" s="24">
        <v>0</v>
      </c>
      <c r="AW290" s="24">
        <v>0</v>
      </c>
      <c r="AX290" s="24">
        <v>0</v>
      </c>
      <c r="AY290" s="24">
        <v>37.42</v>
      </c>
      <c r="AZ290" s="24">
        <v>0</v>
      </c>
      <c r="BA290" s="24">
        <v>0.73</v>
      </c>
      <c r="BB290" s="24">
        <v>0</v>
      </c>
      <c r="BC290" s="24">
        <v>0</v>
      </c>
      <c r="BD290" s="24">
        <v>0.74</v>
      </c>
      <c r="BE290" s="24">
        <v>0</v>
      </c>
      <c r="BF290" s="24">
        <v>7.34</v>
      </c>
      <c r="BG290" s="24">
        <v>25.37</v>
      </c>
      <c r="BH290" s="24">
        <v>15.03</v>
      </c>
      <c r="BI290" s="24">
        <v>30.09</v>
      </c>
      <c r="BJ290" s="24">
        <v>0</v>
      </c>
      <c r="BK290" s="24">
        <v>0</v>
      </c>
      <c r="BL290" s="24">
        <v>0</v>
      </c>
      <c r="BM290" s="24">
        <v>1.7</v>
      </c>
      <c r="BN290" s="24">
        <v>0</v>
      </c>
      <c r="BO290" s="24">
        <v>1</v>
      </c>
      <c r="BP290" s="27">
        <v>1.55</v>
      </c>
      <c r="BQ290" s="27">
        <v>1</v>
      </c>
      <c r="BR290" s="27">
        <v>5.74</v>
      </c>
      <c r="BS290" s="27">
        <v>3.64</v>
      </c>
      <c r="BT290" s="27">
        <v>0</v>
      </c>
      <c r="BU290" s="27">
        <v>0</v>
      </c>
      <c r="BV290" s="27">
        <v>0</v>
      </c>
      <c r="BW290" s="24">
        <v>0</v>
      </c>
    </row>
    <row r="291" spans="1:75" x14ac:dyDescent="0.2">
      <c r="A291" s="24">
        <v>2</v>
      </c>
      <c r="B291">
        <v>25.894592744695402</v>
      </c>
      <c r="C291">
        <v>0.31759069130732398</v>
      </c>
      <c r="D291">
        <v>8</v>
      </c>
      <c r="E291">
        <v>69</v>
      </c>
      <c r="F291">
        <v>1.75</v>
      </c>
      <c r="G291">
        <v>22.530612244897998</v>
      </c>
      <c r="H291">
        <v>0</v>
      </c>
      <c r="I291">
        <v>0</v>
      </c>
      <c r="J291" s="26">
        <v>0</v>
      </c>
      <c r="K291" s="26">
        <v>0</v>
      </c>
      <c r="L291" s="26">
        <v>1</v>
      </c>
      <c r="M291" s="26"/>
      <c r="O291" s="26"/>
      <c r="P291" s="26"/>
      <c r="Q291" s="26"/>
      <c r="R291" s="26">
        <v>0</v>
      </c>
      <c r="S291" s="26">
        <v>0</v>
      </c>
      <c r="T291" s="26"/>
      <c r="U291" s="26"/>
      <c r="V291" s="15">
        <f t="shared" si="10"/>
        <v>0</v>
      </c>
      <c r="W291" s="26">
        <v>2</v>
      </c>
      <c r="X291" s="26">
        <v>1</v>
      </c>
      <c r="Y291" s="26">
        <v>3</v>
      </c>
      <c r="Z291" s="26">
        <v>5</v>
      </c>
      <c r="AA291" s="26">
        <v>3</v>
      </c>
      <c r="AB291" s="26">
        <v>1</v>
      </c>
      <c r="AC291" s="26">
        <v>5</v>
      </c>
      <c r="AD291" s="26">
        <v>5</v>
      </c>
      <c r="AE291" s="26">
        <v>5</v>
      </c>
      <c r="AF291" s="26">
        <v>3</v>
      </c>
      <c r="AG291" s="26">
        <v>4</v>
      </c>
      <c r="AH291" s="26">
        <v>5</v>
      </c>
      <c r="AI291" s="26">
        <v>3</v>
      </c>
      <c r="AJ291" s="26">
        <v>5</v>
      </c>
      <c r="AK291" s="26">
        <v>5</v>
      </c>
      <c r="AL291" s="26">
        <v>5</v>
      </c>
      <c r="AM291" s="26">
        <v>5</v>
      </c>
      <c r="AN291" s="26">
        <v>5</v>
      </c>
      <c r="AO291" s="26">
        <v>5</v>
      </c>
      <c r="AP291" s="26">
        <v>10</v>
      </c>
      <c r="AQ291" s="24">
        <v>38</v>
      </c>
      <c r="AR291" s="27">
        <v>85.5</v>
      </c>
      <c r="AS291" s="27">
        <v>83.4</v>
      </c>
      <c r="AT291" s="27">
        <v>28.7</v>
      </c>
      <c r="AU291" s="24">
        <v>61.84</v>
      </c>
      <c r="AV291" s="24">
        <v>0</v>
      </c>
      <c r="AW291" s="24">
        <v>0</v>
      </c>
      <c r="AX291" s="24">
        <v>0</v>
      </c>
      <c r="AY291" s="24">
        <v>37.42</v>
      </c>
      <c r="AZ291" s="24">
        <v>0</v>
      </c>
      <c r="BA291" s="24">
        <v>0.73</v>
      </c>
      <c r="BB291" s="24">
        <v>0</v>
      </c>
      <c r="BC291" s="24">
        <v>0</v>
      </c>
      <c r="BD291" s="24">
        <v>0.74</v>
      </c>
      <c r="BE291" s="24">
        <v>0</v>
      </c>
      <c r="BF291" s="24">
        <v>7.34</v>
      </c>
      <c r="BG291" s="24">
        <v>25.37</v>
      </c>
      <c r="BH291" s="24">
        <v>15.03</v>
      </c>
      <c r="BI291" s="24">
        <v>30.09</v>
      </c>
      <c r="BJ291" s="24">
        <v>0</v>
      </c>
      <c r="BK291" s="24">
        <v>0</v>
      </c>
      <c r="BL291" s="24">
        <v>0</v>
      </c>
      <c r="BM291" s="24">
        <v>1.7</v>
      </c>
      <c r="BN291" s="24">
        <v>0</v>
      </c>
      <c r="BO291" s="24">
        <v>1</v>
      </c>
      <c r="BP291" s="27">
        <v>1.55</v>
      </c>
      <c r="BQ291" s="27">
        <v>1</v>
      </c>
      <c r="BR291" s="27">
        <v>5.74</v>
      </c>
      <c r="BS291" s="27">
        <v>3.64</v>
      </c>
      <c r="BT291" s="27">
        <v>0</v>
      </c>
      <c r="BU291" s="27">
        <v>0</v>
      </c>
      <c r="BV291" s="27">
        <v>0</v>
      </c>
      <c r="BW291" s="24">
        <v>0</v>
      </c>
    </row>
    <row r="292" spans="1:75" x14ac:dyDescent="0.2">
      <c r="A292" s="24">
        <v>2</v>
      </c>
      <c r="B292">
        <v>32.810403832991099</v>
      </c>
      <c r="C292">
        <v>10.3791923340178</v>
      </c>
      <c r="D292">
        <v>8</v>
      </c>
      <c r="E292">
        <v>95</v>
      </c>
      <c r="F292">
        <v>1.88</v>
      </c>
      <c r="G292">
        <v>26.8786781349027</v>
      </c>
      <c r="H292">
        <v>0</v>
      </c>
      <c r="I292">
        <v>0</v>
      </c>
      <c r="J292" s="26">
        <v>1</v>
      </c>
      <c r="K292" s="26">
        <v>0</v>
      </c>
      <c r="L292" s="26">
        <v>1</v>
      </c>
      <c r="M292" s="26">
        <v>0</v>
      </c>
      <c r="O292" s="26"/>
      <c r="P292" s="26">
        <v>0</v>
      </c>
      <c r="Q292" s="26">
        <v>0</v>
      </c>
      <c r="R292" s="26">
        <v>5</v>
      </c>
      <c r="S292" s="26">
        <v>0</v>
      </c>
      <c r="T292" s="26">
        <v>5</v>
      </c>
      <c r="U292" s="26">
        <v>9</v>
      </c>
      <c r="V292" s="15">
        <f t="shared" si="10"/>
        <v>2.7142857142857144</v>
      </c>
      <c r="W292" s="26">
        <v>5</v>
      </c>
      <c r="X292" s="26">
        <v>4</v>
      </c>
      <c r="Y292" s="26">
        <v>5</v>
      </c>
      <c r="Z292" s="26">
        <v>5</v>
      </c>
      <c r="AA292" s="26">
        <v>4</v>
      </c>
      <c r="AB292" s="26">
        <v>5</v>
      </c>
      <c r="AC292" s="26">
        <v>5</v>
      </c>
      <c r="AD292" s="26">
        <v>5</v>
      </c>
      <c r="AE292" s="26">
        <v>1</v>
      </c>
      <c r="AF292" s="26">
        <v>2</v>
      </c>
      <c r="AG292" s="26">
        <v>1</v>
      </c>
      <c r="AH292" s="26">
        <v>5</v>
      </c>
      <c r="AI292" s="26">
        <v>1</v>
      </c>
      <c r="AJ292" s="26">
        <v>1</v>
      </c>
      <c r="AK292" s="26">
        <v>3</v>
      </c>
      <c r="AL292" s="26">
        <v>4</v>
      </c>
      <c r="AM292" s="26">
        <v>4</v>
      </c>
      <c r="AN292" s="26">
        <v>5</v>
      </c>
      <c r="AO292" s="26">
        <v>2</v>
      </c>
      <c r="AP292" s="26">
        <v>10</v>
      </c>
      <c r="AQ292" s="24">
        <v>38</v>
      </c>
      <c r="AR292" s="27">
        <v>85.5</v>
      </c>
      <c r="AS292" s="27">
        <v>83.4</v>
      </c>
      <c r="AT292" s="27">
        <v>28.7</v>
      </c>
      <c r="AU292" s="24">
        <v>61.84</v>
      </c>
      <c r="AV292" s="24">
        <v>0</v>
      </c>
      <c r="AW292" s="24">
        <v>0</v>
      </c>
      <c r="AX292" s="24">
        <v>0</v>
      </c>
      <c r="AY292" s="24">
        <v>37.42</v>
      </c>
      <c r="AZ292" s="24">
        <v>0</v>
      </c>
      <c r="BA292" s="24">
        <v>0.73</v>
      </c>
      <c r="BB292" s="24">
        <v>0</v>
      </c>
      <c r="BC292" s="24">
        <v>0</v>
      </c>
      <c r="BD292" s="24">
        <v>0.74</v>
      </c>
      <c r="BE292" s="24">
        <v>0</v>
      </c>
      <c r="BF292" s="24">
        <v>7.34</v>
      </c>
      <c r="BG292" s="24">
        <v>25.37</v>
      </c>
      <c r="BH292" s="24">
        <v>15.03</v>
      </c>
      <c r="BI292" s="24">
        <v>30.09</v>
      </c>
      <c r="BJ292" s="24">
        <v>0</v>
      </c>
      <c r="BK292" s="24">
        <v>0</v>
      </c>
      <c r="BL292" s="24">
        <v>0</v>
      </c>
      <c r="BM292" s="24">
        <v>1.7</v>
      </c>
      <c r="BN292" s="24">
        <v>0</v>
      </c>
      <c r="BO292" s="24">
        <v>1</v>
      </c>
      <c r="BP292" s="27">
        <v>1.55</v>
      </c>
      <c r="BQ292" s="27">
        <v>1</v>
      </c>
      <c r="BR292" s="27">
        <v>5.74</v>
      </c>
      <c r="BS292" s="27">
        <v>3.64</v>
      </c>
      <c r="BT292" s="27">
        <v>0</v>
      </c>
      <c r="BU292" s="27">
        <v>0</v>
      </c>
      <c r="BV292" s="27">
        <v>0</v>
      </c>
      <c r="BW292" s="24">
        <v>0</v>
      </c>
    </row>
    <row r="293" spans="1:75" x14ac:dyDescent="0.2">
      <c r="A293" s="24">
        <v>1</v>
      </c>
      <c r="B293">
        <v>24.851471594798099</v>
      </c>
      <c r="C293">
        <v>0.26557152635181402</v>
      </c>
      <c r="D293">
        <v>8</v>
      </c>
      <c r="E293">
        <v>64</v>
      </c>
      <c r="F293">
        <v>1.64</v>
      </c>
      <c r="G293">
        <v>23.7953599048186</v>
      </c>
      <c r="H293">
        <v>0</v>
      </c>
      <c r="I293">
        <v>0</v>
      </c>
      <c r="J293" s="26">
        <v>0</v>
      </c>
      <c r="K293" s="26">
        <v>0</v>
      </c>
      <c r="L293" s="26">
        <v>1</v>
      </c>
      <c r="M293" s="26">
        <v>0</v>
      </c>
      <c r="N293">
        <v>0</v>
      </c>
      <c r="O293" s="26">
        <v>7</v>
      </c>
      <c r="P293" s="26">
        <v>0</v>
      </c>
      <c r="Q293" s="26">
        <v>0</v>
      </c>
      <c r="R293" s="26">
        <v>0</v>
      </c>
      <c r="S293" s="26">
        <v>0</v>
      </c>
      <c r="T293" s="26">
        <v>7</v>
      </c>
      <c r="U293" s="26">
        <v>0</v>
      </c>
      <c r="V293" s="15">
        <f t="shared" si="10"/>
        <v>1.5555555555555556</v>
      </c>
      <c r="W293" s="26">
        <v>2</v>
      </c>
      <c r="X293" s="26">
        <v>2</v>
      </c>
      <c r="Y293" s="26">
        <v>4</v>
      </c>
      <c r="Z293" s="26">
        <v>5</v>
      </c>
      <c r="AA293" s="26">
        <v>1</v>
      </c>
      <c r="AB293" s="26">
        <v>1</v>
      </c>
      <c r="AC293" s="26">
        <v>3</v>
      </c>
      <c r="AD293" s="26">
        <v>2</v>
      </c>
      <c r="AE293" s="26">
        <v>4</v>
      </c>
      <c r="AF293" s="26">
        <v>4</v>
      </c>
      <c r="AG293" s="26">
        <v>5</v>
      </c>
      <c r="AH293" s="26">
        <v>5</v>
      </c>
      <c r="AI293" s="26">
        <v>4</v>
      </c>
      <c r="AJ293" s="26">
        <v>5</v>
      </c>
      <c r="AK293" s="26">
        <v>4</v>
      </c>
      <c r="AL293" s="26">
        <v>4</v>
      </c>
      <c r="AM293" s="26">
        <v>4</v>
      </c>
      <c r="AN293" s="26">
        <v>5</v>
      </c>
      <c r="AO293" s="26">
        <v>4</v>
      </c>
      <c r="AP293" s="26">
        <v>10</v>
      </c>
      <c r="AQ293" s="24">
        <v>38</v>
      </c>
      <c r="AR293" s="27">
        <v>85.5</v>
      </c>
      <c r="AS293" s="27">
        <v>83.4</v>
      </c>
      <c r="AT293" s="27">
        <v>28.7</v>
      </c>
      <c r="AU293" s="24">
        <v>61.84</v>
      </c>
      <c r="AV293" s="24">
        <v>0</v>
      </c>
      <c r="AW293" s="24">
        <v>0</v>
      </c>
      <c r="AX293" s="24">
        <v>0</v>
      </c>
      <c r="AY293" s="24">
        <v>37.42</v>
      </c>
      <c r="AZ293" s="24">
        <v>0</v>
      </c>
      <c r="BA293" s="24">
        <v>0.73</v>
      </c>
      <c r="BB293" s="24">
        <v>0</v>
      </c>
      <c r="BC293" s="24">
        <v>0</v>
      </c>
      <c r="BD293" s="24">
        <v>0.74</v>
      </c>
      <c r="BE293" s="24">
        <v>0</v>
      </c>
      <c r="BF293" s="24">
        <v>7.34</v>
      </c>
      <c r="BG293" s="24">
        <v>25.37</v>
      </c>
      <c r="BH293" s="24">
        <v>15.03</v>
      </c>
      <c r="BI293" s="24">
        <v>30.09</v>
      </c>
      <c r="BJ293" s="24">
        <v>0</v>
      </c>
      <c r="BK293" s="24">
        <v>0</v>
      </c>
      <c r="BL293" s="24">
        <v>0</v>
      </c>
      <c r="BM293" s="24">
        <v>1.7</v>
      </c>
      <c r="BN293" s="24">
        <v>0</v>
      </c>
      <c r="BO293" s="24">
        <v>1</v>
      </c>
      <c r="BP293" s="27">
        <v>1.55</v>
      </c>
      <c r="BQ293" s="27">
        <v>1</v>
      </c>
      <c r="BR293" s="27">
        <v>5.74</v>
      </c>
      <c r="BS293" s="27">
        <v>3.64</v>
      </c>
      <c r="BT293" s="27">
        <v>0</v>
      </c>
      <c r="BU293" s="27">
        <v>0</v>
      </c>
      <c r="BV293" s="27">
        <v>0</v>
      </c>
      <c r="BW293" s="24">
        <v>0</v>
      </c>
    </row>
    <row r="294" spans="1:75" x14ac:dyDescent="0.2">
      <c r="A294" s="24">
        <v>1</v>
      </c>
      <c r="B294">
        <v>27.901437371663199</v>
      </c>
      <c r="C294">
        <v>0.28747433264887101</v>
      </c>
      <c r="D294">
        <v>8</v>
      </c>
      <c r="E294">
        <v>67</v>
      </c>
      <c r="F294">
        <v>1.74</v>
      </c>
      <c r="G294">
        <v>22.129739727837201</v>
      </c>
      <c r="H294">
        <v>0</v>
      </c>
      <c r="I294">
        <v>0</v>
      </c>
      <c r="J294" s="26">
        <v>0</v>
      </c>
      <c r="K294" s="26">
        <v>1</v>
      </c>
      <c r="L294" s="26">
        <v>1</v>
      </c>
      <c r="M294" s="26">
        <v>0</v>
      </c>
      <c r="N294">
        <v>0</v>
      </c>
      <c r="O294" s="26">
        <v>0</v>
      </c>
      <c r="P294" s="26">
        <v>0</v>
      </c>
      <c r="Q294" s="26">
        <v>0</v>
      </c>
      <c r="R294" s="26">
        <v>0</v>
      </c>
      <c r="S294" s="26">
        <v>0</v>
      </c>
      <c r="T294" s="26">
        <v>0</v>
      </c>
      <c r="U294" s="26">
        <v>0</v>
      </c>
      <c r="V294" s="15">
        <f t="shared" si="10"/>
        <v>0</v>
      </c>
      <c r="W294" s="26">
        <v>1</v>
      </c>
      <c r="X294" s="26">
        <v>2</v>
      </c>
      <c r="Y294" s="26"/>
      <c r="Z294" s="26">
        <v>5</v>
      </c>
      <c r="AA294" s="26">
        <v>2</v>
      </c>
      <c r="AB294" s="26">
        <v>1</v>
      </c>
      <c r="AC294" s="26">
        <v>1</v>
      </c>
      <c r="AD294" s="26">
        <v>5</v>
      </c>
      <c r="AE294" s="26">
        <v>5</v>
      </c>
      <c r="AF294" s="26">
        <v>4</v>
      </c>
      <c r="AG294" s="26"/>
      <c r="AH294" s="26">
        <v>5</v>
      </c>
      <c r="AI294" s="26">
        <v>4</v>
      </c>
      <c r="AJ294" s="26">
        <v>4</v>
      </c>
      <c r="AK294" s="26">
        <v>5</v>
      </c>
      <c r="AL294" s="26">
        <v>3</v>
      </c>
      <c r="AM294" s="26">
        <v>4</v>
      </c>
      <c r="AN294" s="26">
        <v>4</v>
      </c>
      <c r="AO294" s="26">
        <v>5</v>
      </c>
      <c r="AP294" s="26">
        <v>9</v>
      </c>
      <c r="AQ294" s="24">
        <v>38</v>
      </c>
      <c r="AR294" s="27">
        <v>85.5</v>
      </c>
      <c r="AS294" s="27">
        <v>83.4</v>
      </c>
      <c r="AT294" s="27">
        <v>28.7</v>
      </c>
      <c r="AU294" s="24">
        <v>61.84</v>
      </c>
      <c r="AV294" s="24">
        <v>0</v>
      </c>
      <c r="AW294" s="24">
        <v>0</v>
      </c>
      <c r="AX294" s="24">
        <v>0</v>
      </c>
      <c r="AY294" s="24">
        <v>37.42</v>
      </c>
      <c r="AZ294" s="24">
        <v>0</v>
      </c>
      <c r="BA294" s="24">
        <v>0.73</v>
      </c>
      <c r="BB294" s="24">
        <v>0</v>
      </c>
      <c r="BC294" s="24">
        <v>0</v>
      </c>
      <c r="BD294" s="24">
        <v>0.74</v>
      </c>
      <c r="BE294" s="24">
        <v>0</v>
      </c>
      <c r="BF294" s="24">
        <v>7.34</v>
      </c>
      <c r="BG294" s="24">
        <v>25.37</v>
      </c>
      <c r="BH294" s="24">
        <v>15.03</v>
      </c>
      <c r="BI294" s="24">
        <v>30.09</v>
      </c>
      <c r="BJ294" s="24">
        <v>0</v>
      </c>
      <c r="BK294" s="24">
        <v>0</v>
      </c>
      <c r="BL294" s="24">
        <v>0</v>
      </c>
      <c r="BM294" s="24">
        <v>1.7</v>
      </c>
      <c r="BN294" s="24">
        <v>0</v>
      </c>
      <c r="BO294" s="24">
        <v>1</v>
      </c>
      <c r="BP294" s="27">
        <v>1.55</v>
      </c>
      <c r="BQ294" s="27">
        <v>1</v>
      </c>
      <c r="BR294" s="27">
        <v>5.74</v>
      </c>
      <c r="BS294" s="27">
        <v>3.64</v>
      </c>
      <c r="BT294" s="27">
        <v>0</v>
      </c>
      <c r="BU294" s="27">
        <v>0</v>
      </c>
      <c r="BV294" s="27">
        <v>0</v>
      </c>
      <c r="BW294" s="24">
        <v>0</v>
      </c>
    </row>
    <row r="295" spans="1:75" x14ac:dyDescent="0.2">
      <c r="A295" s="24">
        <v>2</v>
      </c>
      <c r="B295">
        <v>29.957563312799401</v>
      </c>
      <c r="C295">
        <v>6.0479123887748099</v>
      </c>
      <c r="D295">
        <v>8</v>
      </c>
      <c r="E295">
        <v>84</v>
      </c>
      <c r="F295">
        <v>1.83</v>
      </c>
      <c r="G295">
        <v>25.082863029651499</v>
      </c>
      <c r="H295">
        <v>0</v>
      </c>
      <c r="I295">
        <v>0</v>
      </c>
      <c r="J295" s="26">
        <v>0</v>
      </c>
      <c r="K295" s="26">
        <v>2</v>
      </c>
      <c r="L295" s="26">
        <v>0</v>
      </c>
      <c r="M295" s="26">
        <v>0</v>
      </c>
      <c r="N295">
        <v>0</v>
      </c>
      <c r="O295" s="26">
        <v>0</v>
      </c>
      <c r="P295" s="26">
        <v>0</v>
      </c>
      <c r="Q295" s="26">
        <v>0</v>
      </c>
      <c r="R295" s="26">
        <v>0</v>
      </c>
      <c r="S295" s="26">
        <v>0</v>
      </c>
      <c r="T295" s="26">
        <v>0</v>
      </c>
      <c r="U295" s="26">
        <v>0</v>
      </c>
      <c r="V295" s="15">
        <f t="shared" si="10"/>
        <v>0</v>
      </c>
      <c r="W295" s="26">
        <v>3</v>
      </c>
      <c r="X295" s="26">
        <v>3</v>
      </c>
      <c r="Y295" s="26">
        <v>3</v>
      </c>
      <c r="Z295" s="26">
        <v>4</v>
      </c>
      <c r="AA295" s="26">
        <v>3</v>
      </c>
      <c r="AB295" s="26"/>
      <c r="AC295" s="26">
        <v>5</v>
      </c>
      <c r="AD295" s="26">
        <v>5</v>
      </c>
      <c r="AE295" s="26">
        <v>5</v>
      </c>
      <c r="AF295" s="26">
        <v>4</v>
      </c>
      <c r="AG295" s="26">
        <v>2</v>
      </c>
      <c r="AH295" s="26">
        <v>5</v>
      </c>
      <c r="AI295" s="26">
        <v>3</v>
      </c>
      <c r="AJ295" s="26">
        <v>4</v>
      </c>
      <c r="AK295" s="26">
        <v>4</v>
      </c>
      <c r="AL295" s="26">
        <v>5</v>
      </c>
      <c r="AM295" s="26">
        <v>4</v>
      </c>
      <c r="AN295" s="26">
        <v>4</v>
      </c>
      <c r="AO295" s="26">
        <v>3</v>
      </c>
      <c r="AP295" s="26">
        <v>10</v>
      </c>
      <c r="AQ295" s="24">
        <v>38</v>
      </c>
      <c r="AR295" s="27">
        <v>85.5</v>
      </c>
      <c r="AS295" s="27">
        <v>83.4</v>
      </c>
      <c r="AT295" s="27">
        <v>28.7</v>
      </c>
      <c r="AU295" s="24">
        <v>61.84</v>
      </c>
      <c r="AV295" s="24">
        <v>0</v>
      </c>
      <c r="AW295" s="24">
        <v>0</v>
      </c>
      <c r="AX295" s="24">
        <v>0</v>
      </c>
      <c r="AY295" s="24">
        <v>37.42</v>
      </c>
      <c r="AZ295" s="24">
        <v>0</v>
      </c>
      <c r="BA295" s="24">
        <v>0.73</v>
      </c>
      <c r="BB295" s="24">
        <v>0</v>
      </c>
      <c r="BC295" s="24">
        <v>0</v>
      </c>
      <c r="BD295" s="24">
        <v>0.74</v>
      </c>
      <c r="BE295" s="24">
        <v>0</v>
      </c>
      <c r="BF295" s="24">
        <v>7.34</v>
      </c>
      <c r="BG295" s="24">
        <v>25.37</v>
      </c>
      <c r="BH295" s="24">
        <v>15.03</v>
      </c>
      <c r="BI295" s="24">
        <v>30.09</v>
      </c>
      <c r="BJ295" s="24">
        <v>0</v>
      </c>
      <c r="BK295" s="24">
        <v>0</v>
      </c>
      <c r="BL295" s="24">
        <v>0</v>
      </c>
      <c r="BM295" s="24">
        <v>1.7</v>
      </c>
      <c r="BN295" s="24">
        <v>0</v>
      </c>
      <c r="BO295" s="24">
        <v>1</v>
      </c>
      <c r="BP295" s="27">
        <v>1.55</v>
      </c>
      <c r="BQ295" s="27">
        <v>1</v>
      </c>
      <c r="BR295" s="27">
        <v>5.74</v>
      </c>
      <c r="BS295" s="27">
        <v>3.64</v>
      </c>
      <c r="BT295" s="27">
        <v>0</v>
      </c>
      <c r="BU295" s="27">
        <v>0</v>
      </c>
      <c r="BV295" s="27">
        <v>0</v>
      </c>
      <c r="BW295" s="24">
        <v>0</v>
      </c>
    </row>
    <row r="296" spans="1:75" x14ac:dyDescent="0.2">
      <c r="A296" s="24">
        <v>2</v>
      </c>
      <c r="B296">
        <v>33.067761806981501</v>
      </c>
      <c r="C296">
        <v>0.26830937713894598</v>
      </c>
      <c r="D296">
        <v>8</v>
      </c>
      <c r="E296">
        <v>78</v>
      </c>
      <c r="F296">
        <v>1.81</v>
      </c>
      <c r="G296">
        <v>23.808797045267202</v>
      </c>
      <c r="H296">
        <v>0</v>
      </c>
      <c r="I296">
        <v>0</v>
      </c>
      <c r="J296" s="26">
        <v>0</v>
      </c>
      <c r="K296" s="26">
        <v>1</v>
      </c>
      <c r="L296" s="26">
        <v>1</v>
      </c>
      <c r="M296" s="26">
        <v>0</v>
      </c>
      <c r="N296">
        <v>0</v>
      </c>
      <c r="O296" s="26">
        <v>0</v>
      </c>
      <c r="P296" s="26">
        <v>0</v>
      </c>
      <c r="Q296" s="26">
        <v>0</v>
      </c>
      <c r="R296" s="26">
        <v>0</v>
      </c>
      <c r="S296" s="26">
        <v>0</v>
      </c>
      <c r="T296" s="26">
        <v>0</v>
      </c>
      <c r="U296" s="26">
        <v>0</v>
      </c>
      <c r="V296" s="15">
        <f t="shared" si="10"/>
        <v>0</v>
      </c>
      <c r="W296" s="26">
        <v>3</v>
      </c>
      <c r="X296" s="26">
        <v>2</v>
      </c>
      <c r="Y296" s="26">
        <v>4</v>
      </c>
      <c r="Z296" s="26">
        <v>5</v>
      </c>
      <c r="AA296" s="26">
        <v>3</v>
      </c>
      <c r="AB296" s="26">
        <v>3</v>
      </c>
      <c r="AC296" s="26">
        <v>5</v>
      </c>
      <c r="AD296" s="26">
        <v>5</v>
      </c>
      <c r="AE296" s="26">
        <v>3</v>
      </c>
      <c r="AF296" s="26">
        <v>4</v>
      </c>
      <c r="AG296" s="26">
        <v>5</v>
      </c>
      <c r="AH296" s="26">
        <v>5</v>
      </c>
      <c r="AI296" s="26">
        <v>5</v>
      </c>
      <c r="AJ296" s="26">
        <v>4</v>
      </c>
      <c r="AK296" s="26">
        <v>4</v>
      </c>
      <c r="AL296" s="26">
        <v>4</v>
      </c>
      <c r="AM296" s="26">
        <v>4</v>
      </c>
      <c r="AN296" s="26">
        <v>4</v>
      </c>
      <c r="AO296" s="26">
        <v>4</v>
      </c>
      <c r="AP296" s="26">
        <v>10</v>
      </c>
      <c r="AQ296" s="24">
        <v>38</v>
      </c>
      <c r="AR296" s="27">
        <v>85.5</v>
      </c>
      <c r="AS296" s="27">
        <v>83.4</v>
      </c>
      <c r="AT296" s="27">
        <v>28.7</v>
      </c>
      <c r="AU296" s="24">
        <v>61.84</v>
      </c>
      <c r="AV296" s="24">
        <v>0</v>
      </c>
      <c r="AW296" s="24">
        <v>0</v>
      </c>
      <c r="AX296" s="24">
        <v>0</v>
      </c>
      <c r="AY296" s="24">
        <v>37.42</v>
      </c>
      <c r="AZ296" s="24">
        <v>0</v>
      </c>
      <c r="BA296" s="24">
        <v>0.73</v>
      </c>
      <c r="BB296" s="24">
        <v>0</v>
      </c>
      <c r="BC296" s="24">
        <v>0</v>
      </c>
      <c r="BD296" s="24">
        <v>0.74</v>
      </c>
      <c r="BE296" s="24">
        <v>0</v>
      </c>
      <c r="BF296" s="24">
        <v>7.34</v>
      </c>
      <c r="BG296" s="24">
        <v>25.37</v>
      </c>
      <c r="BH296" s="24">
        <v>15.03</v>
      </c>
      <c r="BI296" s="24">
        <v>30.09</v>
      </c>
      <c r="BJ296" s="24">
        <v>0</v>
      </c>
      <c r="BK296" s="24">
        <v>0</v>
      </c>
      <c r="BL296" s="24">
        <v>0</v>
      </c>
      <c r="BM296" s="24">
        <v>1.7</v>
      </c>
      <c r="BN296" s="24">
        <v>0</v>
      </c>
      <c r="BO296" s="24">
        <v>1</v>
      </c>
      <c r="BP296" s="27">
        <v>1.55</v>
      </c>
      <c r="BQ296" s="27">
        <v>1</v>
      </c>
      <c r="BR296" s="27">
        <v>5.74</v>
      </c>
      <c r="BS296" s="27">
        <v>3.64</v>
      </c>
      <c r="BT296" s="27">
        <v>0</v>
      </c>
      <c r="BU296" s="27">
        <v>0</v>
      </c>
      <c r="BV296" s="27">
        <v>0</v>
      </c>
      <c r="BW296" s="24">
        <v>0</v>
      </c>
    </row>
    <row r="297" spans="1:75" x14ac:dyDescent="0.2">
      <c r="A297" s="24">
        <v>2</v>
      </c>
      <c r="B297">
        <v>41.1718001368925</v>
      </c>
      <c r="C297">
        <v>21.371663244353201</v>
      </c>
      <c r="D297">
        <v>8</v>
      </c>
      <c r="E297">
        <v>68</v>
      </c>
      <c r="F297">
        <v>1.69</v>
      </c>
      <c r="G297">
        <v>23.808690171912801</v>
      </c>
      <c r="H297">
        <v>0</v>
      </c>
      <c r="I297">
        <v>0</v>
      </c>
      <c r="J297" s="26">
        <v>0</v>
      </c>
      <c r="K297" s="26">
        <v>1</v>
      </c>
      <c r="L297" s="26">
        <v>0</v>
      </c>
      <c r="M297" s="26">
        <v>7</v>
      </c>
      <c r="N297">
        <v>0</v>
      </c>
      <c r="O297" s="26">
        <v>0</v>
      </c>
      <c r="P297" s="26">
        <v>0</v>
      </c>
      <c r="Q297" s="26">
        <v>0</v>
      </c>
      <c r="R297" s="26">
        <v>7</v>
      </c>
      <c r="S297" s="26">
        <v>7</v>
      </c>
      <c r="T297" s="26">
        <v>0</v>
      </c>
      <c r="U297" s="26">
        <v>6</v>
      </c>
      <c r="V297" s="15">
        <f t="shared" si="10"/>
        <v>3</v>
      </c>
      <c r="W297" s="26">
        <v>5</v>
      </c>
      <c r="X297" s="26">
        <v>3</v>
      </c>
      <c r="Y297" s="26">
        <v>5</v>
      </c>
      <c r="Z297" s="26">
        <v>5</v>
      </c>
      <c r="AA297" s="26">
        <v>4</v>
      </c>
      <c r="AB297" s="26">
        <v>5</v>
      </c>
      <c r="AC297" s="26">
        <v>5</v>
      </c>
      <c r="AD297" s="26">
        <v>5</v>
      </c>
      <c r="AE297" s="26">
        <v>3</v>
      </c>
      <c r="AF297" s="26">
        <v>3</v>
      </c>
      <c r="AG297" s="26">
        <v>3</v>
      </c>
      <c r="AH297" s="26">
        <v>5</v>
      </c>
      <c r="AI297" s="26">
        <v>4</v>
      </c>
      <c r="AJ297" s="26">
        <v>3</v>
      </c>
      <c r="AK297" s="26">
        <v>4</v>
      </c>
      <c r="AL297" s="26">
        <v>4</v>
      </c>
      <c r="AM297" s="26">
        <v>3</v>
      </c>
      <c r="AN297" s="26">
        <v>4</v>
      </c>
      <c r="AO297" s="26">
        <v>3</v>
      </c>
      <c r="AP297" s="26">
        <v>7</v>
      </c>
      <c r="AQ297" s="24">
        <v>38</v>
      </c>
      <c r="AR297" s="27">
        <v>85.5</v>
      </c>
      <c r="AS297" s="27">
        <v>83.4</v>
      </c>
      <c r="AT297" s="27">
        <v>28.7</v>
      </c>
      <c r="AU297" s="24">
        <v>61.84</v>
      </c>
      <c r="AV297" s="24">
        <v>0</v>
      </c>
      <c r="AW297" s="24">
        <v>0</v>
      </c>
      <c r="AX297" s="24">
        <v>0</v>
      </c>
      <c r="AY297" s="24">
        <v>37.42</v>
      </c>
      <c r="AZ297" s="24">
        <v>0</v>
      </c>
      <c r="BA297" s="24">
        <v>0.73</v>
      </c>
      <c r="BB297" s="24">
        <v>0</v>
      </c>
      <c r="BC297" s="24">
        <v>0</v>
      </c>
      <c r="BD297" s="24">
        <v>0.74</v>
      </c>
      <c r="BE297" s="24">
        <v>0</v>
      </c>
      <c r="BF297" s="24">
        <v>7.34</v>
      </c>
      <c r="BG297" s="24">
        <v>25.37</v>
      </c>
      <c r="BH297" s="24">
        <v>15.03</v>
      </c>
      <c r="BI297" s="24">
        <v>30.09</v>
      </c>
      <c r="BJ297" s="24">
        <v>0</v>
      </c>
      <c r="BK297" s="24">
        <v>0</v>
      </c>
      <c r="BL297" s="24">
        <v>0</v>
      </c>
      <c r="BM297" s="24">
        <v>1.7</v>
      </c>
      <c r="BN297" s="24">
        <v>0</v>
      </c>
      <c r="BO297" s="24">
        <v>1</v>
      </c>
      <c r="BP297" s="27">
        <v>1.55</v>
      </c>
      <c r="BQ297" s="27">
        <v>1</v>
      </c>
      <c r="BR297" s="27">
        <v>5.74</v>
      </c>
      <c r="BS297" s="27">
        <v>3.64</v>
      </c>
      <c r="BT297" s="27">
        <v>0</v>
      </c>
      <c r="BU297" s="27">
        <v>0</v>
      </c>
      <c r="BV297" s="27">
        <v>0</v>
      </c>
      <c r="BW297" s="24">
        <v>0</v>
      </c>
    </row>
    <row r="298" spans="1:75" x14ac:dyDescent="0.2">
      <c r="A298">
        <v>1</v>
      </c>
      <c r="B298">
        <v>31.871321013004799</v>
      </c>
      <c r="C298">
        <v>5.0047912388774796</v>
      </c>
      <c r="D298">
        <v>8</v>
      </c>
      <c r="F298">
        <v>1.65</v>
      </c>
      <c r="G298">
        <v>0</v>
      </c>
      <c r="H298">
        <v>1</v>
      </c>
      <c r="I298">
        <v>1</v>
      </c>
      <c r="J298" s="19">
        <v>1</v>
      </c>
      <c r="K298" s="19">
        <v>0</v>
      </c>
      <c r="L298" s="19">
        <v>1</v>
      </c>
      <c r="M298" s="19">
        <v>0</v>
      </c>
      <c r="N298">
        <v>0</v>
      </c>
      <c r="O298" s="19">
        <v>0</v>
      </c>
      <c r="P298" s="19">
        <v>8</v>
      </c>
      <c r="Q298" s="19">
        <v>0</v>
      </c>
      <c r="R298" s="19">
        <v>0</v>
      </c>
      <c r="S298" s="19">
        <v>0</v>
      </c>
      <c r="T298" s="19">
        <v>0</v>
      </c>
      <c r="U298" s="19">
        <v>0</v>
      </c>
      <c r="V298" s="15">
        <f t="shared" si="10"/>
        <v>0.88888888888888884</v>
      </c>
      <c r="W298" s="19">
        <v>3</v>
      </c>
      <c r="X298" s="19">
        <v>2</v>
      </c>
      <c r="Y298" s="19">
        <v>3</v>
      </c>
      <c r="Z298" s="19">
        <v>5</v>
      </c>
      <c r="AA298" s="19">
        <v>3</v>
      </c>
      <c r="AB298" s="19">
        <v>4</v>
      </c>
      <c r="AC298" s="19">
        <v>3</v>
      </c>
      <c r="AD298" s="19">
        <v>3</v>
      </c>
      <c r="AE298" s="19">
        <v>3</v>
      </c>
      <c r="AF298" s="19">
        <v>4</v>
      </c>
      <c r="AG298" s="19">
        <v>4</v>
      </c>
      <c r="AH298" s="19">
        <v>5</v>
      </c>
      <c r="AI298" s="19">
        <v>3</v>
      </c>
      <c r="AJ298" s="19">
        <v>3</v>
      </c>
      <c r="AK298" s="19">
        <v>3</v>
      </c>
      <c r="AL298" s="19">
        <v>4</v>
      </c>
      <c r="AM298" s="19">
        <v>4</v>
      </c>
      <c r="AN298" s="19">
        <v>4</v>
      </c>
      <c r="AO298" s="19">
        <v>3</v>
      </c>
      <c r="AP298" s="19">
        <v>5</v>
      </c>
      <c r="AQ298">
        <v>31</v>
      </c>
      <c r="AR298" s="16">
        <v>82.6</v>
      </c>
      <c r="AS298" s="16">
        <v>83.4</v>
      </c>
      <c r="AT298" s="16">
        <v>5.7</v>
      </c>
      <c r="AU298">
        <v>99.97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7.3</v>
      </c>
      <c r="BG298">
        <v>53.74</v>
      </c>
      <c r="BH298">
        <v>0</v>
      </c>
      <c r="BI298">
        <v>0</v>
      </c>
      <c r="BJ298">
        <v>0</v>
      </c>
      <c r="BK298">
        <v>17.600000000000001</v>
      </c>
      <c r="BL298">
        <v>1</v>
      </c>
      <c r="BM298">
        <v>2.4</v>
      </c>
      <c r="BN298">
        <v>0</v>
      </c>
      <c r="BO298">
        <v>1</v>
      </c>
      <c r="BP298" s="16">
        <v>0</v>
      </c>
      <c r="BQ298" s="16">
        <v>0</v>
      </c>
      <c r="BR298" s="16">
        <v>5.21</v>
      </c>
      <c r="BS298" s="16">
        <v>2.59</v>
      </c>
      <c r="BT298" s="16">
        <v>0</v>
      </c>
      <c r="BU298" s="16">
        <v>0</v>
      </c>
      <c r="BV298" s="16">
        <v>0</v>
      </c>
      <c r="BW298">
        <v>0</v>
      </c>
    </row>
    <row r="299" spans="1:75" x14ac:dyDescent="0.2">
      <c r="A299">
        <v>2</v>
      </c>
      <c r="B299">
        <v>42.132785763175903</v>
      </c>
      <c r="C299">
        <v>21.897330595482501</v>
      </c>
      <c r="D299">
        <v>8</v>
      </c>
      <c r="E299">
        <v>82</v>
      </c>
      <c r="F299">
        <v>1.81</v>
      </c>
      <c r="G299">
        <v>25.029760996306599</v>
      </c>
      <c r="H299">
        <v>0</v>
      </c>
      <c r="I299">
        <v>0</v>
      </c>
      <c r="J299" s="19">
        <v>0</v>
      </c>
      <c r="K299" s="19">
        <v>1</v>
      </c>
      <c r="L299" s="19">
        <v>1</v>
      </c>
      <c r="M299" s="19">
        <v>0</v>
      </c>
      <c r="N299">
        <v>0</v>
      </c>
      <c r="O299" s="19">
        <v>0</v>
      </c>
      <c r="P299" s="19">
        <v>0</v>
      </c>
      <c r="Q299" s="19">
        <v>0</v>
      </c>
      <c r="R299" s="19">
        <v>0</v>
      </c>
      <c r="S299" s="19">
        <v>0</v>
      </c>
      <c r="T299" s="19">
        <v>0</v>
      </c>
      <c r="U299" s="19">
        <v>0</v>
      </c>
      <c r="V299" s="15">
        <f t="shared" si="10"/>
        <v>0</v>
      </c>
      <c r="W299" s="19">
        <v>3</v>
      </c>
      <c r="X299" s="19">
        <v>3</v>
      </c>
      <c r="Y299" s="19"/>
      <c r="Z299" s="19">
        <v>5</v>
      </c>
      <c r="AA299" s="19">
        <v>5</v>
      </c>
      <c r="AB299" s="19">
        <v>4</v>
      </c>
      <c r="AC299" s="19">
        <v>4</v>
      </c>
      <c r="AD299" s="19">
        <v>5</v>
      </c>
      <c r="AE299" s="19">
        <v>4</v>
      </c>
      <c r="AF299" s="19">
        <v>4</v>
      </c>
      <c r="AG299" s="19">
        <v>3</v>
      </c>
      <c r="AH299" s="19">
        <v>4</v>
      </c>
      <c r="AI299" s="19">
        <v>3</v>
      </c>
      <c r="AJ299" s="19">
        <v>4</v>
      </c>
      <c r="AK299" s="19">
        <v>3</v>
      </c>
      <c r="AL299" s="19">
        <v>4</v>
      </c>
      <c r="AM299" s="19">
        <v>3</v>
      </c>
      <c r="AN299" s="19">
        <v>4</v>
      </c>
      <c r="AO299" s="19">
        <v>3</v>
      </c>
      <c r="AP299" s="19">
        <v>8</v>
      </c>
      <c r="AQ299">
        <v>31</v>
      </c>
      <c r="AR299" s="16">
        <v>82.6</v>
      </c>
      <c r="AS299" s="16">
        <v>83.4</v>
      </c>
      <c r="AT299" s="16">
        <v>5.7</v>
      </c>
      <c r="AU299">
        <v>99.97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7.3</v>
      </c>
      <c r="BG299">
        <v>53.74</v>
      </c>
      <c r="BH299">
        <v>0</v>
      </c>
      <c r="BI299">
        <v>0</v>
      </c>
      <c r="BJ299">
        <v>0</v>
      </c>
      <c r="BK299">
        <v>17.600000000000001</v>
      </c>
      <c r="BL299">
        <v>1</v>
      </c>
      <c r="BM299">
        <v>2.4</v>
      </c>
      <c r="BN299">
        <v>0</v>
      </c>
      <c r="BO299">
        <v>1</v>
      </c>
      <c r="BP299" s="16">
        <v>0</v>
      </c>
      <c r="BQ299" s="16">
        <v>0</v>
      </c>
      <c r="BR299" s="16">
        <v>5.21</v>
      </c>
      <c r="BS299" s="16">
        <v>2.59</v>
      </c>
      <c r="BT299" s="16">
        <v>0</v>
      </c>
      <c r="BU299" s="16">
        <v>0</v>
      </c>
      <c r="BV299" s="16">
        <v>0</v>
      </c>
      <c r="BW299">
        <v>0</v>
      </c>
    </row>
    <row r="300" spans="1:75" x14ac:dyDescent="0.2">
      <c r="A300">
        <v>1</v>
      </c>
      <c r="B300">
        <v>37.672826830937701</v>
      </c>
      <c r="C300">
        <v>6.1245722108145104</v>
      </c>
      <c r="D300">
        <v>8</v>
      </c>
      <c r="E300">
        <v>63</v>
      </c>
      <c r="F300">
        <v>1.67</v>
      </c>
      <c r="G300">
        <v>22.589551436050101</v>
      </c>
      <c r="H300">
        <v>0</v>
      </c>
      <c r="I300">
        <v>0</v>
      </c>
      <c r="J300" s="19">
        <v>1</v>
      </c>
      <c r="K300" s="19">
        <v>0</v>
      </c>
      <c r="L300" s="19">
        <v>0</v>
      </c>
      <c r="M300" s="19">
        <v>6</v>
      </c>
      <c r="N300">
        <v>0</v>
      </c>
      <c r="O300" s="19">
        <v>7</v>
      </c>
      <c r="P300" s="19">
        <v>0</v>
      </c>
      <c r="Q300" s="19">
        <v>0</v>
      </c>
      <c r="R300" s="19">
        <v>5</v>
      </c>
      <c r="S300" s="19">
        <v>0</v>
      </c>
      <c r="T300" s="19">
        <v>0</v>
      </c>
      <c r="U300" s="19">
        <v>0</v>
      </c>
      <c r="V300" s="15">
        <f t="shared" si="10"/>
        <v>2</v>
      </c>
      <c r="W300" s="19">
        <v>2</v>
      </c>
      <c r="X300" s="19">
        <v>2</v>
      </c>
      <c r="Y300" s="19">
        <v>4</v>
      </c>
      <c r="Z300" s="19">
        <v>4</v>
      </c>
      <c r="AA300" s="19">
        <v>2</v>
      </c>
      <c r="AB300" s="19">
        <v>2</v>
      </c>
      <c r="AC300" s="19">
        <v>2</v>
      </c>
      <c r="AD300" s="19">
        <v>3</v>
      </c>
      <c r="AE300" s="19">
        <v>2</v>
      </c>
      <c r="AF300" s="19">
        <v>1</v>
      </c>
      <c r="AG300" s="19">
        <v>3</v>
      </c>
      <c r="AH300" s="19">
        <v>4</v>
      </c>
      <c r="AI300" s="19">
        <v>3</v>
      </c>
      <c r="AJ300" s="19">
        <v>4</v>
      </c>
      <c r="AK300" s="19">
        <v>4</v>
      </c>
      <c r="AL300" s="19">
        <v>4</v>
      </c>
      <c r="AM300" s="19">
        <v>2</v>
      </c>
      <c r="AN300" s="19">
        <v>3</v>
      </c>
      <c r="AO300" s="19">
        <v>3</v>
      </c>
      <c r="AP300" s="19"/>
      <c r="AQ300">
        <v>38.5</v>
      </c>
      <c r="AR300" s="16">
        <v>77.5</v>
      </c>
      <c r="AS300" s="16">
        <v>83.4</v>
      </c>
      <c r="AT300" s="16">
        <v>19.100000000000001</v>
      </c>
      <c r="AU300">
        <v>78.180000000000007</v>
      </c>
      <c r="AV300">
        <v>0</v>
      </c>
      <c r="AW300">
        <v>2.48</v>
      </c>
      <c r="AX300">
        <v>0</v>
      </c>
      <c r="AY300">
        <v>19.34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4.1100000000000003</v>
      </c>
      <c r="BH300">
        <v>21.82</v>
      </c>
      <c r="BI300">
        <v>10.65</v>
      </c>
      <c r="BJ300">
        <v>0</v>
      </c>
      <c r="BK300">
        <v>16.899999999999999</v>
      </c>
      <c r="BL300">
        <v>1</v>
      </c>
      <c r="BM300">
        <v>0</v>
      </c>
      <c r="BN300">
        <v>0</v>
      </c>
      <c r="BO300">
        <v>0</v>
      </c>
      <c r="BP300" s="16">
        <v>0</v>
      </c>
      <c r="BQ300" s="16">
        <v>0</v>
      </c>
      <c r="BR300" s="16">
        <v>2.48</v>
      </c>
      <c r="BS300" s="16">
        <v>2.48</v>
      </c>
      <c r="BT300" s="16">
        <v>0</v>
      </c>
      <c r="BU300" s="16">
        <v>0</v>
      </c>
      <c r="BV300" s="16">
        <v>0</v>
      </c>
      <c r="BW300">
        <v>0</v>
      </c>
    </row>
    <row r="301" spans="1:75" x14ac:dyDescent="0.2">
      <c r="A301">
        <v>2</v>
      </c>
      <c r="B301">
        <v>43.301848049281297</v>
      </c>
      <c r="C301">
        <v>0.36413415468856902</v>
      </c>
      <c r="D301">
        <v>8</v>
      </c>
      <c r="E301">
        <v>95</v>
      </c>
      <c r="F301">
        <v>1.73</v>
      </c>
      <c r="G301">
        <v>31.741788900397601</v>
      </c>
      <c r="H301">
        <v>0</v>
      </c>
      <c r="I301">
        <v>0</v>
      </c>
      <c r="J301" s="19">
        <v>0</v>
      </c>
      <c r="K301" s="19">
        <v>2</v>
      </c>
      <c r="L301" s="19">
        <v>1</v>
      </c>
      <c r="M301" s="19">
        <v>0</v>
      </c>
      <c r="N301">
        <v>0</v>
      </c>
      <c r="O301" s="19">
        <v>0</v>
      </c>
      <c r="P301" s="19">
        <v>0</v>
      </c>
      <c r="Q301" s="19">
        <v>0</v>
      </c>
      <c r="R301" s="19">
        <v>0</v>
      </c>
      <c r="S301" s="19">
        <v>0</v>
      </c>
      <c r="T301" s="19">
        <v>0</v>
      </c>
      <c r="U301" s="19">
        <v>0</v>
      </c>
      <c r="V301" s="15">
        <f t="shared" si="10"/>
        <v>0</v>
      </c>
      <c r="W301" s="19">
        <v>2</v>
      </c>
      <c r="X301" s="19">
        <v>1</v>
      </c>
      <c r="Y301" s="19">
        <v>2</v>
      </c>
      <c r="Z301" s="19">
        <v>5</v>
      </c>
      <c r="AA301" s="19">
        <v>3</v>
      </c>
      <c r="AB301" s="19">
        <v>1</v>
      </c>
      <c r="AC301" s="19">
        <v>2</v>
      </c>
      <c r="AD301" s="19">
        <v>3</v>
      </c>
      <c r="AE301" s="19">
        <v>3</v>
      </c>
      <c r="AF301" s="19">
        <v>4</v>
      </c>
      <c r="AG301" s="19">
        <v>4</v>
      </c>
      <c r="AH301" s="19">
        <v>5</v>
      </c>
      <c r="AI301" s="19">
        <v>3</v>
      </c>
      <c r="AJ301" s="19">
        <v>4</v>
      </c>
      <c r="AK301" s="19">
        <v>3</v>
      </c>
      <c r="AL301" s="19">
        <v>4</v>
      </c>
      <c r="AM301" s="19">
        <v>3</v>
      </c>
      <c r="AN301" s="19">
        <v>4</v>
      </c>
      <c r="AO301" s="19">
        <v>4</v>
      </c>
      <c r="AP301" s="19">
        <v>10</v>
      </c>
      <c r="AQ301">
        <v>38.5</v>
      </c>
      <c r="AR301" s="16">
        <v>77.5</v>
      </c>
      <c r="AS301" s="16">
        <v>83.4</v>
      </c>
      <c r="AT301" s="16">
        <v>19.100000000000001</v>
      </c>
      <c r="AU301">
        <v>78.180000000000007</v>
      </c>
      <c r="AV301">
        <v>0</v>
      </c>
      <c r="AW301">
        <v>2.48</v>
      </c>
      <c r="AX301">
        <v>0</v>
      </c>
      <c r="AY301">
        <v>19.34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4.1100000000000003</v>
      </c>
      <c r="BH301">
        <v>21.82</v>
      </c>
      <c r="BI301">
        <v>10.65</v>
      </c>
      <c r="BJ301">
        <v>0</v>
      </c>
      <c r="BK301">
        <v>16.899999999999999</v>
      </c>
      <c r="BL301">
        <v>1</v>
      </c>
      <c r="BM301">
        <v>0</v>
      </c>
      <c r="BN301">
        <v>0</v>
      </c>
      <c r="BO301">
        <v>0</v>
      </c>
      <c r="BP301" s="16">
        <v>0</v>
      </c>
      <c r="BQ301" s="16">
        <v>0</v>
      </c>
      <c r="BR301" s="16">
        <v>2.48</v>
      </c>
      <c r="BS301" s="16">
        <v>2.48</v>
      </c>
      <c r="BT301" s="16">
        <v>0</v>
      </c>
      <c r="BU301" s="16">
        <v>0</v>
      </c>
      <c r="BV301" s="16">
        <v>0</v>
      </c>
      <c r="BW301">
        <v>0</v>
      </c>
    </row>
    <row r="302" spans="1:75" x14ac:dyDescent="0.2">
      <c r="A302">
        <v>1</v>
      </c>
      <c r="B302">
        <v>28.7474332648871</v>
      </c>
      <c r="C302">
        <v>0.31485284052019202</v>
      </c>
      <c r="D302">
        <v>8</v>
      </c>
      <c r="E302">
        <v>80</v>
      </c>
      <c r="H302">
        <v>0</v>
      </c>
      <c r="I302">
        <v>0</v>
      </c>
      <c r="J302" s="19">
        <v>0</v>
      </c>
      <c r="K302" s="19">
        <v>0</v>
      </c>
      <c r="L302" s="19">
        <v>1</v>
      </c>
      <c r="M302" s="19">
        <v>0</v>
      </c>
      <c r="N302">
        <v>0</v>
      </c>
      <c r="O302" s="19">
        <v>0</v>
      </c>
      <c r="P302" s="19">
        <v>0</v>
      </c>
      <c r="Q302" s="19">
        <v>0</v>
      </c>
      <c r="R302" s="19">
        <v>0</v>
      </c>
      <c r="S302" s="19">
        <v>0</v>
      </c>
      <c r="T302" s="19">
        <v>0</v>
      </c>
      <c r="U302" s="19">
        <v>0</v>
      </c>
      <c r="V302" s="15">
        <f t="shared" si="10"/>
        <v>0</v>
      </c>
      <c r="W302" s="19">
        <v>1</v>
      </c>
      <c r="X302" s="19">
        <v>1</v>
      </c>
      <c r="Y302" s="19">
        <v>1</v>
      </c>
      <c r="Z302" s="19">
        <v>5</v>
      </c>
      <c r="AA302" s="19">
        <v>1</v>
      </c>
      <c r="AB302" s="19">
        <v>1</v>
      </c>
      <c r="AC302" s="19">
        <v>1</v>
      </c>
      <c r="AD302" s="19">
        <v>2</v>
      </c>
      <c r="AE302" s="19">
        <v>5</v>
      </c>
      <c r="AF302" s="19">
        <v>5</v>
      </c>
      <c r="AG302" s="19">
        <v>5</v>
      </c>
      <c r="AH302" s="19">
        <v>5</v>
      </c>
      <c r="AI302" s="19">
        <v>4</v>
      </c>
      <c r="AJ302" s="19">
        <v>5</v>
      </c>
      <c r="AK302" s="19">
        <v>5</v>
      </c>
      <c r="AL302" s="19">
        <v>4</v>
      </c>
      <c r="AM302" s="19">
        <v>5</v>
      </c>
      <c r="AN302" s="19">
        <v>5</v>
      </c>
      <c r="AO302" s="19">
        <v>5</v>
      </c>
      <c r="AP302" s="19">
        <v>10</v>
      </c>
      <c r="AQ302">
        <v>31</v>
      </c>
      <c r="AR302" s="16">
        <v>82.6</v>
      </c>
      <c r="AS302" s="16">
        <v>83.4</v>
      </c>
      <c r="AT302" s="16">
        <v>5.7</v>
      </c>
      <c r="AU302">
        <v>99.97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7.3</v>
      </c>
      <c r="BG302">
        <v>53.74</v>
      </c>
      <c r="BH302">
        <v>0</v>
      </c>
      <c r="BI302">
        <v>0</v>
      </c>
      <c r="BJ302">
        <v>0</v>
      </c>
      <c r="BK302">
        <v>17.600000000000001</v>
      </c>
      <c r="BL302">
        <v>1</v>
      </c>
      <c r="BM302">
        <v>2.4</v>
      </c>
      <c r="BN302">
        <v>0</v>
      </c>
      <c r="BO302">
        <v>1</v>
      </c>
      <c r="BP302" s="16">
        <v>0</v>
      </c>
      <c r="BQ302" s="16">
        <v>0</v>
      </c>
      <c r="BR302" s="16">
        <v>5.21</v>
      </c>
      <c r="BS302" s="16">
        <v>2.59</v>
      </c>
      <c r="BT302" s="16">
        <v>0</v>
      </c>
      <c r="BU302" s="16">
        <v>0</v>
      </c>
      <c r="BV302" s="16">
        <v>0</v>
      </c>
      <c r="BW302">
        <v>0</v>
      </c>
    </row>
    <row r="303" spans="1:75" x14ac:dyDescent="0.2">
      <c r="A303">
        <v>1</v>
      </c>
      <c r="B303">
        <v>22.381930184804901</v>
      </c>
      <c r="C303">
        <v>0.30390143737166297</v>
      </c>
      <c r="D303">
        <v>8</v>
      </c>
      <c r="E303">
        <v>78</v>
      </c>
      <c r="F303">
        <v>1.62</v>
      </c>
      <c r="G303">
        <v>29.721079103795098</v>
      </c>
      <c r="H303">
        <v>0</v>
      </c>
      <c r="I303">
        <v>0</v>
      </c>
      <c r="J303" s="19">
        <v>0</v>
      </c>
      <c r="K303" s="19">
        <v>0</v>
      </c>
      <c r="L303" s="19">
        <v>0</v>
      </c>
      <c r="M303" s="19">
        <v>3</v>
      </c>
      <c r="N303">
        <v>0</v>
      </c>
      <c r="O303" s="19">
        <v>0</v>
      </c>
      <c r="P303" s="19">
        <v>0</v>
      </c>
      <c r="Q303" s="19">
        <v>0</v>
      </c>
      <c r="R303" s="19">
        <v>0</v>
      </c>
      <c r="S303" s="19">
        <v>0</v>
      </c>
      <c r="T303" s="19">
        <v>0</v>
      </c>
      <c r="U303" s="19">
        <v>3</v>
      </c>
      <c r="V303" s="15">
        <f t="shared" si="10"/>
        <v>0.66666666666666663</v>
      </c>
      <c r="W303" s="19">
        <v>2</v>
      </c>
      <c r="X303" s="19">
        <v>2</v>
      </c>
      <c r="Y303" s="19">
        <v>3</v>
      </c>
      <c r="Z303" s="19">
        <v>4</v>
      </c>
      <c r="AA303" s="19">
        <v>1</v>
      </c>
      <c r="AB303" s="19">
        <v>1</v>
      </c>
      <c r="AC303" s="19">
        <v>3</v>
      </c>
      <c r="AD303" s="19">
        <v>3</v>
      </c>
      <c r="AE303" s="19">
        <v>4</v>
      </c>
      <c r="AF303" s="19">
        <v>5</v>
      </c>
      <c r="AG303" s="19">
        <v>4</v>
      </c>
      <c r="AH303" s="19">
        <v>4</v>
      </c>
      <c r="AI303" s="19">
        <v>5</v>
      </c>
      <c r="AJ303" s="19">
        <v>4</v>
      </c>
      <c r="AK303" s="19">
        <v>5</v>
      </c>
      <c r="AL303" s="19">
        <v>4</v>
      </c>
      <c r="AM303" s="19">
        <v>4</v>
      </c>
      <c r="AN303" s="19">
        <v>4</v>
      </c>
      <c r="AO303" s="19">
        <v>4</v>
      </c>
      <c r="AP303" s="19">
        <v>10</v>
      </c>
      <c r="AQ303">
        <v>31</v>
      </c>
      <c r="AR303" s="16">
        <v>82.6</v>
      </c>
      <c r="AS303" s="16">
        <v>83.4</v>
      </c>
      <c r="AT303" s="16">
        <v>5.7</v>
      </c>
      <c r="AU303">
        <v>99.97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7.3</v>
      </c>
      <c r="BG303">
        <v>53.74</v>
      </c>
      <c r="BH303">
        <v>0</v>
      </c>
      <c r="BI303">
        <v>0</v>
      </c>
      <c r="BJ303">
        <v>0</v>
      </c>
      <c r="BK303">
        <v>17.600000000000001</v>
      </c>
      <c r="BL303">
        <v>1</v>
      </c>
      <c r="BM303">
        <v>2.4</v>
      </c>
      <c r="BN303">
        <v>0</v>
      </c>
      <c r="BO303">
        <v>1</v>
      </c>
      <c r="BP303" s="16">
        <v>0</v>
      </c>
      <c r="BQ303" s="16">
        <v>0</v>
      </c>
      <c r="BR303" s="16">
        <v>5.21</v>
      </c>
      <c r="BS303" s="16">
        <v>2.59</v>
      </c>
      <c r="BT303" s="16">
        <v>0</v>
      </c>
      <c r="BU303" s="16">
        <v>0</v>
      </c>
      <c r="BV303" s="16">
        <v>0</v>
      </c>
      <c r="BW303">
        <v>0</v>
      </c>
    </row>
    <row r="304" spans="1:75" x14ac:dyDescent="0.2">
      <c r="A304">
        <v>2</v>
      </c>
      <c r="B304">
        <v>25.593429158110901</v>
      </c>
      <c r="C304">
        <v>0.31485284052019202</v>
      </c>
      <c r="D304">
        <v>8</v>
      </c>
      <c r="E304">
        <v>66</v>
      </c>
      <c r="F304">
        <v>1.7</v>
      </c>
      <c r="G304">
        <v>22.837370242214501</v>
      </c>
      <c r="H304">
        <v>0</v>
      </c>
      <c r="I304">
        <v>0</v>
      </c>
      <c r="J304" s="19">
        <v>0</v>
      </c>
      <c r="K304" s="19">
        <v>0</v>
      </c>
      <c r="L304" s="19">
        <v>1</v>
      </c>
      <c r="M304" s="19">
        <v>0</v>
      </c>
      <c r="N304">
        <v>0</v>
      </c>
      <c r="O304" s="19">
        <v>0</v>
      </c>
      <c r="P304" s="19">
        <v>0</v>
      </c>
      <c r="Q304" s="19">
        <v>0</v>
      </c>
      <c r="R304" s="19">
        <v>0</v>
      </c>
      <c r="S304" s="19">
        <v>0</v>
      </c>
      <c r="T304" s="19">
        <v>0</v>
      </c>
      <c r="U304" s="19">
        <v>0</v>
      </c>
      <c r="V304" s="15">
        <f t="shared" si="10"/>
        <v>0</v>
      </c>
      <c r="W304" s="19">
        <v>2</v>
      </c>
      <c r="X304" s="19">
        <v>2</v>
      </c>
      <c r="Y304" s="19">
        <v>3</v>
      </c>
      <c r="Z304" s="19">
        <v>4</v>
      </c>
      <c r="AA304" s="19">
        <v>3</v>
      </c>
      <c r="AB304" s="19">
        <v>2</v>
      </c>
      <c r="AC304" s="19">
        <v>2</v>
      </c>
      <c r="AD304" s="19">
        <v>4</v>
      </c>
      <c r="AE304" s="19">
        <v>4</v>
      </c>
      <c r="AF304" s="19">
        <v>3</v>
      </c>
      <c r="AG304" s="19">
        <v>4</v>
      </c>
      <c r="AH304" s="19">
        <v>5</v>
      </c>
      <c r="AI304" s="19">
        <v>4</v>
      </c>
      <c r="AJ304" s="19">
        <v>4</v>
      </c>
      <c r="AK304" s="19">
        <v>4</v>
      </c>
      <c r="AL304" s="19">
        <v>4</v>
      </c>
      <c r="AM304" s="19">
        <v>4</v>
      </c>
      <c r="AN304" s="19">
        <v>4</v>
      </c>
      <c r="AO304" s="19">
        <v>4</v>
      </c>
      <c r="AP304" s="19">
        <v>8</v>
      </c>
      <c r="AQ304">
        <v>38.5</v>
      </c>
      <c r="AR304" s="16">
        <v>77.5</v>
      </c>
      <c r="AS304" s="16">
        <v>83.4</v>
      </c>
      <c r="AT304" s="16">
        <v>19.100000000000001</v>
      </c>
      <c r="AU304">
        <v>78.180000000000007</v>
      </c>
      <c r="AV304">
        <v>0</v>
      </c>
      <c r="AW304">
        <v>2.48</v>
      </c>
      <c r="AX304">
        <v>0</v>
      </c>
      <c r="AY304">
        <v>19.34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4.1100000000000003</v>
      </c>
      <c r="BH304">
        <v>21.82</v>
      </c>
      <c r="BI304">
        <v>10.65</v>
      </c>
      <c r="BJ304">
        <v>0</v>
      </c>
      <c r="BK304">
        <v>16.899999999999999</v>
      </c>
      <c r="BL304">
        <v>1</v>
      </c>
      <c r="BM304">
        <v>0</v>
      </c>
      <c r="BN304">
        <v>0</v>
      </c>
      <c r="BO304">
        <v>0</v>
      </c>
      <c r="BP304" s="16">
        <v>0</v>
      </c>
      <c r="BQ304" s="16">
        <v>0</v>
      </c>
      <c r="BR304" s="16">
        <v>2.48</v>
      </c>
      <c r="BS304" s="16">
        <v>2.48</v>
      </c>
      <c r="BT304" s="16">
        <v>0</v>
      </c>
      <c r="BU304" s="16">
        <v>0</v>
      </c>
      <c r="BV304" s="16">
        <v>0</v>
      </c>
      <c r="BW304">
        <v>0</v>
      </c>
    </row>
    <row r="305" spans="1:75" x14ac:dyDescent="0.2">
      <c r="A305">
        <v>1</v>
      </c>
      <c r="B305">
        <v>25.3853524982888</v>
      </c>
      <c r="C305">
        <v>0.29568788501026699</v>
      </c>
      <c r="D305">
        <v>8</v>
      </c>
      <c r="E305">
        <v>67</v>
      </c>
      <c r="F305">
        <v>1.74</v>
      </c>
      <c r="G305">
        <v>22.129739727837201</v>
      </c>
      <c r="H305">
        <v>0</v>
      </c>
      <c r="I305">
        <v>0</v>
      </c>
      <c r="J305" s="19">
        <v>0</v>
      </c>
      <c r="K305" s="19">
        <v>1</v>
      </c>
      <c r="L305" s="19">
        <v>0</v>
      </c>
      <c r="M305" s="19">
        <v>0</v>
      </c>
      <c r="N305">
        <v>0</v>
      </c>
      <c r="O305" s="19">
        <v>0</v>
      </c>
      <c r="P305" s="19">
        <v>0</v>
      </c>
      <c r="Q305" s="19">
        <v>0</v>
      </c>
      <c r="R305" s="19">
        <v>0</v>
      </c>
      <c r="S305" s="19">
        <v>0</v>
      </c>
      <c r="T305" s="19">
        <v>0</v>
      </c>
      <c r="U305" s="19">
        <v>0</v>
      </c>
      <c r="V305" s="15">
        <f t="shared" si="10"/>
        <v>0</v>
      </c>
      <c r="W305" s="19">
        <v>1</v>
      </c>
      <c r="X305" s="19">
        <v>1</v>
      </c>
      <c r="Y305" s="19">
        <v>3</v>
      </c>
      <c r="Z305" s="19">
        <v>5</v>
      </c>
      <c r="AA305" s="19">
        <v>3</v>
      </c>
      <c r="AB305" s="19">
        <v>2</v>
      </c>
      <c r="AC305" s="19">
        <v>1</v>
      </c>
      <c r="AD305" s="19">
        <v>5</v>
      </c>
      <c r="AE305" s="19">
        <v>5</v>
      </c>
      <c r="AF305" s="19">
        <v>5</v>
      </c>
      <c r="AG305" s="19">
        <v>5</v>
      </c>
      <c r="AH305" s="19">
        <v>5</v>
      </c>
      <c r="AI305" s="19">
        <v>5</v>
      </c>
      <c r="AJ305" s="19">
        <v>5</v>
      </c>
      <c r="AK305" s="19">
        <v>4</v>
      </c>
      <c r="AL305" s="19">
        <v>5</v>
      </c>
      <c r="AM305" s="19">
        <v>5</v>
      </c>
      <c r="AN305" s="19">
        <v>5</v>
      </c>
      <c r="AO305" s="19">
        <v>5</v>
      </c>
      <c r="AP305" s="19">
        <v>9</v>
      </c>
      <c r="AQ305">
        <v>31</v>
      </c>
      <c r="AR305" s="16">
        <v>82.6</v>
      </c>
      <c r="AS305" s="16">
        <v>83.4</v>
      </c>
      <c r="AT305" s="16">
        <v>5.7</v>
      </c>
      <c r="AU305">
        <v>99.97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7.3</v>
      </c>
      <c r="BG305">
        <v>53.74</v>
      </c>
      <c r="BH305">
        <v>0</v>
      </c>
      <c r="BI305">
        <v>0</v>
      </c>
      <c r="BJ305">
        <v>0</v>
      </c>
      <c r="BK305">
        <v>17.600000000000001</v>
      </c>
      <c r="BL305">
        <v>1</v>
      </c>
      <c r="BM305">
        <v>2.4</v>
      </c>
      <c r="BN305">
        <v>0</v>
      </c>
      <c r="BO305">
        <v>1</v>
      </c>
      <c r="BP305" s="16">
        <v>0</v>
      </c>
      <c r="BQ305" s="16">
        <v>0</v>
      </c>
      <c r="BR305" s="16">
        <v>5.21</v>
      </c>
      <c r="BS305" s="16">
        <v>2.59</v>
      </c>
      <c r="BT305" s="16">
        <v>0</v>
      </c>
      <c r="BU305" s="16">
        <v>0</v>
      </c>
      <c r="BV305" s="16">
        <v>0</v>
      </c>
      <c r="BW305">
        <v>0</v>
      </c>
    </row>
    <row r="306" spans="1:75" x14ac:dyDescent="0.2">
      <c r="A306">
        <v>2</v>
      </c>
      <c r="B306">
        <v>20.139630390143701</v>
      </c>
      <c r="C306">
        <v>0.29295003422313498</v>
      </c>
      <c r="D306">
        <v>8</v>
      </c>
      <c r="E306">
        <v>60</v>
      </c>
      <c r="F306">
        <v>1.69</v>
      </c>
      <c r="G306">
        <v>21.0076677987465</v>
      </c>
      <c r="H306">
        <v>0</v>
      </c>
      <c r="I306">
        <v>0</v>
      </c>
      <c r="J306" s="19">
        <v>1</v>
      </c>
      <c r="K306" s="19">
        <v>2</v>
      </c>
      <c r="L306" s="19">
        <v>1</v>
      </c>
      <c r="M306" s="19">
        <v>0</v>
      </c>
      <c r="N306">
        <v>0</v>
      </c>
      <c r="O306" s="19">
        <v>0</v>
      </c>
      <c r="P306" s="19">
        <v>0</v>
      </c>
      <c r="Q306" s="19">
        <v>0</v>
      </c>
      <c r="R306" s="19">
        <v>0</v>
      </c>
      <c r="S306" s="19">
        <v>0</v>
      </c>
      <c r="T306" s="19">
        <v>7</v>
      </c>
      <c r="U306" s="19">
        <v>0</v>
      </c>
      <c r="V306" s="15">
        <f t="shared" si="10"/>
        <v>0.77777777777777779</v>
      </c>
      <c r="W306" s="19">
        <v>1</v>
      </c>
      <c r="X306" s="19">
        <v>1</v>
      </c>
      <c r="Y306" s="19">
        <v>2</v>
      </c>
      <c r="Z306" s="19">
        <v>5</v>
      </c>
      <c r="AA306" s="19">
        <v>1</v>
      </c>
      <c r="AB306" s="19">
        <v>1</v>
      </c>
      <c r="AC306" s="19">
        <v>1</v>
      </c>
      <c r="AD306" s="19">
        <v>3</v>
      </c>
      <c r="AE306" s="19">
        <v>1</v>
      </c>
      <c r="AF306" s="19">
        <v>3</v>
      </c>
      <c r="AG306" s="19">
        <v>5</v>
      </c>
      <c r="AH306" s="19">
        <v>5</v>
      </c>
      <c r="AI306" s="19">
        <v>3</v>
      </c>
      <c r="AJ306" s="19">
        <v>5</v>
      </c>
      <c r="AK306" s="19">
        <v>5</v>
      </c>
      <c r="AL306" s="19">
        <v>5</v>
      </c>
      <c r="AM306" s="19">
        <v>4</v>
      </c>
      <c r="AN306" s="19">
        <v>4</v>
      </c>
      <c r="AO306" s="19">
        <v>4</v>
      </c>
      <c r="AP306" s="19">
        <v>9</v>
      </c>
      <c r="AQ306">
        <v>38.5</v>
      </c>
      <c r="AR306" s="16">
        <v>77.5</v>
      </c>
      <c r="AS306" s="16">
        <v>83.4</v>
      </c>
      <c r="AT306" s="16">
        <v>19.100000000000001</v>
      </c>
      <c r="AU306">
        <v>78.180000000000007</v>
      </c>
      <c r="AV306">
        <v>0</v>
      </c>
      <c r="AW306">
        <v>2.48</v>
      </c>
      <c r="AX306">
        <v>0</v>
      </c>
      <c r="AY306">
        <v>19.34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4.1100000000000003</v>
      </c>
      <c r="BH306">
        <v>21.82</v>
      </c>
      <c r="BI306">
        <v>10.65</v>
      </c>
      <c r="BJ306">
        <v>0</v>
      </c>
      <c r="BK306">
        <v>16.899999999999999</v>
      </c>
      <c r="BL306">
        <v>1</v>
      </c>
      <c r="BM306">
        <v>0</v>
      </c>
      <c r="BN306">
        <v>0</v>
      </c>
      <c r="BO306">
        <v>0</v>
      </c>
      <c r="BP306" s="16">
        <v>0</v>
      </c>
      <c r="BQ306" s="16">
        <v>0</v>
      </c>
      <c r="BR306" s="16">
        <v>2.48</v>
      </c>
      <c r="BS306" s="16">
        <v>2.48</v>
      </c>
      <c r="BT306" s="16">
        <v>0</v>
      </c>
      <c r="BU306" s="16">
        <v>0</v>
      </c>
      <c r="BV306" s="16">
        <v>0</v>
      </c>
      <c r="BW306">
        <v>0</v>
      </c>
    </row>
    <row r="307" spans="1:75" x14ac:dyDescent="0.2">
      <c r="A307">
        <v>2</v>
      </c>
      <c r="B307">
        <v>40.744695414099901</v>
      </c>
      <c r="C307">
        <v>0.26830937713894598</v>
      </c>
      <c r="D307">
        <v>8</v>
      </c>
      <c r="E307">
        <v>64</v>
      </c>
      <c r="F307">
        <v>1.64</v>
      </c>
      <c r="G307">
        <v>23.7953599048186</v>
      </c>
      <c r="H307">
        <v>0</v>
      </c>
      <c r="I307">
        <v>0</v>
      </c>
      <c r="J307" s="19">
        <v>0</v>
      </c>
      <c r="K307" s="19">
        <v>1</v>
      </c>
      <c r="L307" s="19">
        <v>1</v>
      </c>
      <c r="M307" s="19">
        <v>0</v>
      </c>
      <c r="N307">
        <v>0</v>
      </c>
      <c r="O307" s="19">
        <v>0</v>
      </c>
      <c r="P307" s="19">
        <v>0</v>
      </c>
      <c r="Q307" s="19">
        <v>0</v>
      </c>
      <c r="R307" s="19">
        <v>0</v>
      </c>
      <c r="S307" s="19">
        <v>0</v>
      </c>
      <c r="T307" s="19">
        <v>0</v>
      </c>
      <c r="U307" s="19">
        <v>0</v>
      </c>
      <c r="V307" s="15">
        <f t="shared" si="10"/>
        <v>0</v>
      </c>
      <c r="W307" s="19">
        <v>1</v>
      </c>
      <c r="X307" s="19">
        <v>1</v>
      </c>
      <c r="Y307" s="19">
        <v>2</v>
      </c>
      <c r="Z307" s="19">
        <v>4</v>
      </c>
      <c r="AA307" s="19">
        <v>3</v>
      </c>
      <c r="AB307" s="19">
        <v>2</v>
      </c>
      <c r="AC307" s="19">
        <v>4</v>
      </c>
      <c r="AD307" s="19">
        <v>4</v>
      </c>
      <c r="AE307" s="19">
        <v>5</v>
      </c>
      <c r="AF307" s="19">
        <v>4</v>
      </c>
      <c r="AG307" s="19">
        <v>3</v>
      </c>
      <c r="AH307" s="19">
        <v>5</v>
      </c>
      <c r="AI307" s="19">
        <v>3</v>
      </c>
      <c r="AJ307" s="19">
        <v>5</v>
      </c>
      <c r="AK307" s="19">
        <v>4</v>
      </c>
      <c r="AL307" s="19">
        <v>5</v>
      </c>
      <c r="AM307" s="19">
        <v>4</v>
      </c>
      <c r="AN307" s="19">
        <v>4</v>
      </c>
      <c r="AO307" s="19">
        <v>3</v>
      </c>
      <c r="AP307" s="19">
        <v>8</v>
      </c>
      <c r="AQ307">
        <v>31</v>
      </c>
      <c r="AR307" s="16">
        <v>82.6</v>
      </c>
      <c r="AS307" s="16">
        <v>83.4</v>
      </c>
      <c r="AT307" s="16">
        <v>5.7</v>
      </c>
      <c r="AU307">
        <v>99.97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7.3</v>
      </c>
      <c r="BG307">
        <v>53.74</v>
      </c>
      <c r="BH307">
        <v>0</v>
      </c>
      <c r="BI307">
        <v>0</v>
      </c>
      <c r="BJ307">
        <v>0</v>
      </c>
      <c r="BK307">
        <v>17.600000000000001</v>
      </c>
      <c r="BL307">
        <v>1</v>
      </c>
      <c r="BM307">
        <v>2.4</v>
      </c>
      <c r="BN307">
        <v>0</v>
      </c>
      <c r="BO307">
        <v>1</v>
      </c>
      <c r="BP307" s="16">
        <v>0</v>
      </c>
      <c r="BQ307" s="16">
        <v>0</v>
      </c>
      <c r="BR307" s="16">
        <v>5.21</v>
      </c>
      <c r="BS307" s="16">
        <v>2.59</v>
      </c>
      <c r="BT307" s="16">
        <v>0</v>
      </c>
      <c r="BU307" s="16">
        <v>0</v>
      </c>
      <c r="BV307" s="16">
        <v>0</v>
      </c>
      <c r="BW307">
        <v>0</v>
      </c>
    </row>
    <row r="308" spans="1:75" x14ac:dyDescent="0.2">
      <c r="A308">
        <v>2</v>
      </c>
      <c r="B308">
        <v>20.873374401095099</v>
      </c>
      <c r="C308">
        <v>0.23819301848049301</v>
      </c>
      <c r="D308">
        <v>8</v>
      </c>
      <c r="E308">
        <v>70</v>
      </c>
      <c r="F308">
        <v>1.75</v>
      </c>
      <c r="G308">
        <v>22.8571428571429</v>
      </c>
      <c r="H308">
        <v>0</v>
      </c>
      <c r="I308">
        <v>0</v>
      </c>
      <c r="J308" s="19">
        <v>0</v>
      </c>
      <c r="K308" s="19">
        <v>2</v>
      </c>
      <c r="L308" s="19">
        <v>0</v>
      </c>
      <c r="M308" s="19">
        <v>0</v>
      </c>
      <c r="N308">
        <v>0</v>
      </c>
      <c r="O308" s="19">
        <v>0</v>
      </c>
      <c r="P308" s="19">
        <v>0</v>
      </c>
      <c r="Q308" s="19">
        <v>0</v>
      </c>
      <c r="R308" s="19">
        <v>0</v>
      </c>
      <c r="S308" s="19">
        <v>0</v>
      </c>
      <c r="T308" s="19">
        <v>0</v>
      </c>
      <c r="U308" s="19">
        <v>0</v>
      </c>
      <c r="V308" s="15">
        <f t="shared" si="10"/>
        <v>0</v>
      </c>
      <c r="W308" s="19">
        <v>2</v>
      </c>
      <c r="X308" s="19">
        <v>2</v>
      </c>
      <c r="Y308" s="19">
        <v>2</v>
      </c>
      <c r="Z308" s="19">
        <v>4</v>
      </c>
      <c r="AA308" s="19">
        <v>2</v>
      </c>
      <c r="AB308" s="19">
        <v>1</v>
      </c>
      <c r="AC308" s="19">
        <v>4</v>
      </c>
      <c r="AD308" s="19">
        <v>3</v>
      </c>
      <c r="AE308" s="19">
        <v>4</v>
      </c>
      <c r="AF308" s="19">
        <v>2</v>
      </c>
      <c r="AG308" s="19">
        <v>5</v>
      </c>
      <c r="AH308" s="19">
        <v>4</v>
      </c>
      <c r="AI308" s="19">
        <v>4</v>
      </c>
      <c r="AJ308" s="19">
        <v>4</v>
      </c>
      <c r="AK308" s="19">
        <v>4</v>
      </c>
      <c r="AL308" s="19">
        <v>4</v>
      </c>
      <c r="AM308" s="19">
        <v>4</v>
      </c>
      <c r="AN308" s="19">
        <v>3</v>
      </c>
      <c r="AO308" s="19">
        <v>4</v>
      </c>
      <c r="AP308" s="19">
        <v>8</v>
      </c>
      <c r="AQ308">
        <v>38.5</v>
      </c>
      <c r="AR308" s="16">
        <v>77.5</v>
      </c>
      <c r="AS308" s="16">
        <v>83.4</v>
      </c>
      <c r="AT308" s="16">
        <v>19.100000000000001</v>
      </c>
      <c r="AU308">
        <v>78.180000000000007</v>
      </c>
      <c r="AV308">
        <v>0</v>
      </c>
      <c r="AW308">
        <v>2.48</v>
      </c>
      <c r="AX308">
        <v>0</v>
      </c>
      <c r="AY308">
        <v>19.34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4.1100000000000003</v>
      </c>
      <c r="BH308">
        <v>21.82</v>
      </c>
      <c r="BI308">
        <v>10.65</v>
      </c>
      <c r="BJ308">
        <v>0</v>
      </c>
      <c r="BK308">
        <v>16.899999999999999</v>
      </c>
      <c r="BL308">
        <v>1</v>
      </c>
      <c r="BM308">
        <v>0</v>
      </c>
      <c r="BN308">
        <v>0</v>
      </c>
      <c r="BO308">
        <v>0</v>
      </c>
      <c r="BP308" s="16">
        <v>0</v>
      </c>
      <c r="BQ308" s="16">
        <v>0</v>
      </c>
      <c r="BR308" s="16">
        <v>2.48</v>
      </c>
      <c r="BS308" s="16">
        <v>2.48</v>
      </c>
      <c r="BT308" s="16">
        <v>0</v>
      </c>
      <c r="BU308" s="16">
        <v>0</v>
      </c>
      <c r="BV308" s="16">
        <v>0</v>
      </c>
      <c r="BW308">
        <v>0</v>
      </c>
    </row>
    <row r="309" spans="1:75" x14ac:dyDescent="0.2">
      <c r="A309">
        <v>2</v>
      </c>
      <c r="B309">
        <v>32.4845995893224</v>
      </c>
      <c r="C309">
        <v>7.12936344969199</v>
      </c>
      <c r="D309">
        <v>8</v>
      </c>
      <c r="E309">
        <v>67</v>
      </c>
      <c r="F309">
        <v>1.73</v>
      </c>
      <c r="G309">
        <v>22.386314277122501</v>
      </c>
      <c r="H309">
        <v>0</v>
      </c>
      <c r="I309">
        <v>0</v>
      </c>
      <c r="J309" s="19">
        <v>0</v>
      </c>
      <c r="K309" s="19">
        <v>1</v>
      </c>
      <c r="L309" s="19">
        <v>0</v>
      </c>
      <c r="M309" s="19">
        <v>0</v>
      </c>
      <c r="N309">
        <v>0</v>
      </c>
      <c r="O309" s="19">
        <v>0</v>
      </c>
      <c r="P309" s="19">
        <v>0</v>
      </c>
      <c r="Q309" s="19">
        <v>0</v>
      </c>
      <c r="R309" s="19">
        <v>0</v>
      </c>
      <c r="S309" s="19">
        <v>0</v>
      </c>
      <c r="T309" s="19">
        <v>0</v>
      </c>
      <c r="U309" s="19">
        <v>0</v>
      </c>
      <c r="V309" s="15">
        <f t="shared" si="10"/>
        <v>0</v>
      </c>
      <c r="W309" s="19">
        <v>3</v>
      </c>
      <c r="X309" s="19">
        <v>2</v>
      </c>
      <c r="Y309" s="19">
        <v>2</v>
      </c>
      <c r="Z309" s="19">
        <v>4</v>
      </c>
      <c r="AA309" s="19">
        <v>3</v>
      </c>
      <c r="AB309" s="19">
        <v>2</v>
      </c>
      <c r="AC309" s="19">
        <v>3</v>
      </c>
      <c r="AD309" s="19">
        <v>3</v>
      </c>
      <c r="AE309" s="19">
        <v>3</v>
      </c>
      <c r="AF309" s="19">
        <v>3</v>
      </c>
      <c r="AG309" s="19">
        <v>4</v>
      </c>
      <c r="AH309" s="19">
        <v>5</v>
      </c>
      <c r="AI309" s="19">
        <v>3</v>
      </c>
      <c r="AJ309" s="19">
        <v>3</v>
      </c>
      <c r="AK309" s="19">
        <v>4</v>
      </c>
      <c r="AL309" s="19">
        <v>4</v>
      </c>
      <c r="AM309" s="19">
        <v>3</v>
      </c>
      <c r="AN309" s="19">
        <v>3</v>
      </c>
      <c r="AO309" s="19">
        <v>3</v>
      </c>
      <c r="AP309" s="19">
        <v>8</v>
      </c>
      <c r="AQ309">
        <v>37.5</v>
      </c>
      <c r="AR309" s="16">
        <v>87.4</v>
      </c>
      <c r="AS309" s="16">
        <v>80.400000000000006</v>
      </c>
      <c r="AT309" s="16">
        <v>18.5</v>
      </c>
      <c r="AU309">
        <v>84.21</v>
      </c>
      <c r="AV309" s="17">
        <v>0</v>
      </c>
      <c r="AW309">
        <v>0</v>
      </c>
      <c r="AX309">
        <v>0</v>
      </c>
      <c r="AY309">
        <v>15.79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26.71</v>
      </c>
      <c r="BG309">
        <v>13.13</v>
      </c>
      <c r="BH309">
        <v>49.12</v>
      </c>
      <c r="BI309">
        <v>14.67</v>
      </c>
      <c r="BJ309">
        <v>0</v>
      </c>
      <c r="BK309">
        <v>0</v>
      </c>
      <c r="BL309">
        <v>0</v>
      </c>
      <c r="BM309">
        <v>1.1000000000000001</v>
      </c>
      <c r="BN309">
        <v>1</v>
      </c>
      <c r="BO309">
        <v>0</v>
      </c>
      <c r="BP309" s="16">
        <v>4.3</v>
      </c>
      <c r="BQ309" s="16">
        <v>1</v>
      </c>
      <c r="BR309" s="16">
        <v>10.31</v>
      </c>
      <c r="BS309" s="16">
        <v>34.85</v>
      </c>
      <c r="BT309" s="16">
        <v>0</v>
      </c>
      <c r="BU309" s="16">
        <v>0</v>
      </c>
      <c r="BV309" s="16">
        <v>0</v>
      </c>
      <c r="BW309">
        <v>0</v>
      </c>
    </row>
    <row r="310" spans="1:75" x14ac:dyDescent="0.2">
      <c r="A310">
        <v>2</v>
      </c>
      <c r="B310">
        <v>40.046543463381298</v>
      </c>
      <c r="C310">
        <v>0.15331964407939799</v>
      </c>
      <c r="D310">
        <v>8</v>
      </c>
      <c r="E310">
        <v>68</v>
      </c>
      <c r="F310">
        <v>1.71</v>
      </c>
      <c r="G310">
        <v>23.2550186382135</v>
      </c>
      <c r="H310">
        <v>0</v>
      </c>
      <c r="I310">
        <v>0</v>
      </c>
      <c r="J310" s="19">
        <v>0</v>
      </c>
      <c r="K310" s="19">
        <v>2</v>
      </c>
      <c r="L310" s="19">
        <v>1</v>
      </c>
      <c r="M310" s="19">
        <v>0</v>
      </c>
      <c r="N310">
        <v>0</v>
      </c>
      <c r="O310" s="19">
        <v>0</v>
      </c>
      <c r="P310" s="19">
        <v>0</v>
      </c>
      <c r="Q310" s="19">
        <v>0</v>
      </c>
      <c r="R310" s="19">
        <v>0</v>
      </c>
      <c r="S310" s="19">
        <v>0</v>
      </c>
      <c r="T310" s="19">
        <v>0</v>
      </c>
      <c r="U310" s="19">
        <v>0</v>
      </c>
      <c r="V310" s="15">
        <f t="shared" si="10"/>
        <v>0</v>
      </c>
      <c r="W310" s="19">
        <v>1</v>
      </c>
      <c r="X310" s="19">
        <v>1</v>
      </c>
      <c r="Y310" s="19">
        <v>3</v>
      </c>
      <c r="Z310" s="19">
        <v>5</v>
      </c>
      <c r="AA310" s="19">
        <v>1</v>
      </c>
      <c r="AB310" s="19">
        <v>2</v>
      </c>
      <c r="AC310" s="19">
        <v>4</v>
      </c>
      <c r="AD310" s="19">
        <v>5</v>
      </c>
      <c r="AE310" s="19">
        <v>4</v>
      </c>
      <c r="AF310" s="19">
        <v>5</v>
      </c>
      <c r="AG310" s="19">
        <v>5</v>
      </c>
      <c r="AH310" s="19">
        <v>5</v>
      </c>
      <c r="AI310" s="19">
        <v>5</v>
      </c>
      <c r="AJ310" s="19">
        <v>5</v>
      </c>
      <c r="AK310" s="19">
        <v>5</v>
      </c>
      <c r="AL310" s="19">
        <v>5</v>
      </c>
      <c r="AM310" s="19">
        <v>5</v>
      </c>
      <c r="AN310" s="19">
        <v>5</v>
      </c>
      <c r="AO310" s="19">
        <v>5</v>
      </c>
      <c r="AP310" s="19">
        <v>10</v>
      </c>
      <c r="AQ310">
        <v>33</v>
      </c>
      <c r="AR310" s="16">
        <v>71.2</v>
      </c>
      <c r="AS310" s="16">
        <v>80.400000000000006</v>
      </c>
      <c r="AT310" s="16">
        <v>16.3</v>
      </c>
      <c r="AU310">
        <v>83.24</v>
      </c>
      <c r="AV310" s="17">
        <v>0</v>
      </c>
      <c r="AW310">
        <v>0</v>
      </c>
      <c r="AX310">
        <v>0</v>
      </c>
      <c r="AY310">
        <v>14.14</v>
      </c>
      <c r="AZ310">
        <v>0</v>
      </c>
      <c r="BA310">
        <v>2.63</v>
      </c>
      <c r="BB310">
        <v>0</v>
      </c>
      <c r="BC310">
        <v>0</v>
      </c>
      <c r="BD310">
        <v>0</v>
      </c>
      <c r="BE310">
        <v>0</v>
      </c>
      <c r="BF310">
        <v>2.63</v>
      </c>
      <c r="BG310">
        <v>10.16</v>
      </c>
      <c r="BH310">
        <v>20.83</v>
      </c>
      <c r="BI310">
        <v>24.81</v>
      </c>
      <c r="BJ310">
        <v>0</v>
      </c>
      <c r="BK310">
        <v>11.2</v>
      </c>
      <c r="BL310">
        <v>1</v>
      </c>
      <c r="BM310">
        <v>0</v>
      </c>
      <c r="BN310">
        <v>0</v>
      </c>
      <c r="BO310">
        <v>0</v>
      </c>
      <c r="BP310" s="16">
        <v>2.71</v>
      </c>
      <c r="BQ310" s="16">
        <v>1</v>
      </c>
      <c r="BR310" s="16">
        <v>2.63</v>
      </c>
      <c r="BS310" s="16">
        <v>2.6</v>
      </c>
      <c r="BT310" s="16">
        <v>0</v>
      </c>
      <c r="BU310" s="16">
        <v>0</v>
      </c>
      <c r="BV310" s="16">
        <v>0</v>
      </c>
      <c r="BW310">
        <v>0</v>
      </c>
    </row>
    <row r="311" spans="1:75" x14ac:dyDescent="0.2">
      <c r="A311">
        <v>2</v>
      </c>
      <c r="B311">
        <v>30.650239561943899</v>
      </c>
      <c r="C311">
        <v>7.1348391512662603</v>
      </c>
      <c r="D311">
        <v>8</v>
      </c>
      <c r="E311">
        <v>103</v>
      </c>
      <c r="F311">
        <v>1.81</v>
      </c>
      <c r="G311">
        <v>31.439821739263099</v>
      </c>
      <c r="H311">
        <v>0</v>
      </c>
      <c r="I311">
        <v>0</v>
      </c>
      <c r="J311" s="19">
        <v>0</v>
      </c>
      <c r="K311" s="19">
        <v>0</v>
      </c>
      <c r="L311" s="19">
        <v>1</v>
      </c>
      <c r="M311" s="19">
        <v>0</v>
      </c>
      <c r="N311">
        <v>0</v>
      </c>
      <c r="O311" s="19">
        <v>0</v>
      </c>
      <c r="P311" s="19">
        <v>0</v>
      </c>
      <c r="Q311" s="19">
        <v>0</v>
      </c>
      <c r="R311" s="19">
        <v>0</v>
      </c>
      <c r="S311" s="19">
        <v>0</v>
      </c>
      <c r="T311" s="19">
        <v>0</v>
      </c>
      <c r="U311" s="19">
        <v>7</v>
      </c>
      <c r="V311" s="15">
        <f t="shared" si="10"/>
        <v>0.77777777777777779</v>
      </c>
      <c r="W311" s="19">
        <v>3</v>
      </c>
      <c r="X311" s="19">
        <v>2</v>
      </c>
      <c r="Y311" s="19">
        <v>3</v>
      </c>
      <c r="Z311" s="19">
        <v>4</v>
      </c>
      <c r="AA311" s="19">
        <v>3</v>
      </c>
      <c r="AB311" s="19">
        <v>2</v>
      </c>
      <c r="AC311" s="19">
        <v>4</v>
      </c>
      <c r="AD311" s="19">
        <v>5</v>
      </c>
      <c r="AE311" s="19">
        <v>3</v>
      </c>
      <c r="AF311" s="19">
        <v>3</v>
      </c>
      <c r="AG311" s="19">
        <v>3</v>
      </c>
      <c r="AH311" s="19">
        <v>4</v>
      </c>
      <c r="AI311" s="19">
        <v>3</v>
      </c>
      <c r="AJ311" s="19">
        <v>3</v>
      </c>
      <c r="AK311" s="19">
        <v>3</v>
      </c>
      <c r="AL311" s="19">
        <v>5</v>
      </c>
      <c r="AM311" s="19">
        <v>4</v>
      </c>
      <c r="AN311" s="19">
        <v>3</v>
      </c>
      <c r="AO311" s="19">
        <v>4</v>
      </c>
      <c r="AP311" s="19">
        <v>8</v>
      </c>
      <c r="AQ311">
        <v>33</v>
      </c>
      <c r="AR311" s="16">
        <v>71.2</v>
      </c>
      <c r="AS311" s="16">
        <v>80.400000000000006</v>
      </c>
      <c r="AT311" s="16">
        <v>16.3</v>
      </c>
      <c r="AU311">
        <v>83.24</v>
      </c>
      <c r="AV311" s="17">
        <v>0</v>
      </c>
      <c r="AW311">
        <v>0</v>
      </c>
      <c r="AX311">
        <v>0</v>
      </c>
      <c r="AY311">
        <v>14.14</v>
      </c>
      <c r="AZ311">
        <v>0</v>
      </c>
      <c r="BA311">
        <v>2.63</v>
      </c>
      <c r="BB311">
        <v>0</v>
      </c>
      <c r="BC311">
        <v>0</v>
      </c>
      <c r="BD311">
        <v>0</v>
      </c>
      <c r="BE311">
        <v>0</v>
      </c>
      <c r="BF311">
        <v>2.63</v>
      </c>
      <c r="BG311">
        <v>10.16</v>
      </c>
      <c r="BH311">
        <v>20.83</v>
      </c>
      <c r="BI311">
        <v>24.81</v>
      </c>
      <c r="BJ311">
        <v>0</v>
      </c>
      <c r="BK311">
        <v>11.2</v>
      </c>
      <c r="BL311">
        <v>1</v>
      </c>
      <c r="BM311">
        <v>0</v>
      </c>
      <c r="BN311">
        <v>0</v>
      </c>
      <c r="BO311">
        <v>0</v>
      </c>
      <c r="BP311" s="16">
        <v>2.71</v>
      </c>
      <c r="BQ311" s="16">
        <v>1</v>
      </c>
      <c r="BR311" s="16">
        <v>2.63</v>
      </c>
      <c r="BS311" s="16">
        <v>2.6</v>
      </c>
      <c r="BT311" s="16">
        <v>0</v>
      </c>
      <c r="BU311" s="16">
        <v>0</v>
      </c>
      <c r="BV311" s="16">
        <v>0</v>
      </c>
      <c r="BW311">
        <v>0</v>
      </c>
    </row>
    <row r="312" spans="1:75" x14ac:dyDescent="0.2">
      <c r="A312">
        <v>2</v>
      </c>
      <c r="B312">
        <v>30.631074606433899</v>
      </c>
      <c r="C312">
        <v>0.29568788501026699</v>
      </c>
      <c r="D312">
        <v>8</v>
      </c>
      <c r="E312">
        <v>72</v>
      </c>
      <c r="F312">
        <v>1.74</v>
      </c>
      <c r="G312">
        <v>23.781212841854899</v>
      </c>
      <c r="H312">
        <v>0</v>
      </c>
      <c r="I312">
        <v>0</v>
      </c>
      <c r="J312" s="19">
        <v>0</v>
      </c>
      <c r="K312" s="19">
        <v>2</v>
      </c>
      <c r="L312" s="19">
        <v>0</v>
      </c>
      <c r="M312" s="19">
        <v>0</v>
      </c>
      <c r="N312">
        <v>0</v>
      </c>
      <c r="O312" s="19">
        <v>0</v>
      </c>
      <c r="P312" s="19">
        <v>0</v>
      </c>
      <c r="Q312" s="19">
        <v>0</v>
      </c>
      <c r="R312" s="19"/>
      <c r="S312" s="19"/>
      <c r="T312" s="19">
        <v>0</v>
      </c>
      <c r="U312" s="19">
        <v>0</v>
      </c>
      <c r="V312" s="15">
        <f t="shared" si="10"/>
        <v>0</v>
      </c>
      <c r="W312" s="19">
        <v>2</v>
      </c>
      <c r="X312" s="19">
        <v>1</v>
      </c>
      <c r="Y312" s="19">
        <v>4</v>
      </c>
      <c r="Z312" s="19">
        <v>5</v>
      </c>
      <c r="AA312" s="19">
        <v>3</v>
      </c>
      <c r="AB312" s="19">
        <v>4</v>
      </c>
      <c r="AC312" s="19">
        <v>4</v>
      </c>
      <c r="AD312" s="19">
        <v>4</v>
      </c>
      <c r="AE312" s="19">
        <v>4</v>
      </c>
      <c r="AF312" s="19">
        <v>4</v>
      </c>
      <c r="AG312" s="19">
        <v>4</v>
      </c>
      <c r="AH312" s="19">
        <v>5</v>
      </c>
      <c r="AI312" s="19">
        <v>4</v>
      </c>
      <c r="AJ312" s="19">
        <v>4</v>
      </c>
      <c r="AK312" s="19">
        <v>5</v>
      </c>
      <c r="AL312" s="19">
        <v>5</v>
      </c>
      <c r="AM312" s="19">
        <v>5</v>
      </c>
      <c r="AN312" s="19">
        <v>5</v>
      </c>
      <c r="AO312" s="19">
        <v>4</v>
      </c>
      <c r="AP312" s="19">
        <v>9</v>
      </c>
      <c r="AQ312">
        <v>33</v>
      </c>
      <c r="AR312" s="16">
        <v>71.2</v>
      </c>
      <c r="AS312" s="16">
        <v>80.400000000000006</v>
      </c>
      <c r="AT312" s="16">
        <v>16.3</v>
      </c>
      <c r="AU312">
        <v>83.24</v>
      </c>
      <c r="AV312" s="17">
        <v>0</v>
      </c>
      <c r="AW312">
        <v>0</v>
      </c>
      <c r="AX312">
        <v>0</v>
      </c>
      <c r="AY312">
        <v>14.14</v>
      </c>
      <c r="AZ312">
        <v>0</v>
      </c>
      <c r="BA312">
        <v>2.63</v>
      </c>
      <c r="BB312">
        <v>0</v>
      </c>
      <c r="BC312">
        <v>0</v>
      </c>
      <c r="BD312">
        <v>0</v>
      </c>
      <c r="BE312">
        <v>0</v>
      </c>
      <c r="BF312">
        <v>2.63</v>
      </c>
      <c r="BG312">
        <v>10.16</v>
      </c>
      <c r="BH312">
        <v>20.83</v>
      </c>
      <c r="BI312">
        <v>24.81</v>
      </c>
      <c r="BJ312">
        <v>0</v>
      </c>
      <c r="BK312">
        <v>11.2</v>
      </c>
      <c r="BL312">
        <v>1</v>
      </c>
      <c r="BM312">
        <v>0</v>
      </c>
      <c r="BN312">
        <v>0</v>
      </c>
      <c r="BO312">
        <v>0</v>
      </c>
      <c r="BP312" s="16">
        <v>2.71</v>
      </c>
      <c r="BQ312" s="16">
        <v>1</v>
      </c>
      <c r="BR312" s="16">
        <v>2.63</v>
      </c>
      <c r="BS312" s="16">
        <v>2.6</v>
      </c>
      <c r="BT312" s="16">
        <v>0</v>
      </c>
      <c r="BU312" s="16">
        <v>0</v>
      </c>
      <c r="BV312" s="16">
        <v>0</v>
      </c>
      <c r="BW312">
        <v>0</v>
      </c>
    </row>
    <row r="313" spans="1:75" x14ac:dyDescent="0.2">
      <c r="A313">
        <v>2</v>
      </c>
      <c r="B313">
        <v>31.134839151266299</v>
      </c>
      <c r="C313">
        <v>0.24914442162902101</v>
      </c>
      <c r="D313">
        <v>8</v>
      </c>
      <c r="E313">
        <v>70</v>
      </c>
      <c r="F313">
        <v>1.7</v>
      </c>
      <c r="G313">
        <v>24.2214532871972</v>
      </c>
      <c r="H313">
        <v>0</v>
      </c>
      <c r="I313">
        <v>0</v>
      </c>
      <c r="J313" s="19">
        <v>0</v>
      </c>
      <c r="K313" s="19">
        <v>1</v>
      </c>
      <c r="L313" s="19">
        <v>0</v>
      </c>
      <c r="M313" s="19">
        <v>0</v>
      </c>
      <c r="N313">
        <v>0</v>
      </c>
      <c r="O313" s="19">
        <v>0</v>
      </c>
      <c r="P313" s="19">
        <v>0</v>
      </c>
      <c r="Q313" s="19">
        <v>0</v>
      </c>
      <c r="R313" s="19">
        <v>0</v>
      </c>
      <c r="S313" s="19">
        <v>0</v>
      </c>
      <c r="T313" s="19">
        <v>0</v>
      </c>
      <c r="U313" s="19">
        <v>0</v>
      </c>
      <c r="V313" s="15">
        <f t="shared" si="10"/>
        <v>0</v>
      </c>
      <c r="W313" s="19">
        <v>2</v>
      </c>
      <c r="X313" s="19">
        <v>3</v>
      </c>
      <c r="Y313" s="19">
        <v>3</v>
      </c>
      <c r="Z313" s="19">
        <v>3</v>
      </c>
      <c r="AA313" s="19">
        <v>2</v>
      </c>
      <c r="AB313" s="19">
        <v>2</v>
      </c>
      <c r="AC313" s="19">
        <v>2</v>
      </c>
      <c r="AD313" s="19">
        <v>3</v>
      </c>
      <c r="AE313" s="19">
        <v>3</v>
      </c>
      <c r="AF313" s="19">
        <v>3</v>
      </c>
      <c r="AG313" s="19">
        <v>3</v>
      </c>
      <c r="AH313" s="19">
        <v>4</v>
      </c>
      <c r="AI313" s="19">
        <v>4</v>
      </c>
      <c r="AJ313" s="19">
        <v>4</v>
      </c>
      <c r="AK313" s="19">
        <v>5</v>
      </c>
      <c r="AL313" s="19">
        <v>5</v>
      </c>
      <c r="AM313" s="19">
        <v>4</v>
      </c>
      <c r="AN313" s="19">
        <v>4</v>
      </c>
      <c r="AO313" s="19">
        <v>4</v>
      </c>
      <c r="AP313" s="19">
        <v>10</v>
      </c>
      <c r="AQ313">
        <v>33</v>
      </c>
      <c r="AR313" s="16">
        <v>71.2</v>
      </c>
      <c r="AS313" s="16">
        <v>80.400000000000006</v>
      </c>
      <c r="AT313" s="16">
        <v>16.3</v>
      </c>
      <c r="AU313">
        <v>83.24</v>
      </c>
      <c r="AV313" s="17">
        <v>0</v>
      </c>
      <c r="AW313">
        <v>0</v>
      </c>
      <c r="AX313">
        <v>0</v>
      </c>
      <c r="AY313">
        <v>14.14</v>
      </c>
      <c r="AZ313">
        <v>0</v>
      </c>
      <c r="BA313">
        <v>2.63</v>
      </c>
      <c r="BB313">
        <v>0</v>
      </c>
      <c r="BC313">
        <v>0</v>
      </c>
      <c r="BD313">
        <v>0</v>
      </c>
      <c r="BE313">
        <v>0</v>
      </c>
      <c r="BF313">
        <v>2.63</v>
      </c>
      <c r="BG313">
        <v>10.16</v>
      </c>
      <c r="BH313">
        <v>20.83</v>
      </c>
      <c r="BI313">
        <v>24.81</v>
      </c>
      <c r="BJ313">
        <v>0</v>
      </c>
      <c r="BK313">
        <v>11.2</v>
      </c>
      <c r="BL313">
        <v>1</v>
      </c>
      <c r="BM313">
        <v>0</v>
      </c>
      <c r="BN313">
        <v>0</v>
      </c>
      <c r="BO313">
        <v>0</v>
      </c>
      <c r="BP313" s="16">
        <v>2.71</v>
      </c>
      <c r="BQ313" s="16">
        <v>1</v>
      </c>
      <c r="BR313" s="16">
        <v>2.63</v>
      </c>
      <c r="BS313" s="16">
        <v>2.6</v>
      </c>
      <c r="BT313" s="16">
        <v>0</v>
      </c>
      <c r="BU313" s="16">
        <v>0</v>
      </c>
      <c r="BV313" s="16">
        <v>0</v>
      </c>
      <c r="BW313">
        <v>0</v>
      </c>
    </row>
    <row r="314" spans="1:75" x14ac:dyDescent="0.2">
      <c r="A314">
        <v>1</v>
      </c>
      <c r="B314">
        <v>38.266940451745398</v>
      </c>
      <c r="C314">
        <v>0.35318275154004097</v>
      </c>
      <c r="D314">
        <v>8</v>
      </c>
      <c r="E314">
        <v>55</v>
      </c>
      <c r="F314">
        <v>1.62</v>
      </c>
      <c r="G314">
        <v>20.9571711629325</v>
      </c>
      <c r="H314">
        <v>0</v>
      </c>
      <c r="I314">
        <v>0</v>
      </c>
      <c r="J314" s="19">
        <v>0</v>
      </c>
      <c r="K314" s="19">
        <v>2</v>
      </c>
      <c r="L314" s="19">
        <v>0</v>
      </c>
      <c r="M314" s="19">
        <v>0</v>
      </c>
      <c r="N314">
        <v>0</v>
      </c>
      <c r="O314" s="19">
        <v>0</v>
      </c>
      <c r="P314" s="19">
        <v>0</v>
      </c>
      <c r="Q314" s="19">
        <v>0</v>
      </c>
      <c r="R314" s="19">
        <v>0</v>
      </c>
      <c r="S314" s="19">
        <v>0</v>
      </c>
      <c r="T314" s="19">
        <v>0</v>
      </c>
      <c r="U314" s="19">
        <v>0</v>
      </c>
      <c r="V314" s="15">
        <f t="shared" si="10"/>
        <v>0</v>
      </c>
      <c r="W314" s="19">
        <v>1</v>
      </c>
      <c r="X314" s="19">
        <v>2</v>
      </c>
      <c r="Y314" s="19">
        <v>3</v>
      </c>
      <c r="Z314" s="19">
        <v>3</v>
      </c>
      <c r="AA314" s="19">
        <v>3</v>
      </c>
      <c r="AB314" s="19">
        <v>3</v>
      </c>
      <c r="AC314" s="19">
        <v>3</v>
      </c>
      <c r="AD314" s="19">
        <v>5</v>
      </c>
      <c r="AE314" s="19">
        <v>5</v>
      </c>
      <c r="AF314" s="19">
        <v>5</v>
      </c>
      <c r="AG314" s="19">
        <v>5</v>
      </c>
      <c r="AH314" s="19">
        <v>5</v>
      </c>
      <c r="AI314" s="19">
        <v>5</v>
      </c>
      <c r="AJ314" s="19">
        <v>5</v>
      </c>
      <c r="AK314" s="19">
        <v>3</v>
      </c>
      <c r="AL314" s="19">
        <v>5</v>
      </c>
      <c r="AM314" s="19">
        <v>5</v>
      </c>
      <c r="AN314" s="19">
        <v>5</v>
      </c>
      <c r="AO314" s="19">
        <v>5</v>
      </c>
      <c r="AP314" s="19">
        <v>9</v>
      </c>
      <c r="AQ314">
        <v>33</v>
      </c>
      <c r="AR314" s="16">
        <v>71.2</v>
      </c>
      <c r="AS314" s="16">
        <v>80.400000000000006</v>
      </c>
      <c r="AT314" s="16">
        <v>16.3</v>
      </c>
      <c r="AU314">
        <v>83.24</v>
      </c>
      <c r="AV314" s="17">
        <v>0</v>
      </c>
      <c r="AW314">
        <v>0</v>
      </c>
      <c r="AX314">
        <v>0</v>
      </c>
      <c r="AY314">
        <v>14.14</v>
      </c>
      <c r="AZ314">
        <v>0</v>
      </c>
      <c r="BA314">
        <v>2.63</v>
      </c>
      <c r="BB314">
        <v>0</v>
      </c>
      <c r="BC314">
        <v>0</v>
      </c>
      <c r="BD314">
        <v>0</v>
      </c>
      <c r="BE314">
        <v>0</v>
      </c>
      <c r="BF314">
        <v>2.63</v>
      </c>
      <c r="BG314">
        <v>10.16</v>
      </c>
      <c r="BH314">
        <v>20.83</v>
      </c>
      <c r="BI314">
        <v>24.81</v>
      </c>
      <c r="BJ314">
        <v>0</v>
      </c>
      <c r="BK314">
        <v>11.2</v>
      </c>
      <c r="BL314">
        <v>1</v>
      </c>
      <c r="BM314">
        <v>0</v>
      </c>
      <c r="BN314">
        <v>0</v>
      </c>
      <c r="BO314">
        <v>0</v>
      </c>
      <c r="BP314" s="16">
        <v>2.71</v>
      </c>
      <c r="BQ314" s="16">
        <v>1</v>
      </c>
      <c r="BR314" s="16">
        <v>2.63</v>
      </c>
      <c r="BS314" s="16">
        <v>2.6</v>
      </c>
      <c r="BT314" s="16">
        <v>0</v>
      </c>
      <c r="BU314" s="16">
        <v>0</v>
      </c>
      <c r="BV314" s="16">
        <v>0</v>
      </c>
      <c r="BW314">
        <v>0</v>
      </c>
    </row>
    <row r="315" spans="1:75" x14ac:dyDescent="0.2">
      <c r="A315">
        <v>1</v>
      </c>
      <c r="B315">
        <v>19.622176591375801</v>
      </c>
      <c r="C315">
        <v>0.31485284052019202</v>
      </c>
      <c r="D315">
        <v>8</v>
      </c>
      <c r="E315">
        <v>45</v>
      </c>
      <c r="F315">
        <v>1.56</v>
      </c>
      <c r="G315">
        <v>18.491124260355001</v>
      </c>
      <c r="H315">
        <v>0</v>
      </c>
      <c r="I315">
        <v>0</v>
      </c>
      <c r="J315" s="19">
        <v>0</v>
      </c>
      <c r="K315" s="19">
        <v>0</v>
      </c>
      <c r="L315" s="19">
        <v>1</v>
      </c>
      <c r="M315" s="19">
        <v>0</v>
      </c>
      <c r="N315">
        <v>0</v>
      </c>
      <c r="O315" s="19">
        <v>0</v>
      </c>
      <c r="P315" s="19">
        <v>0</v>
      </c>
      <c r="Q315" s="19">
        <v>0</v>
      </c>
      <c r="R315" s="19">
        <v>0</v>
      </c>
      <c r="S315" s="19">
        <v>0</v>
      </c>
      <c r="T315" s="19">
        <v>0</v>
      </c>
      <c r="U315" s="19">
        <v>0</v>
      </c>
      <c r="V315" s="15">
        <f t="shared" si="10"/>
        <v>0</v>
      </c>
      <c r="W315" s="19">
        <v>1</v>
      </c>
      <c r="X315" s="19">
        <v>1</v>
      </c>
      <c r="Y315" s="19">
        <v>1</v>
      </c>
      <c r="Z315" s="19">
        <v>2</v>
      </c>
      <c r="AA315" s="19">
        <v>1</v>
      </c>
      <c r="AB315" s="19">
        <v>1</v>
      </c>
      <c r="AC315" s="19">
        <v>1</v>
      </c>
      <c r="AD315" s="19">
        <v>2</v>
      </c>
      <c r="AE315" s="19">
        <v>4</v>
      </c>
      <c r="AF315" s="19">
        <v>5</v>
      </c>
      <c r="AG315" s="19">
        <v>5</v>
      </c>
      <c r="AH315" s="19">
        <v>5</v>
      </c>
      <c r="AI315" s="19">
        <v>4</v>
      </c>
      <c r="AJ315" s="19">
        <v>5</v>
      </c>
      <c r="AK315" s="19">
        <v>5</v>
      </c>
      <c r="AL315" s="19">
        <v>5</v>
      </c>
      <c r="AM315" s="19">
        <v>5</v>
      </c>
      <c r="AN315" s="19">
        <v>5</v>
      </c>
      <c r="AO315" s="19">
        <v>5</v>
      </c>
      <c r="AP315" s="19">
        <v>10</v>
      </c>
      <c r="AQ315">
        <v>48</v>
      </c>
      <c r="AR315" s="16">
        <v>69.7</v>
      </c>
      <c r="AS315" s="16">
        <v>80.400000000000006</v>
      </c>
      <c r="AT315" s="16">
        <v>44.5</v>
      </c>
      <c r="AU315">
        <v>13.55</v>
      </c>
      <c r="AV315" s="17">
        <v>0</v>
      </c>
      <c r="AW315">
        <v>0</v>
      </c>
      <c r="AX315">
        <v>0</v>
      </c>
      <c r="AY315">
        <v>0.1</v>
      </c>
      <c r="AZ315">
        <v>0</v>
      </c>
      <c r="BA315">
        <v>86.34</v>
      </c>
      <c r="BB315">
        <v>13.26</v>
      </c>
      <c r="BC315">
        <v>28.53</v>
      </c>
      <c r="BD315">
        <v>0</v>
      </c>
      <c r="BE315">
        <v>0</v>
      </c>
      <c r="BF315">
        <v>0.78</v>
      </c>
      <c r="BG315">
        <v>3.48</v>
      </c>
      <c r="BH315">
        <v>11.45</v>
      </c>
      <c r="BI315">
        <v>6.85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 s="16">
        <v>0.75</v>
      </c>
      <c r="BQ315" s="16">
        <v>1</v>
      </c>
      <c r="BR315" s="16">
        <v>2.66</v>
      </c>
      <c r="BS315" s="16">
        <v>2.64</v>
      </c>
      <c r="BT315" s="16">
        <v>0</v>
      </c>
      <c r="BU315" s="16">
        <v>0</v>
      </c>
      <c r="BV315" s="16">
        <v>0</v>
      </c>
      <c r="BW315">
        <v>0</v>
      </c>
    </row>
    <row r="316" spans="1:75" x14ac:dyDescent="0.2">
      <c r="A316">
        <v>2</v>
      </c>
      <c r="B316">
        <v>23.682409308692701</v>
      </c>
      <c r="C316">
        <v>0.25735797399041799</v>
      </c>
      <c r="D316">
        <v>8</v>
      </c>
      <c r="E316">
        <v>70</v>
      </c>
      <c r="F316">
        <v>1.83</v>
      </c>
      <c r="G316">
        <v>20.902385858042901</v>
      </c>
      <c r="H316">
        <v>0</v>
      </c>
      <c r="I316">
        <v>0</v>
      </c>
      <c r="J316" s="19">
        <v>0</v>
      </c>
      <c r="K316" s="19">
        <v>2</v>
      </c>
      <c r="L316" s="19">
        <v>1</v>
      </c>
      <c r="M316" s="19">
        <v>0</v>
      </c>
      <c r="N316">
        <v>0</v>
      </c>
      <c r="O316" s="19">
        <v>0</v>
      </c>
      <c r="P316" s="19">
        <v>0</v>
      </c>
      <c r="Q316" s="19">
        <v>0</v>
      </c>
      <c r="R316" s="19">
        <v>0</v>
      </c>
      <c r="S316" s="19">
        <v>0</v>
      </c>
      <c r="T316" s="19">
        <v>0</v>
      </c>
      <c r="U316" s="19">
        <v>0</v>
      </c>
      <c r="V316" s="15">
        <f t="shared" ref="V316:V347" si="11">AVERAGE(M316:U316)</f>
        <v>0</v>
      </c>
      <c r="W316" s="19">
        <v>1</v>
      </c>
      <c r="X316" s="19">
        <v>2</v>
      </c>
      <c r="Y316" s="19">
        <v>2</v>
      </c>
      <c r="Z316" s="19">
        <v>4</v>
      </c>
      <c r="AA316" s="19">
        <v>2</v>
      </c>
      <c r="AB316" s="19">
        <v>2</v>
      </c>
      <c r="AC316" s="19">
        <v>3</v>
      </c>
      <c r="AD316" s="19">
        <v>4</v>
      </c>
      <c r="AE316" s="19">
        <v>5</v>
      </c>
      <c r="AF316" s="19">
        <v>4</v>
      </c>
      <c r="AG316" s="19">
        <v>4</v>
      </c>
      <c r="AH316" s="19">
        <v>4</v>
      </c>
      <c r="AI316" s="19">
        <v>3</v>
      </c>
      <c r="AJ316" s="19">
        <v>4</v>
      </c>
      <c r="AK316" s="19">
        <v>5</v>
      </c>
      <c r="AL316" s="19">
        <v>5</v>
      </c>
      <c r="AM316" s="19">
        <v>5</v>
      </c>
      <c r="AN316" s="19">
        <v>5</v>
      </c>
      <c r="AO316" s="19">
        <v>4</v>
      </c>
      <c r="AP316" s="19">
        <v>8</v>
      </c>
      <c r="AQ316">
        <v>40</v>
      </c>
      <c r="AR316" s="16">
        <v>79.7</v>
      </c>
      <c r="AS316" s="16">
        <v>80.400000000000006</v>
      </c>
      <c r="AT316" s="16">
        <v>11.2</v>
      </c>
      <c r="AU316">
        <v>91.23</v>
      </c>
      <c r="AV316" s="17">
        <v>0</v>
      </c>
      <c r="AW316">
        <v>0</v>
      </c>
      <c r="AX316">
        <v>0</v>
      </c>
      <c r="AY316">
        <v>8.77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18.64</v>
      </c>
      <c r="BH316">
        <v>42.82</v>
      </c>
      <c r="BI316">
        <v>4.6100000000000003</v>
      </c>
      <c r="BJ316">
        <v>0</v>
      </c>
      <c r="BK316">
        <v>0</v>
      </c>
      <c r="BL316">
        <v>0</v>
      </c>
      <c r="BM316">
        <v>23.2</v>
      </c>
      <c r="BN316">
        <v>1</v>
      </c>
      <c r="BO316">
        <v>0</v>
      </c>
      <c r="BP316" s="16">
        <v>1.52</v>
      </c>
      <c r="BQ316" s="16">
        <v>1</v>
      </c>
      <c r="BR316" s="16">
        <v>0</v>
      </c>
      <c r="BS316" s="16">
        <v>0</v>
      </c>
      <c r="BT316" s="16">
        <v>0</v>
      </c>
      <c r="BU316" s="16">
        <v>0</v>
      </c>
      <c r="BV316" s="16">
        <v>0.06</v>
      </c>
      <c r="BW316">
        <v>0</v>
      </c>
    </row>
    <row r="317" spans="1:75" x14ac:dyDescent="0.2">
      <c r="A317">
        <v>2</v>
      </c>
      <c r="B317">
        <v>31.014373716632399</v>
      </c>
      <c r="C317">
        <v>0.30663928815879499</v>
      </c>
      <c r="D317">
        <v>8</v>
      </c>
      <c r="E317">
        <v>80</v>
      </c>
      <c r="F317">
        <v>1.75</v>
      </c>
      <c r="G317">
        <v>26.122448979591798</v>
      </c>
      <c r="H317">
        <v>0</v>
      </c>
      <c r="I317">
        <v>0</v>
      </c>
      <c r="J317" s="19">
        <v>0</v>
      </c>
      <c r="K317" s="19">
        <v>1</v>
      </c>
      <c r="L317" s="19">
        <v>0</v>
      </c>
      <c r="M317" s="19">
        <v>0</v>
      </c>
      <c r="N317">
        <v>0</v>
      </c>
      <c r="O317" s="19">
        <v>0</v>
      </c>
      <c r="P317" s="19"/>
      <c r="Q317" s="19"/>
      <c r="R317" s="19">
        <v>0</v>
      </c>
      <c r="S317" s="19">
        <v>0</v>
      </c>
      <c r="T317" s="19">
        <v>0</v>
      </c>
      <c r="U317" s="19">
        <v>0</v>
      </c>
      <c r="V317" s="15">
        <f t="shared" si="11"/>
        <v>0</v>
      </c>
      <c r="W317" s="19">
        <v>2</v>
      </c>
      <c r="X317" s="19">
        <v>1</v>
      </c>
      <c r="Y317" s="19">
        <v>3</v>
      </c>
      <c r="Z317" s="19">
        <v>5</v>
      </c>
      <c r="AA317" s="19">
        <v>2</v>
      </c>
      <c r="AB317" s="19">
        <v>1</v>
      </c>
      <c r="AC317" s="19">
        <v>3</v>
      </c>
      <c r="AD317" s="19">
        <v>3</v>
      </c>
      <c r="AE317" s="19">
        <v>4</v>
      </c>
      <c r="AF317" s="19">
        <v>5</v>
      </c>
      <c r="AG317" s="19">
        <v>5</v>
      </c>
      <c r="AH317" s="19">
        <v>4</v>
      </c>
      <c r="AI317" s="19">
        <v>4</v>
      </c>
      <c r="AJ317" s="19">
        <v>5</v>
      </c>
      <c r="AK317" s="19">
        <v>5</v>
      </c>
      <c r="AL317" s="19">
        <v>5</v>
      </c>
      <c r="AM317" s="19">
        <v>5</v>
      </c>
      <c r="AN317" s="19">
        <v>5</v>
      </c>
      <c r="AO317" s="19">
        <v>5</v>
      </c>
      <c r="AP317" s="19">
        <v>9</v>
      </c>
      <c r="AQ317">
        <v>33</v>
      </c>
      <c r="AR317" s="16">
        <v>71.2</v>
      </c>
      <c r="AS317" s="16">
        <v>80.400000000000006</v>
      </c>
      <c r="AT317" s="16">
        <v>16.3</v>
      </c>
      <c r="AU317">
        <v>83.24</v>
      </c>
      <c r="AV317" s="17">
        <v>0</v>
      </c>
      <c r="AW317">
        <v>0</v>
      </c>
      <c r="AX317">
        <v>0</v>
      </c>
      <c r="AY317">
        <v>14.14</v>
      </c>
      <c r="AZ317">
        <v>0</v>
      </c>
      <c r="BA317">
        <v>2.63</v>
      </c>
      <c r="BB317">
        <v>0</v>
      </c>
      <c r="BC317">
        <v>0</v>
      </c>
      <c r="BD317">
        <v>0</v>
      </c>
      <c r="BE317">
        <v>0</v>
      </c>
      <c r="BF317">
        <v>2.63</v>
      </c>
      <c r="BG317">
        <v>10.16</v>
      </c>
      <c r="BH317">
        <v>20.83</v>
      </c>
      <c r="BI317">
        <v>24.81</v>
      </c>
      <c r="BJ317">
        <v>0</v>
      </c>
      <c r="BK317">
        <v>11.2</v>
      </c>
      <c r="BL317">
        <v>1</v>
      </c>
      <c r="BM317">
        <v>0</v>
      </c>
      <c r="BN317">
        <v>0</v>
      </c>
      <c r="BO317">
        <v>0</v>
      </c>
      <c r="BP317" s="16">
        <v>2.71</v>
      </c>
      <c r="BQ317" s="16">
        <v>1</v>
      </c>
      <c r="BR317" s="16">
        <v>2.63</v>
      </c>
      <c r="BS317" s="16">
        <v>2.6</v>
      </c>
      <c r="BT317" s="16">
        <v>0</v>
      </c>
      <c r="BU317" s="16">
        <v>0</v>
      </c>
      <c r="BV317" s="16">
        <v>0</v>
      </c>
      <c r="BW317">
        <v>0</v>
      </c>
    </row>
    <row r="318" spans="1:75" x14ac:dyDescent="0.2">
      <c r="A318">
        <v>1</v>
      </c>
      <c r="B318">
        <v>45.368925393566101</v>
      </c>
      <c r="C318">
        <v>5.9329226557152603</v>
      </c>
      <c r="D318">
        <v>8</v>
      </c>
      <c r="E318">
        <v>80</v>
      </c>
      <c r="F318">
        <v>1.77</v>
      </c>
      <c r="G318">
        <v>25.5354463915222</v>
      </c>
      <c r="H318">
        <v>1</v>
      </c>
      <c r="I318">
        <v>1</v>
      </c>
      <c r="J318" s="19">
        <v>0</v>
      </c>
      <c r="K318" s="19">
        <v>0</v>
      </c>
      <c r="L318" s="19">
        <v>0</v>
      </c>
      <c r="M318" s="19">
        <v>0</v>
      </c>
      <c r="N318">
        <v>6</v>
      </c>
      <c r="O318" s="19">
        <v>9</v>
      </c>
      <c r="P318" s="19">
        <v>0</v>
      </c>
      <c r="Q318" s="19">
        <v>0</v>
      </c>
      <c r="R318" s="19">
        <v>6</v>
      </c>
      <c r="S318" s="19">
        <v>6</v>
      </c>
      <c r="T318" s="19">
        <v>0</v>
      </c>
      <c r="U318" s="19">
        <v>0</v>
      </c>
      <c r="V318" s="15">
        <f t="shared" si="11"/>
        <v>3</v>
      </c>
      <c r="W318" s="19">
        <v>3</v>
      </c>
      <c r="X318" s="19">
        <v>3</v>
      </c>
      <c r="Y318" s="19">
        <v>5</v>
      </c>
      <c r="Z318" s="19">
        <v>5</v>
      </c>
      <c r="AA318" s="19">
        <v>2</v>
      </c>
      <c r="AB318" s="19">
        <v>4</v>
      </c>
      <c r="AC318" s="19">
        <v>3</v>
      </c>
      <c r="AD318" s="19">
        <v>5</v>
      </c>
      <c r="AE318" s="19">
        <v>3</v>
      </c>
      <c r="AF318" s="19">
        <v>4</v>
      </c>
      <c r="AG318" s="19">
        <v>4</v>
      </c>
      <c r="AH318" s="19">
        <v>5</v>
      </c>
      <c r="AI318" s="19">
        <v>2</v>
      </c>
      <c r="AJ318" s="19">
        <v>4</v>
      </c>
      <c r="AK318" s="19">
        <v>5</v>
      </c>
      <c r="AL318" s="19">
        <v>5</v>
      </c>
      <c r="AM318" s="19">
        <v>4</v>
      </c>
      <c r="AN318" s="19">
        <v>5</v>
      </c>
      <c r="AO318" s="19">
        <v>5</v>
      </c>
      <c r="AP318" s="19">
        <v>9</v>
      </c>
      <c r="AQ318">
        <v>33</v>
      </c>
      <c r="AR318" s="16">
        <v>71.2</v>
      </c>
      <c r="AS318" s="16">
        <v>80.400000000000006</v>
      </c>
      <c r="AT318" s="16">
        <v>16.3</v>
      </c>
      <c r="AU318">
        <v>83.24</v>
      </c>
      <c r="AV318" s="17">
        <v>0</v>
      </c>
      <c r="AW318">
        <v>0</v>
      </c>
      <c r="AX318">
        <v>0</v>
      </c>
      <c r="AY318">
        <v>14.14</v>
      </c>
      <c r="AZ318">
        <v>0</v>
      </c>
      <c r="BA318">
        <v>2.63</v>
      </c>
      <c r="BB318">
        <v>0</v>
      </c>
      <c r="BC318">
        <v>0</v>
      </c>
      <c r="BD318">
        <v>0</v>
      </c>
      <c r="BE318">
        <v>0</v>
      </c>
      <c r="BF318">
        <v>2.63</v>
      </c>
      <c r="BG318">
        <v>10.16</v>
      </c>
      <c r="BH318">
        <v>20.83</v>
      </c>
      <c r="BI318">
        <v>24.81</v>
      </c>
      <c r="BJ318">
        <v>0</v>
      </c>
      <c r="BK318">
        <v>11.2</v>
      </c>
      <c r="BL318">
        <v>1</v>
      </c>
      <c r="BM318">
        <v>0</v>
      </c>
      <c r="BN318">
        <v>0</v>
      </c>
      <c r="BO318">
        <v>0</v>
      </c>
      <c r="BP318" s="16">
        <v>2.71</v>
      </c>
      <c r="BQ318" s="16">
        <v>1</v>
      </c>
      <c r="BR318" s="16">
        <v>2.63</v>
      </c>
      <c r="BS318" s="16">
        <v>2.6</v>
      </c>
      <c r="BT318" s="16">
        <v>0</v>
      </c>
      <c r="BU318" s="16">
        <v>0</v>
      </c>
      <c r="BV318" s="16">
        <v>0</v>
      </c>
      <c r="BW318">
        <v>0</v>
      </c>
    </row>
    <row r="319" spans="1:75" x14ac:dyDescent="0.2">
      <c r="A319">
        <v>2</v>
      </c>
      <c r="B319">
        <v>22.368240930869302</v>
      </c>
      <c r="C319">
        <v>0.284736481861739</v>
      </c>
      <c r="D319">
        <v>8</v>
      </c>
      <c r="E319">
        <v>75</v>
      </c>
      <c r="F319">
        <v>1.75</v>
      </c>
      <c r="G319">
        <v>24.4897959183673</v>
      </c>
      <c r="H319">
        <v>0</v>
      </c>
      <c r="I319">
        <v>0</v>
      </c>
      <c r="J319" s="19"/>
      <c r="K319" s="19">
        <v>1</v>
      </c>
      <c r="L319" s="19">
        <v>0</v>
      </c>
      <c r="M319" s="19">
        <v>0</v>
      </c>
      <c r="N319">
        <v>0</v>
      </c>
      <c r="O319" s="19">
        <v>0</v>
      </c>
      <c r="P319" s="19">
        <v>0</v>
      </c>
      <c r="Q319" s="19">
        <v>0</v>
      </c>
      <c r="R319" s="19">
        <v>7</v>
      </c>
      <c r="S319" s="19">
        <v>3</v>
      </c>
      <c r="T319" s="19">
        <v>0</v>
      </c>
      <c r="U319" s="19">
        <v>0</v>
      </c>
      <c r="V319" s="15">
        <f t="shared" si="11"/>
        <v>1.1111111111111112</v>
      </c>
      <c r="W319" s="19">
        <v>2</v>
      </c>
      <c r="X319" s="19">
        <v>3</v>
      </c>
      <c r="Y319" s="19">
        <v>3</v>
      </c>
      <c r="Z319" s="19">
        <v>4</v>
      </c>
      <c r="AA319" s="19">
        <v>3</v>
      </c>
      <c r="AB319" s="19">
        <v>2</v>
      </c>
      <c r="AC319" s="19">
        <v>3</v>
      </c>
      <c r="AD319" s="19">
        <v>3</v>
      </c>
      <c r="AE319" s="19">
        <v>4</v>
      </c>
      <c r="AF319" s="19">
        <v>4</v>
      </c>
      <c r="AG319" s="19">
        <v>4</v>
      </c>
      <c r="AH319" s="19">
        <v>5</v>
      </c>
      <c r="AI319" s="19">
        <v>3</v>
      </c>
      <c r="AJ319" s="19">
        <v>4</v>
      </c>
      <c r="AK319" s="19">
        <v>5</v>
      </c>
      <c r="AL319" s="19">
        <v>5</v>
      </c>
      <c r="AM319" s="19">
        <v>4</v>
      </c>
      <c r="AN319" s="19">
        <v>5</v>
      </c>
      <c r="AO319" s="19">
        <v>5</v>
      </c>
      <c r="AP319" s="19">
        <v>10</v>
      </c>
      <c r="AQ319">
        <v>33</v>
      </c>
      <c r="AR319" s="16">
        <v>71.2</v>
      </c>
      <c r="AS319" s="16">
        <v>80.400000000000006</v>
      </c>
      <c r="AT319" s="16">
        <v>16.3</v>
      </c>
      <c r="AU319">
        <v>83.24</v>
      </c>
      <c r="AV319" s="17">
        <v>0</v>
      </c>
      <c r="AW319">
        <v>0</v>
      </c>
      <c r="AX319">
        <v>0</v>
      </c>
      <c r="AY319">
        <v>14.14</v>
      </c>
      <c r="AZ319">
        <v>0</v>
      </c>
      <c r="BA319">
        <v>2.63</v>
      </c>
      <c r="BB319">
        <v>0</v>
      </c>
      <c r="BC319">
        <v>0</v>
      </c>
      <c r="BD319">
        <v>0</v>
      </c>
      <c r="BE319">
        <v>0</v>
      </c>
      <c r="BF319">
        <v>2.63</v>
      </c>
      <c r="BG319">
        <v>10.16</v>
      </c>
      <c r="BH319">
        <v>20.83</v>
      </c>
      <c r="BI319">
        <v>24.81</v>
      </c>
      <c r="BJ319">
        <v>0</v>
      </c>
      <c r="BK319">
        <v>11.2</v>
      </c>
      <c r="BL319">
        <v>1</v>
      </c>
      <c r="BM319">
        <v>0</v>
      </c>
      <c r="BN319">
        <v>0</v>
      </c>
      <c r="BO319">
        <v>0</v>
      </c>
      <c r="BP319" s="16">
        <v>2.71</v>
      </c>
      <c r="BQ319" s="16">
        <v>1</v>
      </c>
      <c r="BR319" s="16">
        <v>2.63</v>
      </c>
      <c r="BS319" s="16">
        <v>2.6</v>
      </c>
      <c r="BT319" s="16">
        <v>0</v>
      </c>
      <c r="BU319" s="16">
        <v>0</v>
      </c>
      <c r="BV319" s="16">
        <v>0</v>
      </c>
      <c r="BW319">
        <v>0</v>
      </c>
    </row>
    <row r="320" spans="1:75" x14ac:dyDescent="0.2">
      <c r="A320">
        <v>2</v>
      </c>
      <c r="B320">
        <v>26.882956878850099</v>
      </c>
      <c r="C320">
        <v>0.29021218343600302</v>
      </c>
      <c r="D320">
        <v>8</v>
      </c>
      <c r="E320">
        <v>69</v>
      </c>
      <c r="F320">
        <v>1.74</v>
      </c>
      <c r="G320">
        <v>22.7903289734443</v>
      </c>
      <c r="H320">
        <v>0</v>
      </c>
      <c r="I320">
        <v>0</v>
      </c>
      <c r="J320" s="19">
        <v>0</v>
      </c>
      <c r="K320" s="19">
        <v>2</v>
      </c>
      <c r="L320" s="19">
        <v>1</v>
      </c>
      <c r="M320" s="19">
        <v>0</v>
      </c>
      <c r="N320">
        <v>0</v>
      </c>
      <c r="O320" s="19">
        <v>0</v>
      </c>
      <c r="P320" s="19">
        <v>0</v>
      </c>
      <c r="Q320" s="19">
        <v>0</v>
      </c>
      <c r="R320" s="19">
        <v>0</v>
      </c>
      <c r="S320" s="19">
        <v>0</v>
      </c>
      <c r="T320" s="19">
        <v>0</v>
      </c>
      <c r="U320" s="19">
        <v>0</v>
      </c>
      <c r="V320" s="15">
        <f t="shared" si="11"/>
        <v>0</v>
      </c>
      <c r="W320" s="19">
        <v>1</v>
      </c>
      <c r="X320" s="19">
        <v>2</v>
      </c>
      <c r="Y320" s="19">
        <v>3</v>
      </c>
      <c r="Z320" s="19">
        <v>5</v>
      </c>
      <c r="AA320" s="19">
        <v>2</v>
      </c>
      <c r="AB320" s="19">
        <v>2</v>
      </c>
      <c r="AC320" s="19">
        <v>5</v>
      </c>
      <c r="AD320" s="19">
        <v>4</v>
      </c>
      <c r="AE320" s="19">
        <v>4</v>
      </c>
      <c r="AF320" s="19">
        <v>5</v>
      </c>
      <c r="AG320" s="19">
        <v>5</v>
      </c>
      <c r="AH320" s="19">
        <v>5</v>
      </c>
      <c r="AI320" s="19">
        <v>5</v>
      </c>
      <c r="AJ320" s="19">
        <v>5</v>
      </c>
      <c r="AK320" s="19">
        <v>4</v>
      </c>
      <c r="AL320" s="19">
        <v>5</v>
      </c>
      <c r="AM320" s="19">
        <v>5</v>
      </c>
      <c r="AN320" s="19">
        <v>5</v>
      </c>
      <c r="AO320" s="19">
        <v>5</v>
      </c>
      <c r="AP320" s="19">
        <v>10</v>
      </c>
      <c r="AQ320">
        <v>33</v>
      </c>
      <c r="AR320" s="16">
        <v>71.2</v>
      </c>
      <c r="AS320" s="16">
        <v>80.400000000000006</v>
      </c>
      <c r="AT320" s="16">
        <v>16.3</v>
      </c>
      <c r="AU320">
        <v>83.24</v>
      </c>
      <c r="AV320" s="17">
        <v>0</v>
      </c>
      <c r="AW320">
        <v>0</v>
      </c>
      <c r="AX320">
        <v>0</v>
      </c>
      <c r="AY320">
        <v>14.14</v>
      </c>
      <c r="AZ320">
        <v>0</v>
      </c>
      <c r="BA320">
        <v>2.63</v>
      </c>
      <c r="BB320">
        <v>0</v>
      </c>
      <c r="BC320">
        <v>0</v>
      </c>
      <c r="BD320">
        <v>0</v>
      </c>
      <c r="BE320">
        <v>0</v>
      </c>
      <c r="BF320">
        <v>2.63</v>
      </c>
      <c r="BG320">
        <v>10.16</v>
      </c>
      <c r="BH320">
        <v>20.83</v>
      </c>
      <c r="BI320">
        <v>24.81</v>
      </c>
      <c r="BJ320">
        <v>0</v>
      </c>
      <c r="BK320">
        <v>11.2</v>
      </c>
      <c r="BL320">
        <v>1</v>
      </c>
      <c r="BM320">
        <v>0</v>
      </c>
      <c r="BN320">
        <v>0</v>
      </c>
      <c r="BO320">
        <v>0</v>
      </c>
      <c r="BP320" s="16">
        <v>2.71</v>
      </c>
      <c r="BQ320" s="16">
        <v>1</v>
      </c>
      <c r="BR320" s="16">
        <v>2.63</v>
      </c>
      <c r="BS320" s="16">
        <v>2.6</v>
      </c>
      <c r="BT320" s="16">
        <v>0</v>
      </c>
      <c r="BU320" s="16">
        <v>0</v>
      </c>
      <c r="BV320" s="16">
        <v>0</v>
      </c>
      <c r="BW320">
        <v>0</v>
      </c>
    </row>
    <row r="321" spans="1:75" x14ac:dyDescent="0.2">
      <c r="A321">
        <v>2</v>
      </c>
      <c r="B321">
        <v>27.7672826830938</v>
      </c>
      <c r="C321">
        <v>0.31759069130732398</v>
      </c>
      <c r="D321">
        <v>4</v>
      </c>
      <c r="E321">
        <v>125</v>
      </c>
      <c r="F321">
        <v>1.87</v>
      </c>
      <c r="G321">
        <v>35.745946409677103</v>
      </c>
      <c r="H321">
        <v>0</v>
      </c>
      <c r="I321">
        <v>0</v>
      </c>
      <c r="J321" s="19">
        <v>0</v>
      </c>
      <c r="K321" s="19">
        <v>1</v>
      </c>
      <c r="L321" s="19">
        <v>0</v>
      </c>
      <c r="M321" s="19">
        <v>0</v>
      </c>
      <c r="N321">
        <v>0</v>
      </c>
      <c r="O321" s="19">
        <v>0</v>
      </c>
      <c r="P321" s="19">
        <v>0</v>
      </c>
      <c r="Q321" s="19">
        <v>0</v>
      </c>
      <c r="R321" s="19">
        <v>0</v>
      </c>
      <c r="S321" s="19">
        <v>0</v>
      </c>
      <c r="T321" s="19">
        <v>0</v>
      </c>
      <c r="U321" s="19">
        <v>0</v>
      </c>
      <c r="V321" s="15">
        <f t="shared" si="11"/>
        <v>0</v>
      </c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9"/>
      <c r="AQ321">
        <v>33</v>
      </c>
      <c r="AR321" s="16">
        <v>71.2</v>
      </c>
      <c r="AS321" s="16">
        <v>80.400000000000006</v>
      </c>
      <c r="AT321" s="16">
        <v>16.3</v>
      </c>
      <c r="AU321">
        <v>83.24</v>
      </c>
      <c r="AV321" s="17">
        <v>0</v>
      </c>
      <c r="AW321">
        <v>0</v>
      </c>
      <c r="AX321">
        <v>0</v>
      </c>
      <c r="AY321">
        <v>14.14</v>
      </c>
      <c r="AZ321">
        <v>0</v>
      </c>
      <c r="BA321">
        <v>2.63</v>
      </c>
      <c r="BB321">
        <v>0</v>
      </c>
      <c r="BC321">
        <v>0</v>
      </c>
      <c r="BD321">
        <v>0</v>
      </c>
      <c r="BE321">
        <v>0</v>
      </c>
      <c r="BF321">
        <v>2.63</v>
      </c>
      <c r="BG321">
        <v>10.16</v>
      </c>
      <c r="BH321">
        <v>20.83</v>
      </c>
      <c r="BI321">
        <v>24.81</v>
      </c>
      <c r="BJ321">
        <v>0</v>
      </c>
      <c r="BK321">
        <v>11.2</v>
      </c>
      <c r="BL321">
        <v>1</v>
      </c>
      <c r="BM321">
        <v>0</v>
      </c>
      <c r="BN321">
        <v>0</v>
      </c>
      <c r="BO321">
        <v>0</v>
      </c>
      <c r="BP321" s="16">
        <v>2.71</v>
      </c>
      <c r="BQ321" s="16">
        <v>1</v>
      </c>
      <c r="BR321" s="16">
        <v>2.63</v>
      </c>
      <c r="BS321" s="16">
        <v>2.6</v>
      </c>
      <c r="BT321" s="16">
        <v>0</v>
      </c>
      <c r="BU321" s="16">
        <v>0</v>
      </c>
      <c r="BV321" s="16">
        <v>0</v>
      </c>
      <c r="BW321">
        <v>0</v>
      </c>
    </row>
    <row r="322" spans="1:75" x14ac:dyDescent="0.2">
      <c r="A322">
        <v>2</v>
      </c>
      <c r="B322">
        <v>28.487337440109499</v>
      </c>
      <c r="C322">
        <v>6.1054072553045904</v>
      </c>
      <c r="D322">
        <v>8</v>
      </c>
      <c r="E322">
        <v>65.7</v>
      </c>
      <c r="F322">
        <v>1.7</v>
      </c>
      <c r="G322">
        <v>22.733564013840802</v>
      </c>
      <c r="H322">
        <v>0</v>
      </c>
      <c r="I322">
        <v>0</v>
      </c>
      <c r="J322" s="19">
        <v>0</v>
      </c>
      <c r="K322" s="19">
        <v>1</v>
      </c>
      <c r="L322" s="19">
        <v>0</v>
      </c>
      <c r="M322" s="19">
        <v>0</v>
      </c>
      <c r="N322">
        <v>0</v>
      </c>
      <c r="O322" s="19">
        <v>0</v>
      </c>
      <c r="P322" s="19">
        <v>0</v>
      </c>
      <c r="Q322" s="19">
        <v>0</v>
      </c>
      <c r="R322" s="19">
        <v>0</v>
      </c>
      <c r="S322" s="19">
        <v>0</v>
      </c>
      <c r="T322" s="19">
        <v>0</v>
      </c>
      <c r="U322" s="19">
        <v>0</v>
      </c>
      <c r="V322" s="15">
        <f t="shared" si="11"/>
        <v>0</v>
      </c>
      <c r="W322" s="19">
        <v>3</v>
      </c>
      <c r="X322" s="19">
        <v>3</v>
      </c>
      <c r="Y322" s="19">
        <v>3</v>
      </c>
      <c r="Z322" s="19">
        <v>4</v>
      </c>
      <c r="AA322" s="19">
        <v>2</v>
      </c>
      <c r="AB322" s="19">
        <v>2</v>
      </c>
      <c r="AC322" s="19">
        <v>2</v>
      </c>
      <c r="AD322" s="19">
        <v>4</v>
      </c>
      <c r="AE322" s="19">
        <v>2</v>
      </c>
      <c r="AF322" s="19">
        <v>2</v>
      </c>
      <c r="AG322" s="19">
        <v>4</v>
      </c>
      <c r="AH322" s="19">
        <v>4</v>
      </c>
      <c r="AI322" s="19">
        <v>4</v>
      </c>
      <c r="AJ322" s="19">
        <v>4</v>
      </c>
      <c r="AK322" s="19">
        <v>4</v>
      </c>
      <c r="AL322" s="19">
        <v>4</v>
      </c>
      <c r="AM322" s="19">
        <v>4</v>
      </c>
      <c r="AN322" s="19">
        <v>4</v>
      </c>
      <c r="AO322" s="19">
        <v>4</v>
      </c>
      <c r="AP322" s="19">
        <v>8</v>
      </c>
      <c r="AQ322">
        <v>21.5</v>
      </c>
      <c r="AR322" s="16">
        <v>54.9</v>
      </c>
      <c r="AS322" s="16">
        <v>80.400000000000006</v>
      </c>
      <c r="AT322" s="16">
        <v>17.899999999999999</v>
      </c>
      <c r="AU322">
        <v>90.61</v>
      </c>
      <c r="AV322" s="17">
        <v>0</v>
      </c>
      <c r="AW322">
        <v>0</v>
      </c>
      <c r="AX322">
        <v>2.4500000000000002</v>
      </c>
      <c r="AY322">
        <v>6.94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12.16</v>
      </c>
      <c r="BG322">
        <v>24.45</v>
      </c>
      <c r="BH322">
        <v>4.8</v>
      </c>
      <c r="BI322">
        <v>5.1100000000000003</v>
      </c>
      <c r="BJ322">
        <v>0</v>
      </c>
      <c r="BK322">
        <v>0</v>
      </c>
      <c r="BL322">
        <v>0</v>
      </c>
      <c r="BM322">
        <v>2.9</v>
      </c>
      <c r="BN322">
        <v>1</v>
      </c>
      <c r="BO322">
        <v>1</v>
      </c>
      <c r="BP322" s="16">
        <v>0</v>
      </c>
      <c r="BQ322" s="16">
        <v>0</v>
      </c>
      <c r="BR322" s="16">
        <v>0.67</v>
      </c>
      <c r="BS322" s="16">
        <v>0.65</v>
      </c>
      <c r="BT322" s="16">
        <v>0</v>
      </c>
      <c r="BU322" s="16">
        <v>0</v>
      </c>
      <c r="BV322" s="16">
        <v>0</v>
      </c>
      <c r="BW322">
        <v>0</v>
      </c>
    </row>
    <row r="323" spans="1:75" x14ac:dyDescent="0.2">
      <c r="A323" s="24">
        <v>2</v>
      </c>
      <c r="B323">
        <v>39.485284052019203</v>
      </c>
      <c r="C323">
        <v>6.0561259411362096</v>
      </c>
      <c r="D323">
        <v>8</v>
      </c>
      <c r="E323">
        <v>75</v>
      </c>
      <c r="F323">
        <v>1.97</v>
      </c>
      <c r="G323">
        <v>19.325414208044499</v>
      </c>
      <c r="H323">
        <v>0</v>
      </c>
      <c r="I323">
        <v>0</v>
      </c>
      <c r="J323" s="26">
        <v>1</v>
      </c>
      <c r="K323" s="26">
        <v>1</v>
      </c>
      <c r="L323" s="26">
        <v>1</v>
      </c>
      <c r="M323" s="19">
        <v>0</v>
      </c>
      <c r="N323">
        <v>0</v>
      </c>
      <c r="O323" s="26">
        <v>0</v>
      </c>
      <c r="P323" s="19">
        <v>0</v>
      </c>
      <c r="Q323" s="19">
        <v>0</v>
      </c>
      <c r="R323" s="26">
        <v>0</v>
      </c>
      <c r="S323" s="26">
        <v>0</v>
      </c>
      <c r="T323" s="26">
        <v>0</v>
      </c>
      <c r="U323" s="26"/>
      <c r="V323" s="15">
        <f t="shared" si="11"/>
        <v>0</v>
      </c>
      <c r="W323" s="26">
        <v>3</v>
      </c>
      <c r="X323" s="26">
        <v>2</v>
      </c>
      <c r="Y323" s="26">
        <v>3</v>
      </c>
      <c r="Z323" s="26">
        <v>5</v>
      </c>
      <c r="AA323" s="26">
        <v>1</v>
      </c>
      <c r="AB323" s="26">
        <v>4</v>
      </c>
      <c r="AC323" s="26">
        <v>3</v>
      </c>
      <c r="AD323" s="26">
        <v>4</v>
      </c>
      <c r="AE323" s="26">
        <v>4</v>
      </c>
      <c r="AF323" s="26">
        <v>3</v>
      </c>
      <c r="AG323" s="26">
        <v>3</v>
      </c>
      <c r="AH323" s="26">
        <v>5</v>
      </c>
      <c r="AI323" s="26">
        <v>3</v>
      </c>
      <c r="AJ323" s="26">
        <v>4</v>
      </c>
      <c r="AK323" s="26">
        <v>4</v>
      </c>
      <c r="AL323" s="26">
        <v>5</v>
      </c>
      <c r="AM323" s="26">
        <v>5</v>
      </c>
      <c r="AN323" s="26">
        <v>5</v>
      </c>
      <c r="AO323" s="26">
        <v>5</v>
      </c>
      <c r="AP323" s="26">
        <v>10</v>
      </c>
      <c r="AQ323" s="24">
        <v>77.5</v>
      </c>
      <c r="AR323" s="27">
        <v>87.4</v>
      </c>
      <c r="AS323" s="27">
        <v>80.400000000000006</v>
      </c>
      <c r="AT323" s="27">
        <v>53.5</v>
      </c>
      <c r="AU323" s="24">
        <v>51.28</v>
      </c>
      <c r="AV323" s="29">
        <v>0</v>
      </c>
      <c r="AW323" s="24">
        <v>27.27</v>
      </c>
      <c r="AX323" s="24">
        <v>21.22</v>
      </c>
      <c r="AY323" s="24">
        <v>0</v>
      </c>
      <c r="AZ323" s="24">
        <v>0</v>
      </c>
      <c r="BA323" s="24">
        <v>0</v>
      </c>
      <c r="BB323" s="24">
        <v>0</v>
      </c>
      <c r="BC323" s="24">
        <v>0</v>
      </c>
      <c r="BD323" s="24">
        <v>0</v>
      </c>
      <c r="BE323" s="24">
        <v>0</v>
      </c>
      <c r="BF323" s="24">
        <v>0</v>
      </c>
      <c r="BG323" s="24">
        <v>5.93</v>
      </c>
      <c r="BH323" s="24">
        <v>4.6100000000000003</v>
      </c>
      <c r="BI323" s="24">
        <v>5.38</v>
      </c>
      <c r="BJ323" s="24">
        <v>0</v>
      </c>
      <c r="BK323" s="24">
        <v>15.4</v>
      </c>
      <c r="BL323" s="24">
        <v>1</v>
      </c>
      <c r="BM323" s="24">
        <v>6.7</v>
      </c>
      <c r="BN323" s="24">
        <v>1</v>
      </c>
      <c r="BO323" s="24">
        <v>1</v>
      </c>
      <c r="BP323" s="27">
        <v>0</v>
      </c>
      <c r="BQ323" s="27">
        <v>0</v>
      </c>
      <c r="BR323" s="27">
        <v>0</v>
      </c>
      <c r="BS323" s="27">
        <v>0</v>
      </c>
      <c r="BT323" s="27">
        <v>0</v>
      </c>
      <c r="BU323" s="27">
        <v>0</v>
      </c>
      <c r="BV323" s="27">
        <v>0</v>
      </c>
      <c r="BW323" s="24">
        <v>0</v>
      </c>
    </row>
    <row r="324" spans="1:75" x14ac:dyDescent="0.2">
      <c r="A324" s="24">
        <v>2</v>
      </c>
      <c r="B324">
        <v>23.006160164271002</v>
      </c>
      <c r="C324">
        <v>0.32580424366872002</v>
      </c>
      <c r="D324">
        <v>8</v>
      </c>
      <c r="E324">
        <v>52</v>
      </c>
      <c r="F324">
        <v>1.68</v>
      </c>
      <c r="G324">
        <v>18.424036281179099</v>
      </c>
      <c r="H324">
        <v>0</v>
      </c>
      <c r="I324">
        <v>0</v>
      </c>
      <c r="J324" s="26">
        <v>0</v>
      </c>
      <c r="K324" s="26">
        <v>0</v>
      </c>
      <c r="L324" s="26">
        <v>1</v>
      </c>
      <c r="M324" s="19">
        <v>0</v>
      </c>
      <c r="N324">
        <v>0</v>
      </c>
      <c r="O324" s="26">
        <v>0</v>
      </c>
      <c r="P324" s="19">
        <v>0</v>
      </c>
      <c r="Q324" s="19">
        <v>0</v>
      </c>
      <c r="R324" s="26">
        <v>0</v>
      </c>
      <c r="S324" s="26">
        <v>0</v>
      </c>
      <c r="T324" s="26">
        <v>0</v>
      </c>
      <c r="U324" s="26">
        <v>0</v>
      </c>
      <c r="V324" s="15">
        <f t="shared" si="11"/>
        <v>0</v>
      </c>
      <c r="W324" s="26">
        <v>1</v>
      </c>
      <c r="X324" s="26">
        <v>1</v>
      </c>
      <c r="Y324" s="26">
        <v>3</v>
      </c>
      <c r="Z324" s="26">
        <v>4</v>
      </c>
      <c r="AA324" s="26">
        <v>1</v>
      </c>
      <c r="AB324" s="26">
        <v>5</v>
      </c>
      <c r="AC324" s="26">
        <v>5</v>
      </c>
      <c r="AD324" s="26">
        <v>5</v>
      </c>
      <c r="AE324" s="26">
        <v>5</v>
      </c>
      <c r="AF324" s="26">
        <v>5</v>
      </c>
      <c r="AG324" s="26">
        <v>5</v>
      </c>
      <c r="AH324" s="26">
        <v>5</v>
      </c>
      <c r="AI324" s="26">
        <v>3</v>
      </c>
      <c r="AJ324" s="26">
        <v>3</v>
      </c>
      <c r="AK324" s="26">
        <v>2</v>
      </c>
      <c r="AL324" s="26">
        <v>4</v>
      </c>
      <c r="AM324" s="26">
        <v>5</v>
      </c>
      <c r="AN324" s="26">
        <v>5</v>
      </c>
      <c r="AO324" s="26">
        <v>5</v>
      </c>
      <c r="AP324" s="26">
        <v>10</v>
      </c>
      <c r="AQ324" s="24">
        <v>61.5</v>
      </c>
      <c r="AR324" s="27">
        <v>83.5</v>
      </c>
      <c r="AS324" s="27">
        <v>80.400000000000006</v>
      </c>
      <c r="AT324" s="27">
        <v>56.1</v>
      </c>
      <c r="AU324" s="24">
        <v>51.73</v>
      </c>
      <c r="AV324" s="29">
        <v>0</v>
      </c>
      <c r="AW324" s="24">
        <v>30.08</v>
      </c>
      <c r="AX324" s="24">
        <v>18.190000000000001</v>
      </c>
      <c r="AY324" s="24">
        <v>0</v>
      </c>
      <c r="AZ324" s="24">
        <v>0</v>
      </c>
      <c r="BA324" s="24">
        <v>0</v>
      </c>
      <c r="BB324" s="24">
        <v>0</v>
      </c>
      <c r="BC324" s="24">
        <v>0</v>
      </c>
      <c r="BD324" s="24">
        <v>0</v>
      </c>
      <c r="BE324" s="24">
        <v>0</v>
      </c>
      <c r="BF324" s="24">
        <v>0</v>
      </c>
      <c r="BG324" s="24">
        <v>0.3</v>
      </c>
      <c r="BH324" s="24">
        <v>27.59</v>
      </c>
      <c r="BI324" s="24">
        <v>0</v>
      </c>
      <c r="BJ324" s="24">
        <v>0</v>
      </c>
      <c r="BK324" s="24">
        <v>0</v>
      </c>
      <c r="BL324" s="24">
        <v>0</v>
      </c>
      <c r="BM324" s="24">
        <v>0</v>
      </c>
      <c r="BN324" s="24">
        <v>0</v>
      </c>
      <c r="BO324" s="24">
        <v>0</v>
      </c>
      <c r="BP324" s="27">
        <v>1.96</v>
      </c>
      <c r="BQ324" s="27">
        <v>1</v>
      </c>
      <c r="BR324" s="27">
        <v>0.94</v>
      </c>
      <c r="BS324" s="27">
        <v>0.94</v>
      </c>
      <c r="BT324" s="27">
        <v>0</v>
      </c>
      <c r="BU324" s="27">
        <v>0</v>
      </c>
      <c r="BV324" s="27">
        <v>0</v>
      </c>
      <c r="BW324" s="24">
        <v>0</v>
      </c>
    </row>
    <row r="325" spans="1:75" x14ac:dyDescent="0.2">
      <c r="A325" s="24">
        <v>2</v>
      </c>
      <c r="B325">
        <v>34.721423682409302</v>
      </c>
      <c r="C325">
        <v>0.27652292950034202</v>
      </c>
      <c r="D325">
        <v>8</v>
      </c>
      <c r="E325">
        <v>84</v>
      </c>
      <c r="F325">
        <v>1.81</v>
      </c>
      <c r="G325">
        <v>25.6402429718263</v>
      </c>
      <c r="H325">
        <v>0</v>
      </c>
      <c r="I325">
        <v>0</v>
      </c>
      <c r="J325" s="26">
        <v>0</v>
      </c>
      <c r="K325" s="26">
        <v>0</v>
      </c>
      <c r="L325" s="26">
        <v>0</v>
      </c>
      <c r="M325" s="19">
        <v>0</v>
      </c>
      <c r="O325" s="26"/>
      <c r="P325" s="19">
        <v>0</v>
      </c>
      <c r="Q325" s="19">
        <v>0</v>
      </c>
      <c r="R325" s="26">
        <v>0</v>
      </c>
      <c r="S325" s="26">
        <v>0</v>
      </c>
      <c r="T325" s="26">
        <v>0</v>
      </c>
      <c r="U325" s="26">
        <v>0</v>
      </c>
      <c r="V325" s="15">
        <f t="shared" si="11"/>
        <v>0</v>
      </c>
      <c r="W325" s="26">
        <v>1</v>
      </c>
      <c r="X325" s="26">
        <v>2</v>
      </c>
      <c r="Y325" s="26">
        <v>2</v>
      </c>
      <c r="Z325" s="26">
        <v>4</v>
      </c>
      <c r="AA325" s="26">
        <v>2</v>
      </c>
      <c r="AB325" s="26">
        <v>1</v>
      </c>
      <c r="AC325" s="26">
        <v>1</v>
      </c>
      <c r="AD325" s="26">
        <v>4</v>
      </c>
      <c r="AE325" s="26">
        <v>5</v>
      </c>
      <c r="AF325" s="26">
        <v>5</v>
      </c>
      <c r="AG325" s="26">
        <v>5</v>
      </c>
      <c r="AH325" s="26">
        <v>5</v>
      </c>
      <c r="AI325" s="26">
        <v>2</v>
      </c>
      <c r="AJ325" s="26">
        <v>4</v>
      </c>
      <c r="AK325" s="26">
        <v>4</v>
      </c>
      <c r="AL325" s="26">
        <v>4</v>
      </c>
      <c r="AM325" s="26">
        <v>4</v>
      </c>
      <c r="AN325" s="26">
        <v>4</v>
      </c>
      <c r="AO325" s="26">
        <v>4</v>
      </c>
      <c r="AP325" s="26">
        <v>8</v>
      </c>
      <c r="AQ325" s="24">
        <v>70</v>
      </c>
      <c r="AR325" s="27">
        <v>79.8</v>
      </c>
      <c r="AS325" s="27">
        <v>80.400000000000006</v>
      </c>
      <c r="AT325" s="27">
        <v>62.1</v>
      </c>
      <c r="AU325" s="24">
        <v>39.51</v>
      </c>
      <c r="AV325" s="29">
        <v>0</v>
      </c>
      <c r="AW325" s="24">
        <v>47.45</v>
      </c>
      <c r="AX325" s="24">
        <v>13.05</v>
      </c>
      <c r="AY325" s="24">
        <v>0</v>
      </c>
      <c r="AZ325" s="24">
        <v>0</v>
      </c>
      <c r="BA325" s="24">
        <v>0</v>
      </c>
      <c r="BB325" s="24">
        <v>0</v>
      </c>
      <c r="BC325" s="24">
        <v>0</v>
      </c>
      <c r="BD325" s="24">
        <v>0</v>
      </c>
      <c r="BE325" s="24">
        <v>0</v>
      </c>
      <c r="BF325" s="24">
        <v>0</v>
      </c>
      <c r="BG325" s="24">
        <v>0</v>
      </c>
      <c r="BH325" s="24">
        <v>30.76</v>
      </c>
      <c r="BI325" s="24">
        <v>14.19</v>
      </c>
      <c r="BJ325" s="24">
        <v>0</v>
      </c>
      <c r="BK325" s="24">
        <v>0</v>
      </c>
      <c r="BL325" s="24">
        <v>0</v>
      </c>
      <c r="BM325" s="24">
        <v>0.3</v>
      </c>
      <c r="BN325" s="24">
        <v>1</v>
      </c>
      <c r="BO325" s="24">
        <v>0</v>
      </c>
      <c r="BP325" s="27">
        <v>0.63</v>
      </c>
      <c r="BQ325" s="27">
        <v>1</v>
      </c>
      <c r="BR325" s="27">
        <v>3.55</v>
      </c>
      <c r="BS325" s="27">
        <v>4.46</v>
      </c>
      <c r="BT325" s="27">
        <v>0</v>
      </c>
      <c r="BU325" s="27">
        <v>0</v>
      </c>
      <c r="BV325" s="27">
        <v>0</v>
      </c>
      <c r="BW325" s="24">
        <v>0</v>
      </c>
    </row>
    <row r="326" spans="1:75" x14ac:dyDescent="0.2">
      <c r="A326" s="24">
        <v>2</v>
      </c>
      <c r="B326">
        <v>31.225188227241599</v>
      </c>
      <c r="C326">
        <v>6.5489390828199898</v>
      </c>
      <c r="D326">
        <v>8</v>
      </c>
      <c r="E326">
        <v>68</v>
      </c>
      <c r="F326">
        <v>1.77</v>
      </c>
      <c r="G326">
        <v>21.7051294327939</v>
      </c>
      <c r="H326">
        <v>0</v>
      </c>
      <c r="I326">
        <v>0</v>
      </c>
      <c r="J326" s="26">
        <v>0</v>
      </c>
      <c r="K326" s="26">
        <v>2</v>
      </c>
      <c r="L326" s="26">
        <v>0</v>
      </c>
      <c r="M326" s="19">
        <v>0</v>
      </c>
      <c r="N326">
        <v>4</v>
      </c>
      <c r="O326" s="26">
        <v>4</v>
      </c>
      <c r="P326" s="19">
        <v>0</v>
      </c>
      <c r="Q326" s="19">
        <v>0</v>
      </c>
      <c r="R326" s="26">
        <v>2</v>
      </c>
      <c r="S326" s="26">
        <v>2</v>
      </c>
      <c r="T326" s="26">
        <v>0</v>
      </c>
      <c r="U326" s="26">
        <v>0</v>
      </c>
      <c r="V326" s="15">
        <f t="shared" si="11"/>
        <v>1.3333333333333333</v>
      </c>
      <c r="W326" s="26">
        <v>4</v>
      </c>
      <c r="X326" s="26">
        <v>2</v>
      </c>
      <c r="Y326" s="26">
        <v>3</v>
      </c>
      <c r="Z326" s="26">
        <v>3</v>
      </c>
      <c r="AA326" s="26">
        <v>2</v>
      </c>
      <c r="AB326" s="26">
        <v>1</v>
      </c>
      <c r="AC326" s="26">
        <v>3</v>
      </c>
      <c r="AD326" s="26">
        <v>2</v>
      </c>
      <c r="AE326" s="26">
        <v>1</v>
      </c>
      <c r="AF326" s="26">
        <v>2</v>
      </c>
      <c r="AG326" s="26">
        <v>2</v>
      </c>
      <c r="AH326" s="26">
        <v>3</v>
      </c>
      <c r="AI326" s="26">
        <v>1</v>
      </c>
      <c r="AJ326" s="26">
        <v>2</v>
      </c>
      <c r="AK326" s="26">
        <v>3</v>
      </c>
      <c r="AL326" s="26">
        <v>2</v>
      </c>
      <c r="AM326" s="26">
        <v>3</v>
      </c>
      <c r="AN326" s="26">
        <v>3</v>
      </c>
      <c r="AO326" s="26">
        <v>3</v>
      </c>
      <c r="AP326" s="26">
        <v>8</v>
      </c>
      <c r="AQ326" s="24">
        <v>70</v>
      </c>
      <c r="AR326" s="27">
        <v>79.8</v>
      </c>
      <c r="AS326" s="27">
        <v>80.400000000000006</v>
      </c>
      <c r="AT326" s="27">
        <v>62.1</v>
      </c>
      <c r="AU326" s="24">
        <v>39.51</v>
      </c>
      <c r="AV326" s="29">
        <v>0</v>
      </c>
      <c r="AW326" s="24">
        <v>47.45</v>
      </c>
      <c r="AX326" s="24">
        <v>13.05</v>
      </c>
      <c r="AY326" s="24">
        <v>0</v>
      </c>
      <c r="AZ326" s="24">
        <v>0</v>
      </c>
      <c r="BA326" s="24">
        <v>0</v>
      </c>
      <c r="BB326" s="24">
        <v>0</v>
      </c>
      <c r="BC326" s="24">
        <v>0</v>
      </c>
      <c r="BD326" s="24">
        <v>0</v>
      </c>
      <c r="BE326" s="24">
        <v>0</v>
      </c>
      <c r="BF326" s="24">
        <v>0</v>
      </c>
      <c r="BG326" s="24">
        <v>0</v>
      </c>
      <c r="BH326" s="24">
        <v>30.76</v>
      </c>
      <c r="BI326" s="24">
        <v>14.19</v>
      </c>
      <c r="BJ326" s="24">
        <v>0</v>
      </c>
      <c r="BK326" s="24">
        <v>0</v>
      </c>
      <c r="BL326" s="24">
        <v>0</v>
      </c>
      <c r="BM326" s="24">
        <v>0.3</v>
      </c>
      <c r="BN326" s="24">
        <v>1</v>
      </c>
      <c r="BO326" s="24">
        <v>0</v>
      </c>
      <c r="BP326" s="27">
        <v>0.63</v>
      </c>
      <c r="BQ326" s="27">
        <v>1</v>
      </c>
      <c r="BR326" s="27">
        <v>3.55</v>
      </c>
      <c r="BS326" s="27">
        <v>4.46</v>
      </c>
      <c r="BT326" s="27">
        <v>0</v>
      </c>
      <c r="BU326" s="27">
        <v>0</v>
      </c>
      <c r="BV326" s="27">
        <v>0</v>
      </c>
      <c r="BW326" s="24">
        <v>0</v>
      </c>
    </row>
    <row r="327" spans="1:75" x14ac:dyDescent="0.2">
      <c r="A327" s="24">
        <v>1</v>
      </c>
      <c r="B327">
        <v>-0.19986310746064301</v>
      </c>
      <c r="C327">
        <v>0.284736481861739</v>
      </c>
      <c r="D327">
        <v>8</v>
      </c>
      <c r="E327">
        <v>63</v>
      </c>
      <c r="F327">
        <v>1.67</v>
      </c>
      <c r="G327">
        <v>22.589551436050101</v>
      </c>
      <c r="H327">
        <v>0</v>
      </c>
      <c r="I327">
        <v>0</v>
      </c>
      <c r="J327" s="26">
        <v>0</v>
      </c>
      <c r="K327" s="26">
        <v>0</v>
      </c>
      <c r="L327" s="26">
        <v>0</v>
      </c>
      <c r="M327" s="19">
        <v>0</v>
      </c>
      <c r="N327">
        <v>0</v>
      </c>
      <c r="O327" s="26">
        <v>0</v>
      </c>
      <c r="P327" s="19">
        <v>0</v>
      </c>
      <c r="Q327" s="19">
        <v>0</v>
      </c>
      <c r="R327" s="26">
        <v>0</v>
      </c>
      <c r="S327" s="26">
        <v>0</v>
      </c>
      <c r="T327" s="26">
        <v>0</v>
      </c>
      <c r="U327" s="26">
        <v>0</v>
      </c>
      <c r="V327" s="15">
        <f t="shared" si="11"/>
        <v>0</v>
      </c>
      <c r="W327" s="26">
        <v>2</v>
      </c>
      <c r="X327" s="26">
        <v>1</v>
      </c>
      <c r="Y327" s="26">
        <v>2</v>
      </c>
      <c r="Z327" s="26">
        <v>4</v>
      </c>
      <c r="AA327" s="26">
        <v>2</v>
      </c>
      <c r="AB327" s="26">
        <v>2</v>
      </c>
      <c r="AC327" s="26">
        <v>3</v>
      </c>
      <c r="AD327" s="26">
        <v>3</v>
      </c>
      <c r="AE327" s="26">
        <v>4</v>
      </c>
      <c r="AF327" s="26">
        <v>5</v>
      </c>
      <c r="AG327" s="26">
        <v>4</v>
      </c>
      <c r="AH327" s="26">
        <v>4</v>
      </c>
      <c r="AI327" s="26">
        <v>5</v>
      </c>
      <c r="AJ327" s="26">
        <v>2</v>
      </c>
      <c r="AK327" s="26">
        <v>5</v>
      </c>
      <c r="AL327" s="26">
        <v>4</v>
      </c>
      <c r="AM327" s="26">
        <v>4</v>
      </c>
      <c r="AN327" s="26">
        <v>4</v>
      </c>
      <c r="AO327" s="26">
        <v>4</v>
      </c>
      <c r="AP327" s="26">
        <v>9</v>
      </c>
      <c r="AQ327" s="24">
        <v>70</v>
      </c>
      <c r="AR327" s="27">
        <v>79.8</v>
      </c>
      <c r="AS327" s="27">
        <v>80.400000000000006</v>
      </c>
      <c r="AT327" s="27">
        <v>62.1</v>
      </c>
      <c r="AU327" s="24">
        <v>39.51</v>
      </c>
      <c r="AV327" s="29">
        <v>0</v>
      </c>
      <c r="AW327" s="24">
        <v>47.45</v>
      </c>
      <c r="AX327" s="24">
        <v>13.05</v>
      </c>
      <c r="AY327" s="24">
        <v>0</v>
      </c>
      <c r="AZ327" s="24">
        <v>0</v>
      </c>
      <c r="BA327" s="24">
        <v>0</v>
      </c>
      <c r="BB327" s="24">
        <v>0</v>
      </c>
      <c r="BC327" s="24">
        <v>0</v>
      </c>
      <c r="BD327" s="24">
        <v>0</v>
      </c>
      <c r="BE327" s="24">
        <v>0</v>
      </c>
      <c r="BF327" s="24">
        <v>0</v>
      </c>
      <c r="BG327" s="24">
        <v>0</v>
      </c>
      <c r="BH327" s="24">
        <v>30.76</v>
      </c>
      <c r="BI327" s="24">
        <v>14.19</v>
      </c>
      <c r="BJ327" s="24">
        <v>0</v>
      </c>
      <c r="BK327" s="24">
        <v>0</v>
      </c>
      <c r="BL327" s="24">
        <v>0</v>
      </c>
      <c r="BM327" s="24">
        <v>0.3</v>
      </c>
      <c r="BN327" s="24">
        <v>1</v>
      </c>
      <c r="BO327" s="24">
        <v>0</v>
      </c>
      <c r="BP327" s="27">
        <v>0.63</v>
      </c>
      <c r="BQ327" s="27">
        <v>1</v>
      </c>
      <c r="BR327" s="27">
        <v>3.55</v>
      </c>
      <c r="BS327" s="27">
        <v>4.46</v>
      </c>
      <c r="BT327" s="27">
        <v>0</v>
      </c>
      <c r="BU327" s="27">
        <v>0</v>
      </c>
      <c r="BV327" s="27">
        <v>0</v>
      </c>
      <c r="BW327" s="24">
        <v>0</v>
      </c>
    </row>
    <row r="328" spans="1:75" x14ac:dyDescent="0.2">
      <c r="A328" s="24">
        <v>2</v>
      </c>
      <c r="B328">
        <v>21.987679671457901</v>
      </c>
      <c r="C328">
        <v>0.24914442162902101</v>
      </c>
      <c r="D328">
        <v>8</v>
      </c>
      <c r="E328">
        <v>65</v>
      </c>
      <c r="F328">
        <v>1.72</v>
      </c>
      <c r="G328">
        <v>21.971335857220101</v>
      </c>
      <c r="H328">
        <v>0</v>
      </c>
      <c r="I328">
        <v>0</v>
      </c>
      <c r="J328" s="26">
        <v>0</v>
      </c>
      <c r="K328" s="26">
        <v>2</v>
      </c>
      <c r="L328" s="26">
        <v>1</v>
      </c>
      <c r="M328" s="19">
        <v>0</v>
      </c>
      <c r="N328">
        <v>0</v>
      </c>
      <c r="O328" s="26">
        <v>0</v>
      </c>
      <c r="P328" s="19">
        <v>0</v>
      </c>
      <c r="Q328" s="19">
        <v>0</v>
      </c>
      <c r="R328" s="26">
        <v>0</v>
      </c>
      <c r="S328" s="26">
        <v>0</v>
      </c>
      <c r="T328" s="26">
        <v>0</v>
      </c>
      <c r="U328" s="26">
        <v>0</v>
      </c>
      <c r="V328" s="15">
        <f t="shared" si="11"/>
        <v>0</v>
      </c>
      <c r="W328" s="26">
        <v>2</v>
      </c>
      <c r="X328" s="26">
        <v>1</v>
      </c>
      <c r="Y328" s="26">
        <v>2</v>
      </c>
      <c r="Z328" s="26">
        <v>3</v>
      </c>
      <c r="AA328" s="26">
        <v>2</v>
      </c>
      <c r="AB328" s="26">
        <v>2</v>
      </c>
      <c r="AC328" s="26">
        <v>3</v>
      </c>
      <c r="AD328" s="26">
        <v>3</v>
      </c>
      <c r="AE328" s="26">
        <v>4</v>
      </c>
      <c r="AF328" s="26">
        <v>4</v>
      </c>
      <c r="AG328" s="26">
        <v>4</v>
      </c>
      <c r="AH328" s="26">
        <v>4</v>
      </c>
      <c r="AI328" s="26">
        <v>3</v>
      </c>
      <c r="AJ328" s="26">
        <v>4</v>
      </c>
      <c r="AK328" s="26">
        <v>3</v>
      </c>
      <c r="AL328" s="26">
        <v>4</v>
      </c>
      <c r="AM328" s="26">
        <v>3</v>
      </c>
      <c r="AN328" s="26">
        <v>4</v>
      </c>
      <c r="AO328" s="26">
        <v>4</v>
      </c>
      <c r="AP328" s="26">
        <v>8</v>
      </c>
      <c r="AQ328" s="24">
        <v>70</v>
      </c>
      <c r="AR328" s="27">
        <v>79.8</v>
      </c>
      <c r="AS328" s="27">
        <v>80.400000000000006</v>
      </c>
      <c r="AT328" s="27">
        <v>62.1</v>
      </c>
      <c r="AU328" s="24">
        <v>39.51</v>
      </c>
      <c r="AV328" s="29">
        <v>0</v>
      </c>
      <c r="AW328" s="24">
        <v>47.45</v>
      </c>
      <c r="AX328" s="24">
        <v>13.05</v>
      </c>
      <c r="AY328" s="24">
        <v>0</v>
      </c>
      <c r="AZ328" s="24">
        <v>0</v>
      </c>
      <c r="BA328" s="24">
        <v>0</v>
      </c>
      <c r="BB328" s="24">
        <v>0</v>
      </c>
      <c r="BC328" s="24">
        <v>0</v>
      </c>
      <c r="BD328" s="24">
        <v>0</v>
      </c>
      <c r="BE328" s="24">
        <v>0</v>
      </c>
      <c r="BF328" s="24">
        <v>0</v>
      </c>
      <c r="BG328" s="24">
        <v>0</v>
      </c>
      <c r="BH328" s="24">
        <v>30.76</v>
      </c>
      <c r="BI328" s="24">
        <v>14.19</v>
      </c>
      <c r="BJ328" s="24">
        <v>0</v>
      </c>
      <c r="BK328" s="24">
        <v>0</v>
      </c>
      <c r="BL328" s="24">
        <v>0</v>
      </c>
      <c r="BM328" s="24">
        <v>0.3</v>
      </c>
      <c r="BN328" s="24">
        <v>1</v>
      </c>
      <c r="BO328" s="24">
        <v>0</v>
      </c>
      <c r="BP328" s="27">
        <v>0.63</v>
      </c>
      <c r="BQ328" s="27">
        <v>1</v>
      </c>
      <c r="BR328" s="27">
        <v>3.55</v>
      </c>
      <c r="BS328" s="27">
        <v>4.46</v>
      </c>
      <c r="BT328" s="27">
        <v>0</v>
      </c>
      <c r="BU328" s="27">
        <v>0</v>
      </c>
      <c r="BV328" s="27">
        <v>0</v>
      </c>
      <c r="BW328" s="24">
        <v>0</v>
      </c>
    </row>
    <row r="329" spans="1:75" x14ac:dyDescent="0.2">
      <c r="A329">
        <v>2</v>
      </c>
      <c r="B329">
        <v>31.931553730321699</v>
      </c>
      <c r="C329">
        <v>10.173853524982899</v>
      </c>
      <c r="D329" t="s">
        <v>913</v>
      </c>
      <c r="E329">
        <v>67</v>
      </c>
      <c r="F329">
        <v>1.73</v>
      </c>
      <c r="G329">
        <v>22.386314277122501</v>
      </c>
      <c r="H329">
        <v>0</v>
      </c>
      <c r="I329">
        <v>0</v>
      </c>
      <c r="J329" s="19">
        <v>0</v>
      </c>
      <c r="K329" s="19">
        <v>1</v>
      </c>
      <c r="L329" s="19">
        <v>0</v>
      </c>
      <c r="M329" s="19">
        <v>0</v>
      </c>
      <c r="N329">
        <v>0</v>
      </c>
      <c r="O329" s="19">
        <v>3</v>
      </c>
      <c r="P329" s="19">
        <v>0</v>
      </c>
      <c r="Q329" s="19">
        <v>0</v>
      </c>
      <c r="R329" s="19">
        <v>5</v>
      </c>
      <c r="S329" s="19">
        <v>4</v>
      </c>
      <c r="T329" s="19">
        <v>0</v>
      </c>
      <c r="U329" s="19">
        <v>2</v>
      </c>
      <c r="V329" s="15">
        <f t="shared" si="11"/>
        <v>1.5555555555555556</v>
      </c>
      <c r="W329" s="19">
        <v>4</v>
      </c>
      <c r="X329" s="19">
        <v>3</v>
      </c>
      <c r="Y329" s="19">
        <v>5</v>
      </c>
      <c r="Z329" s="19">
        <v>5</v>
      </c>
      <c r="AA329" s="19">
        <v>2</v>
      </c>
      <c r="AB329" s="19">
        <v>5</v>
      </c>
      <c r="AC329" s="19">
        <v>1</v>
      </c>
      <c r="AD329" s="19">
        <v>2</v>
      </c>
      <c r="AE329" s="19">
        <v>1</v>
      </c>
      <c r="AF329" s="19">
        <v>1</v>
      </c>
      <c r="AG329" s="19">
        <v>3</v>
      </c>
      <c r="AH329" s="19">
        <v>3</v>
      </c>
      <c r="AI329" s="19">
        <v>3</v>
      </c>
      <c r="AJ329" s="19">
        <v>3</v>
      </c>
      <c r="AK329" s="19">
        <v>5</v>
      </c>
      <c r="AL329" s="19">
        <v>4</v>
      </c>
      <c r="AM329" s="19">
        <v>4</v>
      </c>
      <c r="AN329" s="19">
        <v>3</v>
      </c>
      <c r="AO329" s="19">
        <v>1</v>
      </c>
      <c r="AP329" s="19">
        <v>9</v>
      </c>
      <c r="AQ329">
        <v>33</v>
      </c>
      <c r="AR329" s="16">
        <v>71.2</v>
      </c>
      <c r="AS329" s="16">
        <v>80.400000000000006</v>
      </c>
      <c r="AT329" s="16">
        <v>16.3</v>
      </c>
      <c r="AU329">
        <v>83.24</v>
      </c>
      <c r="AV329" s="17">
        <v>0</v>
      </c>
      <c r="AW329">
        <v>0</v>
      </c>
      <c r="AX329">
        <v>0</v>
      </c>
      <c r="AY329">
        <v>14.14</v>
      </c>
      <c r="AZ329">
        <v>0</v>
      </c>
      <c r="BA329">
        <v>2.63</v>
      </c>
      <c r="BB329">
        <v>0</v>
      </c>
      <c r="BC329">
        <v>0</v>
      </c>
      <c r="BD329">
        <v>0</v>
      </c>
      <c r="BE329">
        <v>0</v>
      </c>
      <c r="BF329">
        <v>2.63</v>
      </c>
      <c r="BG329">
        <v>10.16</v>
      </c>
      <c r="BH329">
        <v>20.83</v>
      </c>
      <c r="BI329">
        <v>24.81</v>
      </c>
      <c r="BJ329">
        <v>0</v>
      </c>
      <c r="BK329">
        <v>11.2</v>
      </c>
      <c r="BL329">
        <v>1</v>
      </c>
      <c r="BM329">
        <v>0</v>
      </c>
      <c r="BN329">
        <v>0</v>
      </c>
      <c r="BO329">
        <v>0</v>
      </c>
      <c r="BP329" s="16">
        <v>2.71</v>
      </c>
      <c r="BQ329" s="16">
        <v>1</v>
      </c>
      <c r="BR329" s="16">
        <v>2.63</v>
      </c>
      <c r="BS329" s="16">
        <v>2.6</v>
      </c>
      <c r="BT329" s="16">
        <v>0</v>
      </c>
      <c r="BU329" s="16">
        <v>0</v>
      </c>
      <c r="BV329" s="16">
        <v>0</v>
      </c>
      <c r="BW329">
        <v>0</v>
      </c>
    </row>
    <row r="330" spans="1:75" x14ac:dyDescent="0.2">
      <c r="A330">
        <v>2</v>
      </c>
      <c r="B330">
        <v>31.7672826830938</v>
      </c>
      <c r="C330">
        <v>6.1738535249828903</v>
      </c>
      <c r="D330" t="s">
        <v>913</v>
      </c>
      <c r="E330">
        <v>92</v>
      </c>
      <c r="F330">
        <v>1.87</v>
      </c>
      <c r="G330">
        <v>26.309016557522401</v>
      </c>
      <c r="H330">
        <v>0</v>
      </c>
      <c r="I330">
        <v>0</v>
      </c>
      <c r="J330" s="19">
        <v>1</v>
      </c>
      <c r="K330" s="19">
        <v>0</v>
      </c>
      <c r="L330" s="19">
        <v>1</v>
      </c>
      <c r="M330" s="19">
        <v>0</v>
      </c>
      <c r="N330">
        <v>0</v>
      </c>
      <c r="O330" s="19">
        <v>0</v>
      </c>
      <c r="P330" s="19">
        <v>0</v>
      </c>
      <c r="Q330" s="19">
        <v>0</v>
      </c>
      <c r="R330" s="19">
        <v>0</v>
      </c>
      <c r="S330" s="19">
        <v>0</v>
      </c>
      <c r="T330" s="19">
        <v>0</v>
      </c>
      <c r="U330" s="19">
        <v>0</v>
      </c>
      <c r="V330" s="15">
        <f t="shared" si="11"/>
        <v>0</v>
      </c>
      <c r="W330" s="19">
        <v>4</v>
      </c>
      <c r="X330" s="19">
        <v>1</v>
      </c>
      <c r="Y330" s="19">
        <v>3</v>
      </c>
      <c r="Z330" s="19">
        <v>5</v>
      </c>
      <c r="AA330" s="19">
        <v>3</v>
      </c>
      <c r="AB330" s="19">
        <v>4</v>
      </c>
      <c r="AC330" s="19">
        <v>3</v>
      </c>
      <c r="AD330" s="19">
        <v>5</v>
      </c>
      <c r="AE330" s="19">
        <v>5</v>
      </c>
      <c r="AF330" s="19"/>
      <c r="AG330" s="19">
        <v>4</v>
      </c>
      <c r="AH330" s="19">
        <v>5</v>
      </c>
      <c r="AI330" s="19">
        <v>3</v>
      </c>
      <c r="AJ330" s="19">
        <v>3</v>
      </c>
      <c r="AK330" s="19">
        <v>4</v>
      </c>
      <c r="AL330" s="19">
        <v>4</v>
      </c>
      <c r="AM330" s="19">
        <v>3</v>
      </c>
      <c r="AN330" s="19">
        <v>3</v>
      </c>
      <c r="AO330" s="19">
        <v>3</v>
      </c>
      <c r="AP330" s="19">
        <v>10</v>
      </c>
      <c r="AQ330">
        <v>33.5</v>
      </c>
      <c r="AR330" s="16">
        <v>91.5</v>
      </c>
      <c r="AS330" s="16">
        <v>80.400000000000006</v>
      </c>
      <c r="AT330" s="16">
        <v>20</v>
      </c>
      <c r="AU330">
        <v>84.58</v>
      </c>
      <c r="AV330" s="17">
        <v>0</v>
      </c>
      <c r="AW330">
        <v>15.42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13.79</v>
      </c>
      <c r="BH330">
        <v>2.67</v>
      </c>
      <c r="BI330">
        <v>11.54</v>
      </c>
      <c r="BJ330">
        <v>0</v>
      </c>
      <c r="BK330">
        <v>12.3</v>
      </c>
      <c r="BL330">
        <v>2</v>
      </c>
      <c r="BM330">
        <v>0</v>
      </c>
      <c r="BN330">
        <v>1</v>
      </c>
      <c r="BO330">
        <v>0</v>
      </c>
      <c r="BP330" s="16">
        <v>0.25</v>
      </c>
      <c r="BQ330" s="16">
        <v>1</v>
      </c>
      <c r="BR330" s="16">
        <v>0.55000000000000004</v>
      </c>
      <c r="BS330" s="16">
        <v>0.55000000000000004</v>
      </c>
      <c r="BT330" s="16">
        <v>0</v>
      </c>
      <c r="BU330" s="16">
        <v>0</v>
      </c>
      <c r="BV330" s="16">
        <v>0</v>
      </c>
      <c r="BW330">
        <v>0</v>
      </c>
    </row>
    <row r="331" spans="1:75" x14ac:dyDescent="0.2">
      <c r="A331">
        <v>2</v>
      </c>
      <c r="B331">
        <v>45.103353867214203</v>
      </c>
      <c r="C331">
        <v>22.299794661191001</v>
      </c>
      <c r="D331">
        <v>4</v>
      </c>
      <c r="E331">
        <v>93</v>
      </c>
      <c r="F331">
        <v>1.78</v>
      </c>
      <c r="G331">
        <v>29.3523545006944</v>
      </c>
      <c r="H331">
        <v>1</v>
      </c>
      <c r="I331">
        <v>1</v>
      </c>
      <c r="J331" s="19">
        <v>1</v>
      </c>
      <c r="K331" s="19">
        <v>0</v>
      </c>
      <c r="L331" s="19">
        <v>0</v>
      </c>
      <c r="M331" s="19">
        <v>0</v>
      </c>
      <c r="N331">
        <v>0</v>
      </c>
      <c r="O331" s="19">
        <v>0</v>
      </c>
      <c r="P331" s="19">
        <v>0</v>
      </c>
      <c r="Q331" s="19">
        <v>0</v>
      </c>
      <c r="R331" s="19">
        <v>0</v>
      </c>
      <c r="S331" s="19">
        <v>0</v>
      </c>
      <c r="T331" s="19">
        <v>0</v>
      </c>
      <c r="U331" s="19">
        <v>0</v>
      </c>
      <c r="V331" s="15">
        <f t="shared" si="11"/>
        <v>0</v>
      </c>
      <c r="W331" s="19">
        <v>4</v>
      </c>
      <c r="X331" s="19">
        <v>2</v>
      </c>
      <c r="Y331" s="19">
        <v>5</v>
      </c>
      <c r="Z331" s="19">
        <v>5</v>
      </c>
      <c r="AA331" s="19">
        <v>2</v>
      </c>
      <c r="AB331" s="19">
        <v>4</v>
      </c>
      <c r="AC331" s="19">
        <v>3</v>
      </c>
      <c r="AD331" s="19">
        <v>4</v>
      </c>
      <c r="AE331" s="19">
        <v>2</v>
      </c>
      <c r="AF331" s="19">
        <v>4</v>
      </c>
      <c r="AG331" s="19">
        <v>5</v>
      </c>
      <c r="AH331" s="19">
        <v>5</v>
      </c>
      <c r="AI331" s="19">
        <v>4</v>
      </c>
      <c r="AJ331" s="19">
        <v>4</v>
      </c>
      <c r="AK331" s="19">
        <v>3</v>
      </c>
      <c r="AL331" s="19">
        <v>5</v>
      </c>
      <c r="AM331" s="19">
        <v>4</v>
      </c>
      <c r="AN331" s="19">
        <v>4</v>
      </c>
      <c r="AO331" s="19">
        <v>4</v>
      </c>
      <c r="AP331" s="19">
        <v>5</v>
      </c>
      <c r="AQ331">
        <v>33.5</v>
      </c>
      <c r="AR331" s="16">
        <v>91.5</v>
      </c>
      <c r="AS331" s="16">
        <v>80.400000000000006</v>
      </c>
      <c r="AT331" s="16">
        <v>20</v>
      </c>
      <c r="AU331">
        <v>84.58</v>
      </c>
      <c r="AV331" s="17">
        <v>0</v>
      </c>
      <c r="AW331">
        <v>15.42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13.79</v>
      </c>
      <c r="BH331">
        <v>2.67</v>
      </c>
      <c r="BI331">
        <v>11.54</v>
      </c>
      <c r="BJ331">
        <v>0</v>
      </c>
      <c r="BK331">
        <v>12.3</v>
      </c>
      <c r="BL331">
        <v>2</v>
      </c>
      <c r="BM331">
        <v>0</v>
      </c>
      <c r="BN331">
        <v>1</v>
      </c>
      <c r="BO331">
        <v>0</v>
      </c>
      <c r="BP331" s="16">
        <v>0.25</v>
      </c>
      <c r="BQ331" s="16">
        <v>1</v>
      </c>
      <c r="BR331" s="16">
        <v>0.55000000000000004</v>
      </c>
      <c r="BS331" s="16">
        <v>0.55000000000000004</v>
      </c>
      <c r="BT331" s="16">
        <v>0</v>
      </c>
      <c r="BU331" s="16">
        <v>0</v>
      </c>
      <c r="BV331" s="16">
        <v>0</v>
      </c>
      <c r="BW331">
        <v>0</v>
      </c>
    </row>
    <row r="332" spans="1:75" x14ac:dyDescent="0.2">
      <c r="A332">
        <v>2</v>
      </c>
      <c r="B332">
        <v>19.8986995208761</v>
      </c>
      <c r="C332">
        <v>0.29568788501026699</v>
      </c>
      <c r="D332">
        <v>4</v>
      </c>
      <c r="E332">
        <v>75</v>
      </c>
      <c r="F332">
        <v>1.85</v>
      </c>
      <c r="G332">
        <v>21.913805697589499</v>
      </c>
      <c r="H332">
        <v>0</v>
      </c>
      <c r="I332">
        <v>0</v>
      </c>
      <c r="J332" s="19">
        <v>0</v>
      </c>
      <c r="K332" s="19">
        <v>2</v>
      </c>
      <c r="L332" s="19">
        <v>1</v>
      </c>
      <c r="M332" s="19">
        <v>0</v>
      </c>
      <c r="N332">
        <v>0</v>
      </c>
      <c r="O332" s="19">
        <v>0</v>
      </c>
      <c r="P332" s="19">
        <v>0</v>
      </c>
      <c r="Q332" s="19">
        <v>0</v>
      </c>
      <c r="R332" s="19">
        <v>0</v>
      </c>
      <c r="S332" s="19">
        <v>0</v>
      </c>
      <c r="T332" s="19">
        <v>0</v>
      </c>
      <c r="U332" s="19">
        <v>0</v>
      </c>
      <c r="V332" s="15">
        <f t="shared" si="11"/>
        <v>0</v>
      </c>
      <c r="W332" s="19">
        <v>2</v>
      </c>
      <c r="X332" s="19"/>
      <c r="Y332" s="19">
        <v>3</v>
      </c>
      <c r="Z332" s="19">
        <v>5</v>
      </c>
      <c r="AA332" s="19">
        <v>3</v>
      </c>
      <c r="AB332" s="19">
        <v>1</v>
      </c>
      <c r="AC332" s="19">
        <v>2</v>
      </c>
      <c r="AD332" s="19">
        <v>3</v>
      </c>
      <c r="AE332" s="19">
        <v>4</v>
      </c>
      <c r="AF332" s="19">
        <v>4</v>
      </c>
      <c r="AG332" s="19">
        <v>5</v>
      </c>
      <c r="AH332" s="19">
        <v>5</v>
      </c>
      <c r="AI332" s="19">
        <v>3</v>
      </c>
      <c r="AJ332" s="19">
        <v>4</v>
      </c>
      <c r="AK332" s="19">
        <v>5</v>
      </c>
      <c r="AL332" s="19">
        <v>5</v>
      </c>
      <c r="AM332" s="19">
        <v>4</v>
      </c>
      <c r="AN332" s="19">
        <v>4</v>
      </c>
      <c r="AO332" s="19">
        <v>4</v>
      </c>
      <c r="AP332" s="19">
        <v>9</v>
      </c>
      <c r="AQ332">
        <v>33.5</v>
      </c>
      <c r="AR332" s="16">
        <v>91.5</v>
      </c>
      <c r="AS332" s="16">
        <v>80.400000000000006</v>
      </c>
      <c r="AT332" s="16">
        <v>20</v>
      </c>
      <c r="AU332">
        <v>84.58</v>
      </c>
      <c r="AV332" s="17">
        <v>0</v>
      </c>
      <c r="AW332">
        <v>15.42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13.79</v>
      </c>
      <c r="BH332">
        <v>2.67</v>
      </c>
      <c r="BI332">
        <v>11.54</v>
      </c>
      <c r="BJ332">
        <v>0</v>
      </c>
      <c r="BK332">
        <v>12.3</v>
      </c>
      <c r="BL332">
        <v>2</v>
      </c>
      <c r="BM332">
        <v>0</v>
      </c>
      <c r="BN332">
        <v>1</v>
      </c>
      <c r="BO332">
        <v>0</v>
      </c>
      <c r="BP332" s="16">
        <v>0.25</v>
      </c>
      <c r="BQ332" s="16">
        <v>1</v>
      </c>
      <c r="BR332" s="16">
        <v>0.55000000000000004</v>
      </c>
      <c r="BS332" s="16">
        <v>0.55000000000000004</v>
      </c>
      <c r="BT332" s="16">
        <v>0</v>
      </c>
      <c r="BU332" s="16">
        <v>0</v>
      </c>
      <c r="BV332" s="16">
        <v>0</v>
      </c>
      <c r="BW332">
        <v>0</v>
      </c>
    </row>
    <row r="333" spans="1:75" x14ac:dyDescent="0.2">
      <c r="A333">
        <v>1</v>
      </c>
      <c r="B333">
        <v>26.009582477755</v>
      </c>
      <c r="C333">
        <v>0.31211498973306001</v>
      </c>
      <c r="D333" t="s">
        <v>913</v>
      </c>
      <c r="E333">
        <v>45</v>
      </c>
      <c r="F333">
        <v>1.55</v>
      </c>
      <c r="G333">
        <v>18.730489073881401</v>
      </c>
      <c r="H333">
        <v>0</v>
      </c>
      <c r="I333">
        <v>0</v>
      </c>
      <c r="J333" s="19">
        <v>0</v>
      </c>
      <c r="K333" s="19">
        <v>0</v>
      </c>
      <c r="L333" s="19">
        <v>0</v>
      </c>
      <c r="M333" s="19">
        <v>0</v>
      </c>
      <c r="N333">
        <v>0</v>
      </c>
      <c r="O333" s="19">
        <v>0</v>
      </c>
      <c r="P333" s="19">
        <v>0</v>
      </c>
      <c r="Q333" s="19">
        <v>0</v>
      </c>
      <c r="R333" s="19">
        <v>0</v>
      </c>
      <c r="S333" s="19">
        <v>0</v>
      </c>
      <c r="T333" s="19">
        <v>0</v>
      </c>
      <c r="U333" s="19">
        <v>0</v>
      </c>
      <c r="V333" s="15">
        <f t="shared" si="11"/>
        <v>0</v>
      </c>
      <c r="W333" s="19">
        <v>1</v>
      </c>
      <c r="X333" s="19">
        <v>1</v>
      </c>
      <c r="Y333" s="19">
        <v>2</v>
      </c>
      <c r="Z333" s="19">
        <v>5</v>
      </c>
      <c r="AA333" s="19">
        <v>1</v>
      </c>
      <c r="AB333" s="19">
        <v>1</v>
      </c>
      <c r="AC333" s="19">
        <v>4</v>
      </c>
      <c r="AD333" s="19">
        <v>5</v>
      </c>
      <c r="AE333" s="19">
        <v>5</v>
      </c>
      <c r="AF333" s="19">
        <v>5</v>
      </c>
      <c r="AG333" s="19">
        <v>5</v>
      </c>
      <c r="AH333" s="19">
        <v>5</v>
      </c>
      <c r="AI333" s="19">
        <v>4</v>
      </c>
      <c r="AJ333" s="19">
        <v>5</v>
      </c>
      <c r="AK333" s="19">
        <v>5</v>
      </c>
      <c r="AL333" s="19">
        <v>5</v>
      </c>
      <c r="AM333" s="19">
        <v>5</v>
      </c>
      <c r="AN333" s="19">
        <v>5</v>
      </c>
      <c r="AO333" s="19">
        <v>5</v>
      </c>
      <c r="AP333" s="19">
        <v>8</v>
      </c>
      <c r="AQ333">
        <v>39.5</v>
      </c>
      <c r="AR333" s="16">
        <v>60.8</v>
      </c>
      <c r="AS333" s="16">
        <v>80.400000000000006</v>
      </c>
      <c r="AT333" s="16">
        <v>22.9</v>
      </c>
      <c r="AU333">
        <v>67.010000000000005</v>
      </c>
      <c r="AV333">
        <v>11.71</v>
      </c>
      <c r="AW333">
        <v>16.61</v>
      </c>
      <c r="AX333">
        <v>0</v>
      </c>
      <c r="AY333">
        <v>4.67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20.9</v>
      </c>
      <c r="BH333">
        <v>25.23</v>
      </c>
      <c r="BI333">
        <v>0.57999999999999996</v>
      </c>
      <c r="BJ333">
        <v>0</v>
      </c>
      <c r="BK333">
        <v>0</v>
      </c>
      <c r="BL333">
        <v>0</v>
      </c>
      <c r="BM333">
        <v>2</v>
      </c>
      <c r="BN333">
        <v>1</v>
      </c>
      <c r="BO333">
        <v>0</v>
      </c>
      <c r="BP333" s="16">
        <v>3.66</v>
      </c>
      <c r="BQ333" s="16">
        <v>1</v>
      </c>
      <c r="BR333" s="16">
        <v>10.050000000000001</v>
      </c>
      <c r="BS333" s="16">
        <v>27.11</v>
      </c>
      <c r="BT333" s="16">
        <v>0</v>
      </c>
      <c r="BU333" s="16">
        <v>0</v>
      </c>
      <c r="BV333" s="16">
        <v>0</v>
      </c>
      <c r="BW333">
        <v>0</v>
      </c>
    </row>
    <row r="334" spans="1:75" x14ac:dyDescent="0.2">
      <c r="A334">
        <v>2</v>
      </c>
      <c r="B334">
        <v>28.125941136208102</v>
      </c>
      <c r="C334">
        <v>0.372347707049966</v>
      </c>
      <c r="D334">
        <v>4</v>
      </c>
      <c r="E334">
        <v>85</v>
      </c>
      <c r="F334">
        <v>1.96</v>
      </c>
      <c r="G334">
        <v>22.126197417742599</v>
      </c>
      <c r="H334">
        <v>0</v>
      </c>
      <c r="I334">
        <v>0</v>
      </c>
      <c r="J334" s="19">
        <v>0</v>
      </c>
      <c r="K334" s="19">
        <v>1</v>
      </c>
      <c r="L334" s="19">
        <v>1</v>
      </c>
      <c r="M334" s="19">
        <v>0</v>
      </c>
      <c r="N334">
        <v>0</v>
      </c>
      <c r="O334" s="19">
        <v>0</v>
      </c>
      <c r="P334" s="19">
        <v>0</v>
      </c>
      <c r="Q334" s="19">
        <v>0</v>
      </c>
      <c r="R334" s="19">
        <v>0</v>
      </c>
      <c r="S334" s="19">
        <v>0</v>
      </c>
      <c r="T334" s="19">
        <v>0</v>
      </c>
      <c r="U334" s="19">
        <v>5</v>
      </c>
      <c r="V334" s="15">
        <f t="shared" si="11"/>
        <v>0.55555555555555558</v>
      </c>
      <c r="W334" s="19">
        <v>2</v>
      </c>
      <c r="X334" s="19">
        <v>2</v>
      </c>
      <c r="Y334" s="19">
        <v>3</v>
      </c>
      <c r="Z334" s="19">
        <v>5</v>
      </c>
      <c r="AA334" s="19">
        <v>3</v>
      </c>
      <c r="AB334" s="19">
        <v>3</v>
      </c>
      <c r="AC334" s="19">
        <v>4</v>
      </c>
      <c r="AD334" s="19">
        <v>3</v>
      </c>
      <c r="AE334" s="19">
        <v>4</v>
      </c>
      <c r="AF334" s="19">
        <v>3</v>
      </c>
      <c r="AG334" s="19">
        <v>4</v>
      </c>
      <c r="AH334" s="19">
        <v>5</v>
      </c>
      <c r="AI334" s="19">
        <v>4</v>
      </c>
      <c r="AJ334" s="19">
        <v>5</v>
      </c>
      <c r="AK334" s="19">
        <v>5</v>
      </c>
      <c r="AL334" s="19">
        <v>5</v>
      </c>
      <c r="AM334" s="19">
        <v>4</v>
      </c>
      <c r="AN334" s="19">
        <v>4</v>
      </c>
      <c r="AO334" s="19">
        <v>4</v>
      </c>
      <c r="AP334" s="19">
        <v>8</v>
      </c>
      <c r="AQ334">
        <v>33.5</v>
      </c>
      <c r="AR334" s="16">
        <v>91.5</v>
      </c>
      <c r="AS334" s="16">
        <v>80.400000000000006</v>
      </c>
      <c r="AT334" s="16">
        <v>20</v>
      </c>
      <c r="AU334">
        <v>84.58</v>
      </c>
      <c r="AV334" s="17">
        <v>0</v>
      </c>
      <c r="AW334">
        <v>15.42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13.79</v>
      </c>
      <c r="BH334">
        <v>2.67</v>
      </c>
      <c r="BI334">
        <v>11.54</v>
      </c>
      <c r="BJ334">
        <v>0</v>
      </c>
      <c r="BK334">
        <v>12.3</v>
      </c>
      <c r="BL334">
        <v>2</v>
      </c>
      <c r="BM334">
        <v>0</v>
      </c>
      <c r="BN334">
        <v>1</v>
      </c>
      <c r="BO334">
        <v>0</v>
      </c>
      <c r="BP334" s="16">
        <v>0.25</v>
      </c>
      <c r="BQ334" s="16">
        <v>1</v>
      </c>
      <c r="BR334" s="16">
        <v>0.55000000000000004</v>
      </c>
      <c r="BS334" s="16">
        <v>0.55000000000000004</v>
      </c>
      <c r="BT334" s="16">
        <v>0</v>
      </c>
      <c r="BU334" s="16">
        <v>0</v>
      </c>
      <c r="BV334" s="16">
        <v>0</v>
      </c>
      <c r="BW334">
        <v>0</v>
      </c>
    </row>
    <row r="335" spans="1:75" x14ac:dyDescent="0.2">
      <c r="A335">
        <v>2</v>
      </c>
      <c r="B335">
        <v>25.965776865160802</v>
      </c>
      <c r="C335">
        <v>0.35044490075290902</v>
      </c>
      <c r="D335">
        <v>4</v>
      </c>
      <c r="E335">
        <v>91</v>
      </c>
      <c r="F335">
        <v>1.7</v>
      </c>
      <c r="G335">
        <v>31.487889273356402</v>
      </c>
      <c r="H335">
        <v>0</v>
      </c>
      <c r="I335">
        <v>0</v>
      </c>
      <c r="J335" s="19">
        <v>1</v>
      </c>
      <c r="K335" s="19">
        <v>0</v>
      </c>
      <c r="L335" s="19">
        <v>0</v>
      </c>
      <c r="M335" s="19">
        <v>0</v>
      </c>
      <c r="N335">
        <v>0</v>
      </c>
      <c r="O335" s="19">
        <v>0</v>
      </c>
      <c r="P335" s="19">
        <v>0</v>
      </c>
      <c r="Q335" s="19">
        <v>0</v>
      </c>
      <c r="R335" s="19">
        <v>0</v>
      </c>
      <c r="S335" s="19">
        <v>0</v>
      </c>
      <c r="T335" s="19">
        <v>0</v>
      </c>
      <c r="U335" s="19">
        <v>1</v>
      </c>
      <c r="V335" s="15">
        <f t="shared" si="11"/>
        <v>0.1111111111111111</v>
      </c>
      <c r="W335" s="19">
        <v>1</v>
      </c>
      <c r="X335" s="19">
        <v>2</v>
      </c>
      <c r="Y335" s="19">
        <v>2</v>
      </c>
      <c r="Z335" s="19">
        <v>5</v>
      </c>
      <c r="AA335" s="19">
        <v>2</v>
      </c>
      <c r="AB335" s="19">
        <v>1</v>
      </c>
      <c r="AC335" s="19">
        <v>3</v>
      </c>
      <c r="AD335" s="19">
        <v>3</v>
      </c>
      <c r="AE335" s="19">
        <v>5</v>
      </c>
      <c r="AF335" s="19">
        <v>4</v>
      </c>
      <c r="AG335" s="19">
        <v>5</v>
      </c>
      <c r="AH335" s="19">
        <v>5</v>
      </c>
      <c r="AI335" s="19">
        <v>5</v>
      </c>
      <c r="AJ335" s="19">
        <v>4</v>
      </c>
      <c r="AK335" s="19">
        <v>5</v>
      </c>
      <c r="AL335" s="19">
        <v>5</v>
      </c>
      <c r="AM335" s="19"/>
      <c r="AN335" s="19"/>
      <c r="AO335" s="19"/>
      <c r="AP335" s="19"/>
      <c r="AQ335">
        <v>33.5</v>
      </c>
      <c r="AR335" s="16">
        <v>91.5</v>
      </c>
      <c r="AS335" s="16">
        <v>80.400000000000006</v>
      </c>
      <c r="AT335" s="16">
        <v>20</v>
      </c>
      <c r="AU335">
        <v>84.58</v>
      </c>
      <c r="AV335" s="17">
        <v>0</v>
      </c>
      <c r="AW335">
        <v>15.42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13.79</v>
      </c>
      <c r="BH335">
        <v>2.67</v>
      </c>
      <c r="BI335">
        <v>11.54</v>
      </c>
      <c r="BJ335">
        <v>0</v>
      </c>
      <c r="BK335">
        <v>12.3</v>
      </c>
      <c r="BL335">
        <v>2</v>
      </c>
      <c r="BM335">
        <v>0</v>
      </c>
      <c r="BN335">
        <v>1</v>
      </c>
      <c r="BO335">
        <v>0</v>
      </c>
      <c r="BP335" s="16">
        <v>0.25</v>
      </c>
      <c r="BQ335" s="16">
        <v>1</v>
      </c>
      <c r="BR335" s="16">
        <v>0.55000000000000004</v>
      </c>
      <c r="BS335" s="16">
        <v>0.55000000000000004</v>
      </c>
      <c r="BT335" s="16">
        <v>0</v>
      </c>
      <c r="BU335" s="16">
        <v>0</v>
      </c>
      <c r="BV335" s="16">
        <v>0</v>
      </c>
      <c r="BW335">
        <v>0</v>
      </c>
    </row>
    <row r="336" spans="1:75" x14ac:dyDescent="0.2">
      <c r="A336">
        <v>2</v>
      </c>
      <c r="B336">
        <v>31.490759753593402</v>
      </c>
      <c r="C336">
        <v>6.0451745379876796</v>
      </c>
      <c r="D336">
        <v>4</v>
      </c>
      <c r="E336">
        <v>72</v>
      </c>
      <c r="F336">
        <v>1.75</v>
      </c>
      <c r="G336">
        <v>23.5102040816327</v>
      </c>
      <c r="H336">
        <v>0</v>
      </c>
      <c r="I336">
        <v>0</v>
      </c>
      <c r="J336" s="19">
        <v>0</v>
      </c>
      <c r="K336" s="19">
        <v>2</v>
      </c>
      <c r="L336" s="19">
        <v>0</v>
      </c>
      <c r="M336" s="19">
        <v>0</v>
      </c>
      <c r="N336">
        <v>0</v>
      </c>
      <c r="O336" s="19">
        <v>0</v>
      </c>
      <c r="P336" s="19">
        <v>0</v>
      </c>
      <c r="Q336" s="19">
        <v>0</v>
      </c>
      <c r="R336" s="19">
        <v>0</v>
      </c>
      <c r="S336" s="19">
        <v>0</v>
      </c>
      <c r="T336" s="19">
        <v>0</v>
      </c>
      <c r="U336" s="19">
        <v>0</v>
      </c>
      <c r="V336" s="15">
        <f t="shared" si="11"/>
        <v>0</v>
      </c>
      <c r="W336" s="19">
        <v>3</v>
      </c>
      <c r="X336" s="19"/>
      <c r="Y336" s="19">
        <v>3</v>
      </c>
      <c r="Z336" s="19">
        <v>5</v>
      </c>
      <c r="AA336" s="19">
        <v>2</v>
      </c>
      <c r="AB336" s="19">
        <v>3</v>
      </c>
      <c r="AC336" s="19">
        <v>2</v>
      </c>
      <c r="AD336" s="19">
        <v>3</v>
      </c>
      <c r="AE336" s="19">
        <v>3</v>
      </c>
      <c r="AF336" s="19">
        <v>4</v>
      </c>
      <c r="AG336" s="19"/>
      <c r="AH336" s="19">
        <v>5</v>
      </c>
      <c r="AI336" s="19">
        <v>3</v>
      </c>
      <c r="AJ336" s="19">
        <v>3</v>
      </c>
      <c r="AK336" s="19">
        <v>4</v>
      </c>
      <c r="AL336" s="19">
        <v>5</v>
      </c>
      <c r="AM336" s="19">
        <v>3</v>
      </c>
      <c r="AN336" s="19">
        <v>4</v>
      </c>
      <c r="AO336" s="19">
        <v>3</v>
      </c>
      <c r="AP336" s="19">
        <v>9</v>
      </c>
      <c r="AQ336">
        <v>33.5</v>
      </c>
      <c r="AR336" s="16">
        <v>91.5</v>
      </c>
      <c r="AS336" s="16">
        <v>80.400000000000006</v>
      </c>
      <c r="AT336" s="16">
        <v>20</v>
      </c>
      <c r="AU336">
        <v>84.58</v>
      </c>
      <c r="AV336" s="17">
        <v>0</v>
      </c>
      <c r="AW336">
        <v>15.42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13.79</v>
      </c>
      <c r="BH336">
        <v>2.67</v>
      </c>
      <c r="BI336">
        <v>11.54</v>
      </c>
      <c r="BJ336">
        <v>0</v>
      </c>
      <c r="BK336">
        <v>12.3</v>
      </c>
      <c r="BL336">
        <v>2</v>
      </c>
      <c r="BM336">
        <v>0</v>
      </c>
      <c r="BN336">
        <v>1</v>
      </c>
      <c r="BO336">
        <v>0</v>
      </c>
      <c r="BP336" s="16">
        <v>0.25</v>
      </c>
      <c r="BQ336" s="16">
        <v>1</v>
      </c>
      <c r="BR336" s="16">
        <v>0.55000000000000004</v>
      </c>
      <c r="BS336" s="16">
        <v>0.55000000000000004</v>
      </c>
      <c r="BT336" s="16">
        <v>0</v>
      </c>
      <c r="BU336" s="16">
        <v>0</v>
      </c>
      <c r="BV336" s="16">
        <v>0</v>
      </c>
      <c r="BW336">
        <v>0</v>
      </c>
    </row>
    <row r="337" spans="1:75" x14ac:dyDescent="0.2">
      <c r="A337">
        <v>2</v>
      </c>
      <c r="B337">
        <v>28.1505817932923</v>
      </c>
      <c r="C337">
        <v>1.3689253935660501E-2</v>
      </c>
      <c r="D337" t="s">
        <v>913</v>
      </c>
      <c r="E337">
        <v>71</v>
      </c>
      <c r="F337">
        <v>1.72</v>
      </c>
      <c r="G337">
        <v>23.999459167117401</v>
      </c>
      <c r="H337">
        <v>0</v>
      </c>
      <c r="I337">
        <v>0</v>
      </c>
      <c r="J337" s="19">
        <v>0</v>
      </c>
      <c r="K337" s="19">
        <v>0</v>
      </c>
      <c r="L337" s="19">
        <v>1</v>
      </c>
      <c r="M337" s="19">
        <v>0</v>
      </c>
      <c r="N337">
        <v>0</v>
      </c>
      <c r="O337" s="19">
        <v>0</v>
      </c>
      <c r="P337" s="19">
        <v>0</v>
      </c>
      <c r="Q337" s="19">
        <v>0</v>
      </c>
      <c r="R337" s="19"/>
      <c r="S337" s="19"/>
      <c r="T337" s="19">
        <v>0</v>
      </c>
      <c r="U337" s="19">
        <v>0</v>
      </c>
      <c r="V337" s="15">
        <f t="shared" si="11"/>
        <v>0</v>
      </c>
      <c r="W337" s="19">
        <v>2</v>
      </c>
      <c r="X337" s="19">
        <v>2</v>
      </c>
      <c r="Y337" s="19">
        <v>4</v>
      </c>
      <c r="Z337" s="19">
        <v>5</v>
      </c>
      <c r="AA337" s="19">
        <v>1</v>
      </c>
      <c r="AB337" s="19">
        <v>2</v>
      </c>
      <c r="AC337" s="19">
        <v>3</v>
      </c>
      <c r="AD337" s="19">
        <v>4</v>
      </c>
      <c r="AE337" s="19">
        <v>5</v>
      </c>
      <c r="AF337" s="19">
        <v>5</v>
      </c>
      <c r="AG337" s="19">
        <v>5</v>
      </c>
      <c r="AH337" s="19">
        <v>5</v>
      </c>
      <c r="AI337" s="19">
        <v>5</v>
      </c>
      <c r="AJ337" s="19">
        <v>5</v>
      </c>
      <c r="AK337" s="19">
        <v>5</v>
      </c>
      <c r="AL337" s="19">
        <v>5</v>
      </c>
      <c r="AM337" s="19">
        <v>5</v>
      </c>
      <c r="AN337" s="19">
        <v>5</v>
      </c>
      <c r="AO337" s="19">
        <v>5</v>
      </c>
      <c r="AP337" s="19">
        <v>10</v>
      </c>
      <c r="AQ337">
        <v>33.5</v>
      </c>
      <c r="AR337" s="16">
        <v>91.5</v>
      </c>
      <c r="AS337" s="16">
        <v>80.400000000000006</v>
      </c>
      <c r="AT337" s="16">
        <v>20</v>
      </c>
      <c r="AU337">
        <v>84.58</v>
      </c>
      <c r="AV337" s="17">
        <v>0</v>
      </c>
      <c r="AW337">
        <v>15.42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13.79</v>
      </c>
      <c r="BH337">
        <v>2.67</v>
      </c>
      <c r="BI337">
        <v>11.54</v>
      </c>
      <c r="BJ337">
        <v>0</v>
      </c>
      <c r="BK337">
        <v>12.3</v>
      </c>
      <c r="BL337">
        <v>2</v>
      </c>
      <c r="BM337">
        <v>0</v>
      </c>
      <c r="BN337">
        <v>1</v>
      </c>
      <c r="BO337">
        <v>0</v>
      </c>
      <c r="BP337" s="16">
        <v>0.25</v>
      </c>
      <c r="BQ337" s="16">
        <v>1</v>
      </c>
      <c r="BR337" s="16">
        <v>0.55000000000000004</v>
      </c>
      <c r="BS337" s="16">
        <v>0.55000000000000004</v>
      </c>
      <c r="BT337" s="16">
        <v>0</v>
      </c>
      <c r="BU337" s="16">
        <v>0</v>
      </c>
      <c r="BV337" s="16">
        <v>0</v>
      </c>
      <c r="BW337">
        <v>0</v>
      </c>
    </row>
    <row r="338" spans="1:75" x14ac:dyDescent="0.2">
      <c r="A338">
        <v>2</v>
      </c>
      <c r="B338">
        <v>28.164271047227899</v>
      </c>
      <c r="C338">
        <v>0.323066392881588</v>
      </c>
      <c r="D338">
        <v>4</v>
      </c>
      <c r="E338">
        <v>82</v>
      </c>
      <c r="F338">
        <v>1.79</v>
      </c>
      <c r="G338">
        <v>25.592209980961901</v>
      </c>
      <c r="H338">
        <v>0</v>
      </c>
      <c r="I338">
        <v>0</v>
      </c>
      <c r="J338" s="19">
        <v>0</v>
      </c>
      <c r="K338" s="19">
        <v>0</v>
      </c>
      <c r="L338" s="19">
        <v>0</v>
      </c>
      <c r="M338" s="19">
        <v>0</v>
      </c>
      <c r="N338">
        <v>0</v>
      </c>
      <c r="O338" s="19">
        <v>0</v>
      </c>
      <c r="P338" s="19">
        <v>0</v>
      </c>
      <c r="Q338" s="19">
        <v>0</v>
      </c>
      <c r="R338" s="19">
        <v>0</v>
      </c>
      <c r="S338" s="19">
        <v>0</v>
      </c>
      <c r="T338" s="19">
        <v>0</v>
      </c>
      <c r="U338" s="19">
        <v>0</v>
      </c>
      <c r="V338" s="15">
        <f t="shared" si="11"/>
        <v>0</v>
      </c>
      <c r="W338" s="19">
        <v>2</v>
      </c>
      <c r="X338" s="19">
        <v>1</v>
      </c>
      <c r="Y338" s="19">
        <v>4</v>
      </c>
      <c r="Z338" s="19">
        <v>5</v>
      </c>
      <c r="AA338" s="19">
        <v>1</v>
      </c>
      <c r="AB338" s="19">
        <v>1</v>
      </c>
      <c r="AC338" s="19">
        <v>4</v>
      </c>
      <c r="AD338" s="19">
        <v>4</v>
      </c>
      <c r="AE338" s="19">
        <v>5</v>
      </c>
      <c r="AF338" s="19">
        <v>5</v>
      </c>
      <c r="AG338" s="19">
        <v>4</v>
      </c>
      <c r="AH338" s="19">
        <v>4</v>
      </c>
      <c r="AI338" s="19">
        <v>5</v>
      </c>
      <c r="AJ338" s="19">
        <v>5</v>
      </c>
      <c r="AK338" s="19">
        <v>5</v>
      </c>
      <c r="AL338" s="19">
        <v>5</v>
      </c>
      <c r="AM338" s="19">
        <v>4</v>
      </c>
      <c r="AN338" s="19">
        <v>4</v>
      </c>
      <c r="AO338" s="19">
        <v>4</v>
      </c>
      <c r="AP338" s="19">
        <v>8</v>
      </c>
      <c r="AQ338">
        <v>33.5</v>
      </c>
      <c r="AR338" s="16">
        <v>91.5</v>
      </c>
      <c r="AS338" s="16">
        <v>80.400000000000006</v>
      </c>
      <c r="AT338" s="16">
        <v>20</v>
      </c>
      <c r="AU338">
        <v>84.58</v>
      </c>
      <c r="AV338" s="17">
        <v>0</v>
      </c>
      <c r="AW338">
        <v>15.42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13.79</v>
      </c>
      <c r="BH338">
        <v>2.67</v>
      </c>
      <c r="BI338">
        <v>11.54</v>
      </c>
      <c r="BJ338">
        <v>0</v>
      </c>
      <c r="BK338">
        <v>12.3</v>
      </c>
      <c r="BL338">
        <v>2</v>
      </c>
      <c r="BM338">
        <v>0</v>
      </c>
      <c r="BN338">
        <v>1</v>
      </c>
      <c r="BO338">
        <v>0</v>
      </c>
      <c r="BP338" s="16">
        <v>0.25</v>
      </c>
      <c r="BQ338" s="16">
        <v>1</v>
      </c>
      <c r="BR338" s="16">
        <v>0.55000000000000004</v>
      </c>
      <c r="BS338" s="16">
        <v>0.55000000000000004</v>
      </c>
      <c r="BT338" s="16">
        <v>0</v>
      </c>
      <c r="BU338" s="16">
        <v>0</v>
      </c>
      <c r="BV338" s="16">
        <v>0</v>
      </c>
      <c r="BW338">
        <v>0</v>
      </c>
    </row>
    <row r="339" spans="1:75" x14ac:dyDescent="0.2">
      <c r="A339">
        <v>1</v>
      </c>
      <c r="B339">
        <v>20.276522929500299</v>
      </c>
      <c r="C339">
        <v>0.38877481177275802</v>
      </c>
      <c r="D339" t="s">
        <v>913</v>
      </c>
      <c r="E339">
        <v>60</v>
      </c>
      <c r="F339">
        <v>1.7</v>
      </c>
      <c r="G339">
        <v>20.761245674740501</v>
      </c>
      <c r="H339">
        <v>0</v>
      </c>
      <c r="I339">
        <v>0</v>
      </c>
      <c r="J339" s="19">
        <v>0</v>
      </c>
      <c r="K339" s="19">
        <v>0</v>
      </c>
      <c r="L339" s="19">
        <v>1</v>
      </c>
      <c r="M339" s="19">
        <v>0</v>
      </c>
      <c r="N339">
        <v>0</v>
      </c>
      <c r="O339" s="19">
        <v>0</v>
      </c>
      <c r="P339" s="19">
        <v>0</v>
      </c>
      <c r="Q339" s="19">
        <v>0</v>
      </c>
      <c r="R339" s="19">
        <v>0</v>
      </c>
      <c r="S339" s="19">
        <v>0</v>
      </c>
      <c r="T339" s="19">
        <v>0</v>
      </c>
      <c r="U339" s="19">
        <v>0</v>
      </c>
      <c r="V339" s="15">
        <f t="shared" si="11"/>
        <v>0</v>
      </c>
      <c r="W339" s="19">
        <v>1</v>
      </c>
      <c r="X339" s="19">
        <v>1</v>
      </c>
      <c r="Y339" s="19">
        <v>1</v>
      </c>
      <c r="Z339" s="19">
        <v>2</v>
      </c>
      <c r="AA339" s="19">
        <v>1</v>
      </c>
      <c r="AB339" s="19">
        <v>1</v>
      </c>
      <c r="AC339" s="19">
        <v>1</v>
      </c>
      <c r="AD339" s="19">
        <v>1</v>
      </c>
      <c r="AE339" s="19">
        <v>3</v>
      </c>
      <c r="AF339" s="19">
        <v>5</v>
      </c>
      <c r="AG339" s="19">
        <v>5</v>
      </c>
      <c r="AH339" s="19">
        <v>5</v>
      </c>
      <c r="AI339" s="19">
        <v>4</v>
      </c>
      <c r="AJ339" s="19">
        <v>5</v>
      </c>
      <c r="AK339" s="19">
        <v>5</v>
      </c>
      <c r="AL339" s="19">
        <v>5</v>
      </c>
      <c r="AM339" s="19">
        <v>4</v>
      </c>
      <c r="AN339" s="19">
        <v>4</v>
      </c>
      <c r="AO339" s="19">
        <v>4</v>
      </c>
      <c r="AP339" s="19">
        <v>8</v>
      </c>
      <c r="AQ339">
        <v>33.5</v>
      </c>
      <c r="AR339" s="16">
        <v>91.5</v>
      </c>
      <c r="AS339" s="16">
        <v>80.400000000000006</v>
      </c>
      <c r="AT339" s="16">
        <v>20</v>
      </c>
      <c r="AU339">
        <v>84.58</v>
      </c>
      <c r="AV339" s="17">
        <v>0</v>
      </c>
      <c r="AW339">
        <v>15.42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13.79</v>
      </c>
      <c r="BH339">
        <v>2.67</v>
      </c>
      <c r="BI339">
        <v>11.54</v>
      </c>
      <c r="BJ339">
        <v>0</v>
      </c>
      <c r="BK339">
        <v>12.3</v>
      </c>
      <c r="BL339">
        <v>2</v>
      </c>
      <c r="BM339">
        <v>0</v>
      </c>
      <c r="BN339">
        <v>1</v>
      </c>
      <c r="BO339">
        <v>0</v>
      </c>
      <c r="BP339" s="16">
        <v>0.25</v>
      </c>
      <c r="BQ339" s="16">
        <v>1</v>
      </c>
      <c r="BR339" s="16">
        <v>0.55000000000000004</v>
      </c>
      <c r="BS339" s="16">
        <v>0.55000000000000004</v>
      </c>
      <c r="BT339" s="16">
        <v>0</v>
      </c>
      <c r="BU339" s="16">
        <v>0</v>
      </c>
      <c r="BV339" s="16">
        <v>0</v>
      </c>
      <c r="BW339">
        <v>0</v>
      </c>
    </row>
    <row r="340" spans="1:75" x14ac:dyDescent="0.2">
      <c r="A340">
        <v>2</v>
      </c>
      <c r="B340">
        <v>47.0308008213552</v>
      </c>
      <c r="C340">
        <v>6.6173853524982897</v>
      </c>
      <c r="D340">
        <v>4</v>
      </c>
      <c r="E340">
        <v>90</v>
      </c>
      <c r="F340">
        <v>1.78</v>
      </c>
      <c r="G340">
        <v>28.405504355510701</v>
      </c>
      <c r="H340">
        <v>0</v>
      </c>
      <c r="I340">
        <v>0</v>
      </c>
      <c r="J340" s="19">
        <v>0</v>
      </c>
      <c r="K340" s="19">
        <v>1</v>
      </c>
      <c r="L340" s="19">
        <v>0</v>
      </c>
      <c r="M340" s="19">
        <v>0</v>
      </c>
      <c r="N340">
        <v>0</v>
      </c>
      <c r="O340" s="19">
        <v>0</v>
      </c>
      <c r="P340" s="19">
        <v>0</v>
      </c>
      <c r="Q340" s="19">
        <v>0</v>
      </c>
      <c r="R340" s="19">
        <v>0</v>
      </c>
      <c r="S340" s="19">
        <v>4</v>
      </c>
      <c r="T340" s="19">
        <v>0</v>
      </c>
      <c r="U340" s="19">
        <v>0</v>
      </c>
      <c r="V340" s="15">
        <f t="shared" si="11"/>
        <v>0.44444444444444442</v>
      </c>
      <c r="W340" s="19">
        <v>2</v>
      </c>
      <c r="X340" s="19"/>
      <c r="Y340" s="19">
        <v>5</v>
      </c>
      <c r="Z340" s="19">
        <v>5</v>
      </c>
      <c r="AA340" s="19">
        <v>1</v>
      </c>
      <c r="AB340" s="19">
        <v>1</v>
      </c>
      <c r="AC340" s="19">
        <v>1</v>
      </c>
      <c r="AD340" s="19">
        <v>4</v>
      </c>
      <c r="AE340" s="19">
        <v>5</v>
      </c>
      <c r="AF340" s="19">
        <v>2</v>
      </c>
      <c r="AG340" s="19">
        <v>4</v>
      </c>
      <c r="AH340" s="19">
        <v>4</v>
      </c>
      <c r="AI340" s="19">
        <v>3</v>
      </c>
      <c r="AJ340" s="19">
        <v>3</v>
      </c>
      <c r="AK340" s="19">
        <v>4</v>
      </c>
      <c r="AL340" s="19">
        <v>5</v>
      </c>
      <c r="AM340" s="19">
        <v>4</v>
      </c>
      <c r="AN340" s="19">
        <v>3</v>
      </c>
      <c r="AO340" s="19">
        <v>4</v>
      </c>
      <c r="AP340" s="19">
        <v>10</v>
      </c>
      <c r="AQ340">
        <v>33.5</v>
      </c>
      <c r="AR340" s="16">
        <v>91.5</v>
      </c>
      <c r="AS340" s="16">
        <v>80.400000000000006</v>
      </c>
      <c r="AT340" s="16">
        <v>20</v>
      </c>
      <c r="AU340">
        <v>84.58</v>
      </c>
      <c r="AV340" s="17">
        <v>0</v>
      </c>
      <c r="AW340">
        <v>15.42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13.79</v>
      </c>
      <c r="BH340">
        <v>2.67</v>
      </c>
      <c r="BI340">
        <v>11.54</v>
      </c>
      <c r="BJ340">
        <v>0</v>
      </c>
      <c r="BK340">
        <v>12.3</v>
      </c>
      <c r="BL340">
        <v>2</v>
      </c>
      <c r="BM340">
        <v>0</v>
      </c>
      <c r="BN340">
        <v>1</v>
      </c>
      <c r="BO340">
        <v>0</v>
      </c>
      <c r="BP340" s="16">
        <v>0.25</v>
      </c>
      <c r="BQ340" s="16">
        <v>1</v>
      </c>
      <c r="BR340" s="16">
        <v>0.55000000000000004</v>
      </c>
      <c r="BS340" s="16">
        <v>0.55000000000000004</v>
      </c>
      <c r="BT340" s="16">
        <v>0</v>
      </c>
      <c r="BU340" s="16">
        <v>0</v>
      </c>
      <c r="BV340" s="16">
        <v>0</v>
      </c>
      <c r="BW340">
        <v>0</v>
      </c>
    </row>
    <row r="341" spans="1:75" x14ac:dyDescent="0.2">
      <c r="A341">
        <v>2</v>
      </c>
      <c r="B341">
        <v>32.224503764544799</v>
      </c>
      <c r="C341">
        <v>0.334017796030116</v>
      </c>
      <c r="D341">
        <v>8</v>
      </c>
      <c r="E341">
        <v>90</v>
      </c>
      <c r="F341">
        <v>1.77</v>
      </c>
      <c r="G341">
        <v>28.727377190462501</v>
      </c>
      <c r="H341">
        <v>0</v>
      </c>
      <c r="I341">
        <v>0</v>
      </c>
      <c r="J341" s="19">
        <v>0</v>
      </c>
      <c r="K341" s="19">
        <v>2</v>
      </c>
      <c r="L341" s="19">
        <v>0</v>
      </c>
      <c r="M341" s="19"/>
      <c r="N341">
        <v>0</v>
      </c>
      <c r="O341" s="19">
        <v>0</v>
      </c>
      <c r="P341" s="19">
        <v>0</v>
      </c>
      <c r="Q341" s="19">
        <v>0</v>
      </c>
      <c r="R341" s="19">
        <v>5</v>
      </c>
      <c r="S341" s="19">
        <v>5</v>
      </c>
      <c r="T341" s="19">
        <v>0</v>
      </c>
      <c r="U341" s="19">
        <v>5</v>
      </c>
      <c r="V341" s="15">
        <f t="shared" si="11"/>
        <v>1.875</v>
      </c>
      <c r="W341" s="19">
        <v>3</v>
      </c>
      <c r="X341" s="19">
        <v>2</v>
      </c>
      <c r="Y341" s="19">
        <v>3</v>
      </c>
      <c r="Z341" s="19">
        <v>5</v>
      </c>
      <c r="AA341" s="19">
        <v>3</v>
      </c>
      <c r="AB341" s="19">
        <v>5</v>
      </c>
      <c r="AC341" s="19">
        <v>5</v>
      </c>
      <c r="AD341" s="19">
        <v>4</v>
      </c>
      <c r="AE341" s="19">
        <v>3</v>
      </c>
      <c r="AF341" s="19">
        <v>4</v>
      </c>
      <c r="AG341" s="19">
        <v>4</v>
      </c>
      <c r="AH341" s="19">
        <v>4</v>
      </c>
      <c r="AI341" s="19">
        <v>4</v>
      </c>
      <c r="AJ341" s="19">
        <v>4</v>
      </c>
      <c r="AK341" s="19">
        <v>4</v>
      </c>
      <c r="AL341" s="19">
        <v>4</v>
      </c>
      <c r="AM341" s="19">
        <v>4</v>
      </c>
      <c r="AN341" s="19">
        <v>4</v>
      </c>
      <c r="AO341" s="19">
        <v>3</v>
      </c>
      <c r="AP341" s="19">
        <v>10</v>
      </c>
      <c r="AQ341">
        <v>64</v>
      </c>
      <c r="AR341" s="16">
        <v>74.3</v>
      </c>
      <c r="AS341" s="16">
        <v>81</v>
      </c>
      <c r="AT341" s="16">
        <v>58.5</v>
      </c>
      <c r="AU341">
        <v>49.17</v>
      </c>
      <c r="AV341">
        <v>0</v>
      </c>
      <c r="AW341">
        <v>34.450000000000003</v>
      </c>
      <c r="AX341">
        <v>16.22</v>
      </c>
      <c r="AY341">
        <v>0.16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2.52</v>
      </c>
      <c r="BI341">
        <v>9.18</v>
      </c>
      <c r="BJ341">
        <v>0</v>
      </c>
      <c r="BK341">
        <v>0</v>
      </c>
      <c r="BL341">
        <v>0</v>
      </c>
      <c r="BM341">
        <v>0.3</v>
      </c>
      <c r="BN341">
        <v>1</v>
      </c>
      <c r="BO341">
        <v>0</v>
      </c>
      <c r="BP341" s="16">
        <v>2.89</v>
      </c>
      <c r="BQ341" s="16">
        <v>1</v>
      </c>
      <c r="BR341" s="16">
        <v>0</v>
      </c>
      <c r="BS341" s="16">
        <v>0</v>
      </c>
      <c r="BT341" s="16">
        <v>0</v>
      </c>
      <c r="BU341" s="16">
        <v>0</v>
      </c>
      <c r="BV341" s="16">
        <v>0</v>
      </c>
      <c r="BW341">
        <v>0</v>
      </c>
    </row>
    <row r="342" spans="1:75" x14ac:dyDescent="0.2">
      <c r="A342">
        <v>1</v>
      </c>
      <c r="B342">
        <v>26.507871321012999</v>
      </c>
      <c r="C342">
        <v>0.37508555783709802</v>
      </c>
      <c r="D342" t="s">
        <v>913</v>
      </c>
      <c r="E342">
        <v>55</v>
      </c>
      <c r="F342">
        <v>1.63</v>
      </c>
      <c r="G342">
        <v>20.700816741315101</v>
      </c>
      <c r="H342">
        <v>0</v>
      </c>
      <c r="I342">
        <v>0</v>
      </c>
      <c r="J342" s="19">
        <v>0</v>
      </c>
      <c r="K342" s="19">
        <v>0</v>
      </c>
      <c r="L342" s="19">
        <v>1</v>
      </c>
      <c r="M342" s="19">
        <v>0</v>
      </c>
      <c r="N342">
        <v>0</v>
      </c>
      <c r="O342" s="19">
        <v>0</v>
      </c>
      <c r="P342" s="19">
        <v>0</v>
      </c>
      <c r="Q342" s="19">
        <v>0</v>
      </c>
      <c r="R342" s="19">
        <v>0</v>
      </c>
      <c r="S342" s="19">
        <v>0</v>
      </c>
      <c r="T342" s="19">
        <v>0</v>
      </c>
      <c r="U342" s="19">
        <v>0</v>
      </c>
      <c r="V342" s="15">
        <f t="shared" si="11"/>
        <v>0</v>
      </c>
      <c r="W342" s="19">
        <v>1</v>
      </c>
      <c r="X342" s="19">
        <v>1</v>
      </c>
      <c r="Y342" s="19">
        <v>2</v>
      </c>
      <c r="Z342" s="19">
        <v>4</v>
      </c>
      <c r="AA342" s="19">
        <v>3</v>
      </c>
      <c r="AB342" s="19">
        <v>3</v>
      </c>
      <c r="AC342" s="19">
        <v>3</v>
      </c>
      <c r="AD342" s="19">
        <v>3</v>
      </c>
      <c r="AE342" s="19">
        <v>5</v>
      </c>
      <c r="AF342" s="19">
        <v>5</v>
      </c>
      <c r="AG342" s="19">
        <v>5</v>
      </c>
      <c r="AH342" s="19">
        <v>5</v>
      </c>
      <c r="AI342" s="19">
        <v>3</v>
      </c>
      <c r="AJ342" s="19">
        <v>5</v>
      </c>
      <c r="AK342" s="19">
        <v>5</v>
      </c>
      <c r="AL342" s="19">
        <v>5</v>
      </c>
      <c r="AM342" s="19">
        <v>4</v>
      </c>
      <c r="AN342" s="19">
        <v>5</v>
      </c>
      <c r="AO342" s="19">
        <v>5</v>
      </c>
      <c r="AP342" s="19">
        <v>8</v>
      </c>
      <c r="AQ342">
        <v>40</v>
      </c>
      <c r="AR342" s="16">
        <v>84.9</v>
      </c>
      <c r="AS342" s="16">
        <v>81</v>
      </c>
      <c r="AT342" s="16">
        <v>13.2</v>
      </c>
      <c r="AU342">
        <v>93.04</v>
      </c>
      <c r="AV342">
        <v>0</v>
      </c>
      <c r="AW342">
        <v>0</v>
      </c>
      <c r="AX342">
        <v>3.59</v>
      </c>
      <c r="AY342">
        <v>3.38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1.7</v>
      </c>
      <c r="BG342">
        <v>3.97</v>
      </c>
      <c r="BH342">
        <v>39.76</v>
      </c>
      <c r="BI342">
        <v>0.13</v>
      </c>
      <c r="BJ342">
        <v>0</v>
      </c>
      <c r="BK342">
        <v>0</v>
      </c>
      <c r="BL342">
        <v>0</v>
      </c>
      <c r="BM342">
        <v>15.9</v>
      </c>
      <c r="BN342">
        <v>1</v>
      </c>
      <c r="BO342">
        <v>1</v>
      </c>
      <c r="BP342" s="16">
        <v>1.48</v>
      </c>
      <c r="BQ342" s="16">
        <v>1</v>
      </c>
      <c r="BR342" s="16">
        <v>7.34</v>
      </c>
      <c r="BS342" s="16">
        <v>5.01</v>
      </c>
      <c r="BT342" s="16">
        <v>0</v>
      </c>
      <c r="BU342" s="16">
        <v>0</v>
      </c>
      <c r="BV342" s="16">
        <v>0</v>
      </c>
      <c r="BW342">
        <v>0</v>
      </c>
    </row>
    <row r="343" spans="1:75" x14ac:dyDescent="0.2">
      <c r="A343">
        <v>1</v>
      </c>
      <c r="B343">
        <v>31.641341546885702</v>
      </c>
      <c r="C343">
        <v>0.37508555783709802</v>
      </c>
      <c r="D343" t="s">
        <v>913</v>
      </c>
      <c r="E343">
        <v>61</v>
      </c>
      <c r="F343">
        <v>1.67</v>
      </c>
      <c r="G343">
        <v>21.8724228190326</v>
      </c>
      <c r="H343">
        <v>0</v>
      </c>
      <c r="I343">
        <v>0</v>
      </c>
      <c r="J343" s="19">
        <v>0</v>
      </c>
      <c r="K343" s="19">
        <v>1</v>
      </c>
      <c r="L343" s="19">
        <v>0</v>
      </c>
      <c r="M343" s="19">
        <v>0</v>
      </c>
      <c r="N343">
        <v>0</v>
      </c>
      <c r="O343" s="19">
        <v>0</v>
      </c>
      <c r="P343" s="19">
        <v>0</v>
      </c>
      <c r="Q343" s="19">
        <v>0</v>
      </c>
      <c r="R343" s="19">
        <v>0</v>
      </c>
      <c r="S343" s="19">
        <v>0</v>
      </c>
      <c r="T343" s="19">
        <v>0</v>
      </c>
      <c r="U343" s="19">
        <v>0</v>
      </c>
      <c r="V343" s="15">
        <f t="shared" si="11"/>
        <v>0</v>
      </c>
      <c r="W343" s="19">
        <v>1</v>
      </c>
      <c r="X343" s="19">
        <v>1</v>
      </c>
      <c r="Y343" s="19">
        <v>1</v>
      </c>
      <c r="Z343" s="19">
        <v>5</v>
      </c>
      <c r="AA343" s="19">
        <v>5</v>
      </c>
      <c r="AB343" s="19">
        <v>5</v>
      </c>
      <c r="AC343" s="19">
        <v>5</v>
      </c>
      <c r="AD343" s="19">
        <v>5</v>
      </c>
      <c r="AE343" s="19">
        <v>5</v>
      </c>
      <c r="AF343" s="19">
        <v>5</v>
      </c>
      <c r="AG343" s="19">
        <v>5</v>
      </c>
      <c r="AH343" s="19">
        <v>5</v>
      </c>
      <c r="AI343" s="19">
        <v>5</v>
      </c>
      <c r="AJ343" s="19">
        <v>5</v>
      </c>
      <c r="AK343" s="19">
        <v>5</v>
      </c>
      <c r="AL343" s="19">
        <v>5</v>
      </c>
      <c r="AM343" s="19">
        <v>5</v>
      </c>
      <c r="AN343" s="19">
        <v>5</v>
      </c>
      <c r="AO343" s="19">
        <v>5</v>
      </c>
      <c r="AP343" s="19">
        <v>10</v>
      </c>
      <c r="AQ343">
        <v>40</v>
      </c>
      <c r="AR343" s="16">
        <v>84.9</v>
      </c>
      <c r="AS343" s="16">
        <v>81</v>
      </c>
      <c r="AT343" s="16">
        <v>13.2</v>
      </c>
      <c r="AU343">
        <v>93.04</v>
      </c>
      <c r="AV343">
        <v>0</v>
      </c>
      <c r="AW343">
        <v>0</v>
      </c>
      <c r="AX343">
        <v>3.59</v>
      </c>
      <c r="AY343">
        <v>3.38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1.7</v>
      </c>
      <c r="BG343">
        <v>3.97</v>
      </c>
      <c r="BH343">
        <v>39.76</v>
      </c>
      <c r="BI343">
        <v>0.13</v>
      </c>
      <c r="BJ343">
        <v>0</v>
      </c>
      <c r="BK343">
        <v>0</v>
      </c>
      <c r="BL343">
        <v>0</v>
      </c>
      <c r="BM343">
        <v>15.9</v>
      </c>
      <c r="BN343">
        <v>1</v>
      </c>
      <c r="BO343">
        <v>1</v>
      </c>
      <c r="BP343" s="16">
        <v>1.48</v>
      </c>
      <c r="BQ343" s="16">
        <v>1</v>
      </c>
      <c r="BR343" s="16">
        <v>7.34</v>
      </c>
      <c r="BS343" s="16">
        <v>5.01</v>
      </c>
      <c r="BT343" s="16">
        <v>0</v>
      </c>
      <c r="BU343" s="16">
        <v>0</v>
      </c>
      <c r="BV343" s="16">
        <v>0</v>
      </c>
      <c r="BW343">
        <v>0</v>
      </c>
    </row>
    <row r="344" spans="1:75" x14ac:dyDescent="0.2">
      <c r="A344">
        <v>2</v>
      </c>
      <c r="B344">
        <v>35.290896646132801</v>
      </c>
      <c r="C344">
        <v>0.123203285420945</v>
      </c>
      <c r="D344">
        <v>4</v>
      </c>
      <c r="E344">
        <v>81</v>
      </c>
      <c r="F344">
        <v>1.82</v>
      </c>
      <c r="G344">
        <v>24.453568409612402</v>
      </c>
      <c r="H344">
        <v>0</v>
      </c>
      <c r="I344">
        <v>0</v>
      </c>
      <c r="J344" s="19">
        <v>0</v>
      </c>
      <c r="K344" s="19">
        <v>2</v>
      </c>
      <c r="L344" s="19">
        <v>0</v>
      </c>
      <c r="M344" s="19">
        <v>0</v>
      </c>
      <c r="N344">
        <v>0</v>
      </c>
      <c r="O344" s="19">
        <v>0</v>
      </c>
      <c r="P344" s="19">
        <v>0</v>
      </c>
      <c r="Q344" s="19">
        <v>0</v>
      </c>
      <c r="R344" s="19">
        <v>5</v>
      </c>
      <c r="S344" s="19">
        <v>0</v>
      </c>
      <c r="T344" s="19">
        <v>0</v>
      </c>
      <c r="U344" s="19">
        <v>0</v>
      </c>
      <c r="V344" s="15">
        <f t="shared" si="11"/>
        <v>0.55555555555555558</v>
      </c>
      <c r="W344" s="19">
        <v>3</v>
      </c>
      <c r="X344" s="19">
        <v>3</v>
      </c>
      <c r="Y344" s="19">
        <v>4</v>
      </c>
      <c r="Z344" s="19">
        <v>5</v>
      </c>
      <c r="AA344" s="19">
        <v>3</v>
      </c>
      <c r="AB344" s="19">
        <v>4</v>
      </c>
      <c r="AC344" s="19">
        <v>3</v>
      </c>
      <c r="AD344" s="19">
        <v>3</v>
      </c>
      <c r="AE344" s="19">
        <v>3</v>
      </c>
      <c r="AF344" s="19">
        <v>3</v>
      </c>
      <c r="AG344" s="19">
        <v>4</v>
      </c>
      <c r="AH344" s="19">
        <v>4</v>
      </c>
      <c r="AI344" s="19">
        <v>3</v>
      </c>
      <c r="AJ344" s="19">
        <v>2</v>
      </c>
      <c r="AK344" s="19">
        <v>4</v>
      </c>
      <c r="AL344" s="19">
        <v>4</v>
      </c>
      <c r="AM344" s="19">
        <v>3</v>
      </c>
      <c r="AN344" s="19">
        <v>2</v>
      </c>
      <c r="AO344" s="19">
        <v>3</v>
      </c>
      <c r="AP344" s="19">
        <v>9</v>
      </c>
      <c r="AQ344">
        <v>17.5</v>
      </c>
      <c r="AR344" s="16">
        <v>81.900000000000006</v>
      </c>
      <c r="AS344" s="16">
        <v>80.400000000000006</v>
      </c>
      <c r="AT344" s="16">
        <v>12.5</v>
      </c>
      <c r="AU344">
        <v>85.79</v>
      </c>
      <c r="AV344"/>
      <c r="AW344">
        <v>10.02</v>
      </c>
      <c r="AX344">
        <v>0</v>
      </c>
      <c r="AY344">
        <v>0</v>
      </c>
      <c r="AZ344">
        <v>0</v>
      </c>
      <c r="BA344">
        <v>4.1900000000000004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53.51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 s="16">
        <v>3.38</v>
      </c>
      <c r="BQ344" s="16">
        <v>1</v>
      </c>
      <c r="BR344" s="16">
        <v>0</v>
      </c>
      <c r="BS344" s="16">
        <v>0</v>
      </c>
      <c r="BT344" s="16">
        <v>0</v>
      </c>
      <c r="BU344" s="16">
        <v>0</v>
      </c>
      <c r="BV344" s="16">
        <v>0</v>
      </c>
      <c r="BW344">
        <v>0</v>
      </c>
    </row>
    <row r="345" spans="1:75" x14ac:dyDescent="0.2">
      <c r="A345">
        <v>2</v>
      </c>
      <c r="B345">
        <v>48.1615331964408</v>
      </c>
      <c r="C345">
        <v>15.6605065023956</v>
      </c>
      <c r="D345">
        <v>8</v>
      </c>
      <c r="E345">
        <v>86</v>
      </c>
      <c r="F345">
        <v>1.72</v>
      </c>
      <c r="G345">
        <v>29.069767441860499</v>
      </c>
      <c r="H345">
        <v>0</v>
      </c>
      <c r="I345">
        <v>0</v>
      </c>
      <c r="J345" s="19">
        <v>1</v>
      </c>
      <c r="K345" s="19">
        <v>3</v>
      </c>
      <c r="L345" s="19">
        <v>0</v>
      </c>
      <c r="M345" s="19">
        <v>6</v>
      </c>
      <c r="N345">
        <v>4</v>
      </c>
      <c r="O345" s="19">
        <v>6</v>
      </c>
      <c r="P345" s="19">
        <v>4</v>
      </c>
      <c r="Q345" s="19">
        <v>0</v>
      </c>
      <c r="R345" s="19">
        <v>6</v>
      </c>
      <c r="S345" s="19">
        <v>0</v>
      </c>
      <c r="T345" s="19">
        <v>0</v>
      </c>
      <c r="U345" s="19">
        <v>4</v>
      </c>
      <c r="V345" s="15">
        <f t="shared" si="11"/>
        <v>3.3333333333333335</v>
      </c>
      <c r="W345" s="19">
        <v>4</v>
      </c>
      <c r="X345" s="19">
        <v>4</v>
      </c>
      <c r="Y345" s="19">
        <v>4</v>
      </c>
      <c r="Z345" s="19">
        <v>5</v>
      </c>
      <c r="AA345" s="19">
        <v>4</v>
      </c>
      <c r="AB345" s="19">
        <v>4</v>
      </c>
      <c r="AC345" s="19">
        <v>5</v>
      </c>
      <c r="AD345" s="19">
        <v>5</v>
      </c>
      <c r="AE345" s="19">
        <v>3</v>
      </c>
      <c r="AF345" s="19">
        <v>1</v>
      </c>
      <c r="AG345" s="19">
        <v>3</v>
      </c>
      <c r="AH345" s="19">
        <v>5</v>
      </c>
      <c r="AI345" s="19">
        <v>3</v>
      </c>
      <c r="AJ345" s="19">
        <v>3</v>
      </c>
      <c r="AK345" s="19">
        <v>3</v>
      </c>
      <c r="AL345" s="19">
        <v>4</v>
      </c>
      <c r="AM345" s="19">
        <v>3</v>
      </c>
      <c r="AN345" s="19">
        <v>3</v>
      </c>
      <c r="AO345" s="19">
        <v>3</v>
      </c>
      <c r="AP345" s="19">
        <v>6</v>
      </c>
      <c r="AQ345">
        <v>70.5</v>
      </c>
      <c r="AR345" s="16">
        <v>88.2</v>
      </c>
      <c r="AS345" s="16">
        <v>80.400000000000006</v>
      </c>
      <c r="AT345" s="16">
        <v>36.299999999999997</v>
      </c>
      <c r="AU345">
        <v>72.69</v>
      </c>
      <c r="AV345" s="17">
        <v>0</v>
      </c>
      <c r="AW345">
        <v>10.32</v>
      </c>
      <c r="AX345">
        <v>16.989999999999998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36.659999999999997</v>
      </c>
      <c r="BH345">
        <v>7.54</v>
      </c>
      <c r="BI345">
        <v>10.32</v>
      </c>
      <c r="BJ345">
        <v>0</v>
      </c>
      <c r="BK345">
        <v>0</v>
      </c>
      <c r="BL345">
        <v>0</v>
      </c>
      <c r="BM345">
        <v>21.2</v>
      </c>
      <c r="BN345">
        <v>1</v>
      </c>
      <c r="BO345">
        <v>0</v>
      </c>
      <c r="BP345" s="16">
        <v>11.58</v>
      </c>
      <c r="BQ345" s="16">
        <v>1</v>
      </c>
      <c r="BR345" s="16">
        <v>0.27</v>
      </c>
      <c r="BS345" s="16">
        <v>0.27</v>
      </c>
      <c r="BT345" s="16">
        <v>0</v>
      </c>
      <c r="BU345" s="16">
        <v>0</v>
      </c>
      <c r="BV345" s="16">
        <v>0</v>
      </c>
      <c r="BW345">
        <v>0</v>
      </c>
    </row>
    <row r="346" spans="1:75" x14ac:dyDescent="0.2">
      <c r="A346">
        <v>1</v>
      </c>
      <c r="B346">
        <v>46.600958247775502</v>
      </c>
      <c r="C346">
        <v>6.0944558521560603</v>
      </c>
      <c r="D346" t="s">
        <v>913</v>
      </c>
      <c r="E346">
        <v>75</v>
      </c>
      <c r="F346">
        <v>1.71</v>
      </c>
      <c r="G346">
        <v>25.648917615676599</v>
      </c>
      <c r="H346">
        <v>0</v>
      </c>
      <c r="I346">
        <v>0</v>
      </c>
      <c r="J346" s="19">
        <v>1</v>
      </c>
      <c r="K346" s="19">
        <v>0</v>
      </c>
      <c r="L346" s="19">
        <v>0</v>
      </c>
      <c r="M346" s="19">
        <v>0</v>
      </c>
      <c r="N346">
        <v>0</v>
      </c>
      <c r="O346" s="19">
        <v>7</v>
      </c>
      <c r="P346" s="19">
        <v>7</v>
      </c>
      <c r="Q346" s="19">
        <v>0</v>
      </c>
      <c r="R346" s="19">
        <v>0</v>
      </c>
      <c r="S346" s="19">
        <v>0</v>
      </c>
      <c r="T346" s="19">
        <v>0</v>
      </c>
      <c r="U346" s="19">
        <v>0</v>
      </c>
      <c r="V346" s="15">
        <f t="shared" si="11"/>
        <v>1.5555555555555556</v>
      </c>
      <c r="W346" s="19">
        <v>3</v>
      </c>
      <c r="X346" s="19">
        <v>2</v>
      </c>
      <c r="Y346" s="19">
        <v>5</v>
      </c>
      <c r="Z346" s="19">
        <v>5</v>
      </c>
      <c r="AA346" s="19">
        <v>3</v>
      </c>
      <c r="AB346" s="19">
        <v>4</v>
      </c>
      <c r="AC346" s="19">
        <v>2</v>
      </c>
      <c r="AD346" s="19">
        <v>3</v>
      </c>
      <c r="AE346" s="19">
        <v>3</v>
      </c>
      <c r="AF346" s="19">
        <v>3</v>
      </c>
      <c r="AG346" s="19">
        <v>4</v>
      </c>
      <c r="AH346" s="19">
        <v>4</v>
      </c>
      <c r="AI346" s="19">
        <v>3</v>
      </c>
      <c r="AJ346" s="19">
        <v>4</v>
      </c>
      <c r="AK346" s="19">
        <v>4</v>
      </c>
      <c r="AL346" s="19">
        <v>5</v>
      </c>
      <c r="AM346" s="19">
        <v>3</v>
      </c>
      <c r="AN346" s="19">
        <v>4</v>
      </c>
      <c r="AO346" s="19">
        <v>3</v>
      </c>
      <c r="AP346" s="19">
        <v>8</v>
      </c>
      <c r="AQ346" s="24">
        <v>43</v>
      </c>
      <c r="AR346" s="27">
        <v>91.8</v>
      </c>
      <c r="AS346" s="27">
        <v>83.4</v>
      </c>
      <c r="AT346" s="27">
        <v>25.8</v>
      </c>
      <c r="AU346" s="24">
        <v>68.3</v>
      </c>
      <c r="AV346" s="24">
        <v>0</v>
      </c>
      <c r="AW346" s="24">
        <v>0</v>
      </c>
      <c r="AX346" s="24">
        <v>0</v>
      </c>
      <c r="AY346" s="24">
        <v>31.54</v>
      </c>
      <c r="AZ346" s="24">
        <v>0</v>
      </c>
      <c r="BA346" s="24">
        <v>0</v>
      </c>
      <c r="BB346" s="24">
        <v>0</v>
      </c>
      <c r="BC346" s="24">
        <v>0</v>
      </c>
      <c r="BD346" s="24">
        <v>0</v>
      </c>
      <c r="BE346" s="24">
        <v>0</v>
      </c>
      <c r="BF346" s="24">
        <v>48.27</v>
      </c>
      <c r="BG346" s="24">
        <v>58.3</v>
      </c>
      <c r="BH346" s="24">
        <v>1.34</v>
      </c>
      <c r="BI346" s="24">
        <v>0</v>
      </c>
      <c r="BJ346" s="24">
        <v>0.16</v>
      </c>
      <c r="BK346" s="24">
        <v>0</v>
      </c>
      <c r="BL346" s="24">
        <v>0</v>
      </c>
      <c r="BM346" s="24">
        <v>11</v>
      </c>
      <c r="BN346" s="24">
        <v>1</v>
      </c>
      <c r="BO346" s="24">
        <v>1</v>
      </c>
      <c r="BP346" s="27">
        <v>2.4500000000000002</v>
      </c>
      <c r="BQ346" s="27">
        <v>1</v>
      </c>
      <c r="BR346" s="27">
        <v>3.68</v>
      </c>
      <c r="BS346" s="27">
        <v>1.63</v>
      </c>
      <c r="BT346" s="27">
        <v>0</v>
      </c>
      <c r="BU346" s="27">
        <v>0</v>
      </c>
      <c r="BV346" s="27">
        <v>0</v>
      </c>
      <c r="BW346" s="24">
        <v>0</v>
      </c>
    </row>
    <row r="347" spans="1:75" x14ac:dyDescent="0.2">
      <c r="A347">
        <v>2</v>
      </c>
      <c r="B347">
        <v>21.921971252566699</v>
      </c>
      <c r="C347">
        <v>0.35318275154004097</v>
      </c>
      <c r="D347" t="s">
        <v>913</v>
      </c>
      <c r="E347">
        <v>65</v>
      </c>
      <c r="F347">
        <v>1.74</v>
      </c>
      <c r="G347">
        <v>21.469150482230098</v>
      </c>
      <c r="H347">
        <v>0</v>
      </c>
      <c r="I347">
        <v>0</v>
      </c>
      <c r="J347" s="19">
        <v>0</v>
      </c>
      <c r="K347" s="19">
        <v>0</v>
      </c>
      <c r="L347" s="19">
        <v>1</v>
      </c>
      <c r="M347" s="19">
        <v>0</v>
      </c>
      <c r="N347">
        <v>0</v>
      </c>
      <c r="O347" s="19">
        <v>0</v>
      </c>
      <c r="P347" s="19">
        <v>0</v>
      </c>
      <c r="Q347" s="19">
        <v>0</v>
      </c>
      <c r="R347" s="19">
        <v>0</v>
      </c>
      <c r="S347" s="19">
        <v>0</v>
      </c>
      <c r="T347" s="19">
        <v>0</v>
      </c>
      <c r="U347" s="19">
        <v>0</v>
      </c>
      <c r="V347" s="15">
        <f t="shared" si="11"/>
        <v>0</v>
      </c>
      <c r="W347" s="19">
        <v>2</v>
      </c>
      <c r="X347" s="19">
        <v>2</v>
      </c>
      <c r="Y347" s="19">
        <v>4</v>
      </c>
      <c r="Z347" s="19">
        <v>5</v>
      </c>
      <c r="AA347" s="19">
        <v>2</v>
      </c>
      <c r="AB347" s="19">
        <v>1</v>
      </c>
      <c r="AC347" s="19">
        <v>4</v>
      </c>
      <c r="AD347" s="19">
        <v>3</v>
      </c>
      <c r="AE347" s="19">
        <v>5</v>
      </c>
      <c r="AF347" s="19">
        <v>3</v>
      </c>
      <c r="AG347" s="19">
        <v>3</v>
      </c>
      <c r="AH347" s="19">
        <v>5</v>
      </c>
      <c r="AI347" s="19">
        <v>3</v>
      </c>
      <c r="AJ347" s="19">
        <v>3</v>
      </c>
      <c r="AK347" s="19">
        <v>4</v>
      </c>
      <c r="AL347" s="19">
        <v>4</v>
      </c>
      <c r="AM347" s="19">
        <v>4</v>
      </c>
      <c r="AN347" s="19">
        <v>4</v>
      </c>
      <c r="AO347" s="19">
        <v>4</v>
      </c>
      <c r="AP347" s="19">
        <v>8</v>
      </c>
      <c r="AQ347" s="24">
        <v>46</v>
      </c>
      <c r="AR347" s="27">
        <v>101.6</v>
      </c>
      <c r="AS347" s="27">
        <v>83.4</v>
      </c>
      <c r="AT347" s="27">
        <v>27.8</v>
      </c>
      <c r="AU347" s="24">
        <v>66.040000000000006</v>
      </c>
      <c r="AV347" s="24">
        <v>0</v>
      </c>
      <c r="AW347" s="24">
        <v>0</v>
      </c>
      <c r="AX347" s="24">
        <v>0</v>
      </c>
      <c r="AY347" s="24">
        <v>35.15</v>
      </c>
      <c r="AZ347" s="24">
        <v>0</v>
      </c>
      <c r="BA347" s="24">
        <v>0</v>
      </c>
      <c r="BB347" s="24">
        <v>0</v>
      </c>
      <c r="BC347" s="24">
        <v>0</v>
      </c>
      <c r="BD347" s="24">
        <v>0</v>
      </c>
      <c r="BE347" s="24">
        <v>0</v>
      </c>
      <c r="BF347" s="24">
        <v>43.27</v>
      </c>
      <c r="BG347" s="24">
        <v>65.02</v>
      </c>
      <c r="BH347" s="24">
        <v>6.59</v>
      </c>
      <c r="BI347" s="24">
        <v>0.88</v>
      </c>
      <c r="BJ347" s="24">
        <v>0.16</v>
      </c>
      <c r="BK347" s="24">
        <v>0</v>
      </c>
      <c r="BL347" s="24">
        <v>0</v>
      </c>
      <c r="BM347" s="24">
        <v>14.9</v>
      </c>
      <c r="BN347" s="24">
        <v>1</v>
      </c>
      <c r="BO347" s="24">
        <v>1</v>
      </c>
      <c r="BP347" s="27">
        <v>2.0499999999999998</v>
      </c>
      <c r="BQ347" s="27">
        <v>1</v>
      </c>
      <c r="BR347" s="27">
        <v>0.86</v>
      </c>
      <c r="BS347" s="27">
        <v>0.85</v>
      </c>
      <c r="BT347" s="27">
        <v>0</v>
      </c>
      <c r="BU347" s="27">
        <v>0</v>
      </c>
      <c r="BV347" s="27">
        <v>0</v>
      </c>
      <c r="BW347" s="24">
        <v>0</v>
      </c>
    </row>
    <row r="348" spans="1:75" x14ac:dyDescent="0.2">
      <c r="A348">
        <v>2</v>
      </c>
      <c r="B348">
        <v>28.815879534565401</v>
      </c>
      <c r="C348">
        <v>0.309377138945927</v>
      </c>
      <c r="D348" t="s">
        <v>913</v>
      </c>
      <c r="E348">
        <v>72</v>
      </c>
      <c r="F348">
        <v>1.83</v>
      </c>
      <c r="G348">
        <v>21.4995968825585</v>
      </c>
      <c r="H348">
        <v>0</v>
      </c>
      <c r="I348">
        <v>0</v>
      </c>
      <c r="J348" s="19">
        <v>0</v>
      </c>
      <c r="K348" s="19">
        <v>0</v>
      </c>
      <c r="L348" s="19">
        <v>1</v>
      </c>
      <c r="M348" s="19">
        <v>0</v>
      </c>
      <c r="N348">
        <v>0</v>
      </c>
      <c r="O348" s="19">
        <v>0</v>
      </c>
      <c r="P348" s="19">
        <v>0</v>
      </c>
      <c r="Q348" s="19">
        <v>0</v>
      </c>
      <c r="R348" s="19">
        <v>0</v>
      </c>
      <c r="S348" s="19">
        <v>0</v>
      </c>
      <c r="T348" s="19">
        <v>0</v>
      </c>
      <c r="U348" s="19">
        <v>0</v>
      </c>
      <c r="V348" s="15">
        <f t="shared" ref="V348:V379" si="12">AVERAGE(M348:U348)</f>
        <v>0</v>
      </c>
      <c r="W348" s="19">
        <v>2</v>
      </c>
      <c r="X348" s="19">
        <v>2</v>
      </c>
      <c r="Y348" s="19">
        <v>4</v>
      </c>
      <c r="Z348" s="19">
        <v>4</v>
      </c>
      <c r="AA348" s="19">
        <v>2</v>
      </c>
      <c r="AB348" s="19">
        <v>2</v>
      </c>
      <c r="AC348" s="19">
        <v>3</v>
      </c>
      <c r="AD348" s="19">
        <v>3</v>
      </c>
      <c r="AE348" s="19">
        <v>3</v>
      </c>
      <c r="AF348" s="19">
        <v>3</v>
      </c>
      <c r="AG348" s="19">
        <v>4</v>
      </c>
      <c r="AH348" s="19">
        <v>5</v>
      </c>
      <c r="AI348" s="19">
        <v>3</v>
      </c>
      <c r="AJ348" s="19">
        <v>5</v>
      </c>
      <c r="AK348" s="19">
        <v>3</v>
      </c>
      <c r="AL348" s="19">
        <v>5</v>
      </c>
      <c r="AM348" s="19">
        <v>3</v>
      </c>
      <c r="AN348" s="19">
        <v>4</v>
      </c>
      <c r="AO348" s="19">
        <v>3</v>
      </c>
      <c r="AP348" s="19">
        <v>8</v>
      </c>
      <c r="AQ348" s="24">
        <v>46</v>
      </c>
      <c r="AR348" s="27">
        <v>101.6</v>
      </c>
      <c r="AS348" s="27">
        <v>83.4</v>
      </c>
      <c r="AT348" s="27">
        <v>27.8</v>
      </c>
      <c r="AU348" s="24">
        <v>66.040000000000006</v>
      </c>
      <c r="AV348" s="24">
        <v>0</v>
      </c>
      <c r="AW348" s="24">
        <v>0</v>
      </c>
      <c r="AX348" s="24">
        <v>0</v>
      </c>
      <c r="AY348" s="24">
        <v>35.15</v>
      </c>
      <c r="AZ348" s="24">
        <v>0</v>
      </c>
      <c r="BA348" s="24">
        <v>0</v>
      </c>
      <c r="BB348" s="24">
        <v>0</v>
      </c>
      <c r="BC348" s="24">
        <v>0</v>
      </c>
      <c r="BD348" s="24">
        <v>0</v>
      </c>
      <c r="BE348" s="24">
        <v>0</v>
      </c>
      <c r="BF348" s="24">
        <v>43.27</v>
      </c>
      <c r="BG348" s="24">
        <v>65.02</v>
      </c>
      <c r="BH348" s="24">
        <v>6.59</v>
      </c>
      <c r="BI348" s="24">
        <v>0.88</v>
      </c>
      <c r="BJ348" s="24">
        <v>0.16</v>
      </c>
      <c r="BK348" s="24">
        <v>0</v>
      </c>
      <c r="BL348" s="24">
        <v>0</v>
      </c>
      <c r="BM348" s="24">
        <v>14.9</v>
      </c>
      <c r="BN348" s="24">
        <v>1</v>
      </c>
      <c r="BO348" s="24">
        <v>1</v>
      </c>
      <c r="BP348" s="27">
        <v>2.0499999999999998</v>
      </c>
      <c r="BQ348" s="27">
        <v>1</v>
      </c>
      <c r="BR348" s="27">
        <v>0.86</v>
      </c>
      <c r="BS348" s="27">
        <v>0.85</v>
      </c>
      <c r="BT348" s="27">
        <v>0</v>
      </c>
      <c r="BU348" s="27">
        <v>0</v>
      </c>
      <c r="BV348" s="27">
        <v>0</v>
      </c>
      <c r="BW348" s="24">
        <v>0</v>
      </c>
    </row>
    <row r="349" spans="1:75" x14ac:dyDescent="0.2">
      <c r="A349">
        <v>2</v>
      </c>
      <c r="B349">
        <v>49.522245037645497</v>
      </c>
      <c r="C349">
        <v>6.0944558521560603</v>
      </c>
      <c r="D349" t="s">
        <v>913</v>
      </c>
      <c r="E349">
        <v>74</v>
      </c>
      <c r="F349">
        <v>1.72</v>
      </c>
      <c r="G349">
        <v>25.013520822065999</v>
      </c>
      <c r="H349">
        <v>0</v>
      </c>
      <c r="I349">
        <v>0</v>
      </c>
      <c r="J349" s="19">
        <v>0</v>
      </c>
      <c r="K349" s="19"/>
      <c r="L349" s="19">
        <v>1</v>
      </c>
      <c r="M349" s="19"/>
      <c r="O349" s="19"/>
      <c r="P349" s="19"/>
      <c r="Q349" s="19"/>
      <c r="R349" s="19"/>
      <c r="S349" s="19"/>
      <c r="T349" s="19"/>
      <c r="U349" s="19"/>
      <c r="V349" s="15"/>
      <c r="W349" s="19">
        <v>3</v>
      </c>
      <c r="X349" s="19">
        <v>3</v>
      </c>
      <c r="Y349" s="19">
        <v>4</v>
      </c>
      <c r="Z349" s="19">
        <v>5</v>
      </c>
      <c r="AA349" s="19">
        <v>3</v>
      </c>
      <c r="AB349" s="19">
        <v>5</v>
      </c>
      <c r="AC349" s="19">
        <v>4</v>
      </c>
      <c r="AD349" s="19">
        <v>5</v>
      </c>
      <c r="AE349" s="19">
        <v>5</v>
      </c>
      <c r="AF349" s="19">
        <v>4</v>
      </c>
      <c r="AG349" s="19">
        <v>3</v>
      </c>
      <c r="AH349" s="19">
        <v>5</v>
      </c>
      <c r="AI349" s="19">
        <v>5</v>
      </c>
      <c r="AJ349" s="19">
        <v>5</v>
      </c>
      <c r="AK349" s="19">
        <v>5</v>
      </c>
      <c r="AL349" s="19">
        <v>5</v>
      </c>
      <c r="AM349" s="19">
        <v>5</v>
      </c>
      <c r="AN349" s="19">
        <v>4</v>
      </c>
      <c r="AO349" s="19">
        <v>5</v>
      </c>
      <c r="AP349" s="19">
        <v>10</v>
      </c>
      <c r="AQ349" s="24">
        <v>43</v>
      </c>
      <c r="AR349" s="27">
        <v>91.8</v>
      </c>
      <c r="AS349" s="27">
        <v>83.4</v>
      </c>
      <c r="AT349" s="27">
        <v>25.8</v>
      </c>
      <c r="AU349" s="24">
        <v>68.3</v>
      </c>
      <c r="AV349" s="24">
        <v>0</v>
      </c>
      <c r="AW349" s="24">
        <v>0</v>
      </c>
      <c r="AX349" s="24">
        <v>0</v>
      </c>
      <c r="AY349" s="24">
        <v>31.54</v>
      </c>
      <c r="AZ349" s="24">
        <v>0</v>
      </c>
      <c r="BA349" s="24">
        <v>0</v>
      </c>
      <c r="BB349" s="24">
        <v>0</v>
      </c>
      <c r="BC349" s="24">
        <v>0</v>
      </c>
      <c r="BD349" s="24">
        <v>0</v>
      </c>
      <c r="BE349" s="24">
        <v>0</v>
      </c>
      <c r="BF349" s="24">
        <v>48.27</v>
      </c>
      <c r="BG349" s="24">
        <v>58.3</v>
      </c>
      <c r="BH349" s="24">
        <v>1.34</v>
      </c>
      <c r="BI349" s="24">
        <v>0</v>
      </c>
      <c r="BJ349" s="24">
        <v>0.16</v>
      </c>
      <c r="BK349" s="24">
        <v>0</v>
      </c>
      <c r="BL349" s="24">
        <v>0</v>
      </c>
      <c r="BM349" s="24">
        <v>11</v>
      </c>
      <c r="BN349" s="24">
        <v>1</v>
      </c>
      <c r="BO349" s="24">
        <v>1</v>
      </c>
      <c r="BP349" s="27">
        <v>2.4500000000000002</v>
      </c>
      <c r="BQ349" s="27">
        <v>1</v>
      </c>
      <c r="BR349" s="27">
        <v>3.68</v>
      </c>
      <c r="BS349" s="27">
        <v>1.63</v>
      </c>
      <c r="BT349" s="27">
        <v>0</v>
      </c>
      <c r="BU349" s="27">
        <v>0</v>
      </c>
      <c r="BV349" s="27">
        <v>0</v>
      </c>
      <c r="BW349" s="24">
        <v>0</v>
      </c>
    </row>
    <row r="350" spans="1:75" x14ac:dyDescent="0.2">
      <c r="A350">
        <v>2</v>
      </c>
      <c r="B350">
        <v>21.568788501026699</v>
      </c>
      <c r="C350">
        <v>0.34223134839151298</v>
      </c>
      <c r="D350" t="s">
        <v>913</v>
      </c>
      <c r="E350">
        <v>75</v>
      </c>
      <c r="F350">
        <v>1.82</v>
      </c>
      <c r="G350">
        <v>22.642192971863299</v>
      </c>
      <c r="H350">
        <v>0</v>
      </c>
      <c r="I350">
        <v>0</v>
      </c>
      <c r="J350" s="19">
        <v>0</v>
      </c>
      <c r="K350" s="19">
        <v>3</v>
      </c>
      <c r="L350" s="19">
        <v>1</v>
      </c>
      <c r="M350" s="19">
        <v>0</v>
      </c>
      <c r="N350">
        <v>0</v>
      </c>
      <c r="O350" s="19">
        <v>0</v>
      </c>
      <c r="P350" s="19">
        <v>0</v>
      </c>
      <c r="Q350" s="19">
        <v>0</v>
      </c>
      <c r="R350" s="19">
        <v>0</v>
      </c>
      <c r="S350" s="19">
        <v>0</v>
      </c>
      <c r="T350" s="19">
        <v>0</v>
      </c>
      <c r="U350" s="19">
        <v>0</v>
      </c>
      <c r="V350" s="15">
        <f>AVERAGE(M350:U350)</f>
        <v>0</v>
      </c>
      <c r="W350" s="19">
        <v>1</v>
      </c>
      <c r="X350" s="19">
        <v>2</v>
      </c>
      <c r="Y350" s="19">
        <v>3</v>
      </c>
      <c r="Z350" s="19">
        <v>5</v>
      </c>
      <c r="AA350" s="19">
        <v>1</v>
      </c>
      <c r="AB350" s="19">
        <v>1</v>
      </c>
      <c r="AC350" s="19">
        <v>2</v>
      </c>
      <c r="AD350" s="19">
        <v>4</v>
      </c>
      <c r="AE350" s="19">
        <v>2</v>
      </c>
      <c r="AF350" s="19">
        <v>5</v>
      </c>
      <c r="AG350" s="19">
        <v>5</v>
      </c>
      <c r="AH350" s="19">
        <v>5</v>
      </c>
      <c r="AI350" s="19">
        <v>4</v>
      </c>
      <c r="AJ350" s="19">
        <v>5</v>
      </c>
      <c r="AK350" s="19">
        <v>5</v>
      </c>
      <c r="AL350" s="19">
        <v>5</v>
      </c>
      <c r="AM350" s="19">
        <v>5</v>
      </c>
      <c r="AN350" s="19">
        <v>5</v>
      </c>
      <c r="AO350" s="19">
        <v>5</v>
      </c>
      <c r="AP350" s="19">
        <v>8</v>
      </c>
      <c r="AQ350" s="24">
        <v>43</v>
      </c>
      <c r="AR350" s="27">
        <v>91.8</v>
      </c>
      <c r="AS350" s="27">
        <v>83.4</v>
      </c>
      <c r="AT350" s="27">
        <v>25.8</v>
      </c>
      <c r="AU350" s="24">
        <v>68.3</v>
      </c>
      <c r="AV350" s="24">
        <v>0</v>
      </c>
      <c r="AW350" s="24">
        <v>0</v>
      </c>
      <c r="AX350" s="24">
        <v>0</v>
      </c>
      <c r="AY350" s="24">
        <v>31.54</v>
      </c>
      <c r="AZ350" s="24">
        <v>0</v>
      </c>
      <c r="BA350" s="24">
        <v>0</v>
      </c>
      <c r="BB350" s="24">
        <v>0</v>
      </c>
      <c r="BC350" s="24">
        <v>0</v>
      </c>
      <c r="BD350" s="24">
        <v>0</v>
      </c>
      <c r="BE350" s="24">
        <v>0</v>
      </c>
      <c r="BF350" s="24">
        <v>48.27</v>
      </c>
      <c r="BG350" s="24">
        <v>58.3</v>
      </c>
      <c r="BH350" s="24">
        <v>1.34</v>
      </c>
      <c r="BI350" s="24">
        <v>0</v>
      </c>
      <c r="BJ350" s="24">
        <v>0.16</v>
      </c>
      <c r="BK350" s="24">
        <v>0</v>
      </c>
      <c r="BL350" s="24">
        <v>0</v>
      </c>
      <c r="BM350" s="24">
        <v>11</v>
      </c>
      <c r="BN350" s="24">
        <v>1</v>
      </c>
      <c r="BO350" s="24">
        <v>1</v>
      </c>
      <c r="BP350" s="27">
        <v>2.4500000000000002</v>
      </c>
      <c r="BQ350" s="27">
        <v>1</v>
      </c>
      <c r="BR350" s="27">
        <v>3.68</v>
      </c>
      <c r="BS350" s="27">
        <v>1.63</v>
      </c>
      <c r="BT350" s="27">
        <v>0</v>
      </c>
      <c r="BU350" s="27">
        <v>0</v>
      </c>
      <c r="BV350" s="27">
        <v>0</v>
      </c>
      <c r="BW350" s="24">
        <v>0</v>
      </c>
    </row>
    <row r="351" spans="1:75" x14ac:dyDescent="0.2">
      <c r="A351">
        <v>2</v>
      </c>
      <c r="B351">
        <v>25.305954825461999</v>
      </c>
      <c r="C351">
        <v>0.35318275154004097</v>
      </c>
      <c r="D351" t="s">
        <v>913</v>
      </c>
      <c r="E351">
        <v>70</v>
      </c>
      <c r="F351">
        <v>1.71</v>
      </c>
      <c r="G351">
        <v>23.938989774631501</v>
      </c>
      <c r="H351">
        <v>0</v>
      </c>
      <c r="I351">
        <v>0</v>
      </c>
      <c r="J351" s="19">
        <v>1</v>
      </c>
      <c r="K351" s="19">
        <v>3</v>
      </c>
      <c r="L351" s="19">
        <v>1</v>
      </c>
      <c r="M351" s="19">
        <v>0</v>
      </c>
      <c r="N351">
        <v>0</v>
      </c>
      <c r="O351" s="19">
        <v>0</v>
      </c>
      <c r="P351" s="19">
        <v>0</v>
      </c>
      <c r="Q351" s="19">
        <v>0</v>
      </c>
      <c r="R351" s="19">
        <v>0</v>
      </c>
      <c r="S351" s="19">
        <v>0</v>
      </c>
      <c r="T351" s="19">
        <v>5</v>
      </c>
      <c r="U351" s="19">
        <v>9</v>
      </c>
      <c r="V351" s="15">
        <f>AVERAGE(M351:U351)</f>
        <v>1.5555555555555556</v>
      </c>
      <c r="W351" s="19">
        <v>3</v>
      </c>
      <c r="X351" s="19">
        <v>2</v>
      </c>
      <c r="Y351" s="19">
        <v>4</v>
      </c>
      <c r="Z351" s="19">
        <v>4</v>
      </c>
      <c r="AA351" s="19">
        <v>3</v>
      </c>
      <c r="AB351" s="19">
        <v>4</v>
      </c>
      <c r="AC351" s="19">
        <v>4</v>
      </c>
      <c r="AD351" s="19">
        <v>3</v>
      </c>
      <c r="AE351" s="19">
        <v>1</v>
      </c>
      <c r="AF351" s="19">
        <v>3</v>
      </c>
      <c r="AG351" s="19">
        <v>3</v>
      </c>
      <c r="AH351" s="19">
        <v>4</v>
      </c>
      <c r="AI351" s="19">
        <v>4</v>
      </c>
      <c r="AJ351" s="19">
        <v>3</v>
      </c>
      <c r="AK351" s="19">
        <v>4</v>
      </c>
      <c r="AL351" s="19">
        <v>5</v>
      </c>
      <c r="AM351" s="19">
        <v>4</v>
      </c>
      <c r="AN351" s="19">
        <v>4</v>
      </c>
      <c r="AO351" s="19">
        <v>2</v>
      </c>
      <c r="AP351" s="19">
        <v>7</v>
      </c>
      <c r="AQ351" s="24">
        <v>43</v>
      </c>
      <c r="AR351" s="27">
        <v>91.8</v>
      </c>
      <c r="AS351" s="27">
        <v>83.4</v>
      </c>
      <c r="AT351" s="27">
        <v>25.8</v>
      </c>
      <c r="AU351" s="24">
        <v>68.3</v>
      </c>
      <c r="AV351" s="24">
        <v>0</v>
      </c>
      <c r="AW351" s="24">
        <v>0</v>
      </c>
      <c r="AX351" s="24">
        <v>0</v>
      </c>
      <c r="AY351" s="24">
        <v>31.54</v>
      </c>
      <c r="AZ351" s="24">
        <v>0</v>
      </c>
      <c r="BA351" s="24">
        <v>0</v>
      </c>
      <c r="BB351" s="24">
        <v>0</v>
      </c>
      <c r="BC351" s="24">
        <v>0</v>
      </c>
      <c r="BD351" s="24">
        <v>0</v>
      </c>
      <c r="BE351" s="24">
        <v>0</v>
      </c>
      <c r="BF351" s="24">
        <v>48.27</v>
      </c>
      <c r="BG351" s="24">
        <v>58.3</v>
      </c>
      <c r="BH351" s="24">
        <v>1.34</v>
      </c>
      <c r="BI351" s="24">
        <v>0</v>
      </c>
      <c r="BJ351" s="24">
        <v>0.16</v>
      </c>
      <c r="BK351" s="24">
        <v>0</v>
      </c>
      <c r="BL351" s="24">
        <v>0</v>
      </c>
      <c r="BM351" s="24">
        <v>11</v>
      </c>
      <c r="BN351" s="24">
        <v>1</v>
      </c>
      <c r="BO351" s="24">
        <v>1</v>
      </c>
      <c r="BP351" s="27">
        <v>2.4500000000000002</v>
      </c>
      <c r="BQ351" s="27">
        <v>1</v>
      </c>
      <c r="BR351" s="27">
        <v>3.68</v>
      </c>
      <c r="BS351" s="27">
        <v>1.63</v>
      </c>
      <c r="BT351" s="27">
        <v>0</v>
      </c>
      <c r="BU351" s="27">
        <v>0</v>
      </c>
      <c r="BV351" s="27">
        <v>0</v>
      </c>
      <c r="BW351" s="24">
        <v>0</v>
      </c>
    </row>
    <row r="352" spans="1:75" x14ac:dyDescent="0.2">
      <c r="A352">
        <v>2</v>
      </c>
      <c r="B352">
        <v>23.039014373716601</v>
      </c>
      <c r="C352">
        <v>0.35318275154004097</v>
      </c>
      <c r="D352" t="s">
        <v>913</v>
      </c>
      <c r="E352">
        <v>78</v>
      </c>
      <c r="F352">
        <v>1.79</v>
      </c>
      <c r="G352">
        <v>24.343809494085701</v>
      </c>
      <c r="H352">
        <v>0</v>
      </c>
      <c r="I352">
        <v>0</v>
      </c>
      <c r="J352" s="19">
        <v>0</v>
      </c>
      <c r="K352" s="19"/>
      <c r="L352" s="19">
        <v>1</v>
      </c>
      <c r="M352" s="19"/>
      <c r="O352" s="19"/>
      <c r="P352" s="19"/>
      <c r="Q352" s="19"/>
      <c r="R352" s="19"/>
      <c r="S352" s="19"/>
      <c r="T352" s="19"/>
      <c r="U352" s="19"/>
      <c r="V352" s="15"/>
      <c r="W352" s="19">
        <v>1</v>
      </c>
      <c r="X352" s="19">
        <v>2</v>
      </c>
      <c r="Y352" s="19">
        <v>3</v>
      </c>
      <c r="Z352" s="19">
        <v>5</v>
      </c>
      <c r="AA352" s="19">
        <v>3</v>
      </c>
      <c r="AB352" s="19">
        <v>3</v>
      </c>
      <c r="AC352" s="19">
        <v>3</v>
      </c>
      <c r="AD352" s="19">
        <v>3</v>
      </c>
      <c r="AE352" s="19">
        <v>5</v>
      </c>
      <c r="AF352" s="19">
        <v>3</v>
      </c>
      <c r="AG352" s="19">
        <v>5</v>
      </c>
      <c r="AH352" s="19">
        <v>3</v>
      </c>
      <c r="AI352" s="19">
        <v>3</v>
      </c>
      <c r="AJ352" s="19">
        <v>3</v>
      </c>
      <c r="AK352" s="19">
        <v>3</v>
      </c>
      <c r="AL352" s="19">
        <v>3</v>
      </c>
      <c r="AM352" s="19">
        <v>3</v>
      </c>
      <c r="AN352" s="19">
        <v>3</v>
      </c>
      <c r="AO352" s="19">
        <v>3</v>
      </c>
      <c r="AP352" s="19">
        <v>8</v>
      </c>
      <c r="AQ352" s="24">
        <v>43</v>
      </c>
      <c r="AR352" s="27">
        <v>91.8</v>
      </c>
      <c r="AS352" s="27">
        <v>83.4</v>
      </c>
      <c r="AT352" s="27">
        <v>25.8</v>
      </c>
      <c r="AU352" s="24">
        <v>68.3</v>
      </c>
      <c r="AV352" s="24">
        <v>0</v>
      </c>
      <c r="AW352" s="24">
        <v>0</v>
      </c>
      <c r="AX352" s="24">
        <v>0</v>
      </c>
      <c r="AY352" s="24">
        <v>31.54</v>
      </c>
      <c r="AZ352" s="24">
        <v>0</v>
      </c>
      <c r="BA352" s="24">
        <v>0</v>
      </c>
      <c r="BB352" s="24">
        <v>0</v>
      </c>
      <c r="BC352" s="24">
        <v>0</v>
      </c>
      <c r="BD352" s="24">
        <v>0</v>
      </c>
      <c r="BE352" s="24">
        <v>0</v>
      </c>
      <c r="BF352" s="24">
        <v>48.27</v>
      </c>
      <c r="BG352" s="24">
        <v>58.3</v>
      </c>
      <c r="BH352" s="24">
        <v>1.34</v>
      </c>
      <c r="BI352" s="24">
        <v>0</v>
      </c>
      <c r="BJ352" s="24">
        <v>0.16</v>
      </c>
      <c r="BK352" s="24">
        <v>0</v>
      </c>
      <c r="BL352" s="24">
        <v>0</v>
      </c>
      <c r="BM352" s="24">
        <v>11</v>
      </c>
      <c r="BN352" s="24">
        <v>1</v>
      </c>
      <c r="BO352" s="24">
        <v>1</v>
      </c>
      <c r="BP352" s="27">
        <v>2.4500000000000002</v>
      </c>
      <c r="BQ352" s="27">
        <v>1</v>
      </c>
      <c r="BR352" s="27">
        <v>3.68</v>
      </c>
      <c r="BS352" s="27">
        <v>1.63</v>
      </c>
      <c r="BT352" s="27">
        <v>0</v>
      </c>
      <c r="BU352" s="27">
        <v>0</v>
      </c>
      <c r="BV352" s="27">
        <v>0</v>
      </c>
      <c r="BW352" s="24">
        <v>0</v>
      </c>
    </row>
    <row r="353" spans="1:75" x14ac:dyDescent="0.2">
      <c r="A353">
        <v>2</v>
      </c>
      <c r="B353">
        <v>45.002053388090303</v>
      </c>
      <c r="C353">
        <v>22.288843258042402</v>
      </c>
      <c r="D353" t="s">
        <v>913</v>
      </c>
      <c r="E353">
        <v>69</v>
      </c>
      <c r="F353">
        <v>1.79</v>
      </c>
      <c r="G353">
        <v>21.534908398614299</v>
      </c>
      <c r="H353">
        <v>0</v>
      </c>
      <c r="I353">
        <v>0</v>
      </c>
      <c r="J353" s="19">
        <v>0</v>
      </c>
      <c r="K353" s="19">
        <v>0</v>
      </c>
      <c r="L353" s="19">
        <v>1</v>
      </c>
      <c r="M353" s="19">
        <v>6</v>
      </c>
      <c r="N353">
        <v>0</v>
      </c>
      <c r="O353" s="19">
        <v>0</v>
      </c>
      <c r="P353" s="19">
        <v>0</v>
      </c>
      <c r="Q353" s="19">
        <v>0</v>
      </c>
      <c r="R353" s="19">
        <v>7</v>
      </c>
      <c r="S353" s="19">
        <v>7</v>
      </c>
      <c r="T353" s="19">
        <v>0</v>
      </c>
      <c r="U353" s="19">
        <v>8</v>
      </c>
      <c r="V353" s="15">
        <f>AVERAGE(M353:U353)</f>
        <v>3.1111111111111112</v>
      </c>
      <c r="W353" s="19">
        <v>4</v>
      </c>
      <c r="X353" s="19">
        <v>5</v>
      </c>
      <c r="Y353" s="19">
        <v>4</v>
      </c>
      <c r="Z353" s="19">
        <v>5</v>
      </c>
      <c r="AA353" s="19">
        <v>4</v>
      </c>
      <c r="AB353" s="19">
        <v>4</v>
      </c>
      <c r="AC353" s="19">
        <v>5</v>
      </c>
      <c r="AD353" s="19">
        <v>4</v>
      </c>
      <c r="AE353" s="19">
        <v>2</v>
      </c>
      <c r="AF353" s="19">
        <v>1</v>
      </c>
      <c r="AG353" s="19">
        <v>1</v>
      </c>
      <c r="AH353" s="19">
        <v>5</v>
      </c>
      <c r="AI353" s="19">
        <v>1</v>
      </c>
      <c r="AJ353" s="19">
        <v>1</v>
      </c>
      <c r="AK353" s="19">
        <v>4</v>
      </c>
      <c r="AL353" s="19">
        <v>4</v>
      </c>
      <c r="AM353" s="19">
        <v>3</v>
      </c>
      <c r="AN353" s="19">
        <v>3</v>
      </c>
      <c r="AO353" s="19">
        <v>3</v>
      </c>
      <c r="AP353" s="19">
        <v>8</v>
      </c>
      <c r="AQ353" s="24">
        <v>43</v>
      </c>
      <c r="AR353" s="27">
        <v>91.8</v>
      </c>
      <c r="AS353" s="27">
        <v>83.4</v>
      </c>
      <c r="AT353" s="27">
        <v>25.8</v>
      </c>
      <c r="AU353" s="24">
        <v>68.3</v>
      </c>
      <c r="AV353" s="24">
        <v>0</v>
      </c>
      <c r="AW353" s="24">
        <v>0</v>
      </c>
      <c r="AX353" s="24">
        <v>0</v>
      </c>
      <c r="AY353" s="24">
        <v>31.54</v>
      </c>
      <c r="AZ353" s="24">
        <v>0</v>
      </c>
      <c r="BA353" s="24">
        <v>0</v>
      </c>
      <c r="BB353" s="24">
        <v>0</v>
      </c>
      <c r="BC353" s="24">
        <v>0</v>
      </c>
      <c r="BD353" s="24">
        <v>0</v>
      </c>
      <c r="BE353" s="24">
        <v>0</v>
      </c>
      <c r="BF353" s="24">
        <v>48.27</v>
      </c>
      <c r="BG353" s="24">
        <v>58.3</v>
      </c>
      <c r="BH353" s="24">
        <v>1.34</v>
      </c>
      <c r="BI353" s="24">
        <v>0</v>
      </c>
      <c r="BJ353" s="24">
        <v>0.16</v>
      </c>
      <c r="BK353" s="24">
        <v>0</v>
      </c>
      <c r="BL353" s="24">
        <v>0</v>
      </c>
      <c r="BM353" s="24">
        <v>11</v>
      </c>
      <c r="BN353" s="24">
        <v>1</v>
      </c>
      <c r="BO353" s="24">
        <v>1</v>
      </c>
      <c r="BP353" s="27">
        <v>2.4500000000000002</v>
      </c>
      <c r="BQ353" s="27">
        <v>1</v>
      </c>
      <c r="BR353" s="27">
        <v>3.68</v>
      </c>
      <c r="BS353" s="27">
        <v>1.63</v>
      </c>
      <c r="BT353" s="27">
        <v>0</v>
      </c>
      <c r="BU353" s="27">
        <v>0</v>
      </c>
      <c r="BV353" s="27">
        <v>0</v>
      </c>
      <c r="BW353" s="24">
        <v>0</v>
      </c>
    </row>
    <row r="354" spans="1:75" x14ac:dyDescent="0.2">
      <c r="A354" s="24">
        <v>2</v>
      </c>
      <c r="B354">
        <v>21.522245037645401</v>
      </c>
      <c r="C354">
        <v>0.383299110198494</v>
      </c>
      <c r="D354" t="s">
        <v>913</v>
      </c>
      <c r="E354">
        <v>90</v>
      </c>
      <c r="F354">
        <v>1.9</v>
      </c>
      <c r="G354">
        <v>24.9307479224377</v>
      </c>
      <c r="H354">
        <v>0</v>
      </c>
      <c r="I354">
        <v>0</v>
      </c>
      <c r="J354" s="26">
        <v>0</v>
      </c>
      <c r="K354" s="26">
        <v>0</v>
      </c>
      <c r="L354" s="26">
        <v>1</v>
      </c>
      <c r="M354" s="26">
        <v>0</v>
      </c>
      <c r="N354">
        <v>0</v>
      </c>
      <c r="O354" s="26">
        <v>0</v>
      </c>
      <c r="P354" s="26">
        <v>0</v>
      </c>
      <c r="Q354" s="26">
        <v>0</v>
      </c>
      <c r="R354" s="26">
        <v>0</v>
      </c>
      <c r="S354" s="26">
        <v>0</v>
      </c>
      <c r="T354" s="26">
        <v>0</v>
      </c>
      <c r="U354" s="26">
        <v>0</v>
      </c>
      <c r="V354" s="15">
        <f>AVERAGE(M354:U354)</f>
        <v>0</v>
      </c>
      <c r="W354" s="26">
        <v>2</v>
      </c>
      <c r="X354" s="26">
        <v>2</v>
      </c>
      <c r="Y354" s="26">
        <v>4</v>
      </c>
      <c r="Z354" s="26">
        <v>2</v>
      </c>
      <c r="AA354" s="26">
        <v>2</v>
      </c>
      <c r="AB354" s="26">
        <v>1</v>
      </c>
      <c r="AC354" s="26">
        <v>3</v>
      </c>
      <c r="AD354" s="26">
        <v>3</v>
      </c>
      <c r="AE354" s="26">
        <v>2</v>
      </c>
      <c r="AF354" s="26">
        <v>5</v>
      </c>
      <c r="AG354" s="26">
        <v>4</v>
      </c>
      <c r="AH354" s="26">
        <v>5</v>
      </c>
      <c r="AI354" s="26">
        <v>4</v>
      </c>
      <c r="AJ354" s="26">
        <v>5</v>
      </c>
      <c r="AK354" s="26">
        <v>4</v>
      </c>
      <c r="AL354" s="26">
        <v>5</v>
      </c>
      <c r="AM354" s="26">
        <v>5</v>
      </c>
      <c r="AN354" s="26">
        <v>5</v>
      </c>
      <c r="AO354" s="26">
        <v>5</v>
      </c>
      <c r="AP354" s="26">
        <v>9</v>
      </c>
      <c r="AQ354" s="24">
        <v>43</v>
      </c>
      <c r="AR354" s="27">
        <v>91.8</v>
      </c>
      <c r="AS354" s="27">
        <v>83.4</v>
      </c>
      <c r="AT354" s="27">
        <v>25.8</v>
      </c>
      <c r="AU354" s="24">
        <v>68.3</v>
      </c>
      <c r="AV354" s="24">
        <v>0</v>
      </c>
      <c r="AW354" s="24">
        <v>0</v>
      </c>
      <c r="AX354" s="24">
        <v>0</v>
      </c>
      <c r="AY354" s="24">
        <v>31.54</v>
      </c>
      <c r="AZ354" s="24">
        <v>0</v>
      </c>
      <c r="BA354" s="24">
        <v>0</v>
      </c>
      <c r="BB354" s="24">
        <v>0</v>
      </c>
      <c r="BC354" s="24">
        <v>0</v>
      </c>
      <c r="BD354" s="24">
        <v>0</v>
      </c>
      <c r="BE354" s="24">
        <v>0</v>
      </c>
      <c r="BF354" s="24">
        <v>48.27</v>
      </c>
      <c r="BG354" s="24">
        <v>58.3</v>
      </c>
      <c r="BH354" s="24">
        <v>1.34</v>
      </c>
      <c r="BI354" s="24">
        <v>0</v>
      </c>
      <c r="BJ354" s="24">
        <v>0.16</v>
      </c>
      <c r="BK354" s="24">
        <v>0</v>
      </c>
      <c r="BL354" s="24">
        <v>0</v>
      </c>
      <c r="BM354" s="24">
        <v>11</v>
      </c>
      <c r="BN354" s="24">
        <v>1</v>
      </c>
      <c r="BO354" s="24">
        <v>1</v>
      </c>
      <c r="BP354" s="27">
        <v>2.4500000000000002</v>
      </c>
      <c r="BQ354" s="27">
        <v>1</v>
      </c>
      <c r="BR354" s="27">
        <v>3.68</v>
      </c>
      <c r="BS354" s="27">
        <v>1.63</v>
      </c>
      <c r="BT354" s="27">
        <v>0</v>
      </c>
      <c r="BU354" s="27">
        <v>0</v>
      </c>
      <c r="BV354" s="27">
        <v>0</v>
      </c>
      <c r="BW354" s="24">
        <v>0</v>
      </c>
    </row>
    <row r="355" spans="1:75" x14ac:dyDescent="0.2">
      <c r="A355">
        <v>2</v>
      </c>
      <c r="B355">
        <v>23.972621492128699</v>
      </c>
      <c r="C355">
        <v>0.34223134839151298</v>
      </c>
      <c r="D355" t="s">
        <v>913</v>
      </c>
      <c r="E355">
        <v>77</v>
      </c>
      <c r="F355">
        <v>1.78</v>
      </c>
      <c r="G355">
        <v>24.3024870597147</v>
      </c>
      <c r="H355">
        <v>0</v>
      </c>
      <c r="I355">
        <v>0</v>
      </c>
      <c r="J355" s="19">
        <v>0</v>
      </c>
      <c r="K355" s="19">
        <v>0</v>
      </c>
      <c r="L355" s="19">
        <v>0</v>
      </c>
      <c r="M355" s="19">
        <v>0</v>
      </c>
      <c r="N355">
        <v>0</v>
      </c>
      <c r="O355" s="19">
        <v>0</v>
      </c>
      <c r="P355" s="19">
        <v>0</v>
      </c>
      <c r="Q355" s="19">
        <v>0</v>
      </c>
      <c r="R355" s="19">
        <v>0</v>
      </c>
      <c r="S355" s="19">
        <v>0</v>
      </c>
      <c r="T355" s="19">
        <v>0</v>
      </c>
      <c r="U355" s="19">
        <v>0</v>
      </c>
      <c r="V355" s="15">
        <f>AVERAGE(M355:U355)</f>
        <v>0</v>
      </c>
      <c r="W355" s="19">
        <v>1</v>
      </c>
      <c r="X355" s="19">
        <v>2</v>
      </c>
      <c r="Y355" s="19">
        <v>3</v>
      </c>
      <c r="Z355" s="19">
        <v>5</v>
      </c>
      <c r="AA355" s="19">
        <v>3</v>
      </c>
      <c r="AB355" s="19">
        <v>3</v>
      </c>
      <c r="AC355" s="19">
        <v>3</v>
      </c>
      <c r="AD355" s="19">
        <v>5</v>
      </c>
      <c r="AE355" s="19">
        <v>3</v>
      </c>
      <c r="AF355" s="19">
        <v>3</v>
      </c>
      <c r="AG355" s="19">
        <v>5</v>
      </c>
      <c r="AH355" s="19">
        <v>5</v>
      </c>
      <c r="AI355" s="19">
        <v>5</v>
      </c>
      <c r="AJ355" s="19">
        <v>5</v>
      </c>
      <c r="AK355" s="19">
        <v>5</v>
      </c>
      <c r="AL355" s="19">
        <v>5</v>
      </c>
      <c r="AM355" s="19">
        <v>5</v>
      </c>
      <c r="AN355" s="19">
        <v>5</v>
      </c>
      <c r="AO355" s="19">
        <v>5</v>
      </c>
      <c r="AP355" s="19"/>
      <c r="AQ355" s="24">
        <v>43</v>
      </c>
      <c r="AR355" s="27">
        <v>91.8</v>
      </c>
      <c r="AS355" s="27">
        <v>83.4</v>
      </c>
      <c r="AT355" s="27">
        <v>25.8</v>
      </c>
      <c r="AU355" s="24">
        <v>68.3</v>
      </c>
      <c r="AV355" s="24">
        <v>0</v>
      </c>
      <c r="AW355" s="24">
        <v>0</v>
      </c>
      <c r="AX355" s="24">
        <v>0</v>
      </c>
      <c r="AY355" s="24">
        <v>31.54</v>
      </c>
      <c r="AZ355" s="24">
        <v>0</v>
      </c>
      <c r="BA355" s="24">
        <v>0</v>
      </c>
      <c r="BB355" s="24">
        <v>0</v>
      </c>
      <c r="BC355" s="24">
        <v>0</v>
      </c>
      <c r="BD355" s="24">
        <v>0</v>
      </c>
      <c r="BE355" s="24">
        <v>0</v>
      </c>
      <c r="BF355" s="24">
        <v>48.27</v>
      </c>
      <c r="BG355" s="24">
        <v>58.3</v>
      </c>
      <c r="BH355" s="24">
        <v>1.34</v>
      </c>
      <c r="BI355" s="24">
        <v>0</v>
      </c>
      <c r="BJ355" s="24">
        <v>0.16</v>
      </c>
      <c r="BK355" s="24">
        <v>0</v>
      </c>
      <c r="BL355" s="24">
        <v>0</v>
      </c>
      <c r="BM355" s="24">
        <v>11</v>
      </c>
      <c r="BN355" s="24">
        <v>1</v>
      </c>
      <c r="BO355" s="24">
        <v>1</v>
      </c>
      <c r="BP355" s="27">
        <v>2.4500000000000002</v>
      </c>
      <c r="BQ355" s="27">
        <v>1</v>
      </c>
      <c r="BR355" s="27">
        <v>3.68</v>
      </c>
      <c r="BS355" s="27">
        <v>1.63</v>
      </c>
      <c r="BT355" s="27">
        <v>0</v>
      </c>
      <c r="BU355" s="27">
        <v>0</v>
      </c>
      <c r="BV355" s="27">
        <v>0</v>
      </c>
      <c r="BW355" s="24">
        <v>0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2</vt:i4>
      </vt:variant>
      <vt:variant>
        <vt:lpstr>Intervalos com Nome</vt:lpstr>
      </vt:variant>
      <vt:variant>
        <vt:i4>1</vt:i4>
      </vt:variant>
    </vt:vector>
  </HeadingPairs>
  <TitlesOfParts>
    <vt:vector size="3" baseType="lpstr">
      <vt:lpstr>Base de dados</vt:lpstr>
      <vt:lpstr>Sheet2</vt:lpstr>
      <vt:lpstr>'Base de dados'!_FiltrarBaseDados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Frodo</dc:creator>
  <cp:lastModifiedBy>rjoao</cp:lastModifiedBy>
  <cp:revision>0</cp:revision>
  <cp:lastPrinted>2017-09-15T06:57:44Z</cp:lastPrinted>
  <dcterms:created xsi:type="dcterms:W3CDTF">2017-01-02T09:13:00Z</dcterms:created>
  <dcterms:modified xsi:type="dcterms:W3CDTF">2018-11-29T15:11:41Z</dcterms:modified>
  <dc:language>en-US</dc:language>
</cp:coreProperties>
</file>